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2741D465-E1FD-4986-B259-40E7401F01D9}" xr6:coauthVersionLast="47" xr6:coauthVersionMax="47" xr10:uidLastSave="{00000000-0000-0000-0000-000000000000}"/>
  <bookViews>
    <workbookView xWindow="-120" yWindow="-120" windowWidth="21840" windowHeight="13140" tabRatio="758" xr2:uid="{00000000-000D-0000-FFFF-FFFF00000000}"/>
  </bookViews>
  <sheets>
    <sheet name="Calendário" sheetId="1" r:id="rId1"/>
    <sheet name="Dados Dinamicos" sheetId="2" state="hidden" r:id="rId2"/>
    <sheet name="Relatório IND." sheetId="3" state="hidden" r:id="rId3"/>
    <sheet name="Gráfico IND." sheetId="4" r:id="rId4"/>
    <sheet name="Relatório TOT." sheetId="5" state="hidden" r:id="rId5"/>
    <sheet name="Gráfico TOT." sheetId="6" r:id="rId6"/>
    <sheet name="CÓD func.CAMPO" sheetId="7" r:id="rId7"/>
    <sheet name="Prod. e Improd" sheetId="8" r:id="rId8"/>
    <sheet name="Prod.Total" sheetId="9" r:id="rId9"/>
    <sheet name="PROCV Prod.Total" sheetId="10" state="hidden" r:id="rId10"/>
    <sheet name="BD.OS" sheetId="11" state="hidden" r:id="rId11"/>
    <sheet name="BD. km rodado" sheetId="12" state="hidden" r:id="rId12"/>
    <sheet name="Relatório GERAL" sheetId="13" r:id="rId13"/>
    <sheet name="Dados de consulta" sheetId="14" state="hidden" r:id="rId14"/>
    <sheet name="Resumo Extras" sheetId="17" state="hidden" r:id="rId15"/>
    <sheet name="Relatório Extra" sheetId="18" r:id="rId16"/>
    <sheet name="BD OS's Canceladas" sheetId="20" state="hidden" r:id="rId17"/>
    <sheet name="BD HORA EXTRA" sheetId="19" state="hidden" r:id="rId18"/>
    <sheet name="BD. graf. km rodado" sheetId="15" state="hidden" r:id="rId19"/>
    <sheet name="Horario de campo e Prod.TOTAL" sheetId="16" state="hidden" r:id="rId20"/>
  </sheets>
  <definedNames>
    <definedName name="_xlnm._FilterDatabase" localSheetId="11" hidden="1">'BD. km rodado'!$A$1:$O$428</definedName>
    <definedName name="_xlnm._FilterDatabase" localSheetId="10" hidden="1">BD.OS!$A$1:$X$2000</definedName>
    <definedName name="_xlnm._FilterDatabase" localSheetId="15" hidden="1">'Relatório Extra'!$A$1:$Y$478</definedName>
    <definedName name="_xlnm._FilterDatabase" localSheetId="12" hidden="1">'Relatório GERAL'!$A$1:$T$701</definedName>
    <definedName name="_xlnm._FilterDatabase" localSheetId="14" hidden="1">'Resumo Extras'!$A$2:$BC$15</definedName>
    <definedName name="AnoAExibir" localSheetId="0">Calendário!$H$3</definedName>
    <definedName name="ANOGRAFIND">'Gráfico IND.'!$J$1</definedName>
    <definedName name="ANOGRAFTOT">'Gráfico TOT.'!$K$1</definedName>
    <definedName name="ANOPROD.">'Prod. e Improd'!$B$7</definedName>
    <definedName name="ANOPRODTOT.">Prod.Total!$H$1</definedName>
    <definedName name="ANOPRODTOT.2">Prod.Total!$BU$24</definedName>
    <definedName name="_xlnm.Print_Area" localSheetId="0">Calendário!$B$1:$H$38</definedName>
    <definedName name="_xlnm.Print_Area" localSheetId="8">Prod.Total!$B$2:$BS$32</definedName>
    <definedName name="calendário" localSheetId="0">grelhadedia+Calendário!primeiradata-WEEKDAY(Calendário!primeiradata)-opção_diadasemana</definedName>
    <definedName name="datadeinício" localSheetId="0">DATE(Calendário!AnoAExibir,Calendário!mês,1)</definedName>
    <definedName name="Datas">#REF!</definedName>
    <definedName name="DiaDeInício">Calendário!$O$2</definedName>
    <definedName name="dias">{0,1,2,3,4,5,6}</definedName>
    <definedName name="diasdasemana">{"segunda-feira","terça-feira","quarta-feira","quinta-feira","sexta-feira","sábado","domingo"}</definedName>
    <definedName name="diasdasemana_invertidos">{"domingo","sábado","sexta-feira","quinta-feira","quarta-feira","terça-feira","segunda-feira"}</definedName>
    <definedName name="grelhadedia">dias+semanas*7</definedName>
    <definedName name="Indivíduo">'Gráfico IND.'!$P$1</definedName>
    <definedName name="IníciodeLinhaDeTabela">ROW(#REF!)</definedName>
    <definedName name="Listadetrabalhosdecasa">#REF!</definedName>
    <definedName name="mês" localSheetId="0">MATCH(Calendário!MêsAExibir,meses,0)</definedName>
    <definedName name="MêsAExibir" localSheetId="0">Calendário!$H$2</definedName>
    <definedName name="meses">{"Janeiro","Fevereiro","Março","Abril","Maio","Junho","Julho","Agosto","Setembro","Outubro","Novembro","Dezembro"}</definedName>
    <definedName name="MESGRAFIND">'Gráfico IND.'!$N$1</definedName>
    <definedName name="MESGRAFTOT">'Gráfico TOT.'!$O$1</definedName>
    <definedName name="ndx" localSheetId="0">ROUNDUP(MATCH(2,1/FREQUENCY(DATE(Calendário!AnoAExibir,Calendário!NúmeroDeMêsAExibir,1),Calendário!calendário))/7,0)</definedName>
    <definedName name="NúmeroDeMêsAExibir" localSheetId="0">MATCH(Calendário!MêsAExibir,meses,0)</definedName>
    <definedName name="opção_diadasemana">MATCH(DiaDeInício,diasdasemana_invertidos,0)-2</definedName>
    <definedName name="primeiradata" localSheetId="0">DATE(Calendário!AnoAExibir,Calendário!mês,1)</definedName>
    <definedName name="semanas">{0;1;2;3;4;5;6}</definedName>
    <definedName name="TrabalhoDiário">Calendário!$B$10:$H$13,Calendário!$B$15:$H$18,Calendário!$B$20:$H$23,Calendário!$B$25:$H$28,Calendário!$B$30:$H$33,Calendário!$B$35:$C$38</definedName>
    <definedName name="Z_40F11FFD_627B_4157_AFFE_E57E44CED524_.wvu.Cols" localSheetId="10" hidden="1">BD.OS!$A:$A</definedName>
    <definedName name="Z_40F11FFD_627B_4157_AFFE_E57E44CED524_.wvu.Cols" localSheetId="0" hidden="1">Calendário!$A:$A</definedName>
    <definedName name="Z_40F11FFD_627B_4157_AFFE_E57E44CED524_.wvu.Cols" localSheetId="19" hidden="1">'Horario de campo e Prod.TOTAL'!$D:$E,'Horario de campo e Prod.TOTAL'!#REF!</definedName>
    <definedName name="Z_40F11FFD_627B_4157_AFFE_E57E44CED524_.wvu.Cols" localSheetId="4" hidden="1">'Relatório TOT.'!$M:$Q</definedName>
    <definedName name="Z_40F11FFD_627B_4157_AFFE_E57E44CED524_.wvu.FilterData" localSheetId="11" hidden="1">'BD. km rodado'!$A$1:$O$428</definedName>
    <definedName name="Z_40F11FFD_627B_4157_AFFE_E57E44CED524_.wvu.FilterData" localSheetId="10" hidden="1">BD.OS!$A$1:$A$1</definedName>
    <definedName name="Z_40F11FFD_627B_4157_AFFE_E57E44CED524_.wvu.FilterData" localSheetId="12" hidden="1">'Relatório GERAL'!$A$1:$T$701</definedName>
    <definedName name="Z_40F11FFD_627B_4157_AFFE_E57E44CED524_.wvu.PrintArea" localSheetId="0" hidden="1">Calendário!$B$1:$H$38</definedName>
    <definedName name="Z_40F11FFD_627B_4157_AFFE_E57E44CED524_.wvu.PrintArea" localSheetId="8" hidden="1">Prod.Total!$B$2:$BS$32</definedName>
    <definedName name="Z_ECC56881_4CE2_4FBF_815D_85F544F885E8_.wvu.Cols" localSheetId="0" hidden="1">Calendário!$A:$A</definedName>
    <definedName name="Z_ECC56881_4CE2_4FBF_815D_85F544F885E8_.wvu.Cols" localSheetId="19" hidden="1">'Horario de campo e Prod.TOTAL'!$D:$E,'Horario de campo e Prod.TOTAL'!#REF!</definedName>
    <definedName name="Z_ECC56881_4CE2_4FBF_815D_85F544F885E8_.wvu.Cols" localSheetId="4" hidden="1">'Relatório TOT.'!$M:$Q</definedName>
    <definedName name="Z_ECC56881_4CE2_4FBF_815D_85F544F885E8_.wvu.FilterData" localSheetId="11" hidden="1">'BD. km rodado'!$A$1:$O$428</definedName>
    <definedName name="Z_ECC56881_4CE2_4FBF_815D_85F544F885E8_.wvu.FilterData" localSheetId="10" hidden="1">BD.OS!$A$1:$A$1</definedName>
    <definedName name="Z_ECC56881_4CE2_4FBF_815D_85F544F885E8_.wvu.FilterData" localSheetId="12" hidden="1">'Relatório GERAL'!$A$1:$T$701</definedName>
    <definedName name="Z_ECC56881_4CE2_4FBF_815D_85F544F885E8_.wvu.PrintArea" localSheetId="0" hidden="1">Calendário!$B$1:$H$38</definedName>
    <definedName name="Z_ECC56881_4CE2_4FBF_815D_85F544F885E8_.wvu.PrintArea" localSheetId="8" hidden="1">Prod.Total!$B$2:$BS$32</definedName>
    <definedName name="Z_FC643F0B_3E44_4304_9C6C_EBD35A45B8FD_.wvu.Cols" localSheetId="10" hidden="1">BD.OS!$A:$A</definedName>
    <definedName name="Z_FC643F0B_3E44_4304_9C6C_EBD35A45B8FD_.wvu.Cols" localSheetId="0" hidden="1">Calendário!$A:$A</definedName>
    <definedName name="Z_FC643F0B_3E44_4304_9C6C_EBD35A45B8FD_.wvu.Cols" localSheetId="19" hidden="1">'Horario de campo e Prod.TOTAL'!$D:$E,'Horario de campo e Prod.TOTAL'!#REF!</definedName>
    <definedName name="Z_FC643F0B_3E44_4304_9C6C_EBD35A45B8FD_.wvu.Cols" localSheetId="4" hidden="1">'Relatório TOT.'!$M:$Q</definedName>
    <definedName name="Z_FC643F0B_3E44_4304_9C6C_EBD35A45B8FD_.wvu.FilterData" localSheetId="11" hidden="1">'BD. km rodado'!$A$1:$O$428</definedName>
    <definedName name="Z_FC643F0B_3E44_4304_9C6C_EBD35A45B8FD_.wvu.FilterData" localSheetId="10" hidden="1">BD.OS!$A$1</definedName>
    <definedName name="Z_FC643F0B_3E44_4304_9C6C_EBD35A45B8FD_.wvu.FilterData" localSheetId="12" hidden="1">'Relatório GERAL'!$A$1:$T$701</definedName>
    <definedName name="Z_FC643F0B_3E44_4304_9C6C_EBD35A45B8FD_.wvu.PrintArea" localSheetId="0" hidden="1">Calendário!$B$1:$H$38</definedName>
    <definedName name="Z_FC643F0B_3E44_4304_9C6C_EBD35A45B8FD_.wvu.PrintArea" localSheetId="8" hidden="1">Prod.Total!$B$2:$BS$32</definedName>
  </definedNames>
  <calcPr calcId="181029"/>
  <customWorkbookViews>
    <customWorkbookView name="Ivan Batista Uchôa Junior - Modo de exibição pessoal" guid="{FC643F0B-3E44-4304-9C6C-EBD35A45B8FD}" mergeInterval="0" personalView="1" maximized="1" xWindow="-8" yWindow="-8" windowWidth="1616" windowHeight="876" activeSheetId="9"/>
    <customWorkbookView name="Ivan Batista Uchoa Junior - Modo de exibição pessoal" guid="{ECC56881-4CE2-4FBF-815D-85F544F885E8}" mergeInterval="0" personalView="1" maximized="1" xWindow="-8" yWindow="-8" windowWidth="1616" windowHeight="876" activeSheetId="8"/>
    <customWorkbookView name="sthenyosouza - Modo de exibição pessoal" guid="{40F11FFD-627B-4157-AFFE-E57E44CED524}" mergeInterval="0" personalView="1" maximized="1" xWindow="-8" yWindow="-8" windowWidth="1936" windowHeight="1096" activeSheetId="1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11" l="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Y252" i="11"/>
  <c r="Y253" i="11"/>
  <c r="Y254" i="11"/>
  <c r="Y255" i="11"/>
  <c r="Y256" i="11"/>
  <c r="Y257" i="11"/>
  <c r="Y258" i="11"/>
  <c r="Y259" i="11"/>
  <c r="Y260" i="11"/>
  <c r="Y261" i="11"/>
  <c r="Y262" i="11"/>
  <c r="Y263" i="11"/>
  <c r="Y264" i="11"/>
  <c r="Y265" i="11"/>
  <c r="Y266" i="11"/>
  <c r="Y267" i="11"/>
  <c r="Y268" i="11"/>
  <c r="Y269" i="11"/>
  <c r="Y270" i="11"/>
  <c r="Y271" i="11"/>
  <c r="Y272" i="11"/>
  <c r="Y273" i="11"/>
  <c r="Y274" i="11"/>
  <c r="Y275" i="11"/>
  <c r="Y276" i="11"/>
  <c r="Y277" i="11"/>
  <c r="Y278" i="11"/>
  <c r="Y279" i="11"/>
  <c r="Y280" i="11"/>
  <c r="Y281" i="11"/>
  <c r="Y282" i="11"/>
  <c r="Y283" i="11"/>
  <c r="Y284" i="11"/>
  <c r="Y285" i="11"/>
  <c r="Y286" i="11"/>
  <c r="Y287" i="11"/>
  <c r="Y288" i="11"/>
  <c r="Y289" i="11"/>
  <c r="Y290" i="11"/>
  <c r="Y291" i="11"/>
  <c r="Y292" i="11"/>
  <c r="Y293" i="11"/>
  <c r="Y294" i="11"/>
  <c r="Y295" i="11"/>
  <c r="Y296" i="11"/>
  <c r="Y297" i="11"/>
  <c r="Y298" i="11"/>
  <c r="Y299" i="11"/>
  <c r="Y300" i="11"/>
  <c r="Y301" i="11"/>
  <c r="Y302" i="11"/>
  <c r="Y303" i="11"/>
  <c r="Y304" i="11"/>
  <c r="Y305" i="11"/>
  <c r="Y306" i="11"/>
  <c r="Y307" i="11"/>
  <c r="Y308" i="11"/>
  <c r="Y309" i="11"/>
  <c r="Y310" i="11"/>
  <c r="Y311" i="11"/>
  <c r="Y312" i="11"/>
  <c r="Y313" i="11"/>
  <c r="Y314" i="11"/>
  <c r="Y315" i="11"/>
  <c r="Y316" i="11"/>
  <c r="Y317" i="11"/>
  <c r="Y318" i="11"/>
  <c r="Y319" i="11"/>
  <c r="Y320" i="11"/>
  <c r="Y321" i="11"/>
  <c r="Y322" i="11"/>
  <c r="Y323" i="11"/>
  <c r="Y324" i="11"/>
  <c r="Y325" i="11"/>
  <c r="Y326" i="11"/>
  <c r="Y327" i="11"/>
  <c r="Y328" i="11"/>
  <c r="Y329" i="11"/>
  <c r="Y330" i="11"/>
  <c r="Y331" i="11"/>
  <c r="Y332" i="11"/>
  <c r="Y333" i="11"/>
  <c r="Y334" i="11"/>
  <c r="Y335" i="11"/>
  <c r="Y336" i="11"/>
  <c r="Y337" i="11"/>
  <c r="Y338" i="11"/>
  <c r="Y339" i="11"/>
  <c r="Y340" i="11"/>
  <c r="Y341" i="11"/>
  <c r="Y342" i="11"/>
  <c r="Y343" i="11"/>
  <c r="Y344" i="11"/>
  <c r="Y345" i="11"/>
  <c r="Y346" i="11"/>
  <c r="Y347" i="11"/>
  <c r="Y348" i="11"/>
  <c r="Y349" i="11"/>
  <c r="Y350" i="11"/>
  <c r="Y351" i="11"/>
  <c r="Y352" i="11"/>
  <c r="Y353" i="11"/>
  <c r="Y354" i="11"/>
  <c r="Y355" i="11"/>
  <c r="Y356" i="11"/>
  <c r="Y357" i="11"/>
  <c r="Y358" i="11"/>
  <c r="Y359" i="11"/>
  <c r="Y360" i="11"/>
  <c r="Y361" i="11"/>
  <c r="Y362" i="11"/>
  <c r="Y363" i="11"/>
  <c r="Y364" i="11"/>
  <c r="Y365" i="11"/>
  <c r="Y366" i="11"/>
  <c r="Y367" i="11"/>
  <c r="Y368" i="11"/>
  <c r="Y369" i="11"/>
  <c r="Y370" i="11"/>
  <c r="Y371" i="11"/>
  <c r="Y372" i="11"/>
  <c r="Y373" i="11"/>
  <c r="Y374" i="11"/>
  <c r="Y375" i="11"/>
  <c r="Y376" i="11"/>
  <c r="Y377" i="11"/>
  <c r="Y378" i="11"/>
  <c r="Y379" i="11"/>
  <c r="Y380" i="11"/>
  <c r="Y381" i="11"/>
  <c r="Y382" i="11"/>
  <c r="Y383" i="11"/>
  <c r="Y384" i="11"/>
  <c r="Y385" i="11"/>
  <c r="Y386" i="11"/>
  <c r="Y387" i="11"/>
  <c r="Y388" i="11"/>
  <c r="Y389" i="11"/>
  <c r="Y390" i="11"/>
  <c r="Y391" i="11"/>
  <c r="Y392" i="11"/>
  <c r="Y393" i="11"/>
  <c r="Y394" i="11"/>
  <c r="Y395" i="11"/>
  <c r="Y396" i="11"/>
  <c r="Y397" i="11"/>
  <c r="Y398" i="11"/>
  <c r="Y399" i="11"/>
  <c r="Y400" i="11"/>
  <c r="Y401" i="11"/>
  <c r="Y402" i="11"/>
  <c r="Y403" i="11"/>
  <c r="Y404" i="11"/>
  <c r="Y405" i="11"/>
  <c r="Y406" i="11"/>
  <c r="Y407" i="11"/>
  <c r="Y408" i="11"/>
  <c r="Y409" i="11"/>
  <c r="Y410" i="11"/>
  <c r="Y411" i="11"/>
  <c r="Y412" i="11"/>
  <c r="Y413" i="11"/>
  <c r="Y414" i="11"/>
  <c r="Y415" i="11"/>
  <c r="Y416" i="11"/>
  <c r="Y417" i="11"/>
  <c r="Y418" i="11"/>
  <c r="Y419" i="11"/>
  <c r="Y420" i="11"/>
  <c r="Y421" i="11"/>
  <c r="Y422" i="11"/>
  <c r="Y423" i="11"/>
  <c r="Y424" i="11"/>
  <c r="Y425" i="11"/>
  <c r="Y426" i="11"/>
  <c r="Y427" i="11"/>
  <c r="Y428" i="11"/>
  <c r="Y429" i="11"/>
  <c r="Y430" i="11"/>
  <c r="Y431" i="11"/>
  <c r="Y432" i="11"/>
  <c r="Y433" i="11"/>
  <c r="Y434" i="11"/>
  <c r="Y435" i="11"/>
  <c r="Y436" i="11"/>
  <c r="Y437" i="11"/>
  <c r="Y438" i="11"/>
  <c r="Y439" i="11"/>
  <c r="Y440" i="11"/>
  <c r="Y441" i="11"/>
  <c r="Y442" i="11"/>
  <c r="Y443" i="11"/>
  <c r="Y444" i="11"/>
  <c r="Y445" i="11"/>
  <c r="Y446" i="11"/>
  <c r="Y447" i="11"/>
  <c r="Y448" i="11"/>
  <c r="Y449" i="11"/>
  <c r="Y450" i="11"/>
  <c r="Y451" i="11"/>
  <c r="Y452" i="11"/>
  <c r="Y453" i="11"/>
  <c r="Y454" i="11"/>
  <c r="Y455" i="11"/>
  <c r="Y456" i="11"/>
  <c r="Y457" i="11"/>
  <c r="Y458" i="11"/>
  <c r="Y459" i="11"/>
  <c r="Y460" i="11"/>
  <c r="Y461" i="11"/>
  <c r="Y462" i="11"/>
  <c r="Y463" i="11"/>
  <c r="Y464" i="11"/>
  <c r="Y465" i="11"/>
  <c r="Y466" i="11"/>
  <c r="Y467" i="11"/>
  <c r="Y468" i="11"/>
  <c r="Y469" i="11"/>
  <c r="Y470" i="11"/>
  <c r="Y471" i="11"/>
  <c r="Y472" i="11"/>
  <c r="Y473" i="11"/>
  <c r="Y474" i="11"/>
  <c r="Y475" i="11"/>
  <c r="Y476" i="11"/>
  <c r="Y477" i="11"/>
  <c r="Y478" i="11"/>
  <c r="Y479" i="11"/>
  <c r="Y480" i="11"/>
  <c r="Y481" i="11"/>
  <c r="Y482" i="11"/>
  <c r="Y483" i="11"/>
  <c r="Y484" i="11"/>
  <c r="Y485" i="11"/>
  <c r="Y486" i="11"/>
  <c r="Y487" i="11"/>
  <c r="Y488" i="11"/>
  <c r="Y489" i="11"/>
  <c r="Y490" i="11"/>
  <c r="Y491" i="11"/>
  <c r="Y492" i="11"/>
  <c r="Y493" i="11"/>
  <c r="Y494" i="11"/>
  <c r="Y495" i="11"/>
  <c r="Y496" i="11"/>
  <c r="Y497" i="11"/>
  <c r="Y498" i="11"/>
  <c r="Y499" i="11"/>
  <c r="Y500" i="11"/>
  <c r="Y501" i="11"/>
  <c r="Y502" i="11"/>
  <c r="Y503" i="11"/>
  <c r="Y504" i="11"/>
  <c r="Y505" i="11"/>
  <c r="Y506" i="11"/>
  <c r="Y507" i="11"/>
  <c r="Y508" i="11"/>
  <c r="Y509" i="11"/>
  <c r="Y510" i="11"/>
  <c r="Y511" i="11"/>
  <c r="Y512" i="11"/>
  <c r="Y513" i="11"/>
  <c r="Y514" i="11"/>
  <c r="Y515" i="11"/>
  <c r="Y516" i="11"/>
  <c r="Y517" i="11"/>
  <c r="Y518" i="11"/>
  <c r="Y519" i="11"/>
  <c r="Y520" i="11"/>
  <c r="Y521" i="11"/>
  <c r="Y522" i="11"/>
  <c r="Y523" i="11"/>
  <c r="Y524" i="11"/>
  <c r="Y525" i="11"/>
  <c r="Y526" i="11"/>
  <c r="Y527" i="11"/>
  <c r="Y528" i="11"/>
  <c r="Y529" i="11"/>
  <c r="Y530" i="11"/>
  <c r="Y531" i="11"/>
  <c r="Y532" i="11"/>
  <c r="Y533" i="11"/>
  <c r="Y534" i="11"/>
  <c r="Y535" i="11"/>
  <c r="Y536" i="11"/>
  <c r="Y537" i="11"/>
  <c r="Y538" i="11"/>
  <c r="Y539" i="11"/>
  <c r="Y540" i="11"/>
  <c r="Y541" i="11"/>
  <c r="Y542" i="11"/>
  <c r="Y543" i="11"/>
  <c r="Y544" i="11"/>
  <c r="Y545" i="11"/>
  <c r="Y546" i="11"/>
  <c r="Y547" i="11"/>
  <c r="Y548" i="11"/>
  <c r="Y549" i="11"/>
  <c r="Y550" i="11"/>
  <c r="Y551" i="11"/>
  <c r="Y552" i="11"/>
  <c r="Y553" i="11"/>
  <c r="Y554" i="11"/>
  <c r="Y555" i="11"/>
  <c r="Y556" i="11"/>
  <c r="Y557" i="11"/>
  <c r="Y558" i="11"/>
  <c r="Y559" i="11"/>
  <c r="Y560" i="11"/>
  <c r="Y561" i="11"/>
  <c r="Y562" i="11"/>
  <c r="Y563" i="11"/>
  <c r="Y564" i="11"/>
  <c r="Y565" i="11"/>
  <c r="Y566" i="11"/>
  <c r="Y567" i="11"/>
  <c r="Y568" i="11"/>
  <c r="Y569" i="11"/>
  <c r="Y570" i="11"/>
  <c r="Y571" i="11"/>
  <c r="Y572" i="11"/>
  <c r="Y573" i="11"/>
  <c r="Y574" i="11"/>
  <c r="Y575" i="11"/>
  <c r="Y576" i="11"/>
  <c r="Y577" i="11"/>
  <c r="Y578" i="11"/>
  <c r="Y579" i="11"/>
  <c r="Y580" i="11"/>
  <c r="Y581" i="11"/>
  <c r="Y582" i="11"/>
  <c r="Y583" i="11"/>
  <c r="Y584" i="11"/>
  <c r="Y585" i="11"/>
  <c r="Y586" i="11"/>
  <c r="Y587" i="11"/>
  <c r="Y588" i="11"/>
  <c r="Y589" i="11"/>
  <c r="Y590" i="11"/>
  <c r="Y591" i="11"/>
  <c r="Y592" i="11"/>
  <c r="Y593" i="11"/>
  <c r="Y594" i="11"/>
  <c r="Y595" i="11"/>
  <c r="Y596" i="11"/>
  <c r="Y597" i="11"/>
  <c r="Y598" i="11"/>
  <c r="Y599" i="11"/>
  <c r="Y600" i="11"/>
  <c r="Y601" i="11"/>
  <c r="Y602" i="11"/>
  <c r="Y603" i="11"/>
  <c r="Y604" i="11"/>
  <c r="Y605" i="11"/>
  <c r="Y606" i="11"/>
  <c r="Y607" i="11"/>
  <c r="Y608" i="11"/>
  <c r="Y609" i="11"/>
  <c r="Y610" i="11"/>
  <c r="Y611" i="11"/>
  <c r="Y612" i="11"/>
  <c r="Y613" i="11"/>
  <c r="Y614" i="11"/>
  <c r="Y615" i="11"/>
  <c r="Y616" i="11"/>
  <c r="Y617" i="11"/>
  <c r="Y618" i="11"/>
  <c r="Y619" i="11"/>
  <c r="Y620" i="11"/>
  <c r="Y621" i="11"/>
  <c r="Y622" i="11"/>
  <c r="Y623" i="11"/>
  <c r="Y624" i="11"/>
  <c r="Y625" i="11"/>
  <c r="Y626" i="11"/>
  <c r="Y627" i="11"/>
  <c r="Y628" i="11"/>
  <c r="Y629" i="11"/>
  <c r="Y630" i="11"/>
  <c r="Y631" i="11"/>
  <c r="Y632" i="11"/>
  <c r="Y633" i="11"/>
  <c r="Y634" i="11"/>
  <c r="Y635" i="11"/>
  <c r="Y636" i="11"/>
  <c r="Y637" i="11"/>
  <c r="Y638" i="11"/>
  <c r="Y639" i="11"/>
  <c r="Y640" i="11"/>
  <c r="Y641" i="11"/>
  <c r="Y642" i="11"/>
  <c r="Y643" i="11"/>
  <c r="Y644" i="11"/>
  <c r="Y645" i="11"/>
  <c r="Y646" i="11"/>
  <c r="Y647" i="11"/>
  <c r="Y648" i="11"/>
  <c r="Y649" i="11"/>
  <c r="Y650" i="11"/>
  <c r="Y651" i="11"/>
  <c r="Y652" i="11"/>
  <c r="Y653" i="11"/>
  <c r="Y654" i="11"/>
  <c r="Y655" i="11"/>
  <c r="Y656" i="11"/>
  <c r="Y657" i="11"/>
  <c r="Y658" i="11"/>
  <c r="Y659" i="11"/>
  <c r="Y660" i="11"/>
  <c r="Y661" i="11"/>
  <c r="Y662" i="11"/>
  <c r="Y663" i="11"/>
  <c r="Y664" i="11"/>
  <c r="Y665" i="11"/>
  <c r="Y666" i="11"/>
  <c r="Y667" i="11"/>
  <c r="Y668" i="11"/>
  <c r="Y669" i="11"/>
  <c r="Y670" i="11"/>
  <c r="Y671" i="11"/>
  <c r="Y672" i="11"/>
  <c r="Y673" i="11"/>
  <c r="Y674" i="11"/>
  <c r="Y675" i="11"/>
  <c r="Y676" i="11"/>
  <c r="Y677" i="11"/>
  <c r="Y678" i="11"/>
  <c r="Y679" i="11"/>
  <c r="Y680" i="11"/>
  <c r="Y681" i="11"/>
  <c r="Y682" i="11"/>
  <c r="Y683" i="11"/>
  <c r="Y684" i="11"/>
  <c r="Y685" i="11"/>
  <c r="Y686" i="11"/>
  <c r="Y687" i="11"/>
  <c r="Y688" i="11"/>
  <c r="Y689" i="11"/>
  <c r="Y690" i="11"/>
  <c r="Y691" i="11"/>
  <c r="Y692" i="11"/>
  <c r="Y693" i="11"/>
  <c r="Y694" i="11"/>
  <c r="Y695" i="11"/>
  <c r="Y696" i="11"/>
  <c r="Y697" i="11"/>
  <c r="Y698" i="11"/>
  <c r="Y699" i="11"/>
  <c r="Y700" i="11"/>
  <c r="Y701" i="11"/>
  <c r="Y702" i="11"/>
  <c r="Y703" i="11"/>
  <c r="Y704" i="11"/>
  <c r="Y705" i="11"/>
  <c r="Y706" i="11"/>
  <c r="Y707" i="11"/>
  <c r="Y708" i="11"/>
  <c r="Y709" i="11"/>
  <c r="Y710" i="11"/>
  <c r="Y711" i="11"/>
  <c r="Y712" i="11"/>
  <c r="Y713" i="11"/>
  <c r="Y714" i="11"/>
  <c r="Y715" i="11"/>
  <c r="Y716" i="11"/>
  <c r="Y717" i="11"/>
  <c r="Y718" i="11"/>
  <c r="Y719" i="11"/>
  <c r="Y720" i="11"/>
  <c r="Y721" i="11"/>
  <c r="Y722" i="11"/>
  <c r="Y723" i="11"/>
  <c r="Y724" i="11"/>
  <c r="Y725" i="11"/>
  <c r="Y726" i="11"/>
  <c r="Y727" i="11"/>
  <c r="Y728" i="11"/>
  <c r="Y729" i="11"/>
  <c r="Y730" i="11"/>
  <c r="Y731" i="11"/>
  <c r="Y732" i="11"/>
  <c r="Y733" i="11"/>
  <c r="Y734" i="11"/>
  <c r="Y735" i="11"/>
  <c r="Y736" i="11"/>
  <c r="Y737" i="11"/>
  <c r="Y738" i="11"/>
  <c r="Y739" i="11"/>
  <c r="Y740" i="11"/>
  <c r="Y741" i="11"/>
  <c r="Y742" i="11"/>
  <c r="Y743" i="11"/>
  <c r="Y744" i="11"/>
  <c r="Y745" i="11"/>
  <c r="Y746" i="11"/>
  <c r="Y747" i="11"/>
  <c r="Y748" i="11"/>
  <c r="Y749" i="11"/>
  <c r="Y750" i="11"/>
  <c r="Y751" i="11"/>
  <c r="Y752" i="11"/>
  <c r="Y753" i="11"/>
  <c r="Y754" i="11"/>
  <c r="Y755" i="11"/>
  <c r="Y756" i="11"/>
  <c r="Y757" i="11"/>
  <c r="Y758" i="11"/>
  <c r="Y759" i="11"/>
  <c r="Y760" i="11"/>
  <c r="Y761" i="11"/>
  <c r="Y762" i="11"/>
  <c r="Y763" i="11"/>
  <c r="Y764" i="11"/>
  <c r="Y765" i="11"/>
  <c r="Y766" i="11"/>
  <c r="Y767" i="11"/>
  <c r="Y768" i="11"/>
  <c r="Y769" i="11"/>
  <c r="Y770" i="11"/>
  <c r="Y771" i="11"/>
  <c r="Y772" i="11"/>
  <c r="Y773" i="11"/>
  <c r="Y774" i="11"/>
  <c r="Y775" i="11"/>
  <c r="Y776" i="11"/>
  <c r="Y777" i="11"/>
  <c r="Y778" i="11"/>
  <c r="Y779" i="11"/>
  <c r="Y780" i="11"/>
  <c r="Y781" i="11"/>
  <c r="Y782" i="11"/>
  <c r="Y783" i="11"/>
  <c r="Y784" i="11"/>
  <c r="Y785" i="11"/>
  <c r="Y786" i="11"/>
  <c r="Y787" i="11"/>
  <c r="Y788" i="11"/>
  <c r="Y789" i="11"/>
  <c r="Y790" i="11"/>
  <c r="Y791" i="11"/>
  <c r="Y792" i="11"/>
  <c r="Y793" i="11"/>
  <c r="Y794" i="11"/>
  <c r="Y795" i="11"/>
  <c r="Y796" i="11"/>
  <c r="Y797" i="11"/>
  <c r="Y798" i="11"/>
  <c r="Y799" i="11"/>
  <c r="Y800" i="11"/>
  <c r="Y801" i="11"/>
  <c r="Y802" i="11"/>
  <c r="Y803" i="11"/>
  <c r="Y804" i="11"/>
  <c r="Y805" i="11"/>
  <c r="Y806" i="11"/>
  <c r="Y807" i="11"/>
  <c r="Y808" i="11"/>
  <c r="Y809" i="11"/>
  <c r="Y810" i="11"/>
  <c r="Y811" i="11"/>
  <c r="Y812" i="11"/>
  <c r="Y813" i="11"/>
  <c r="Y814" i="11"/>
  <c r="Y815" i="11"/>
  <c r="Y816" i="11"/>
  <c r="Y817" i="11"/>
  <c r="Y818" i="11"/>
  <c r="Y819" i="11"/>
  <c r="Y820" i="11"/>
  <c r="Y821" i="11"/>
  <c r="Y822" i="11"/>
  <c r="Y823" i="11"/>
  <c r="Y824" i="11"/>
  <c r="Y825" i="11"/>
  <c r="Y826" i="11"/>
  <c r="Y827" i="11"/>
  <c r="Y828" i="11"/>
  <c r="Y829" i="11"/>
  <c r="Y830" i="11"/>
  <c r="Y831" i="11"/>
  <c r="Y832" i="11"/>
  <c r="Y833" i="11"/>
  <c r="Y834" i="11"/>
  <c r="Y835" i="11"/>
  <c r="Y836" i="11"/>
  <c r="Y837" i="11"/>
  <c r="Y838" i="11"/>
  <c r="Y839" i="11"/>
  <c r="Y840" i="11"/>
  <c r="Y841" i="11"/>
  <c r="Y842" i="11"/>
  <c r="Y843" i="11"/>
  <c r="Y844" i="11"/>
  <c r="Y845" i="11"/>
  <c r="Y846" i="11"/>
  <c r="Y847" i="11"/>
  <c r="Y848" i="11"/>
  <c r="Y849" i="11"/>
  <c r="Y850" i="11"/>
  <c r="Y851" i="11"/>
  <c r="Y852" i="11"/>
  <c r="Y853" i="11"/>
  <c r="Y854" i="11"/>
  <c r="Y855" i="11"/>
  <c r="Y856" i="11"/>
  <c r="Y857" i="11"/>
  <c r="Y858" i="11"/>
  <c r="Y859" i="11"/>
  <c r="Y860" i="11"/>
  <c r="Y861" i="11"/>
  <c r="Y862" i="11"/>
  <c r="Y863" i="11"/>
  <c r="Y864" i="11"/>
  <c r="Y865" i="11"/>
  <c r="Y866" i="11"/>
  <c r="Y867" i="11"/>
  <c r="Y868" i="11"/>
  <c r="Y869" i="11"/>
  <c r="Y870" i="11"/>
  <c r="Y871" i="11"/>
  <c r="Y872" i="11"/>
  <c r="Y873" i="11"/>
  <c r="Y874" i="11"/>
  <c r="Y875" i="11"/>
  <c r="Y876" i="11"/>
  <c r="Y877" i="11"/>
  <c r="Y878" i="11"/>
  <c r="Y879" i="11"/>
  <c r="Y880" i="11"/>
  <c r="Y881" i="11"/>
  <c r="Y882" i="11"/>
  <c r="Y883" i="11"/>
  <c r="Y884" i="11"/>
  <c r="Y885" i="11"/>
  <c r="Y886" i="11"/>
  <c r="Y887" i="11"/>
  <c r="Y888" i="11"/>
  <c r="Y889" i="11"/>
  <c r="Y890" i="11"/>
  <c r="Y891" i="11"/>
  <c r="Y892" i="11"/>
  <c r="Y893" i="11"/>
  <c r="Y894" i="11"/>
  <c r="Y895" i="11"/>
  <c r="Y896" i="11"/>
  <c r="Y897" i="11"/>
  <c r="Y898" i="11"/>
  <c r="Y899" i="11"/>
  <c r="Y900" i="11"/>
  <c r="Y901" i="11"/>
  <c r="Y902" i="11"/>
  <c r="Y903" i="11"/>
  <c r="Y904" i="11"/>
  <c r="Y905" i="11"/>
  <c r="Y906" i="11"/>
  <c r="Y907" i="11"/>
  <c r="Y908" i="11"/>
  <c r="Y909" i="11"/>
  <c r="Y910" i="11"/>
  <c r="Y911" i="11"/>
  <c r="Y912" i="11"/>
  <c r="Y913" i="11"/>
  <c r="Y914" i="11"/>
  <c r="Y915" i="11"/>
  <c r="Y916" i="11"/>
  <c r="Y917" i="11"/>
  <c r="Y918" i="11"/>
  <c r="Y919" i="11"/>
  <c r="Y920" i="11"/>
  <c r="Y921" i="11"/>
  <c r="Y922" i="11"/>
  <c r="Y923" i="11"/>
  <c r="Y924" i="11"/>
  <c r="Y925" i="11"/>
  <c r="Y926" i="11"/>
  <c r="Y927" i="11"/>
  <c r="Y928" i="11"/>
  <c r="Y929" i="11"/>
  <c r="Y930" i="11"/>
  <c r="Y931" i="11"/>
  <c r="Y932" i="11"/>
  <c r="Y933" i="11"/>
  <c r="Y934" i="11"/>
  <c r="Y935" i="11"/>
  <c r="Y936" i="11"/>
  <c r="Y937" i="11"/>
  <c r="Y938" i="11"/>
  <c r="Y939" i="11"/>
  <c r="Y940" i="11"/>
  <c r="Y941" i="11"/>
  <c r="Y942" i="11"/>
  <c r="Y943" i="11"/>
  <c r="Y944" i="11"/>
  <c r="Y945" i="11"/>
  <c r="Y946" i="11"/>
  <c r="Y947" i="11"/>
  <c r="Y948" i="11"/>
  <c r="Y949" i="11"/>
  <c r="Y950" i="11"/>
  <c r="Y951" i="11"/>
  <c r="Y952" i="11"/>
  <c r="Y953" i="11"/>
  <c r="Y954" i="11"/>
  <c r="Y955" i="11"/>
  <c r="Y956" i="11"/>
  <c r="Y957" i="11"/>
  <c r="Y958" i="11"/>
  <c r="Y959" i="11"/>
  <c r="Y960" i="11"/>
  <c r="Y961" i="11"/>
  <c r="Y962" i="11"/>
  <c r="Y963" i="11"/>
  <c r="Y964" i="11"/>
  <c r="Y965" i="11"/>
  <c r="Y966" i="11"/>
  <c r="Y967" i="11"/>
  <c r="Y968" i="11"/>
  <c r="Y969" i="11"/>
  <c r="Y970" i="11"/>
  <c r="Y971" i="11"/>
  <c r="Y972" i="11"/>
  <c r="Y973" i="11"/>
  <c r="Y974" i="11"/>
  <c r="Y975" i="11"/>
  <c r="Y976" i="11"/>
  <c r="Y977" i="11"/>
  <c r="Y978" i="11"/>
  <c r="Y979" i="11"/>
  <c r="Y980" i="11"/>
  <c r="Y981" i="11"/>
  <c r="Y982" i="11"/>
  <c r="Y983" i="11"/>
  <c r="Y984" i="11"/>
  <c r="Y985" i="11"/>
  <c r="Y986" i="11"/>
  <c r="Y987" i="11"/>
  <c r="Y988" i="11"/>
  <c r="Y989" i="11"/>
  <c r="Y990" i="11"/>
  <c r="Y991" i="11"/>
  <c r="Y992" i="11"/>
  <c r="Y993" i="11"/>
  <c r="Y994" i="11"/>
  <c r="Y995" i="11"/>
  <c r="Y996" i="11"/>
  <c r="Y997" i="11"/>
  <c r="Y998" i="11"/>
  <c r="Y999" i="11"/>
  <c r="Y1000" i="11"/>
  <c r="Y1001" i="11"/>
  <c r="Y1002" i="11"/>
  <c r="Y1003" i="11"/>
  <c r="Y1004" i="11"/>
  <c r="Y1005" i="11"/>
  <c r="Y1006" i="11"/>
  <c r="Y1007" i="11"/>
  <c r="Y1008" i="11"/>
  <c r="Y1009" i="11"/>
  <c r="Y1010" i="11"/>
  <c r="Y1011" i="11"/>
  <c r="Y1012" i="11"/>
  <c r="Y1013" i="11"/>
  <c r="Y1014" i="11"/>
  <c r="Y1015" i="11"/>
  <c r="Y1016" i="11"/>
  <c r="Y1017" i="11"/>
  <c r="Y1018" i="11"/>
  <c r="Y1019" i="11"/>
  <c r="Y1020" i="11"/>
  <c r="Y1021" i="11"/>
  <c r="Y1022" i="11"/>
  <c r="Y1023" i="11"/>
  <c r="Y1024" i="11"/>
  <c r="Y1025" i="11"/>
  <c r="Y1026" i="11"/>
  <c r="Y1027" i="11"/>
  <c r="Y1028" i="11"/>
  <c r="Y1029" i="11"/>
  <c r="Y1030" i="11"/>
  <c r="Y1031" i="11"/>
  <c r="Y1032" i="11"/>
  <c r="Y1033" i="11"/>
  <c r="Y1034" i="11"/>
  <c r="Y1035" i="11"/>
  <c r="Y1036" i="11"/>
  <c r="Y1037" i="11"/>
  <c r="Y1038" i="11"/>
  <c r="Y1039" i="11"/>
  <c r="Y1040" i="11"/>
  <c r="Y1041" i="11"/>
  <c r="Y1042" i="11"/>
  <c r="Y1043" i="11"/>
  <c r="Y1044" i="11"/>
  <c r="Y1045" i="11"/>
  <c r="Y1046" i="11"/>
  <c r="Y1047" i="11"/>
  <c r="Y1048" i="11"/>
  <c r="Y1049" i="11"/>
  <c r="Y1050" i="11"/>
  <c r="Y1051" i="11"/>
  <c r="Y1052" i="11"/>
  <c r="Y1053" i="11"/>
  <c r="Y1054" i="11"/>
  <c r="Y1055" i="11"/>
  <c r="Y1056" i="11"/>
  <c r="Y1057" i="11"/>
  <c r="Y1058" i="11"/>
  <c r="Y1059" i="11"/>
  <c r="Y1060" i="11"/>
  <c r="Y1061" i="11"/>
  <c r="Y1062" i="11"/>
  <c r="Y1063" i="11"/>
  <c r="Y1064" i="11"/>
  <c r="Y1065" i="11"/>
  <c r="Y1066" i="11"/>
  <c r="Y1067" i="11"/>
  <c r="Y1068" i="11"/>
  <c r="Y1069" i="11"/>
  <c r="Y1070" i="11"/>
  <c r="Y1071" i="11"/>
  <c r="Y1072" i="11"/>
  <c r="Y1073" i="11"/>
  <c r="Y1074" i="11"/>
  <c r="Y1075" i="11"/>
  <c r="Y1076" i="11"/>
  <c r="Y1077" i="11"/>
  <c r="Y1078" i="11"/>
  <c r="Y1079" i="11"/>
  <c r="Y1080" i="11"/>
  <c r="Y1081" i="11"/>
  <c r="Y1082" i="11"/>
  <c r="Y1083" i="11"/>
  <c r="Y1084" i="11"/>
  <c r="Y1085" i="11"/>
  <c r="Y1086" i="11"/>
  <c r="Y1087" i="11"/>
  <c r="Y1088" i="11"/>
  <c r="Y1089" i="11"/>
  <c r="Y1090" i="11"/>
  <c r="Y1091" i="11"/>
  <c r="Y1092" i="11"/>
  <c r="Y1093" i="11"/>
  <c r="Y1094" i="11"/>
  <c r="Y1095" i="11"/>
  <c r="Y1096" i="11"/>
  <c r="Y1097" i="11"/>
  <c r="Y1098" i="11"/>
  <c r="Y1099" i="11"/>
  <c r="Y1100" i="11"/>
  <c r="Y1101" i="11"/>
  <c r="Y1102" i="11"/>
  <c r="Y1103" i="11"/>
  <c r="Y1104" i="11"/>
  <c r="Y1105" i="11"/>
  <c r="Y1106" i="11"/>
  <c r="Y1107" i="11"/>
  <c r="Y1108" i="11"/>
  <c r="Y1109" i="11"/>
  <c r="Y1110" i="11"/>
  <c r="Y1111" i="11"/>
  <c r="Y1112" i="11"/>
  <c r="Y1113" i="11"/>
  <c r="Y1114" i="11"/>
  <c r="Y1115" i="11"/>
  <c r="Y1116" i="11"/>
  <c r="Y1117" i="11"/>
  <c r="Y1118" i="11"/>
  <c r="Y1119" i="11"/>
  <c r="Y1120" i="11"/>
  <c r="Y1121" i="11"/>
  <c r="Y1122" i="11"/>
  <c r="Y1123" i="11"/>
  <c r="Y1124" i="11"/>
  <c r="Y1125" i="11"/>
  <c r="Y1126" i="11"/>
  <c r="Y1127" i="11"/>
  <c r="Y1128" i="11"/>
  <c r="Y1129" i="11"/>
  <c r="Y1130" i="11"/>
  <c r="Y1131" i="11"/>
  <c r="Y1132" i="11"/>
  <c r="Y1133" i="11"/>
  <c r="Y1134" i="11"/>
  <c r="Y1135" i="11"/>
  <c r="Y1136" i="11"/>
  <c r="Y1137" i="11"/>
  <c r="Y1138" i="11"/>
  <c r="Y1139" i="11"/>
  <c r="Y1140" i="11"/>
  <c r="Y1141" i="11"/>
  <c r="Y1142" i="11"/>
  <c r="Y1143" i="11"/>
  <c r="Y1144" i="11"/>
  <c r="Y1145" i="11"/>
  <c r="Y1146" i="11"/>
  <c r="Y1147" i="11"/>
  <c r="Y1148" i="11"/>
  <c r="Y1149" i="11"/>
  <c r="Y1150" i="11"/>
  <c r="Y1151" i="11"/>
  <c r="Y1152" i="11"/>
  <c r="Y1153" i="11"/>
  <c r="Y1154" i="11"/>
  <c r="Y1155" i="11"/>
  <c r="Y1156" i="11"/>
  <c r="Y1157" i="11"/>
  <c r="Y1158" i="11"/>
  <c r="Y1159" i="11"/>
  <c r="Y1160" i="11"/>
  <c r="Y1161" i="11"/>
  <c r="Y1162" i="11"/>
  <c r="Y1163" i="11"/>
  <c r="Y1164" i="11"/>
  <c r="Y1165" i="11"/>
  <c r="Y1166" i="11"/>
  <c r="Y1167" i="11"/>
  <c r="Y1168" i="11"/>
  <c r="Y1169" i="11"/>
  <c r="Y1170" i="11"/>
  <c r="Y1171" i="11"/>
  <c r="Y1172" i="11"/>
  <c r="Y1173" i="11"/>
  <c r="Y1174" i="11"/>
  <c r="Y1175" i="11"/>
  <c r="Y1176" i="11"/>
  <c r="Y1177" i="11"/>
  <c r="Y1178" i="11"/>
  <c r="Y1179" i="11"/>
  <c r="Y1180" i="11"/>
  <c r="Y1181" i="11"/>
  <c r="Y1182" i="11"/>
  <c r="Y1183" i="11"/>
  <c r="Y1184" i="11"/>
  <c r="Y1185" i="11"/>
  <c r="Y1186" i="11"/>
  <c r="Y1187" i="11"/>
  <c r="Y1188" i="11"/>
  <c r="Y1189" i="11"/>
  <c r="Y1190" i="11"/>
  <c r="Y1191" i="11"/>
  <c r="Y1192" i="11"/>
  <c r="Y1193" i="11"/>
  <c r="Y1194" i="11"/>
  <c r="Y1195" i="11"/>
  <c r="Y1196" i="11"/>
  <c r="Y1197" i="11"/>
  <c r="Y1198" i="11"/>
  <c r="Y1199" i="11"/>
  <c r="Y1200" i="11"/>
  <c r="Y1201" i="11"/>
  <c r="Y1202" i="11"/>
  <c r="Y1203" i="11"/>
  <c r="Y1204" i="11"/>
  <c r="Y1205" i="11"/>
  <c r="Y1206" i="11"/>
  <c r="Y1207" i="11"/>
  <c r="Y1208" i="11"/>
  <c r="Y1209" i="11"/>
  <c r="Y1210" i="11"/>
  <c r="Y1211" i="11"/>
  <c r="Y1212" i="11"/>
  <c r="Y1213" i="11"/>
  <c r="Y1214" i="11"/>
  <c r="Y1215" i="11"/>
  <c r="Y1216" i="11"/>
  <c r="Y1217" i="11"/>
  <c r="Y1218" i="11"/>
  <c r="Y1219" i="11"/>
  <c r="Y1220" i="11"/>
  <c r="Y1221" i="11"/>
  <c r="Y1222" i="11"/>
  <c r="Y1223" i="11"/>
  <c r="Y1224" i="11"/>
  <c r="Y1225" i="11"/>
  <c r="Y1226" i="11"/>
  <c r="Y1227" i="11"/>
  <c r="Y1228" i="11"/>
  <c r="Y1229" i="11"/>
  <c r="Y1230" i="11"/>
  <c r="Y1231" i="11"/>
  <c r="Y1232" i="11"/>
  <c r="Y1233" i="11"/>
  <c r="Y1234" i="11"/>
  <c r="Y1235" i="11"/>
  <c r="Y1236" i="11"/>
  <c r="Y1237" i="11"/>
  <c r="Y1238" i="11"/>
  <c r="Y1239" i="11"/>
  <c r="Y1240" i="11"/>
  <c r="Y1241" i="11"/>
  <c r="Y1242" i="11"/>
  <c r="Y1243" i="11"/>
  <c r="Y1244" i="11"/>
  <c r="Y1245" i="11"/>
  <c r="Y1246" i="11"/>
  <c r="Y1247" i="11"/>
  <c r="Y1248" i="11"/>
  <c r="Y1249" i="11"/>
  <c r="Y1250" i="11"/>
  <c r="Y1251" i="11"/>
  <c r="Y1252" i="11"/>
  <c r="Y1253" i="11"/>
  <c r="Y1254" i="11"/>
  <c r="Y1255" i="11"/>
  <c r="Y1256" i="11"/>
  <c r="Y1257" i="11"/>
  <c r="Y1258" i="11"/>
  <c r="Y1259" i="11"/>
  <c r="Y1260" i="11"/>
  <c r="Y1261" i="11"/>
  <c r="Y1262" i="11"/>
  <c r="Y1263" i="11"/>
  <c r="Y1264" i="11"/>
  <c r="Y1265" i="11"/>
  <c r="Y1266" i="11"/>
  <c r="Y1267" i="11"/>
  <c r="Y1268" i="11"/>
  <c r="Y1269" i="11"/>
  <c r="Y1270" i="11"/>
  <c r="Y1271" i="11"/>
  <c r="Y1272" i="11"/>
  <c r="Y1273" i="11"/>
  <c r="Y1274" i="11"/>
  <c r="Y1275" i="11"/>
  <c r="Y1276" i="11"/>
  <c r="Y1277" i="11"/>
  <c r="Y1278" i="11"/>
  <c r="Y1279" i="11"/>
  <c r="Y1280" i="11"/>
  <c r="Y1281" i="11"/>
  <c r="Y1282" i="11"/>
  <c r="Y1283" i="11"/>
  <c r="Y1284" i="11"/>
  <c r="Y1285" i="11"/>
  <c r="Y1286" i="11"/>
  <c r="Y1287" i="11"/>
  <c r="Y1288" i="11"/>
  <c r="Y1289" i="11"/>
  <c r="Y1290" i="11"/>
  <c r="Y1291" i="11"/>
  <c r="Y1292" i="11"/>
  <c r="Y1293" i="11"/>
  <c r="Y1294" i="11"/>
  <c r="Y1295" i="11"/>
  <c r="Y1296" i="11"/>
  <c r="Y1297" i="11"/>
  <c r="Y1298" i="11"/>
  <c r="Y1299" i="11"/>
  <c r="Y1300" i="11"/>
  <c r="Y1301" i="11"/>
  <c r="Y1302" i="11"/>
  <c r="Y1303" i="11"/>
  <c r="Y1304" i="11"/>
  <c r="Y1305" i="11"/>
  <c r="Y1306" i="11"/>
  <c r="Y1307" i="11"/>
  <c r="Y1308" i="11"/>
  <c r="Y1309" i="11"/>
  <c r="Y1310" i="11"/>
  <c r="Y1311" i="11"/>
  <c r="Y1312" i="11"/>
  <c r="Y1313" i="11"/>
  <c r="Y1314" i="11"/>
  <c r="Y1315" i="11"/>
  <c r="Y1316" i="11"/>
  <c r="Y1317" i="11"/>
  <c r="Y1318" i="11"/>
  <c r="Y1319" i="11"/>
  <c r="Y1320" i="11"/>
  <c r="Y1321" i="11"/>
  <c r="Y1322" i="11"/>
  <c r="Y1323" i="11"/>
  <c r="Y1324" i="11"/>
  <c r="Y1325" i="11"/>
  <c r="Y1326" i="11"/>
  <c r="Y1327" i="11"/>
  <c r="Y1328" i="11"/>
  <c r="Y1329" i="11"/>
  <c r="Y1330" i="11"/>
  <c r="Y1331" i="11"/>
  <c r="Y1332" i="11"/>
  <c r="Y1333" i="11"/>
  <c r="Y1334" i="11"/>
  <c r="Y1335" i="11"/>
  <c r="Y1336" i="11"/>
  <c r="Y1337" i="11"/>
  <c r="Y1338" i="11"/>
  <c r="Y1339" i="11"/>
  <c r="Y1340" i="11"/>
  <c r="Y1341" i="11"/>
  <c r="Y1342" i="11"/>
  <c r="Y1343" i="11"/>
  <c r="Y1344" i="11"/>
  <c r="Y1345" i="11"/>
  <c r="Y1346" i="11"/>
  <c r="Y1347" i="11"/>
  <c r="Y1348" i="11"/>
  <c r="Y1349" i="11"/>
  <c r="Y1350" i="11"/>
  <c r="Y1351" i="11"/>
  <c r="Y1352" i="11"/>
  <c r="Y1353" i="11"/>
  <c r="Y1354" i="11"/>
  <c r="Y1355" i="11"/>
  <c r="Y1356" i="11"/>
  <c r="Y1357" i="11"/>
  <c r="Y1358" i="11"/>
  <c r="Y1359" i="11"/>
  <c r="Y1360" i="11"/>
  <c r="Y1361" i="11"/>
  <c r="Y1362" i="11"/>
  <c r="Y1363" i="11"/>
  <c r="Y1364" i="11"/>
  <c r="Y1365" i="11"/>
  <c r="Y1366" i="11"/>
  <c r="Y1367" i="11"/>
  <c r="Y1368" i="11"/>
  <c r="Y1369" i="11"/>
  <c r="Y1370" i="11"/>
  <c r="Y1371" i="11"/>
  <c r="Y1372" i="11"/>
  <c r="Y1373" i="11"/>
  <c r="Y1374" i="11"/>
  <c r="Y1375" i="11"/>
  <c r="Y1376" i="11"/>
  <c r="Y1377" i="11"/>
  <c r="Y1378" i="11"/>
  <c r="Y1379" i="11"/>
  <c r="Y1380" i="11"/>
  <c r="Y1381" i="11"/>
  <c r="Y1382" i="11"/>
  <c r="Y1383" i="11"/>
  <c r="Y1384" i="11"/>
  <c r="Y1385" i="11"/>
  <c r="Y1386" i="11"/>
  <c r="Y1387" i="11"/>
  <c r="Y1388" i="11"/>
  <c r="Y1389" i="11"/>
  <c r="Y1390" i="11"/>
  <c r="Y1391" i="11"/>
  <c r="Y1392" i="11"/>
  <c r="Y1393" i="11"/>
  <c r="Y1394" i="11"/>
  <c r="Y1395" i="11"/>
  <c r="Y1396" i="11"/>
  <c r="Y1397" i="11"/>
  <c r="Y1398" i="11"/>
  <c r="Y1399" i="11"/>
  <c r="Y1400" i="11"/>
  <c r="Y1401" i="11"/>
  <c r="Y1402" i="11"/>
  <c r="Y1403" i="11"/>
  <c r="Y1404" i="11"/>
  <c r="Y1405" i="11"/>
  <c r="Y1406" i="11"/>
  <c r="Y1407" i="11"/>
  <c r="Y1408" i="11"/>
  <c r="Y1409" i="11"/>
  <c r="Y1410" i="11"/>
  <c r="Y1411" i="11"/>
  <c r="Y1412" i="11"/>
  <c r="Y1413" i="11"/>
  <c r="Y1414" i="11"/>
  <c r="Y1415" i="11"/>
  <c r="Y1416" i="11"/>
  <c r="Y1417" i="11"/>
  <c r="Y1418" i="11"/>
  <c r="Y1419" i="11"/>
  <c r="Y1420" i="11"/>
  <c r="Y1421" i="11"/>
  <c r="Y1422" i="11"/>
  <c r="Y1423" i="11"/>
  <c r="Y1424" i="11"/>
  <c r="Y1425" i="11"/>
  <c r="Y1426" i="11"/>
  <c r="Y1427" i="11"/>
  <c r="Y1428" i="11"/>
  <c r="Y1429" i="11"/>
  <c r="Y1430" i="11"/>
  <c r="Y1431" i="11"/>
  <c r="Y1432" i="11"/>
  <c r="Y1433" i="11"/>
  <c r="Y1434" i="11"/>
  <c r="Y1435" i="11"/>
  <c r="Y1436" i="11"/>
  <c r="Y1437" i="11"/>
  <c r="Y1438" i="11"/>
  <c r="Y1439" i="11"/>
  <c r="Y1440" i="11"/>
  <c r="Y1441" i="11"/>
  <c r="Y1442" i="11"/>
  <c r="Y1443" i="11"/>
  <c r="Y1444" i="11"/>
  <c r="Y1445" i="11"/>
  <c r="Y1446" i="11"/>
  <c r="Y1447" i="11"/>
  <c r="Y1448" i="11"/>
  <c r="Y1449" i="11"/>
  <c r="Y1450" i="11"/>
  <c r="Y1451" i="11"/>
  <c r="Y1452" i="11"/>
  <c r="Y1453" i="11"/>
  <c r="Y1454" i="11"/>
  <c r="Y1455" i="11"/>
  <c r="Y1456" i="11"/>
  <c r="Y1457" i="11"/>
  <c r="Y1458" i="11"/>
  <c r="Y1459" i="11"/>
  <c r="Y1460" i="11"/>
  <c r="Y1461" i="11"/>
  <c r="Y1462" i="11"/>
  <c r="Y1463" i="11"/>
  <c r="Y1464" i="11"/>
  <c r="Y1465" i="11"/>
  <c r="Y1466" i="11"/>
  <c r="Y1467" i="11"/>
  <c r="Y1468" i="11"/>
  <c r="Y1469" i="11"/>
  <c r="Y1470" i="11"/>
  <c r="Y1471" i="11"/>
  <c r="Y1472" i="11"/>
  <c r="Y1473" i="11"/>
  <c r="Y1474" i="11"/>
  <c r="Y1475" i="11"/>
  <c r="Y1476" i="11"/>
  <c r="Y1477" i="11"/>
  <c r="Y1478" i="11"/>
  <c r="Y1479" i="11"/>
  <c r="Y1480" i="11"/>
  <c r="Y1481" i="11"/>
  <c r="Y1482" i="11"/>
  <c r="Y1483" i="11"/>
  <c r="Y1484" i="11"/>
  <c r="Y1485" i="11"/>
  <c r="Y1486" i="11"/>
  <c r="Y1487" i="11"/>
  <c r="Y1488" i="11"/>
  <c r="Y1489" i="11"/>
  <c r="Y1490" i="11"/>
  <c r="Y1491" i="11"/>
  <c r="Y1492" i="11"/>
  <c r="Y1493" i="11"/>
  <c r="Y1494" i="11"/>
  <c r="Y1495" i="11"/>
  <c r="Y1496" i="11"/>
  <c r="Y1497" i="11"/>
  <c r="Y1498" i="11"/>
  <c r="Y1499" i="11"/>
  <c r="Y1500" i="11"/>
  <c r="Y1501" i="11"/>
  <c r="Y1502" i="11"/>
  <c r="Y1503" i="11"/>
  <c r="Y1504" i="11"/>
  <c r="Y1505" i="11"/>
  <c r="Y1506" i="11"/>
  <c r="Y1507" i="11"/>
  <c r="Y1508" i="11"/>
  <c r="Y1509" i="11"/>
  <c r="Y1510" i="11"/>
  <c r="Y1511" i="11"/>
  <c r="Y1512" i="11"/>
  <c r="Y1513" i="11"/>
  <c r="Y1514" i="11"/>
  <c r="Y1515" i="11"/>
  <c r="Y1516" i="11"/>
  <c r="Y1517" i="11"/>
  <c r="Y1518" i="11"/>
  <c r="Y1519" i="11"/>
  <c r="Y1520" i="11"/>
  <c r="Y1521" i="11"/>
  <c r="Y1522" i="11"/>
  <c r="Y1523" i="11"/>
  <c r="Y1524" i="11"/>
  <c r="Y1525" i="11"/>
  <c r="Y1526" i="11"/>
  <c r="Y1527" i="11"/>
  <c r="Y1528" i="11"/>
  <c r="Y1529" i="11"/>
  <c r="Y1530" i="11"/>
  <c r="Y1531" i="11"/>
  <c r="Y1532" i="11"/>
  <c r="Y1533" i="11"/>
  <c r="Y1534" i="11"/>
  <c r="Y1535" i="11"/>
  <c r="Y1536" i="11"/>
  <c r="Y1537" i="11"/>
  <c r="Y1538" i="11"/>
  <c r="Y1539" i="11"/>
  <c r="Y1540" i="11"/>
  <c r="Y1541" i="11"/>
  <c r="Y1542" i="11"/>
  <c r="Y1543" i="11"/>
  <c r="Y1544" i="11"/>
  <c r="Y1545" i="11"/>
  <c r="Y1546" i="11"/>
  <c r="Y1547" i="11"/>
  <c r="Y1548" i="11"/>
  <c r="Y1549" i="11"/>
  <c r="Y1550" i="11"/>
  <c r="Y1551" i="11"/>
  <c r="Y1552" i="11"/>
  <c r="Y1553" i="11"/>
  <c r="Y1554" i="11"/>
  <c r="Y1555" i="11"/>
  <c r="Y1556" i="11"/>
  <c r="Y1557" i="11"/>
  <c r="Y1558" i="11"/>
  <c r="Y1559" i="11"/>
  <c r="Y1560" i="11"/>
  <c r="Y1561" i="11"/>
  <c r="Y1562" i="11"/>
  <c r="Y1563" i="11"/>
  <c r="Y1564" i="11"/>
  <c r="Y1565" i="11"/>
  <c r="Y1566" i="11"/>
  <c r="Y1567" i="11"/>
  <c r="Y1568" i="11"/>
  <c r="Y1569" i="11"/>
  <c r="Y1570" i="11"/>
  <c r="Y1571" i="11"/>
  <c r="Y1572" i="11"/>
  <c r="Y1573" i="11"/>
  <c r="Y1574" i="11"/>
  <c r="Y1575" i="11"/>
  <c r="Y1576" i="11"/>
  <c r="Y1577" i="11"/>
  <c r="Y1578" i="11"/>
  <c r="Y1579" i="11"/>
  <c r="Y1580" i="11"/>
  <c r="Y1581" i="11"/>
  <c r="Y1582" i="11"/>
  <c r="Y1583" i="11"/>
  <c r="Y1584" i="11"/>
  <c r="Y1585" i="11"/>
  <c r="Y1586" i="11"/>
  <c r="Y1587" i="11"/>
  <c r="Y1588" i="11"/>
  <c r="Y1589" i="11"/>
  <c r="Y1590" i="11"/>
  <c r="Y1591" i="11"/>
  <c r="Y1592" i="11"/>
  <c r="Y1593" i="11"/>
  <c r="Y1594" i="11"/>
  <c r="Y1595" i="11"/>
  <c r="Y1596" i="11"/>
  <c r="Y1597" i="11"/>
  <c r="Y1598" i="11"/>
  <c r="Y1599" i="11"/>
  <c r="Y1600" i="11"/>
  <c r="Y1601" i="11"/>
  <c r="Y1602" i="11"/>
  <c r="Y1603" i="11"/>
  <c r="Y1604" i="11"/>
  <c r="Y1605" i="11"/>
  <c r="Y1606" i="11"/>
  <c r="Y1607" i="11"/>
  <c r="Y1608" i="11"/>
  <c r="Y1609" i="11"/>
  <c r="Y1610" i="11"/>
  <c r="Y1611" i="11"/>
  <c r="Y1612" i="11"/>
  <c r="Y1613" i="11"/>
  <c r="Y1614" i="11"/>
  <c r="Y1615" i="11"/>
  <c r="Y1616" i="11"/>
  <c r="Y1617" i="11"/>
  <c r="Y1618" i="11"/>
  <c r="Y1619" i="11"/>
  <c r="Y1620" i="11"/>
  <c r="Y1621" i="11"/>
  <c r="Y1622" i="11"/>
  <c r="Y1623" i="11"/>
  <c r="Y1624" i="11"/>
  <c r="Y1625" i="11"/>
  <c r="Y1626" i="11"/>
  <c r="Y1627" i="11"/>
  <c r="Y1628" i="11"/>
  <c r="Y1629" i="11"/>
  <c r="Y1630" i="11"/>
  <c r="Y1631" i="11"/>
  <c r="Y1632" i="11"/>
  <c r="Y1633" i="11"/>
  <c r="Y1634" i="11"/>
  <c r="Y1635" i="11"/>
  <c r="Y1636" i="11"/>
  <c r="Y1637" i="11"/>
  <c r="Y1638" i="11"/>
  <c r="Y1639" i="11"/>
  <c r="Y1640" i="11"/>
  <c r="Y1641" i="11"/>
  <c r="Y1642" i="11"/>
  <c r="Y1643" i="11"/>
  <c r="Y1644" i="11"/>
  <c r="Y1645" i="11"/>
  <c r="Y1646" i="11"/>
  <c r="Y1647" i="11"/>
  <c r="Y1648" i="11"/>
  <c r="Y1649" i="11"/>
  <c r="Y1650" i="11"/>
  <c r="Y1651" i="11"/>
  <c r="Y1652" i="11"/>
  <c r="Y1653" i="11"/>
  <c r="Y1654" i="11"/>
  <c r="Y1655" i="11"/>
  <c r="Y1656" i="11"/>
  <c r="Y1657" i="11"/>
  <c r="Y1658" i="11"/>
  <c r="Y1659" i="11"/>
  <c r="Y1660" i="11"/>
  <c r="Y1661" i="11"/>
  <c r="Y1662" i="11"/>
  <c r="Y1663" i="11"/>
  <c r="Y1664" i="11"/>
  <c r="Y1665" i="11"/>
  <c r="Y1666" i="11"/>
  <c r="Y1667" i="11"/>
  <c r="Y1668" i="11"/>
  <c r="Y1669" i="11"/>
  <c r="Y1670" i="11"/>
  <c r="Y1671" i="11"/>
  <c r="Y1672" i="11"/>
  <c r="Y1673" i="11"/>
  <c r="Y1674" i="11"/>
  <c r="Y1675" i="11"/>
  <c r="Y1676" i="11"/>
  <c r="Y1677" i="11"/>
  <c r="Y1678" i="11"/>
  <c r="Y1679" i="11"/>
  <c r="Y1680" i="11"/>
  <c r="Y1681" i="11"/>
  <c r="Y1682" i="11"/>
  <c r="Y1683" i="11"/>
  <c r="Y1684" i="11"/>
  <c r="Y1685" i="11"/>
  <c r="Y1686" i="11"/>
  <c r="Y1687" i="11"/>
  <c r="Y1688" i="11"/>
  <c r="Y1689" i="11"/>
  <c r="Y1690" i="11"/>
  <c r="Y1691" i="11"/>
  <c r="Y1692" i="11"/>
  <c r="Y1693" i="11"/>
  <c r="Y1694" i="11"/>
  <c r="Y1695" i="11"/>
  <c r="Y1696" i="11"/>
  <c r="Y1697" i="11"/>
  <c r="Y1698" i="11"/>
  <c r="Y1699" i="11"/>
  <c r="Y1700" i="11"/>
  <c r="Y1701" i="11"/>
  <c r="Y1702" i="11"/>
  <c r="Y1703" i="11"/>
  <c r="Y1704" i="11"/>
  <c r="Y1705" i="11"/>
  <c r="Y1706" i="11"/>
  <c r="Y1707" i="11"/>
  <c r="Y1708" i="11"/>
  <c r="Y1709" i="11"/>
  <c r="Y1710" i="11"/>
  <c r="Y1711" i="11"/>
  <c r="Y1712" i="11"/>
  <c r="Y1713" i="11"/>
  <c r="Y1714" i="11"/>
  <c r="Y1715" i="11"/>
  <c r="Y1716" i="11"/>
  <c r="Y1717" i="11"/>
  <c r="Y1718" i="11"/>
  <c r="Y1719" i="11"/>
  <c r="Y1720" i="11"/>
  <c r="Y1721" i="11"/>
  <c r="Y1722" i="11"/>
  <c r="Y1723" i="11"/>
  <c r="Y1724" i="11"/>
  <c r="Y1725" i="11"/>
  <c r="Y1726" i="11"/>
  <c r="Y1727" i="11"/>
  <c r="Y1728" i="11"/>
  <c r="Y1729" i="11"/>
  <c r="Y1730" i="11"/>
  <c r="Y1731" i="11"/>
  <c r="Y1732" i="11"/>
  <c r="Y1733" i="11"/>
  <c r="Y1734" i="11"/>
  <c r="Y1735" i="11"/>
  <c r="Y1736" i="11"/>
  <c r="Y1737" i="11"/>
  <c r="Y1738" i="11"/>
  <c r="Y1739" i="11"/>
  <c r="Y1740" i="11"/>
  <c r="Y1741" i="11"/>
  <c r="Y1742" i="11"/>
  <c r="Y1743" i="11"/>
  <c r="Y1744" i="11"/>
  <c r="Y1745" i="11"/>
  <c r="Y1746" i="11"/>
  <c r="Y1747" i="11"/>
  <c r="Y1748" i="11"/>
  <c r="Y1749" i="11"/>
  <c r="Y1750" i="11"/>
  <c r="Y1751" i="11"/>
  <c r="Y1752" i="11"/>
  <c r="Y1753" i="11"/>
  <c r="Y1754" i="11"/>
  <c r="Y1755" i="11"/>
  <c r="Y1756" i="11"/>
  <c r="Y1757" i="11"/>
  <c r="Y1758" i="11"/>
  <c r="Y1759" i="11"/>
  <c r="Y1760" i="11"/>
  <c r="Y1761" i="11"/>
  <c r="Y1762" i="11"/>
  <c r="Y1763" i="11"/>
  <c r="Y1764" i="11"/>
  <c r="Y1765" i="11"/>
  <c r="Y1766" i="11"/>
  <c r="Y1767" i="11"/>
  <c r="Y1768" i="11"/>
  <c r="Y1769" i="11"/>
  <c r="Y1770" i="11"/>
  <c r="Y1771" i="11"/>
  <c r="Y1772" i="11"/>
  <c r="Y1773" i="11"/>
  <c r="Y1774" i="11"/>
  <c r="Y1775" i="11"/>
  <c r="Y1776" i="11"/>
  <c r="Y1777" i="11"/>
  <c r="Y1778" i="11"/>
  <c r="Y1779" i="11"/>
  <c r="Y1780" i="11"/>
  <c r="Y1781" i="11"/>
  <c r="Y1782" i="11"/>
  <c r="Y1783" i="11"/>
  <c r="Y1784" i="11"/>
  <c r="Y1785" i="11"/>
  <c r="Y1786" i="11"/>
  <c r="Y1787" i="11"/>
  <c r="Y1788" i="11"/>
  <c r="Y1789" i="11"/>
  <c r="Y1790" i="11"/>
  <c r="Y1791" i="11"/>
  <c r="Y1792" i="11"/>
  <c r="Y1793" i="11"/>
  <c r="Y1794" i="11"/>
  <c r="Y1795" i="11"/>
  <c r="Y1796" i="11"/>
  <c r="Y1797" i="11"/>
  <c r="Y1798" i="11"/>
  <c r="Y1799" i="11"/>
  <c r="Y1800" i="11"/>
  <c r="Y1801" i="11"/>
  <c r="Y1802" i="11"/>
  <c r="Y1803" i="11"/>
  <c r="Y1804" i="11"/>
  <c r="Y1805" i="11"/>
  <c r="Y1806" i="11"/>
  <c r="Y1807" i="11"/>
  <c r="Y1808" i="11"/>
  <c r="Y1809" i="11"/>
  <c r="Y1810" i="11"/>
  <c r="Y1811" i="11"/>
  <c r="Y1812" i="11"/>
  <c r="Y1813" i="11"/>
  <c r="Y1814" i="11"/>
  <c r="Y1815" i="11"/>
  <c r="Y1816" i="11"/>
  <c r="Y1817" i="11"/>
  <c r="Y1818" i="11"/>
  <c r="Y1819" i="11"/>
  <c r="Y1820" i="11"/>
  <c r="Y1821" i="11"/>
  <c r="Y1822" i="11"/>
  <c r="Y1823" i="11"/>
  <c r="Y1824" i="11"/>
  <c r="Y1825" i="11"/>
  <c r="Y1826" i="11"/>
  <c r="Y1827" i="11"/>
  <c r="Y1828" i="11"/>
  <c r="Y1829" i="11"/>
  <c r="Y1830" i="11"/>
  <c r="Y1831" i="11"/>
  <c r="Y1832" i="11"/>
  <c r="Y1833" i="11"/>
  <c r="Y1834" i="11"/>
  <c r="Y1835" i="11"/>
  <c r="Y1836" i="11"/>
  <c r="Y1837" i="11"/>
  <c r="Y1838" i="11"/>
  <c r="Y1839" i="11"/>
  <c r="Y1840" i="11"/>
  <c r="Y1841" i="11"/>
  <c r="Y1842" i="11"/>
  <c r="Y1843" i="11"/>
  <c r="Y1844" i="11"/>
  <c r="Y1845" i="11"/>
  <c r="Y1846" i="11"/>
  <c r="Y1847" i="11"/>
  <c r="Y1848" i="11"/>
  <c r="Y1849" i="11"/>
  <c r="Y1850" i="11"/>
  <c r="Y1851" i="11"/>
  <c r="Y1852" i="11"/>
  <c r="Y1853" i="11"/>
  <c r="Y1854" i="11"/>
  <c r="Y1855" i="11"/>
  <c r="Y1856" i="11"/>
  <c r="Y1857" i="11"/>
  <c r="Y1858" i="11"/>
  <c r="Y1859" i="11"/>
  <c r="Y1860" i="11"/>
  <c r="Y1861" i="11"/>
  <c r="Y1862" i="11"/>
  <c r="Y1863" i="11"/>
  <c r="Y1864" i="11"/>
  <c r="Y1865" i="11"/>
  <c r="Y1866" i="11"/>
  <c r="Y1867" i="11"/>
  <c r="Y1868" i="11"/>
  <c r="Y1869" i="11"/>
  <c r="Y1870" i="11"/>
  <c r="Y1871" i="11"/>
  <c r="Y1872" i="11"/>
  <c r="Y1873" i="11"/>
  <c r="Y1874" i="11"/>
  <c r="Y1875" i="11"/>
  <c r="Y1876" i="11"/>
  <c r="Y1877" i="11"/>
  <c r="Y1878" i="11"/>
  <c r="Y1879" i="11"/>
  <c r="Y1880" i="11"/>
  <c r="Y1881" i="11"/>
  <c r="Y1882" i="11"/>
  <c r="Y1883" i="11"/>
  <c r="Y1884" i="11"/>
  <c r="Y1885" i="11"/>
  <c r="Y1886" i="11"/>
  <c r="Y1887" i="11"/>
  <c r="Y1888" i="11"/>
  <c r="Y1889" i="11"/>
  <c r="Y1890" i="11"/>
  <c r="Y1891" i="11"/>
  <c r="Y1892" i="11"/>
  <c r="Y1893" i="11"/>
  <c r="Y1894" i="11"/>
  <c r="Y1895" i="11"/>
  <c r="Y1896" i="11"/>
  <c r="Y1897" i="11"/>
  <c r="Y1898" i="11"/>
  <c r="Y1899" i="11"/>
  <c r="Y1900" i="11"/>
  <c r="Y1901" i="11"/>
  <c r="Y1902" i="11"/>
  <c r="Y1903" i="11"/>
  <c r="Y1904" i="11"/>
  <c r="Y1905" i="11"/>
  <c r="Y1906" i="11"/>
  <c r="Y1907" i="11"/>
  <c r="Y1908" i="11"/>
  <c r="Y1909" i="11"/>
  <c r="Y1910" i="11"/>
  <c r="Y1911" i="11"/>
  <c r="Y1912" i="11"/>
  <c r="Y1913" i="11"/>
  <c r="Y1914" i="11"/>
  <c r="Y1915" i="11"/>
  <c r="Y1916" i="11"/>
  <c r="Y1917" i="11"/>
  <c r="Y1918" i="11"/>
  <c r="Y1919" i="11"/>
  <c r="Y1920" i="11"/>
  <c r="Y1921" i="11"/>
  <c r="Y1922" i="11"/>
  <c r="Y1923" i="11"/>
  <c r="Y1924" i="11"/>
  <c r="Y1925" i="11"/>
  <c r="Y1926" i="11"/>
  <c r="Y1927" i="11"/>
  <c r="Y1928" i="11"/>
  <c r="Y1929" i="11"/>
  <c r="Y1930" i="11"/>
  <c r="Y1931" i="11"/>
  <c r="Y1932" i="11"/>
  <c r="Y1933" i="11"/>
  <c r="Y1934" i="11"/>
  <c r="Y1935" i="11"/>
  <c r="Y1936" i="11"/>
  <c r="Y1937" i="11"/>
  <c r="Y1938" i="11"/>
  <c r="Y1939" i="11"/>
  <c r="Y1940" i="11"/>
  <c r="Y1941" i="11"/>
  <c r="Y1942" i="11"/>
  <c r="Y1943" i="11"/>
  <c r="Y1944" i="11"/>
  <c r="Y1945" i="11"/>
  <c r="Y1946" i="11"/>
  <c r="Y1947" i="11"/>
  <c r="Y1948" i="11"/>
  <c r="Y1949" i="11"/>
  <c r="Y1950" i="11"/>
  <c r="Y1951" i="11"/>
  <c r="Y1952" i="11"/>
  <c r="Y1953" i="11"/>
  <c r="Y1954" i="11"/>
  <c r="Y1955" i="11"/>
  <c r="Y1956" i="11"/>
  <c r="Y1957" i="11"/>
  <c r="Y1958" i="11"/>
  <c r="Y1959" i="11"/>
  <c r="Y1960" i="11"/>
  <c r="Y1961" i="11"/>
  <c r="Y1962" i="11"/>
  <c r="Y1963" i="11"/>
  <c r="Y1964" i="11"/>
  <c r="Y1965" i="11"/>
  <c r="Y1966" i="11"/>
  <c r="Y1967" i="11"/>
  <c r="Y1968" i="11"/>
  <c r="Y1969" i="11"/>
  <c r="Y1970" i="11"/>
  <c r="Y1971" i="11"/>
  <c r="Y1972" i="11"/>
  <c r="Y1973" i="11"/>
  <c r="Y1974" i="11"/>
  <c r="Y1975" i="11"/>
  <c r="Y1976" i="11"/>
  <c r="Y1977" i="11"/>
  <c r="Y1978" i="11"/>
  <c r="Y1979" i="11"/>
  <c r="Y1980" i="11"/>
  <c r="Y1981" i="11"/>
  <c r="Y1982" i="11"/>
  <c r="Y1983" i="11"/>
  <c r="Y1984" i="11"/>
  <c r="Y1985" i="11"/>
  <c r="Y1986" i="11"/>
  <c r="Y1987" i="11"/>
  <c r="Y1988" i="11"/>
  <c r="Y1989" i="11"/>
  <c r="Y1990" i="11"/>
  <c r="Y1991" i="11"/>
  <c r="Y1992" i="11"/>
  <c r="Y1993" i="11"/>
  <c r="Y1994" i="11"/>
  <c r="Y1995" i="11"/>
  <c r="Y1996" i="11"/>
  <c r="Y1997" i="11"/>
  <c r="Y1998" i="11"/>
  <c r="Y1999" i="11"/>
  <c r="Y2000" i="11"/>
  <c r="Y2" i="11"/>
  <c r="K2" i="16" l="1"/>
  <c r="M2" i="16" s="1"/>
  <c r="B2" i="16"/>
  <c r="D8" i="17" l="1"/>
  <c r="A146" i="20" l="1"/>
  <c r="A147" i="20"/>
  <c r="A148" i="20"/>
  <c r="A149" i="20"/>
  <c r="A150" i="20"/>
  <c r="A151" i="20"/>
  <c r="A152" i="20"/>
  <c r="A153" i="20"/>
  <c r="A154" i="20"/>
  <c r="A155" i="20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104" i="20"/>
  <c r="A105" i="20"/>
  <c r="A106" i="20"/>
  <c r="A107" i="20"/>
  <c r="A108" i="20"/>
  <c r="A109" i="20"/>
  <c r="A110" i="20"/>
  <c r="A111" i="20"/>
  <c r="A112" i="20"/>
  <c r="A113" i="20"/>
  <c r="A114" i="20"/>
  <c r="A115" i="20"/>
  <c r="A116" i="20"/>
  <c r="A117" i="20"/>
  <c r="A118" i="20"/>
  <c r="A119" i="20"/>
  <c r="A120" i="20"/>
  <c r="A121" i="20"/>
  <c r="A122" i="20"/>
  <c r="A123" i="20"/>
  <c r="A124" i="20"/>
  <c r="A125" i="20"/>
  <c r="A126" i="20"/>
  <c r="A127" i="20"/>
  <c r="A128" i="20"/>
  <c r="A129" i="20"/>
  <c r="A130" i="20"/>
  <c r="A131" i="20"/>
  <c r="A132" i="20"/>
  <c r="A133" i="20"/>
  <c r="A134" i="20"/>
  <c r="A135" i="20"/>
  <c r="A136" i="20"/>
  <c r="A137" i="20"/>
  <c r="A138" i="20"/>
  <c r="A139" i="20"/>
  <c r="A140" i="20"/>
  <c r="A141" i="20"/>
  <c r="A142" i="20"/>
  <c r="A143" i="20"/>
  <c r="A144" i="20"/>
  <c r="A145" i="20"/>
  <c r="AZ6" i="17" l="1"/>
  <c r="AZ7" i="17"/>
  <c r="AZ8" i="17"/>
  <c r="AZ9" i="17"/>
  <c r="AZ10" i="17"/>
  <c r="AZ11" i="17"/>
  <c r="AZ12" i="17"/>
  <c r="AZ13" i="17"/>
  <c r="AZ14" i="17"/>
  <c r="AZ15" i="17"/>
  <c r="AZ5" i="17"/>
  <c r="X1" i="16" l="1"/>
  <c r="W1" i="16"/>
  <c r="A679" i="11"/>
  <c r="Z679" i="11" s="1"/>
  <c r="A680" i="11"/>
  <c r="A681" i="11"/>
  <c r="A682" i="11"/>
  <c r="A683" i="11"/>
  <c r="A684" i="11"/>
  <c r="Z684" i="11" s="1"/>
  <c r="A685" i="11"/>
  <c r="A686" i="11"/>
  <c r="A687" i="11"/>
  <c r="Z687" i="11" s="1"/>
  <c r="A688" i="11"/>
  <c r="A689" i="11"/>
  <c r="Z689" i="11" s="1"/>
  <c r="A690" i="11"/>
  <c r="A691" i="11"/>
  <c r="A692" i="11"/>
  <c r="A693" i="11"/>
  <c r="A694" i="11"/>
  <c r="A695" i="11"/>
  <c r="Z695" i="11" s="1"/>
  <c r="A696" i="11"/>
  <c r="A697" i="11"/>
  <c r="A698" i="11"/>
  <c r="A699" i="11"/>
  <c r="Z699" i="11" s="1"/>
  <c r="A700" i="11"/>
  <c r="A701" i="11"/>
  <c r="A702" i="11"/>
  <c r="A703" i="11"/>
  <c r="Z703" i="11" s="1"/>
  <c r="A704" i="11"/>
  <c r="A705" i="11"/>
  <c r="A706" i="11"/>
  <c r="A707" i="11"/>
  <c r="Z707" i="11" s="1"/>
  <c r="A708" i="11"/>
  <c r="A709" i="11"/>
  <c r="A710" i="11"/>
  <c r="Z710" i="11" s="1"/>
  <c r="A711" i="11"/>
  <c r="Z711" i="11" s="1"/>
  <c r="A712" i="11"/>
  <c r="Z712" i="11" s="1"/>
  <c r="A713" i="11"/>
  <c r="Z713" i="11" s="1"/>
  <c r="A714" i="11"/>
  <c r="Z714" i="11" s="1"/>
  <c r="A715" i="11"/>
  <c r="Z715" i="11" s="1"/>
  <c r="A716" i="11"/>
  <c r="Z716" i="11" s="1"/>
  <c r="A717" i="11"/>
  <c r="Z717" i="11" s="1"/>
  <c r="A718" i="11"/>
  <c r="Z718" i="11" s="1"/>
  <c r="A719" i="11"/>
  <c r="Z719" i="11" s="1"/>
  <c r="A720" i="11"/>
  <c r="Z720" i="11" s="1"/>
  <c r="A721" i="11"/>
  <c r="Z721" i="11" s="1"/>
  <c r="A722" i="11"/>
  <c r="Z722" i="11" s="1"/>
  <c r="A723" i="11"/>
  <c r="Z723" i="11" s="1"/>
  <c r="A724" i="11"/>
  <c r="Z724" i="11" s="1"/>
  <c r="A725" i="11"/>
  <c r="Z725" i="11" s="1"/>
  <c r="A726" i="11"/>
  <c r="Z726" i="11" s="1"/>
  <c r="A727" i="11"/>
  <c r="Z727" i="11" s="1"/>
  <c r="A728" i="11"/>
  <c r="Z728" i="11" s="1"/>
  <c r="A729" i="11"/>
  <c r="Z729" i="11" s="1"/>
  <c r="A730" i="11"/>
  <c r="Z730" i="11" s="1"/>
  <c r="A731" i="11"/>
  <c r="Z731" i="11" s="1"/>
  <c r="A732" i="11"/>
  <c r="Z732" i="11" s="1"/>
  <c r="A733" i="11"/>
  <c r="Z733" i="11" s="1"/>
  <c r="A734" i="11"/>
  <c r="Z734" i="11" s="1"/>
  <c r="A735" i="11"/>
  <c r="Z735" i="11" s="1"/>
  <c r="A736" i="11"/>
  <c r="Z736" i="11" s="1"/>
  <c r="A737" i="11"/>
  <c r="Z737" i="11" s="1"/>
  <c r="A738" i="11"/>
  <c r="Z738" i="11" s="1"/>
  <c r="A739" i="11"/>
  <c r="A740" i="11"/>
  <c r="A741" i="11"/>
  <c r="Z741" i="11" s="1"/>
  <c r="A742" i="11"/>
  <c r="Z742" i="11" s="1"/>
  <c r="A743" i="11"/>
  <c r="Z743" i="11" s="1"/>
  <c r="A744" i="11"/>
  <c r="Z744" i="11" s="1"/>
  <c r="A745" i="11"/>
  <c r="Z745" i="11" s="1"/>
  <c r="A746" i="11"/>
  <c r="Z746" i="11" s="1"/>
  <c r="A747" i="11"/>
  <c r="Z747" i="11" s="1"/>
  <c r="A748" i="11"/>
  <c r="Z748" i="11" s="1"/>
  <c r="A749" i="11"/>
  <c r="Z749" i="11" s="1"/>
  <c r="A750" i="11"/>
  <c r="Z750" i="11" s="1"/>
  <c r="A751" i="11"/>
  <c r="Z751" i="11" s="1"/>
  <c r="A752" i="11"/>
  <c r="Z752" i="11" s="1"/>
  <c r="A753" i="11"/>
  <c r="Z753" i="11" s="1"/>
  <c r="A754" i="11"/>
  <c r="Z754" i="11" s="1"/>
  <c r="A755" i="11"/>
  <c r="Z755" i="11" s="1"/>
  <c r="A756" i="11"/>
  <c r="A757" i="11"/>
  <c r="Z757" i="11" s="1"/>
  <c r="A758" i="11"/>
  <c r="Z758" i="11" s="1"/>
  <c r="A759" i="11"/>
  <c r="Z759" i="11" s="1"/>
  <c r="A760" i="11"/>
  <c r="A761" i="11"/>
  <c r="Z761" i="11" s="1"/>
  <c r="A762" i="11"/>
  <c r="Z762" i="11" s="1"/>
  <c r="A763" i="11"/>
  <c r="A764" i="11"/>
  <c r="Z764" i="11" s="1"/>
  <c r="A765" i="11"/>
  <c r="Z765" i="11" s="1"/>
  <c r="A766" i="11"/>
  <c r="Z766" i="11" s="1"/>
  <c r="A767" i="11"/>
  <c r="Z767" i="11" s="1"/>
  <c r="A768" i="11"/>
  <c r="Z768" i="11" s="1"/>
  <c r="A769" i="11"/>
  <c r="Z769" i="11" s="1"/>
  <c r="A770" i="11"/>
  <c r="Z770" i="11" s="1"/>
  <c r="A771" i="11"/>
  <c r="Z771" i="11" s="1"/>
  <c r="A772" i="11"/>
  <c r="A773" i="11"/>
  <c r="Z773" i="11" s="1"/>
  <c r="A774" i="11"/>
  <c r="Z774" i="11" s="1"/>
  <c r="A775" i="11"/>
  <c r="Z775" i="11" s="1"/>
  <c r="A776" i="11"/>
  <c r="Z776" i="11" s="1"/>
  <c r="A777" i="11"/>
  <c r="Z777" i="11" s="1"/>
  <c r="A778" i="11"/>
  <c r="Z778" i="11" s="1"/>
  <c r="A779" i="11"/>
  <c r="Z779" i="11" s="1"/>
  <c r="A780" i="11"/>
  <c r="Z780" i="11" s="1"/>
  <c r="A781" i="11"/>
  <c r="Z781" i="11" s="1"/>
  <c r="A782" i="11"/>
  <c r="Z782" i="11" s="1"/>
  <c r="A783" i="11"/>
  <c r="Z783" i="11" s="1"/>
  <c r="A784" i="11"/>
  <c r="Z784" i="11" s="1"/>
  <c r="A785" i="11"/>
  <c r="Z785" i="11" s="1"/>
  <c r="A786" i="11"/>
  <c r="Z786" i="11" s="1"/>
  <c r="A787" i="11"/>
  <c r="Z787" i="11" s="1"/>
  <c r="A788" i="11"/>
  <c r="Z788" i="11" s="1"/>
  <c r="A789" i="11"/>
  <c r="Z789" i="11" s="1"/>
  <c r="A790" i="11"/>
  <c r="Z790" i="11" s="1"/>
  <c r="A791" i="11"/>
  <c r="Z791" i="11" s="1"/>
  <c r="A792" i="11"/>
  <c r="Z792" i="11" s="1"/>
  <c r="A793" i="11"/>
  <c r="Z793" i="11" s="1"/>
  <c r="A794" i="11"/>
  <c r="Z794" i="11" s="1"/>
  <c r="A795" i="11"/>
  <c r="Z795" i="11" s="1"/>
  <c r="A796" i="11"/>
  <c r="Z796" i="11" s="1"/>
  <c r="A797" i="11"/>
  <c r="Z797" i="11" s="1"/>
  <c r="A798" i="11"/>
  <c r="Z798" i="11" s="1"/>
  <c r="A799" i="11"/>
  <c r="Z799" i="11" s="1"/>
  <c r="A800" i="11"/>
  <c r="Z800" i="11" s="1"/>
  <c r="A801" i="11"/>
  <c r="Z801" i="11" s="1"/>
  <c r="A802" i="11"/>
  <c r="Z802" i="11" s="1"/>
  <c r="A803" i="11"/>
  <c r="A804" i="11"/>
  <c r="A805" i="11"/>
  <c r="Z805" i="11" s="1"/>
  <c r="A806" i="11"/>
  <c r="Z806" i="11" s="1"/>
  <c r="A807" i="11"/>
  <c r="Z807" i="11" s="1"/>
  <c r="A808" i="11"/>
  <c r="Z808" i="11" s="1"/>
  <c r="A809" i="11"/>
  <c r="Z809" i="11" s="1"/>
  <c r="A810" i="11"/>
  <c r="Z810" i="11" s="1"/>
  <c r="A811" i="11"/>
  <c r="Z811" i="11" s="1"/>
  <c r="A812" i="11"/>
  <c r="Z812" i="11" s="1"/>
  <c r="A813" i="11"/>
  <c r="Z813" i="11" s="1"/>
  <c r="A814" i="11"/>
  <c r="Z814" i="11" s="1"/>
  <c r="A815" i="11"/>
  <c r="Z815" i="11" s="1"/>
  <c r="A816" i="11"/>
  <c r="Z816" i="11" s="1"/>
  <c r="A817" i="11"/>
  <c r="Z817" i="11" s="1"/>
  <c r="A818" i="11"/>
  <c r="Z818" i="11" s="1"/>
  <c r="A819" i="11"/>
  <c r="Z819" i="11" s="1"/>
  <c r="A820" i="11"/>
  <c r="A821" i="11"/>
  <c r="Z821" i="11" s="1"/>
  <c r="A822" i="11"/>
  <c r="Z822" i="11" s="1"/>
  <c r="A823" i="11"/>
  <c r="Z823" i="11" s="1"/>
  <c r="A824" i="11"/>
  <c r="Z824" i="11" s="1"/>
  <c r="A825" i="11"/>
  <c r="Z825" i="11" s="1"/>
  <c r="A826" i="11"/>
  <c r="Z826" i="11" s="1"/>
  <c r="A827" i="11"/>
  <c r="Z827" i="11" s="1"/>
  <c r="A828" i="11"/>
  <c r="Z828" i="11" s="1"/>
  <c r="A829" i="11"/>
  <c r="Z829" i="11" s="1"/>
  <c r="A830" i="11"/>
  <c r="Z830" i="11" s="1"/>
  <c r="A831" i="11"/>
  <c r="A832" i="11"/>
  <c r="A833" i="11"/>
  <c r="Z833" i="11" s="1"/>
  <c r="A834" i="11"/>
  <c r="Z834" i="11" s="1"/>
  <c r="A835" i="11"/>
  <c r="Z835" i="11" s="1"/>
  <c r="A836" i="11"/>
  <c r="Z836" i="11" s="1"/>
  <c r="A837" i="11"/>
  <c r="Z837" i="11" s="1"/>
  <c r="A838" i="11"/>
  <c r="Z838" i="11" s="1"/>
  <c r="A839" i="11"/>
  <c r="Z839" i="11" s="1"/>
  <c r="A840" i="11"/>
  <c r="Z840" i="11" s="1"/>
  <c r="A841" i="11"/>
  <c r="Z841" i="11" s="1"/>
  <c r="A842" i="11"/>
  <c r="Z842" i="11" s="1"/>
  <c r="A843" i="11"/>
  <c r="Z843" i="11" s="1"/>
  <c r="A844" i="11"/>
  <c r="Z844" i="11" s="1"/>
  <c r="A845" i="11"/>
  <c r="Z845" i="11" s="1"/>
  <c r="A846" i="11"/>
  <c r="Z846" i="11" s="1"/>
  <c r="A847" i="11"/>
  <c r="Z847" i="11" s="1"/>
  <c r="A848" i="11"/>
  <c r="A849" i="11"/>
  <c r="Z849" i="11" s="1"/>
  <c r="A850" i="11"/>
  <c r="Z850" i="11" s="1"/>
  <c r="A851" i="11"/>
  <c r="Z851" i="11" s="1"/>
  <c r="A852" i="11"/>
  <c r="Z852" i="11" s="1"/>
  <c r="A853" i="11"/>
  <c r="Z853" i="11" s="1"/>
  <c r="A854" i="11"/>
  <c r="Z854" i="11" s="1"/>
  <c r="A855" i="11"/>
  <c r="A856" i="11"/>
  <c r="Z856" i="11" s="1"/>
  <c r="A857" i="11"/>
  <c r="Z857" i="11" s="1"/>
  <c r="A858" i="11"/>
  <c r="Z858" i="11" s="1"/>
  <c r="A859" i="11"/>
  <c r="Z859" i="11" s="1"/>
  <c r="A860" i="11"/>
  <c r="Z860" i="11" s="1"/>
  <c r="A861" i="11"/>
  <c r="Z861" i="11" s="1"/>
  <c r="A862" i="11"/>
  <c r="Z862" i="11" s="1"/>
  <c r="A863" i="11"/>
  <c r="Z863" i="11" s="1"/>
  <c r="A864" i="11"/>
  <c r="Z864" i="11" s="1"/>
  <c r="A865" i="11"/>
  <c r="Z865" i="11" s="1"/>
  <c r="A866" i="11"/>
  <c r="Z866" i="11" s="1"/>
  <c r="A867" i="11"/>
  <c r="Z867" i="11" s="1"/>
  <c r="A868" i="11"/>
  <c r="Z868" i="11" s="1"/>
  <c r="A869" i="11"/>
  <c r="Z869" i="11" s="1"/>
  <c r="A870" i="11"/>
  <c r="Z870" i="11" s="1"/>
  <c r="A871" i="11"/>
  <c r="Z871" i="11" s="1"/>
  <c r="A872" i="11"/>
  <c r="Z872" i="11" s="1"/>
  <c r="A873" i="11"/>
  <c r="Z873" i="11" s="1"/>
  <c r="A874" i="11"/>
  <c r="Z874" i="11" s="1"/>
  <c r="A875" i="11"/>
  <c r="Z875" i="11" s="1"/>
  <c r="A876" i="11"/>
  <c r="A877" i="11"/>
  <c r="Z877" i="11" s="1"/>
  <c r="A878" i="11"/>
  <c r="Z878" i="11" s="1"/>
  <c r="A879" i="11"/>
  <c r="Z879" i="11" s="1"/>
  <c r="A880" i="11"/>
  <c r="Z880" i="11" s="1"/>
  <c r="A881" i="11"/>
  <c r="Z881" i="11" s="1"/>
  <c r="A882" i="11"/>
  <c r="Z882" i="11" s="1"/>
  <c r="A883" i="11"/>
  <c r="Z883" i="11" s="1"/>
  <c r="A884" i="11"/>
  <c r="Z884" i="11" s="1"/>
  <c r="A885" i="11"/>
  <c r="Z885" i="11" s="1"/>
  <c r="A886" i="11"/>
  <c r="Z886" i="11" s="1"/>
  <c r="A887" i="11"/>
  <c r="A888" i="11"/>
  <c r="Z888" i="11" s="1"/>
  <c r="A889" i="11"/>
  <c r="Z889" i="11" s="1"/>
  <c r="A890" i="11"/>
  <c r="Z890" i="11" s="1"/>
  <c r="A891" i="11"/>
  <c r="Z891" i="11" s="1"/>
  <c r="A892" i="11"/>
  <c r="A893" i="11"/>
  <c r="Z893" i="11" s="1"/>
  <c r="A894" i="11"/>
  <c r="Z894" i="11" s="1"/>
  <c r="A895" i="11"/>
  <c r="Z895" i="11" s="1"/>
  <c r="A896" i="11"/>
  <c r="Z896" i="11" s="1"/>
  <c r="A897" i="11"/>
  <c r="Z897" i="11" s="1"/>
  <c r="A898" i="11"/>
  <c r="Z898" i="11" s="1"/>
  <c r="A899" i="11"/>
  <c r="Z899" i="11" s="1"/>
  <c r="A900" i="11"/>
  <c r="Z900" i="11" s="1"/>
  <c r="A901" i="11"/>
  <c r="Z901" i="11" s="1"/>
  <c r="A902" i="11"/>
  <c r="Z902" i="11" s="1"/>
  <c r="A903" i="11"/>
  <c r="Z903" i="11" s="1"/>
  <c r="A904" i="11"/>
  <c r="A905" i="11"/>
  <c r="Z905" i="11" s="1"/>
  <c r="A906" i="11"/>
  <c r="Z906" i="11" s="1"/>
  <c r="A907" i="11"/>
  <c r="Z907" i="11" s="1"/>
  <c r="A908" i="11"/>
  <c r="Z908" i="11" s="1"/>
  <c r="A909" i="11"/>
  <c r="Z909" i="11" s="1"/>
  <c r="A910" i="11"/>
  <c r="Z910" i="11" s="1"/>
  <c r="A911" i="11"/>
  <c r="Z911" i="11" s="1"/>
  <c r="A912" i="11"/>
  <c r="Z912" i="11" s="1"/>
  <c r="A913" i="11"/>
  <c r="Z913" i="11" s="1"/>
  <c r="A914" i="11"/>
  <c r="Z914" i="11" s="1"/>
  <c r="A915" i="11"/>
  <c r="Z915" i="11" s="1"/>
  <c r="A916" i="11"/>
  <c r="Z916" i="11" s="1"/>
  <c r="A917" i="11"/>
  <c r="Z917" i="11" s="1"/>
  <c r="A918" i="11"/>
  <c r="Z918" i="11" s="1"/>
  <c r="A919" i="11"/>
  <c r="Z919" i="11" s="1"/>
  <c r="A920" i="11"/>
  <c r="Z920" i="11" s="1"/>
  <c r="A921" i="11"/>
  <c r="Z921" i="11" s="1"/>
  <c r="A922" i="11"/>
  <c r="Z922" i="11" s="1"/>
  <c r="A923" i="11"/>
  <c r="Z923" i="11" s="1"/>
  <c r="A924" i="11"/>
  <c r="Z924" i="11" s="1"/>
  <c r="A925" i="11"/>
  <c r="Z925" i="11" s="1"/>
  <c r="A926" i="11"/>
  <c r="Z926" i="11" s="1"/>
  <c r="A927" i="11"/>
  <c r="Z927" i="11" s="1"/>
  <c r="A928" i="11"/>
  <c r="Z928" i="11" s="1"/>
  <c r="A929" i="11"/>
  <c r="Z929" i="11" s="1"/>
  <c r="A930" i="11"/>
  <c r="Z930" i="11" s="1"/>
  <c r="A931" i="11"/>
  <c r="Z931" i="11" s="1"/>
  <c r="A932" i="11"/>
  <c r="Z932" i="11" s="1"/>
  <c r="A933" i="11"/>
  <c r="Z933" i="11" s="1"/>
  <c r="A934" i="11"/>
  <c r="Z934" i="11" s="1"/>
  <c r="A935" i="11"/>
  <c r="Z935" i="11" s="1"/>
  <c r="A936" i="11"/>
  <c r="Z936" i="11" s="1"/>
  <c r="A937" i="11"/>
  <c r="Z937" i="11" s="1"/>
  <c r="A938" i="11"/>
  <c r="Z938" i="11" s="1"/>
  <c r="A939" i="11"/>
  <c r="Z939" i="11" s="1"/>
  <c r="A940" i="11"/>
  <c r="Z940" i="11" s="1"/>
  <c r="A941" i="11"/>
  <c r="Z941" i="11" s="1"/>
  <c r="A942" i="11"/>
  <c r="Z942" i="11" s="1"/>
  <c r="A943" i="11"/>
  <c r="Z943" i="11" s="1"/>
  <c r="A944" i="11"/>
  <c r="Z944" i="11" s="1"/>
  <c r="A945" i="11"/>
  <c r="Z945" i="11" s="1"/>
  <c r="A946" i="11"/>
  <c r="Z946" i="11" s="1"/>
  <c r="A947" i="11"/>
  <c r="Z947" i="11" s="1"/>
  <c r="A948" i="11"/>
  <c r="A949" i="11"/>
  <c r="Z949" i="11" s="1"/>
  <c r="A950" i="11"/>
  <c r="Z950" i="11" s="1"/>
  <c r="A951" i="11"/>
  <c r="Z951" i="11" s="1"/>
  <c r="A952" i="11"/>
  <c r="Z952" i="11" s="1"/>
  <c r="A953" i="11"/>
  <c r="Z953" i="11" s="1"/>
  <c r="A954" i="11"/>
  <c r="Z954" i="11" s="1"/>
  <c r="A955" i="11"/>
  <c r="Z955" i="11" s="1"/>
  <c r="A956" i="11"/>
  <c r="Z956" i="11" s="1"/>
  <c r="A957" i="11"/>
  <c r="Z957" i="11" s="1"/>
  <c r="A958" i="11"/>
  <c r="Z958" i="11" s="1"/>
  <c r="A959" i="11"/>
  <c r="Z959" i="11" s="1"/>
  <c r="A960" i="11"/>
  <c r="A961" i="11"/>
  <c r="Z961" i="11" s="1"/>
  <c r="A962" i="11"/>
  <c r="A963" i="11"/>
  <c r="Z963" i="11" s="1"/>
  <c r="A964" i="11"/>
  <c r="Z964" i="11" s="1"/>
  <c r="A965" i="11"/>
  <c r="Z965" i="11" s="1"/>
  <c r="A966" i="11"/>
  <c r="Z966" i="11" s="1"/>
  <c r="A967" i="11"/>
  <c r="Z967" i="11" s="1"/>
  <c r="A968" i="11"/>
  <c r="Z968" i="11" s="1"/>
  <c r="A969" i="11"/>
  <c r="Z969" i="11" s="1"/>
  <c r="A970" i="11"/>
  <c r="Z970" i="11" s="1"/>
  <c r="A971" i="11"/>
  <c r="Z971" i="11" s="1"/>
  <c r="A972" i="11"/>
  <c r="A973" i="11"/>
  <c r="Z973" i="11" s="1"/>
  <c r="A974" i="11"/>
  <c r="Z974" i="11" s="1"/>
  <c r="A975" i="11"/>
  <c r="Z975" i="11" s="1"/>
  <c r="A976" i="11"/>
  <c r="Z976" i="11" s="1"/>
  <c r="A977" i="11"/>
  <c r="Z977" i="11" s="1"/>
  <c r="A978" i="11"/>
  <c r="Z978" i="11" s="1"/>
  <c r="A979" i="11"/>
  <c r="Z979" i="11" s="1"/>
  <c r="A980" i="11"/>
  <c r="Z980" i="11" s="1"/>
  <c r="A981" i="11"/>
  <c r="Z981" i="11" s="1"/>
  <c r="A982" i="11"/>
  <c r="Z982" i="11" s="1"/>
  <c r="A983" i="11"/>
  <c r="Z983" i="11" s="1"/>
  <c r="A984" i="11"/>
  <c r="Z984" i="11" s="1"/>
  <c r="A985" i="11"/>
  <c r="Z985" i="11" s="1"/>
  <c r="A986" i="11"/>
  <c r="Z986" i="11" s="1"/>
  <c r="A987" i="11"/>
  <c r="Z987" i="11" s="1"/>
  <c r="A988" i="11"/>
  <c r="Z988" i="11" s="1"/>
  <c r="A989" i="11"/>
  <c r="Z989" i="11" s="1"/>
  <c r="A990" i="11"/>
  <c r="Z990" i="11" s="1"/>
  <c r="A991" i="11"/>
  <c r="Z991" i="11" s="1"/>
  <c r="A992" i="11"/>
  <c r="Z992" i="11" s="1"/>
  <c r="A993" i="11"/>
  <c r="Z993" i="11" s="1"/>
  <c r="A994" i="11"/>
  <c r="Z994" i="11" s="1"/>
  <c r="A995" i="11"/>
  <c r="Z995" i="11" s="1"/>
  <c r="A996" i="11"/>
  <c r="A997" i="11"/>
  <c r="Z997" i="11" s="1"/>
  <c r="A998" i="11"/>
  <c r="Z998" i="11" s="1"/>
  <c r="A999" i="11"/>
  <c r="Z999" i="11" s="1"/>
  <c r="A1000" i="11"/>
  <c r="Z1000" i="11" s="1"/>
  <c r="A1001" i="11"/>
  <c r="Z1001" i="11" s="1"/>
  <c r="A1002" i="11"/>
  <c r="Z1002" i="11" s="1"/>
  <c r="A1003" i="11"/>
  <c r="Z1003" i="11" s="1"/>
  <c r="A1004" i="11"/>
  <c r="Z1004" i="11" s="1"/>
  <c r="A1005" i="11"/>
  <c r="Z1005" i="11" s="1"/>
  <c r="A1006" i="11"/>
  <c r="Z1006" i="11" s="1"/>
  <c r="A1007" i="11"/>
  <c r="Z1007" i="11" s="1"/>
  <c r="A1008" i="11"/>
  <c r="Z1008" i="11" s="1"/>
  <c r="A1009" i="11"/>
  <c r="Z1009" i="11" s="1"/>
  <c r="A1010" i="11"/>
  <c r="Z1010" i="11" s="1"/>
  <c r="A1011" i="11"/>
  <c r="Z1011" i="11" s="1"/>
  <c r="A1012" i="11"/>
  <c r="Z1012" i="11" s="1"/>
  <c r="A1013" i="11"/>
  <c r="Z1013" i="11" s="1"/>
  <c r="A1014" i="11"/>
  <c r="Z1014" i="11" s="1"/>
  <c r="A1015" i="11"/>
  <c r="Z1015" i="11" s="1"/>
  <c r="A1016" i="11"/>
  <c r="A1017" i="11"/>
  <c r="Z1017" i="11" s="1"/>
  <c r="A1018" i="11"/>
  <c r="Z1018" i="11" s="1"/>
  <c r="A1019" i="11"/>
  <c r="Z1019" i="11" s="1"/>
  <c r="A1020" i="11"/>
  <c r="Z1020" i="11" s="1"/>
  <c r="A1021" i="11"/>
  <c r="Z1021" i="11" s="1"/>
  <c r="A1022" i="11"/>
  <c r="Z1022" i="11" s="1"/>
  <c r="A1023" i="11"/>
  <c r="Z1023" i="11" s="1"/>
  <c r="A1024" i="11"/>
  <c r="Z1024" i="11" s="1"/>
  <c r="A1025" i="11"/>
  <c r="Z1025" i="11" s="1"/>
  <c r="A1026" i="11"/>
  <c r="Z1026" i="11" s="1"/>
  <c r="A1027" i="11"/>
  <c r="Z1027" i="11" s="1"/>
  <c r="A1028" i="11"/>
  <c r="Z1028" i="11" s="1"/>
  <c r="A1029" i="11"/>
  <c r="Z1029" i="11" s="1"/>
  <c r="A1030" i="11"/>
  <c r="Z1030" i="11" s="1"/>
  <c r="A1031" i="11"/>
  <c r="Z1031" i="11" s="1"/>
  <c r="A1032" i="11"/>
  <c r="Z1032" i="11" s="1"/>
  <c r="A1033" i="11"/>
  <c r="Z1033" i="11" s="1"/>
  <c r="A1034" i="11"/>
  <c r="Z1034" i="11" s="1"/>
  <c r="A1035" i="11"/>
  <c r="Z1035" i="11" s="1"/>
  <c r="A1036" i="11"/>
  <c r="A1037" i="11"/>
  <c r="Z1037" i="11" s="1"/>
  <c r="A1038" i="11"/>
  <c r="Z1038" i="11" s="1"/>
  <c r="A1039" i="11"/>
  <c r="Z1039" i="11" s="1"/>
  <c r="A1040" i="11"/>
  <c r="Z1040" i="11" s="1"/>
  <c r="A1041" i="11"/>
  <c r="Z1041" i="11" s="1"/>
  <c r="A1042" i="11"/>
  <c r="Z1042" i="11" s="1"/>
  <c r="A1043" i="11"/>
  <c r="Z1043" i="11" s="1"/>
  <c r="A1044" i="11"/>
  <c r="Z1044" i="11" s="1"/>
  <c r="A1045" i="11"/>
  <c r="Z1045" i="11" s="1"/>
  <c r="A1046" i="11"/>
  <c r="Z1046" i="11" s="1"/>
  <c r="A1047" i="11"/>
  <c r="Z1047" i="11" s="1"/>
  <c r="A1048" i="11"/>
  <c r="Z1048" i="11" s="1"/>
  <c r="A1049" i="11"/>
  <c r="Z1049" i="11" s="1"/>
  <c r="A1050" i="11"/>
  <c r="Z1050" i="11" s="1"/>
  <c r="A1051" i="11"/>
  <c r="Z1051" i="11" s="1"/>
  <c r="A1052" i="11"/>
  <c r="Z1052" i="11" s="1"/>
  <c r="A1053" i="11"/>
  <c r="Z1053" i="11" s="1"/>
  <c r="A1054" i="11"/>
  <c r="Z1054" i="11" s="1"/>
  <c r="A1055" i="11"/>
  <c r="Z1055" i="11" s="1"/>
  <c r="A1056" i="11"/>
  <c r="Z1056" i="11" s="1"/>
  <c r="A1057" i="11"/>
  <c r="Z1057" i="11" s="1"/>
  <c r="A1058" i="11"/>
  <c r="Z1058" i="11" s="1"/>
  <c r="A1059" i="11"/>
  <c r="Z1059" i="11" s="1"/>
  <c r="A1060" i="11"/>
  <c r="A1061" i="11"/>
  <c r="Z1061" i="11" s="1"/>
  <c r="A1062" i="11"/>
  <c r="Z1062" i="11" s="1"/>
  <c r="A1063" i="11"/>
  <c r="Z1063" i="11" s="1"/>
  <c r="A1064" i="11"/>
  <c r="Z1064" i="11" s="1"/>
  <c r="A1065" i="11"/>
  <c r="Z1065" i="11" s="1"/>
  <c r="A1066" i="11"/>
  <c r="Z1066" i="11" s="1"/>
  <c r="A1067" i="11"/>
  <c r="Z1067" i="11" s="1"/>
  <c r="A1068" i="11"/>
  <c r="Z1068" i="11" s="1"/>
  <c r="A1069" i="11"/>
  <c r="Z1069" i="11" s="1"/>
  <c r="A1070" i="11"/>
  <c r="Z1070" i="11" s="1"/>
  <c r="A1071" i="11"/>
  <c r="Z1071" i="11" s="1"/>
  <c r="A1072" i="11"/>
  <c r="Z1072" i="11" s="1"/>
  <c r="A1073" i="11"/>
  <c r="Z1073" i="11" s="1"/>
  <c r="A1074" i="11"/>
  <c r="Z1074" i="11" s="1"/>
  <c r="A1075" i="11"/>
  <c r="Z1075" i="11" s="1"/>
  <c r="A1076" i="11"/>
  <c r="Z1076" i="11" s="1"/>
  <c r="A1077" i="11"/>
  <c r="Z1077" i="11" s="1"/>
  <c r="A1078" i="11"/>
  <c r="Z1078" i="11" s="1"/>
  <c r="A1079" i="11"/>
  <c r="Z1079" i="11" s="1"/>
  <c r="A1080" i="11"/>
  <c r="A1081" i="11"/>
  <c r="Z1081" i="11" s="1"/>
  <c r="A1082" i="11"/>
  <c r="Z1082" i="11" s="1"/>
  <c r="A1083" i="11"/>
  <c r="Z1083" i="11" s="1"/>
  <c r="A1084" i="11"/>
  <c r="Z1084" i="11" s="1"/>
  <c r="A1085" i="11"/>
  <c r="Z1085" i="11" s="1"/>
  <c r="A1086" i="11"/>
  <c r="Z1086" i="11" s="1"/>
  <c r="A1087" i="11"/>
  <c r="Z1087" i="11" s="1"/>
  <c r="A1088" i="11"/>
  <c r="Z1088" i="11" s="1"/>
  <c r="A1089" i="11"/>
  <c r="Z1089" i="11" s="1"/>
  <c r="A1090" i="11"/>
  <c r="Z1090" i="11" s="1"/>
  <c r="A1091" i="11"/>
  <c r="Z1091" i="11" s="1"/>
  <c r="A1092" i="11"/>
  <c r="Z1092" i="11" s="1"/>
  <c r="A1093" i="11"/>
  <c r="Z1093" i="11" s="1"/>
  <c r="A1094" i="11"/>
  <c r="Z1094" i="11" s="1"/>
  <c r="A1095" i="11"/>
  <c r="Z1095" i="11" s="1"/>
  <c r="A1096" i="11"/>
  <c r="Z1096" i="11" s="1"/>
  <c r="A1097" i="11"/>
  <c r="Z1097" i="11" s="1"/>
  <c r="A1098" i="11"/>
  <c r="Z1098" i="11" s="1"/>
  <c r="A1099" i="11"/>
  <c r="Z1099" i="11" s="1"/>
  <c r="A1100" i="11"/>
  <c r="A1101" i="11"/>
  <c r="Z1101" i="11" s="1"/>
  <c r="A1102" i="11"/>
  <c r="Z1102" i="11" s="1"/>
  <c r="A1103" i="11"/>
  <c r="Z1103" i="11" s="1"/>
  <c r="A1104" i="11"/>
  <c r="Z1104" i="11" s="1"/>
  <c r="A1105" i="11"/>
  <c r="Z1105" i="11" s="1"/>
  <c r="A1106" i="11"/>
  <c r="Z1106" i="11" s="1"/>
  <c r="A1107" i="11"/>
  <c r="Z1107" i="11" s="1"/>
  <c r="A1108" i="11"/>
  <c r="Z1108" i="11" s="1"/>
  <c r="A1109" i="11"/>
  <c r="Z1109" i="11" s="1"/>
  <c r="A1110" i="11"/>
  <c r="Z1110" i="11" s="1"/>
  <c r="A1111" i="11"/>
  <c r="Z1111" i="11" s="1"/>
  <c r="A1112" i="11"/>
  <c r="Z1112" i="11" s="1"/>
  <c r="A1113" i="11"/>
  <c r="Z1113" i="11" s="1"/>
  <c r="A1114" i="11"/>
  <c r="Z1114" i="11" s="1"/>
  <c r="A1115" i="11"/>
  <c r="Z1115" i="11" s="1"/>
  <c r="A1116" i="11"/>
  <c r="Z1116" i="11" s="1"/>
  <c r="A1117" i="11"/>
  <c r="Z1117" i="11" s="1"/>
  <c r="A1118" i="11"/>
  <c r="Z1118" i="11" s="1"/>
  <c r="A1119" i="11"/>
  <c r="Z1119" i="11" s="1"/>
  <c r="A1120" i="11"/>
  <c r="Z1120" i="11" s="1"/>
  <c r="A1121" i="11"/>
  <c r="Z1121" i="11" s="1"/>
  <c r="A1122" i="11"/>
  <c r="Z1122" i="11" s="1"/>
  <c r="A1123" i="11"/>
  <c r="Z1123" i="11" s="1"/>
  <c r="A1124" i="11"/>
  <c r="A1125" i="11"/>
  <c r="Z1125" i="11" s="1"/>
  <c r="A1126" i="11"/>
  <c r="Z1126" i="11" s="1"/>
  <c r="A1127" i="11"/>
  <c r="Z1127" i="11" s="1"/>
  <c r="A1128" i="11"/>
  <c r="Z1128" i="11" s="1"/>
  <c r="A1129" i="11"/>
  <c r="Z1129" i="11" s="1"/>
  <c r="A1130" i="11"/>
  <c r="Z1130" i="11" s="1"/>
  <c r="A1131" i="11"/>
  <c r="Z1131" i="11" s="1"/>
  <c r="A1132" i="11"/>
  <c r="Z1132" i="11" s="1"/>
  <c r="A1133" i="11"/>
  <c r="Z1133" i="11" s="1"/>
  <c r="A1134" i="11"/>
  <c r="Z1134" i="11" s="1"/>
  <c r="A1135" i="11"/>
  <c r="Z1135" i="11" s="1"/>
  <c r="A1136" i="11"/>
  <c r="Z1136" i="11" s="1"/>
  <c r="A1137" i="11"/>
  <c r="Z1137" i="11" s="1"/>
  <c r="A1138" i="11"/>
  <c r="Z1138" i="11" s="1"/>
  <c r="A1139" i="11"/>
  <c r="Z1139" i="11" s="1"/>
  <c r="A1140" i="11"/>
  <c r="Z1140" i="11" s="1"/>
  <c r="A1141" i="11"/>
  <c r="Z1141" i="11" s="1"/>
  <c r="A1142" i="11"/>
  <c r="Z1142" i="11" s="1"/>
  <c r="A1143" i="11"/>
  <c r="Z1143" i="11" s="1"/>
  <c r="A1144" i="11"/>
  <c r="A1145" i="11"/>
  <c r="Z1145" i="11" s="1"/>
  <c r="A1146" i="11"/>
  <c r="Z1146" i="11" s="1"/>
  <c r="A1147" i="11"/>
  <c r="Z1147" i="11" s="1"/>
  <c r="A1148" i="11"/>
  <c r="Z1148" i="11" s="1"/>
  <c r="A1149" i="11"/>
  <c r="Z1149" i="11" s="1"/>
  <c r="A1150" i="11"/>
  <c r="Z1150" i="11" s="1"/>
  <c r="A1151" i="11"/>
  <c r="Z1151" i="11" s="1"/>
  <c r="A1152" i="11"/>
  <c r="Z1152" i="11" s="1"/>
  <c r="A1153" i="11"/>
  <c r="Z1153" i="11" s="1"/>
  <c r="A1154" i="11"/>
  <c r="Z1154" i="11" s="1"/>
  <c r="A1155" i="11"/>
  <c r="Z1155" i="11" s="1"/>
  <c r="A1156" i="11"/>
  <c r="Z1156" i="11" s="1"/>
  <c r="A1157" i="11"/>
  <c r="Z1157" i="11" s="1"/>
  <c r="A1158" i="11"/>
  <c r="Z1158" i="11" s="1"/>
  <c r="A1159" i="11"/>
  <c r="Z1159" i="11" s="1"/>
  <c r="A1160" i="11"/>
  <c r="Z1160" i="11" s="1"/>
  <c r="A1161" i="11"/>
  <c r="Z1161" i="11" s="1"/>
  <c r="A1162" i="11"/>
  <c r="Z1162" i="11" s="1"/>
  <c r="A1163" i="11"/>
  <c r="Z1163" i="11" s="1"/>
  <c r="A1164" i="11"/>
  <c r="A1165" i="11"/>
  <c r="Z1165" i="11" s="1"/>
  <c r="A1166" i="11"/>
  <c r="Z1166" i="11" s="1"/>
  <c r="A1167" i="11"/>
  <c r="Z1167" i="11" s="1"/>
  <c r="A1168" i="11"/>
  <c r="Z1168" i="11" s="1"/>
  <c r="A1169" i="11"/>
  <c r="Z1169" i="11" s="1"/>
  <c r="A1170" i="11"/>
  <c r="Z1170" i="11" s="1"/>
  <c r="A1171" i="11"/>
  <c r="Z1171" i="11" s="1"/>
  <c r="A1172" i="11"/>
  <c r="Z1172" i="11" s="1"/>
  <c r="A1173" i="11"/>
  <c r="Z1173" i="11" s="1"/>
  <c r="A1174" i="11"/>
  <c r="Z1174" i="11" s="1"/>
  <c r="A1175" i="11"/>
  <c r="Z1175" i="11" s="1"/>
  <c r="A1176" i="11"/>
  <c r="Z1176" i="11" s="1"/>
  <c r="A1177" i="11"/>
  <c r="Z1177" i="11" s="1"/>
  <c r="A1178" i="11"/>
  <c r="Z1178" i="11" s="1"/>
  <c r="A1179" i="11"/>
  <c r="Z1179" i="11" s="1"/>
  <c r="A1180" i="11"/>
  <c r="Z1180" i="11" s="1"/>
  <c r="A1181" i="11"/>
  <c r="Z1181" i="11" s="1"/>
  <c r="A1182" i="11"/>
  <c r="Z1182" i="11" s="1"/>
  <c r="A1183" i="11"/>
  <c r="Z1183" i="11" s="1"/>
  <c r="A1184" i="11"/>
  <c r="Z1184" i="11" s="1"/>
  <c r="A1185" i="11"/>
  <c r="Z1185" i="11" s="1"/>
  <c r="A1186" i="11"/>
  <c r="Z1186" i="11" s="1"/>
  <c r="A1187" i="11"/>
  <c r="Z1187" i="11" s="1"/>
  <c r="A1188" i="11"/>
  <c r="A1189" i="11"/>
  <c r="Z1189" i="11" s="1"/>
  <c r="A1190" i="11"/>
  <c r="Z1190" i="11" s="1"/>
  <c r="A1191" i="11"/>
  <c r="Z1191" i="11" s="1"/>
  <c r="A1192" i="11"/>
  <c r="Z1192" i="11" s="1"/>
  <c r="A1193" i="11"/>
  <c r="Z1193" i="11" s="1"/>
  <c r="A1194" i="11"/>
  <c r="Z1194" i="11" s="1"/>
  <c r="A1195" i="11"/>
  <c r="Z1195" i="11" s="1"/>
  <c r="A1196" i="11"/>
  <c r="Z1196" i="11" s="1"/>
  <c r="A1197" i="11"/>
  <c r="Z1197" i="11" s="1"/>
  <c r="A1198" i="11"/>
  <c r="Z1198" i="11" s="1"/>
  <c r="A1199" i="11"/>
  <c r="Z1199" i="11" s="1"/>
  <c r="A1200" i="11"/>
  <c r="Z1200" i="11" s="1"/>
  <c r="A1201" i="11"/>
  <c r="Z1201" i="11" s="1"/>
  <c r="A1202" i="11"/>
  <c r="Z1202" i="11" s="1"/>
  <c r="A1203" i="11"/>
  <c r="Z1203" i="11" s="1"/>
  <c r="A1204" i="11"/>
  <c r="Z1204" i="11" s="1"/>
  <c r="A1205" i="11"/>
  <c r="Z1205" i="11" s="1"/>
  <c r="A1206" i="11"/>
  <c r="Z1206" i="11" s="1"/>
  <c r="A1207" i="11"/>
  <c r="Z1207" i="11" s="1"/>
  <c r="A1208" i="11"/>
  <c r="A1209" i="11"/>
  <c r="Z1209" i="11" s="1"/>
  <c r="A1210" i="11"/>
  <c r="Z1210" i="11" s="1"/>
  <c r="A1211" i="11"/>
  <c r="Z1211" i="11" s="1"/>
  <c r="A1212" i="11"/>
  <c r="Z1212" i="11" s="1"/>
  <c r="A1213" i="11"/>
  <c r="Z1213" i="11" s="1"/>
  <c r="A1214" i="11"/>
  <c r="Z1214" i="11" s="1"/>
  <c r="A1215" i="11"/>
  <c r="Z1215" i="11" s="1"/>
  <c r="A1216" i="11"/>
  <c r="Z1216" i="11" s="1"/>
  <c r="A1217" i="11"/>
  <c r="Z1217" i="11" s="1"/>
  <c r="A1218" i="11"/>
  <c r="Z1218" i="11" s="1"/>
  <c r="A1219" i="11"/>
  <c r="Z1219" i="11" s="1"/>
  <c r="A1220" i="11"/>
  <c r="Z1220" i="11" s="1"/>
  <c r="A1221" i="11"/>
  <c r="Z1221" i="11" s="1"/>
  <c r="A1222" i="11"/>
  <c r="Z1222" i="11" s="1"/>
  <c r="A1223" i="11"/>
  <c r="Z1223" i="11" s="1"/>
  <c r="A1224" i="11"/>
  <c r="Z1224" i="11" s="1"/>
  <c r="A1225" i="11"/>
  <c r="Z1225" i="11" s="1"/>
  <c r="A1226" i="11"/>
  <c r="Z1226" i="11" s="1"/>
  <c r="A1227" i="11"/>
  <c r="Z1227" i="11" s="1"/>
  <c r="A1228" i="11"/>
  <c r="A1229" i="11"/>
  <c r="Z1229" i="11" s="1"/>
  <c r="A1230" i="11"/>
  <c r="Z1230" i="11" s="1"/>
  <c r="A1231" i="11"/>
  <c r="Z1231" i="11" s="1"/>
  <c r="A1232" i="11"/>
  <c r="Z1232" i="11" s="1"/>
  <c r="A1233" i="11"/>
  <c r="Z1233" i="11" s="1"/>
  <c r="A1234" i="11"/>
  <c r="Z1234" i="11" s="1"/>
  <c r="A1235" i="11"/>
  <c r="Z1235" i="11" s="1"/>
  <c r="A1236" i="11"/>
  <c r="Z1236" i="11" s="1"/>
  <c r="A1237" i="11"/>
  <c r="Z1237" i="11" s="1"/>
  <c r="A1238" i="11"/>
  <c r="Z1238" i="11" s="1"/>
  <c r="A1239" i="11"/>
  <c r="Z1239" i="11" s="1"/>
  <c r="A1240" i="11"/>
  <c r="Z1240" i="11" s="1"/>
  <c r="A1241" i="11"/>
  <c r="Z1241" i="11" s="1"/>
  <c r="A1242" i="11"/>
  <c r="Z1242" i="11" s="1"/>
  <c r="A1243" i="11"/>
  <c r="Z1243" i="11" s="1"/>
  <c r="A1244" i="11"/>
  <c r="Z1244" i="11" s="1"/>
  <c r="A1245" i="11"/>
  <c r="Z1245" i="11" s="1"/>
  <c r="A1246" i="11"/>
  <c r="Z1246" i="11" s="1"/>
  <c r="A1247" i="11"/>
  <c r="Z1247" i="11" s="1"/>
  <c r="A1248" i="11"/>
  <c r="Z1248" i="11" s="1"/>
  <c r="A1249" i="11"/>
  <c r="Z1249" i="11" s="1"/>
  <c r="A1250" i="11"/>
  <c r="Z1250" i="11" s="1"/>
  <c r="A1251" i="11"/>
  <c r="Z1251" i="11" s="1"/>
  <c r="A1252" i="11"/>
  <c r="A1253" i="11"/>
  <c r="Z1253" i="11" s="1"/>
  <c r="A1254" i="11"/>
  <c r="Z1254" i="11" s="1"/>
  <c r="A1255" i="11"/>
  <c r="Z1255" i="11" s="1"/>
  <c r="A1256" i="11"/>
  <c r="Z1256" i="11" s="1"/>
  <c r="A1257" i="11"/>
  <c r="Z1257" i="11" s="1"/>
  <c r="A1258" i="11"/>
  <c r="Z1258" i="11" s="1"/>
  <c r="A1259" i="11"/>
  <c r="Z1259" i="11" s="1"/>
  <c r="A1260" i="11"/>
  <c r="Z1260" i="11" s="1"/>
  <c r="A1261" i="11"/>
  <c r="Z1261" i="11" s="1"/>
  <c r="A1262" i="11"/>
  <c r="Z1262" i="11" s="1"/>
  <c r="A1263" i="11"/>
  <c r="Z1263" i="11" s="1"/>
  <c r="A1264" i="11"/>
  <c r="Z1264" i="11" s="1"/>
  <c r="A1265" i="11"/>
  <c r="Z1265" i="11" s="1"/>
  <c r="A1266" i="11"/>
  <c r="Z1266" i="11" s="1"/>
  <c r="A1267" i="11"/>
  <c r="Z1267" i="11" s="1"/>
  <c r="A1268" i="11"/>
  <c r="Z1268" i="11" s="1"/>
  <c r="A1269" i="11"/>
  <c r="Z1269" i="11" s="1"/>
  <c r="A1270" i="11"/>
  <c r="Z1270" i="11" s="1"/>
  <c r="A1271" i="11"/>
  <c r="Z1271" i="11" s="1"/>
  <c r="A1272" i="11"/>
  <c r="A1273" i="11"/>
  <c r="Z1273" i="11" s="1"/>
  <c r="A1274" i="11"/>
  <c r="Z1274" i="11" s="1"/>
  <c r="A1275" i="11"/>
  <c r="Z1275" i="11" s="1"/>
  <c r="A1276" i="11"/>
  <c r="Z1276" i="11" s="1"/>
  <c r="A1277" i="11"/>
  <c r="Z1277" i="11" s="1"/>
  <c r="A1278" i="11"/>
  <c r="Z1278" i="11" s="1"/>
  <c r="A1279" i="11"/>
  <c r="Z1279" i="11" s="1"/>
  <c r="A1280" i="11"/>
  <c r="Z1280" i="11" s="1"/>
  <c r="A1281" i="11"/>
  <c r="Z1281" i="11" s="1"/>
  <c r="A1282" i="11"/>
  <c r="Z1282" i="11" s="1"/>
  <c r="A1283" i="11"/>
  <c r="Z1283" i="11" s="1"/>
  <c r="A1284" i="11"/>
  <c r="Z1284" i="11" s="1"/>
  <c r="A1285" i="11"/>
  <c r="Z1285" i="11" s="1"/>
  <c r="A1286" i="11"/>
  <c r="Z1286" i="11" s="1"/>
  <c r="A1287" i="11"/>
  <c r="Z1287" i="11" s="1"/>
  <c r="A1288" i="11"/>
  <c r="Z1288" i="11" s="1"/>
  <c r="A1289" i="11"/>
  <c r="Z1289" i="11" s="1"/>
  <c r="A1290" i="11"/>
  <c r="Z1290" i="11" s="1"/>
  <c r="A1291" i="11"/>
  <c r="Z1291" i="11" s="1"/>
  <c r="A1292" i="11"/>
  <c r="A1293" i="11"/>
  <c r="Z1293" i="11" s="1"/>
  <c r="A1294" i="11"/>
  <c r="Z1294" i="11" s="1"/>
  <c r="A1295" i="11"/>
  <c r="Z1295" i="11" s="1"/>
  <c r="A1296" i="11"/>
  <c r="Z1296" i="11" s="1"/>
  <c r="A1297" i="11"/>
  <c r="Z1297" i="11" s="1"/>
  <c r="A1298" i="11"/>
  <c r="Z1298" i="11" s="1"/>
  <c r="A1299" i="11"/>
  <c r="Z1299" i="11" s="1"/>
  <c r="A1300" i="11"/>
  <c r="Z1300" i="11" s="1"/>
  <c r="A1301" i="11"/>
  <c r="Z1301" i="11" s="1"/>
  <c r="A1302" i="11"/>
  <c r="Z1302" i="11" s="1"/>
  <c r="A1303" i="11"/>
  <c r="Z1303" i="11" s="1"/>
  <c r="A1304" i="11"/>
  <c r="Z1304" i="11" s="1"/>
  <c r="A1305" i="11"/>
  <c r="Z1305" i="11" s="1"/>
  <c r="A1306" i="11"/>
  <c r="Z1306" i="11" s="1"/>
  <c r="A1307" i="11"/>
  <c r="Z1307" i="11" s="1"/>
  <c r="A1308" i="11"/>
  <c r="Z1308" i="11" s="1"/>
  <c r="A1309" i="11"/>
  <c r="Z1309" i="11" s="1"/>
  <c r="A1310" i="11"/>
  <c r="Z1310" i="11" s="1"/>
  <c r="A1311" i="11"/>
  <c r="Z1311" i="11" s="1"/>
  <c r="A1312" i="11"/>
  <c r="Z1312" i="11" s="1"/>
  <c r="A1313" i="11"/>
  <c r="Z1313" i="11" s="1"/>
  <c r="A1314" i="11"/>
  <c r="Z1314" i="11" s="1"/>
  <c r="A1315" i="11"/>
  <c r="Z1315" i="11" s="1"/>
  <c r="A1316" i="11"/>
  <c r="A1317" i="11"/>
  <c r="Z1317" i="11" s="1"/>
  <c r="A1318" i="11"/>
  <c r="Z1318" i="11" s="1"/>
  <c r="A1319" i="11"/>
  <c r="Z1319" i="11" s="1"/>
  <c r="A1320" i="11"/>
  <c r="Z1320" i="11" s="1"/>
  <c r="A1321" i="11"/>
  <c r="Z1321" i="11" s="1"/>
  <c r="A1322" i="11"/>
  <c r="Z1322" i="11" s="1"/>
  <c r="A1323" i="11"/>
  <c r="Z1323" i="11" s="1"/>
  <c r="A1324" i="11"/>
  <c r="Z1324" i="11" s="1"/>
  <c r="A1325" i="11"/>
  <c r="Z1325" i="11" s="1"/>
  <c r="A1326" i="11"/>
  <c r="Z1326" i="11" s="1"/>
  <c r="A1327" i="11"/>
  <c r="Z1327" i="11" s="1"/>
  <c r="A1328" i="11"/>
  <c r="Z1328" i="11" s="1"/>
  <c r="A1329" i="11"/>
  <c r="Z1329" i="11" s="1"/>
  <c r="A1330" i="11"/>
  <c r="Z1330" i="11" s="1"/>
  <c r="A1331" i="11"/>
  <c r="Z1331" i="11" s="1"/>
  <c r="A1332" i="11"/>
  <c r="Z1332" i="11" s="1"/>
  <c r="A1333" i="11"/>
  <c r="Z1333" i="11" s="1"/>
  <c r="A1334" i="11"/>
  <c r="Z1334" i="11" s="1"/>
  <c r="A1335" i="11"/>
  <c r="Z1335" i="11" s="1"/>
  <c r="A1336" i="11"/>
  <c r="A1337" i="11"/>
  <c r="Z1337" i="11" s="1"/>
  <c r="A1338" i="11"/>
  <c r="Z1338" i="11" s="1"/>
  <c r="A1339" i="11"/>
  <c r="Z1339" i="11" s="1"/>
  <c r="A1340" i="11"/>
  <c r="Z1340" i="11" s="1"/>
  <c r="A1341" i="11"/>
  <c r="Z1341" i="11" s="1"/>
  <c r="A1342" i="11"/>
  <c r="Z1342" i="11" s="1"/>
  <c r="A1343" i="11"/>
  <c r="Z1343" i="11" s="1"/>
  <c r="A1344" i="11"/>
  <c r="Z1344" i="11" s="1"/>
  <c r="A1345" i="11"/>
  <c r="Z1345" i="11" s="1"/>
  <c r="A1346" i="11"/>
  <c r="Z1346" i="11" s="1"/>
  <c r="A1347" i="11"/>
  <c r="Z1347" i="11" s="1"/>
  <c r="A1348" i="11"/>
  <c r="Z1348" i="11" s="1"/>
  <c r="A1349" i="11"/>
  <c r="Z1349" i="11" s="1"/>
  <c r="A1350" i="11"/>
  <c r="Z1350" i="11" s="1"/>
  <c r="A1351" i="11"/>
  <c r="Z1351" i="11" s="1"/>
  <c r="A1352" i="11"/>
  <c r="Z1352" i="11" s="1"/>
  <c r="A1353" i="11"/>
  <c r="Z1353" i="11" s="1"/>
  <c r="A1354" i="11"/>
  <c r="Z1354" i="11" s="1"/>
  <c r="A1355" i="11"/>
  <c r="Z1355" i="11" s="1"/>
  <c r="A1356" i="11"/>
  <c r="A1357" i="11"/>
  <c r="Z1357" i="11" s="1"/>
  <c r="A1358" i="11"/>
  <c r="Z1358" i="11" s="1"/>
  <c r="A1359" i="11"/>
  <c r="Z1359" i="11" s="1"/>
  <c r="A1360" i="11"/>
  <c r="Z1360" i="11" s="1"/>
  <c r="A1361" i="11"/>
  <c r="A1362" i="11"/>
  <c r="Z1362" i="11" s="1"/>
  <c r="A1363" i="11"/>
  <c r="Z1363" i="11" s="1"/>
  <c r="A1364" i="11"/>
  <c r="Z1364" i="11" s="1"/>
  <c r="A1365" i="11"/>
  <c r="Z1365" i="11" s="1"/>
  <c r="A1366" i="11"/>
  <c r="Z1366" i="11" s="1"/>
  <c r="A1367" i="11"/>
  <c r="Z1367" i="11" s="1"/>
  <c r="A1368" i="11"/>
  <c r="Z1368" i="11" s="1"/>
  <c r="A1369" i="11"/>
  <c r="Z1369" i="11" s="1"/>
  <c r="A1370" i="11"/>
  <c r="Z1370" i="11" s="1"/>
  <c r="A1371" i="11"/>
  <c r="A1372" i="11"/>
  <c r="Z1372" i="11" s="1"/>
  <c r="A1373" i="11"/>
  <c r="A1374" i="11"/>
  <c r="Z1374" i="11" s="1"/>
  <c r="A1375" i="11"/>
  <c r="Z1375" i="11" s="1"/>
  <c r="A1376" i="11"/>
  <c r="Z1376" i="11" s="1"/>
  <c r="A1377" i="11"/>
  <c r="A1378" i="11"/>
  <c r="Z1378" i="11" s="1"/>
  <c r="A1379" i="11"/>
  <c r="Z1379" i="11" s="1"/>
  <c r="A1380" i="11"/>
  <c r="A1381" i="11"/>
  <c r="Z1381" i="11" s="1"/>
  <c r="A1382" i="11"/>
  <c r="Z1382" i="11" s="1"/>
  <c r="A1383" i="11"/>
  <c r="Z1383" i="11" s="1"/>
  <c r="A1384" i="11"/>
  <c r="Z1384" i="11" s="1"/>
  <c r="A1385" i="11"/>
  <c r="Z1385" i="11" s="1"/>
  <c r="A1386" i="11"/>
  <c r="Z1386" i="11" s="1"/>
  <c r="A1387" i="11"/>
  <c r="Z1387" i="11" s="1"/>
  <c r="A1388" i="11"/>
  <c r="Z1388" i="11" s="1"/>
  <c r="A1389" i="11"/>
  <c r="A1390" i="11"/>
  <c r="Z1390" i="11" s="1"/>
  <c r="A1391" i="11"/>
  <c r="Z1391" i="11" s="1"/>
  <c r="A1392" i="11"/>
  <c r="A1393" i="11"/>
  <c r="A1394" i="11"/>
  <c r="Z1394" i="11" s="1"/>
  <c r="A1395" i="11"/>
  <c r="Z1395" i="11" s="1"/>
  <c r="A1396" i="11"/>
  <c r="Z1396" i="11" s="1"/>
  <c r="A1397" i="11"/>
  <c r="Z1397" i="11" s="1"/>
  <c r="A1398" i="11"/>
  <c r="Z1398" i="11" s="1"/>
  <c r="A1399" i="11"/>
  <c r="Z1399" i="11" s="1"/>
  <c r="A1400" i="11"/>
  <c r="A1401" i="11"/>
  <c r="Z1401" i="11" s="1"/>
  <c r="A1402" i="11"/>
  <c r="Z1402" i="11" s="1"/>
  <c r="A1403" i="11"/>
  <c r="Z1403" i="11" s="1"/>
  <c r="A1404" i="11"/>
  <c r="Z1404" i="11" s="1"/>
  <c r="A1405" i="11"/>
  <c r="A1406" i="11"/>
  <c r="Z1406" i="11" s="1"/>
  <c r="A1407" i="11"/>
  <c r="Z1407" i="11" s="1"/>
  <c r="A1408" i="11"/>
  <c r="Z1408" i="11" s="1"/>
  <c r="A1409" i="11"/>
  <c r="A1410" i="11"/>
  <c r="Z1410" i="11" s="1"/>
  <c r="A1411" i="11"/>
  <c r="Z1411" i="11" s="1"/>
  <c r="A1412" i="11"/>
  <c r="A1413" i="11"/>
  <c r="Z1413" i="11" s="1"/>
  <c r="A1414" i="11"/>
  <c r="Z1414" i="11" s="1"/>
  <c r="A1415" i="11"/>
  <c r="Z1415" i="11" s="1"/>
  <c r="A1416" i="11"/>
  <c r="Z1416" i="11" s="1"/>
  <c r="A1417" i="11"/>
  <c r="Z1417" i="11" s="1"/>
  <c r="A1418" i="11"/>
  <c r="Z1418" i="11" s="1"/>
  <c r="A1419" i="11"/>
  <c r="Z1419" i="11" s="1"/>
  <c r="A1420" i="11"/>
  <c r="Z1420" i="11" s="1"/>
  <c r="A1421" i="11"/>
  <c r="A1422" i="11"/>
  <c r="Z1422" i="11" s="1"/>
  <c r="A1423" i="11"/>
  <c r="Z1423" i="11" s="1"/>
  <c r="A1424" i="11"/>
  <c r="A1425" i="11"/>
  <c r="A1426" i="11"/>
  <c r="Z1426" i="11" s="1"/>
  <c r="A1427" i="11"/>
  <c r="Z1427" i="11" s="1"/>
  <c r="A1428" i="11"/>
  <c r="Z1428" i="11" s="1"/>
  <c r="A1429" i="11"/>
  <c r="Z1429" i="11" s="1"/>
  <c r="A1430" i="11"/>
  <c r="Z1430" i="11" s="1"/>
  <c r="A1431" i="11"/>
  <c r="Z1431" i="11" s="1"/>
  <c r="A1432" i="11"/>
  <c r="Z1432" i="11" s="1"/>
  <c r="A1433" i="11"/>
  <c r="Z1433" i="11" s="1"/>
  <c r="A1434" i="11"/>
  <c r="Z1434" i="11" s="1"/>
  <c r="A1435" i="11"/>
  <c r="Z1435" i="11" s="1"/>
  <c r="A1436" i="11"/>
  <c r="Z1436" i="11" s="1"/>
  <c r="A1437" i="11"/>
  <c r="A1438" i="11"/>
  <c r="Z1438" i="11" s="1"/>
  <c r="A1439" i="11"/>
  <c r="Z1439" i="11" s="1"/>
  <c r="A1440" i="11"/>
  <c r="Z1440" i="11" s="1"/>
  <c r="A1441" i="11"/>
  <c r="A1442" i="11"/>
  <c r="Z1442" i="11" s="1"/>
  <c r="A1443" i="11"/>
  <c r="Z1443" i="11" s="1"/>
  <c r="A1444" i="11"/>
  <c r="Z1444" i="11" s="1"/>
  <c r="A1445" i="11"/>
  <c r="Z1445" i="11" s="1"/>
  <c r="A1446" i="11"/>
  <c r="Z1446" i="11" s="1"/>
  <c r="A1447" i="11"/>
  <c r="Z1447" i="11" s="1"/>
  <c r="A1448" i="11"/>
  <c r="Z1448" i="11" s="1"/>
  <c r="A1449" i="11"/>
  <c r="Z1449" i="11" s="1"/>
  <c r="A1450" i="11"/>
  <c r="Z1450" i="11" s="1"/>
  <c r="A1451" i="11"/>
  <c r="Z1451" i="11" s="1"/>
  <c r="A1452" i="11"/>
  <c r="Z1452" i="11" s="1"/>
  <c r="A1453" i="11"/>
  <c r="A1454" i="11"/>
  <c r="Z1454" i="11" s="1"/>
  <c r="A1455" i="11"/>
  <c r="Z1455" i="11" s="1"/>
  <c r="A1456" i="11"/>
  <c r="A1457" i="11"/>
  <c r="A1458" i="11"/>
  <c r="Z1458" i="11" s="1"/>
  <c r="A1459" i="11"/>
  <c r="Z1459" i="11" s="1"/>
  <c r="A1460" i="11"/>
  <c r="Z1460" i="11" s="1"/>
  <c r="A1461" i="11"/>
  <c r="Z1461" i="11" s="1"/>
  <c r="A1462" i="11"/>
  <c r="Z1462" i="11" s="1"/>
  <c r="A1463" i="11"/>
  <c r="Z1463" i="11" s="1"/>
  <c r="A1464" i="11"/>
  <c r="Z1464" i="11" s="1"/>
  <c r="A1465" i="11"/>
  <c r="Z1465" i="11" s="1"/>
  <c r="A1466" i="11"/>
  <c r="Z1466" i="11" s="1"/>
  <c r="A1467" i="11"/>
  <c r="Z1467" i="11" s="1"/>
  <c r="A1468" i="11"/>
  <c r="A1469" i="11"/>
  <c r="A1470" i="11"/>
  <c r="Z1470" i="11" s="1"/>
  <c r="A1471" i="11"/>
  <c r="Z1471" i="11" s="1"/>
  <c r="A1472" i="11"/>
  <c r="Z1472" i="11" s="1"/>
  <c r="A1473" i="11"/>
  <c r="A1474" i="11"/>
  <c r="Z1474" i="11" s="1"/>
  <c r="A1475" i="11"/>
  <c r="Z1475" i="11" s="1"/>
  <c r="A1476" i="11"/>
  <c r="A1477" i="11"/>
  <c r="Z1477" i="11" s="1"/>
  <c r="A1478" i="11"/>
  <c r="Z1478" i="11" s="1"/>
  <c r="A1479" i="11"/>
  <c r="Z1479" i="11" s="1"/>
  <c r="A1480" i="11"/>
  <c r="Z1480" i="11" s="1"/>
  <c r="A1481" i="11"/>
  <c r="Z1481" i="11" s="1"/>
  <c r="A1482" i="11"/>
  <c r="Z1482" i="11" s="1"/>
  <c r="A1483" i="11"/>
  <c r="Z1483" i="11" s="1"/>
  <c r="A1484" i="11"/>
  <c r="Z1484" i="11" s="1"/>
  <c r="A1485" i="11"/>
  <c r="A1486" i="11"/>
  <c r="Z1486" i="11" s="1"/>
  <c r="A1487" i="11"/>
  <c r="Z1487" i="11" s="1"/>
  <c r="A1488" i="11"/>
  <c r="Z1488" i="11" s="1"/>
  <c r="A1489" i="11"/>
  <c r="A1490" i="11"/>
  <c r="Z1490" i="11" s="1"/>
  <c r="A1491" i="11"/>
  <c r="Z1491" i="11" s="1"/>
  <c r="A1492" i="11"/>
  <c r="Z1492" i="11" s="1"/>
  <c r="A1493" i="11"/>
  <c r="Z1493" i="11" s="1"/>
  <c r="A1494" i="11"/>
  <c r="Z1494" i="11" s="1"/>
  <c r="A1495" i="11"/>
  <c r="Z1495" i="11" s="1"/>
  <c r="A1496" i="11"/>
  <c r="Z1496" i="11" s="1"/>
  <c r="A1497" i="11"/>
  <c r="Z1497" i="11" s="1"/>
  <c r="A1498" i="11"/>
  <c r="Z1498" i="11" s="1"/>
  <c r="A1499" i="11"/>
  <c r="Z1499" i="11" s="1"/>
  <c r="A1500" i="11"/>
  <c r="A1501" i="11"/>
  <c r="A1502" i="11"/>
  <c r="Z1502" i="11" s="1"/>
  <c r="A1503" i="11"/>
  <c r="Z1503" i="11" s="1"/>
  <c r="A1504" i="11"/>
  <c r="Z1504" i="11" s="1"/>
  <c r="A1505" i="11"/>
  <c r="A1506" i="11"/>
  <c r="Z1506" i="11" s="1"/>
  <c r="A1507" i="11"/>
  <c r="Z1507" i="11" s="1"/>
  <c r="A1508" i="11"/>
  <c r="Z1508" i="11" s="1"/>
  <c r="A1509" i="11"/>
  <c r="Z1509" i="11" s="1"/>
  <c r="A1510" i="11"/>
  <c r="Z1510" i="11" s="1"/>
  <c r="A1511" i="11"/>
  <c r="Z1511" i="11" s="1"/>
  <c r="A1512" i="11"/>
  <c r="Z1512" i="11" s="1"/>
  <c r="A1513" i="11"/>
  <c r="Z1513" i="11" s="1"/>
  <c r="A1514" i="11"/>
  <c r="Z1514" i="11" s="1"/>
  <c r="A1515" i="11"/>
  <c r="Z1515" i="11" s="1"/>
  <c r="A1516" i="11"/>
  <c r="Z1516" i="11" s="1"/>
  <c r="A1517" i="11"/>
  <c r="A1518" i="11"/>
  <c r="Z1518" i="11" s="1"/>
  <c r="A1519" i="11"/>
  <c r="Z1519" i="11" s="1"/>
  <c r="A1520" i="11"/>
  <c r="Z1520" i="11" s="1"/>
  <c r="A1521" i="11"/>
  <c r="A1522" i="11"/>
  <c r="Z1522" i="11" s="1"/>
  <c r="A1523" i="11"/>
  <c r="Z1523" i="11" s="1"/>
  <c r="A1524" i="11"/>
  <c r="Z1524" i="11" s="1"/>
  <c r="A1525" i="11"/>
  <c r="Z1525" i="11" s="1"/>
  <c r="A1526" i="11"/>
  <c r="Z1526" i="11" s="1"/>
  <c r="A1527" i="11"/>
  <c r="Z1527" i="11" s="1"/>
  <c r="A1528" i="11"/>
  <c r="Z1528" i="11" s="1"/>
  <c r="A1529" i="11"/>
  <c r="Z1529" i="11" s="1"/>
  <c r="A1530" i="11"/>
  <c r="Z1530" i="11" s="1"/>
  <c r="A1531" i="11"/>
  <c r="Z1531" i="11" s="1"/>
  <c r="A1532" i="11"/>
  <c r="A1533" i="11"/>
  <c r="A1534" i="11"/>
  <c r="Z1534" i="11" s="1"/>
  <c r="A1535" i="11"/>
  <c r="Z1535" i="11" s="1"/>
  <c r="A1536" i="11"/>
  <c r="Z1536" i="11" s="1"/>
  <c r="A1537" i="11"/>
  <c r="A1538" i="11"/>
  <c r="Z1538" i="11" s="1"/>
  <c r="A1539" i="11"/>
  <c r="Z1539" i="11" s="1"/>
  <c r="A1540" i="11"/>
  <c r="A1541" i="11"/>
  <c r="Z1541" i="11" s="1"/>
  <c r="A1542" i="11"/>
  <c r="Z1542" i="11" s="1"/>
  <c r="A1543" i="11"/>
  <c r="Z1543" i="11" s="1"/>
  <c r="A1544" i="11"/>
  <c r="Z1544" i="11" s="1"/>
  <c r="A1545" i="11"/>
  <c r="Z1545" i="11" s="1"/>
  <c r="A1546" i="11"/>
  <c r="Z1546" i="11" s="1"/>
  <c r="A1547" i="11"/>
  <c r="Z1547" i="11" s="1"/>
  <c r="A1548" i="11"/>
  <c r="Z1548" i="11" s="1"/>
  <c r="A1549" i="11"/>
  <c r="A1550" i="11"/>
  <c r="Z1550" i="11" s="1"/>
  <c r="A1551" i="11"/>
  <c r="Z1551" i="11" s="1"/>
  <c r="A1552" i="11"/>
  <c r="A1553" i="11"/>
  <c r="A1554" i="11"/>
  <c r="Z1554" i="11" s="1"/>
  <c r="A1555" i="11"/>
  <c r="Z1555" i="11" s="1"/>
  <c r="A1556" i="11"/>
  <c r="Z1556" i="11" s="1"/>
  <c r="A1557" i="11"/>
  <c r="Z1557" i="11" s="1"/>
  <c r="A1558" i="11"/>
  <c r="Z1558" i="11" s="1"/>
  <c r="A1559" i="11"/>
  <c r="Z1559" i="11" s="1"/>
  <c r="A1560" i="11"/>
  <c r="Z1560" i="11" s="1"/>
  <c r="A1561" i="11"/>
  <c r="Z1561" i="11" s="1"/>
  <c r="A1562" i="11"/>
  <c r="Z1562" i="11" s="1"/>
  <c r="A1563" i="11"/>
  <c r="Z1563" i="11" s="1"/>
  <c r="A1564" i="11"/>
  <c r="A1565" i="11"/>
  <c r="A1566" i="11"/>
  <c r="Z1566" i="11" s="1"/>
  <c r="A1567" i="11"/>
  <c r="Z1567" i="11" s="1"/>
  <c r="A1568" i="11"/>
  <c r="Z1568" i="11" s="1"/>
  <c r="A1569" i="11"/>
  <c r="A1570" i="11"/>
  <c r="Z1570" i="11" s="1"/>
  <c r="A1571" i="11"/>
  <c r="Z1571" i="11" s="1"/>
  <c r="A1572" i="11"/>
  <c r="A1573" i="11"/>
  <c r="Z1573" i="11" s="1"/>
  <c r="A1574" i="11"/>
  <c r="Z1574" i="11" s="1"/>
  <c r="A1575" i="11"/>
  <c r="Z1575" i="11" s="1"/>
  <c r="A1576" i="11"/>
  <c r="Z1576" i="11" s="1"/>
  <c r="A1577" i="11"/>
  <c r="Z1577" i="11" s="1"/>
  <c r="A1578" i="11"/>
  <c r="Z1578" i="11" s="1"/>
  <c r="A1579" i="11"/>
  <c r="Z1579" i="11" s="1"/>
  <c r="A1580" i="11"/>
  <c r="Z1580" i="11" s="1"/>
  <c r="A1581" i="11"/>
  <c r="A1582" i="11"/>
  <c r="Z1582" i="11" s="1"/>
  <c r="A1583" i="11"/>
  <c r="Z1583" i="11" s="1"/>
  <c r="A1584" i="11"/>
  <c r="Z1584" i="11" s="1"/>
  <c r="A1585" i="11"/>
  <c r="A1586" i="11"/>
  <c r="Z1586" i="11" s="1"/>
  <c r="A1587" i="11"/>
  <c r="Z1587" i="11" s="1"/>
  <c r="A1588" i="11"/>
  <c r="Z1588" i="11" s="1"/>
  <c r="A1589" i="11"/>
  <c r="Z1589" i="11" s="1"/>
  <c r="A1590" i="11"/>
  <c r="Z1590" i="11" s="1"/>
  <c r="A1591" i="11"/>
  <c r="Z1591" i="11" s="1"/>
  <c r="A1592" i="11"/>
  <c r="Z1592" i="11" s="1"/>
  <c r="A1593" i="11"/>
  <c r="Z1593" i="11" s="1"/>
  <c r="A1594" i="11"/>
  <c r="Z1594" i="11" s="1"/>
  <c r="A1595" i="11"/>
  <c r="Z1595" i="11" s="1"/>
  <c r="A1596" i="11"/>
  <c r="Z1596" i="11" s="1"/>
  <c r="A1597" i="11"/>
  <c r="A1598" i="11"/>
  <c r="Z1598" i="11" s="1"/>
  <c r="A1599" i="11"/>
  <c r="Z1599" i="11" s="1"/>
  <c r="A1600" i="11"/>
  <c r="Z1600" i="11" s="1"/>
  <c r="A1601" i="11"/>
  <c r="A1602" i="11"/>
  <c r="Z1602" i="11" s="1"/>
  <c r="A1603" i="11"/>
  <c r="Z1603" i="11" s="1"/>
  <c r="A1604" i="11"/>
  <c r="Z1604" i="11" s="1"/>
  <c r="A1605" i="11"/>
  <c r="Z1605" i="11" s="1"/>
  <c r="A1606" i="11"/>
  <c r="Z1606" i="11" s="1"/>
  <c r="A1607" i="11"/>
  <c r="Z1607" i="11" s="1"/>
  <c r="A1608" i="11"/>
  <c r="Z1608" i="11" s="1"/>
  <c r="A1609" i="11"/>
  <c r="Z1609" i="11" s="1"/>
  <c r="A1610" i="11"/>
  <c r="Z1610" i="11" s="1"/>
  <c r="A1611" i="11"/>
  <c r="Z1611" i="11" s="1"/>
  <c r="A1612" i="11"/>
  <c r="Z1612" i="11" s="1"/>
  <c r="A1613" i="11"/>
  <c r="A1614" i="11"/>
  <c r="Z1614" i="11" s="1"/>
  <c r="A1615" i="11"/>
  <c r="Z1615" i="11" s="1"/>
  <c r="A1616" i="11"/>
  <c r="Z1616" i="11" s="1"/>
  <c r="A1617" i="11"/>
  <c r="A1618" i="11"/>
  <c r="Z1618" i="11" s="1"/>
  <c r="A1619" i="11"/>
  <c r="Z1619" i="11" s="1"/>
  <c r="A1620" i="11"/>
  <c r="Z1620" i="11" s="1"/>
  <c r="A1621" i="11"/>
  <c r="Z1621" i="11" s="1"/>
  <c r="A1622" i="11"/>
  <c r="Z1622" i="11" s="1"/>
  <c r="A1623" i="11"/>
  <c r="Z1623" i="11" s="1"/>
  <c r="A1624" i="11"/>
  <c r="Z1624" i="11" s="1"/>
  <c r="A1625" i="11"/>
  <c r="Z1625" i="11" s="1"/>
  <c r="A1626" i="11"/>
  <c r="Z1626" i="11" s="1"/>
  <c r="A1627" i="11"/>
  <c r="Z1627" i="11" s="1"/>
  <c r="A1628" i="11"/>
  <c r="Z1628" i="11" s="1"/>
  <c r="A1629" i="11"/>
  <c r="A1630" i="11"/>
  <c r="Z1630" i="11" s="1"/>
  <c r="A1631" i="11"/>
  <c r="Z1631" i="11" s="1"/>
  <c r="A1632" i="11"/>
  <c r="Z1632" i="11" s="1"/>
  <c r="A1633" i="11"/>
  <c r="A1634" i="11"/>
  <c r="Z1634" i="11" s="1"/>
  <c r="A1635" i="11"/>
  <c r="Z1635" i="11" s="1"/>
  <c r="A1636" i="11"/>
  <c r="Z1636" i="11" s="1"/>
  <c r="A1637" i="11"/>
  <c r="Z1637" i="11" s="1"/>
  <c r="A1638" i="11"/>
  <c r="Z1638" i="11" s="1"/>
  <c r="A1639" i="11"/>
  <c r="Z1639" i="11" s="1"/>
  <c r="A1640" i="11"/>
  <c r="A1641" i="11"/>
  <c r="Z1641" i="11" s="1"/>
  <c r="A1642" i="11"/>
  <c r="Z1642" i="11" s="1"/>
  <c r="A1643" i="11"/>
  <c r="Z1643" i="11" s="1"/>
  <c r="A1644" i="11"/>
  <c r="Z1644" i="11" s="1"/>
  <c r="A1645" i="11"/>
  <c r="A1646" i="11"/>
  <c r="Z1646" i="11" s="1"/>
  <c r="A1647" i="11"/>
  <c r="A1648" i="11"/>
  <c r="A1649" i="11"/>
  <c r="A1650" i="11"/>
  <c r="Z1650" i="11" s="1"/>
  <c r="A1651" i="11"/>
  <c r="Z1651" i="11" s="1"/>
  <c r="A1652" i="11"/>
  <c r="Z1652" i="11" s="1"/>
  <c r="A1653" i="11"/>
  <c r="Z1653" i="11" s="1"/>
  <c r="A1654" i="11"/>
  <c r="Z1654" i="11" s="1"/>
  <c r="A1655" i="11"/>
  <c r="Z1655" i="11" s="1"/>
  <c r="A1656" i="11"/>
  <c r="Z1656" i="11" s="1"/>
  <c r="A1657" i="11"/>
  <c r="Z1657" i="11" s="1"/>
  <c r="A1658" i="11"/>
  <c r="Z1658" i="11" s="1"/>
  <c r="A1659" i="11"/>
  <c r="Z1659" i="11" s="1"/>
  <c r="A1660" i="11"/>
  <c r="Z1660" i="11" s="1"/>
  <c r="A1661" i="11"/>
  <c r="A1662" i="11"/>
  <c r="Z1662" i="11" s="1"/>
  <c r="A1663" i="11"/>
  <c r="Z1663" i="11" s="1"/>
  <c r="A1664" i="11"/>
  <c r="Z1664" i="11" s="1"/>
  <c r="A1665" i="11"/>
  <c r="A1666" i="11"/>
  <c r="Z1666" i="11" s="1"/>
  <c r="A1667" i="11"/>
  <c r="Z1667" i="11" s="1"/>
  <c r="A1668" i="11"/>
  <c r="A1669" i="11"/>
  <c r="Z1669" i="11" s="1"/>
  <c r="A1670" i="11"/>
  <c r="Z1670" i="11" s="1"/>
  <c r="A1671" i="11"/>
  <c r="Z1671" i="11" s="1"/>
  <c r="A1672" i="11"/>
  <c r="Z1672" i="11" s="1"/>
  <c r="A1673" i="11"/>
  <c r="Z1673" i="11" s="1"/>
  <c r="A1674" i="11"/>
  <c r="Z1674" i="11" s="1"/>
  <c r="A1675" i="11"/>
  <c r="Z1675" i="11" s="1"/>
  <c r="A1676" i="11"/>
  <c r="Z1676" i="11" s="1"/>
  <c r="A1677" i="11"/>
  <c r="A1678" i="11"/>
  <c r="Z1678" i="11" s="1"/>
  <c r="A1679" i="11"/>
  <c r="A1680" i="11"/>
  <c r="Z1680" i="11" s="1"/>
  <c r="A1681" i="11"/>
  <c r="A1682" i="11"/>
  <c r="Z1682" i="11" s="1"/>
  <c r="A1683" i="11"/>
  <c r="Z1683" i="11" s="1"/>
  <c r="A1684" i="11"/>
  <c r="Z1684" i="11" s="1"/>
  <c r="A1685" i="11"/>
  <c r="Z1685" i="11" s="1"/>
  <c r="A1686" i="11"/>
  <c r="Z1686" i="11" s="1"/>
  <c r="A1687" i="11"/>
  <c r="Z1687" i="11" s="1"/>
  <c r="A1688" i="11"/>
  <c r="Z1688" i="11" s="1"/>
  <c r="A1689" i="11"/>
  <c r="Z1689" i="11" s="1"/>
  <c r="A1690" i="11"/>
  <c r="Z1690" i="11" s="1"/>
  <c r="A1691" i="11"/>
  <c r="Z1691" i="11" s="1"/>
  <c r="A1692" i="11"/>
  <c r="Z1692" i="11" s="1"/>
  <c r="A1693" i="11"/>
  <c r="A1694" i="11"/>
  <c r="Z1694" i="11" s="1"/>
  <c r="A1695" i="11"/>
  <c r="Z1695" i="11" s="1"/>
  <c r="A1696" i="11"/>
  <c r="Z1696" i="11" s="1"/>
  <c r="A1697" i="11"/>
  <c r="A1698" i="11"/>
  <c r="Z1698" i="11" s="1"/>
  <c r="A1699" i="11"/>
  <c r="Z1699" i="11" s="1"/>
  <c r="A1700" i="11"/>
  <c r="Z1700" i="11" s="1"/>
  <c r="A1701" i="11"/>
  <c r="Z1701" i="11" s="1"/>
  <c r="A1702" i="11"/>
  <c r="Z1702" i="11" s="1"/>
  <c r="A1703" i="11"/>
  <c r="Z1703" i="11" s="1"/>
  <c r="A1704" i="11"/>
  <c r="Z1704" i="11" s="1"/>
  <c r="A1705" i="11"/>
  <c r="Z1705" i="11" s="1"/>
  <c r="A1706" i="11"/>
  <c r="Z1706" i="11" s="1"/>
  <c r="A1707" i="11"/>
  <c r="Z1707" i="11" s="1"/>
  <c r="A1708" i="11"/>
  <c r="Z1708" i="11" s="1"/>
  <c r="A1709" i="11"/>
  <c r="A1710" i="11"/>
  <c r="Z1710" i="11" s="1"/>
  <c r="A1711" i="11"/>
  <c r="Z1711" i="11" s="1"/>
  <c r="A1712" i="11"/>
  <c r="Z1712" i="11" s="1"/>
  <c r="A1713" i="11"/>
  <c r="A1714" i="11"/>
  <c r="Z1714" i="11" s="1"/>
  <c r="A1715" i="11"/>
  <c r="Z1715" i="11" s="1"/>
  <c r="A1716" i="11"/>
  <c r="Z1716" i="11" s="1"/>
  <c r="A1717" i="11"/>
  <c r="Z1717" i="11" s="1"/>
  <c r="A1718" i="11"/>
  <c r="Z1718" i="11" s="1"/>
  <c r="A1719" i="11"/>
  <c r="A1720" i="11"/>
  <c r="A1721" i="11"/>
  <c r="Z1721" i="11" s="1"/>
  <c r="A1722" i="11"/>
  <c r="Z1722" i="11" s="1"/>
  <c r="A1723" i="11"/>
  <c r="Z1723" i="11" s="1"/>
  <c r="A1724" i="11"/>
  <c r="Z1724" i="11" s="1"/>
  <c r="A1725" i="11"/>
  <c r="A1726" i="11"/>
  <c r="Z1726" i="11" s="1"/>
  <c r="A1727" i="11"/>
  <c r="Z1727" i="11" s="1"/>
  <c r="A1728" i="11"/>
  <c r="Z1728" i="11" s="1"/>
  <c r="A1729" i="11"/>
  <c r="A1730" i="11"/>
  <c r="Z1730" i="11" s="1"/>
  <c r="A1731" i="11"/>
  <c r="Z1731" i="11" s="1"/>
  <c r="A1732" i="11"/>
  <c r="Z1732" i="11" s="1"/>
  <c r="A1733" i="11"/>
  <c r="Z1733" i="11" s="1"/>
  <c r="A1734" i="11"/>
  <c r="Z1734" i="11" s="1"/>
  <c r="A1735" i="11"/>
  <c r="Z1735" i="11" s="1"/>
  <c r="A1736" i="11"/>
  <c r="Z1736" i="11" s="1"/>
  <c r="A1737" i="11"/>
  <c r="Z1737" i="11" s="1"/>
  <c r="A1738" i="11"/>
  <c r="Z1738" i="11" s="1"/>
  <c r="A1739" i="11"/>
  <c r="Z1739" i="11" s="1"/>
  <c r="A1740" i="11"/>
  <c r="Z1740" i="11" s="1"/>
  <c r="A1741" i="11"/>
  <c r="A1742" i="11"/>
  <c r="Z1742" i="11" s="1"/>
  <c r="A1743" i="11"/>
  <c r="Z1743" i="11" s="1"/>
  <c r="A1744" i="11"/>
  <c r="Z1744" i="11" s="1"/>
  <c r="A1745" i="11"/>
  <c r="A1746" i="11"/>
  <c r="Z1746" i="11" s="1"/>
  <c r="A1747" i="11"/>
  <c r="Z1747" i="11" s="1"/>
  <c r="A1748" i="11"/>
  <c r="Z1748" i="11" s="1"/>
  <c r="A1749" i="11"/>
  <c r="Z1749" i="11" s="1"/>
  <c r="A1750" i="11"/>
  <c r="Z1750" i="11" s="1"/>
  <c r="A1751" i="11"/>
  <c r="Z1751" i="11" s="1"/>
  <c r="A1752" i="11"/>
  <c r="A1753" i="11"/>
  <c r="Z1753" i="11" s="1"/>
  <c r="A1754" i="11"/>
  <c r="Z1754" i="11" s="1"/>
  <c r="A1755" i="11"/>
  <c r="Z1755" i="11" s="1"/>
  <c r="A1756" i="11"/>
  <c r="Z1756" i="11" s="1"/>
  <c r="A1757" i="11"/>
  <c r="A1758" i="11"/>
  <c r="Z1758" i="11" s="1"/>
  <c r="A1759" i="11"/>
  <c r="Z1759" i="11" s="1"/>
  <c r="A1760" i="11"/>
  <c r="A1761" i="11"/>
  <c r="A1762" i="11"/>
  <c r="Z1762" i="11" s="1"/>
  <c r="A1763" i="11"/>
  <c r="Z1763" i="11" s="1"/>
  <c r="A1764" i="11"/>
  <c r="Z1764" i="11" s="1"/>
  <c r="A1765" i="11"/>
  <c r="Z1765" i="11" s="1"/>
  <c r="A1766" i="11"/>
  <c r="Z1766" i="11" s="1"/>
  <c r="A1767" i="11"/>
  <c r="Z1767" i="11" s="1"/>
  <c r="A1768" i="11"/>
  <c r="A1769" i="11"/>
  <c r="Z1769" i="11" s="1"/>
  <c r="A1770" i="11"/>
  <c r="Z1770" i="11" s="1"/>
  <c r="A1771" i="11"/>
  <c r="Z1771" i="11" s="1"/>
  <c r="A1772" i="11"/>
  <c r="Z1772" i="11" s="1"/>
  <c r="A1773" i="11"/>
  <c r="A1774" i="11"/>
  <c r="Z1774" i="11" s="1"/>
  <c r="A1775" i="11"/>
  <c r="Z1775" i="11" s="1"/>
  <c r="A1776" i="11"/>
  <c r="A1777" i="11"/>
  <c r="A1778" i="11"/>
  <c r="Z1778" i="11" s="1"/>
  <c r="A1779" i="11"/>
  <c r="Z1779" i="11" s="1"/>
  <c r="A1780" i="11"/>
  <c r="Z1780" i="11" s="1"/>
  <c r="A1781" i="11"/>
  <c r="Z1781" i="11" s="1"/>
  <c r="A1782" i="11"/>
  <c r="Z1782" i="11" s="1"/>
  <c r="A1783" i="11"/>
  <c r="Z1783" i="11" s="1"/>
  <c r="A1784" i="11"/>
  <c r="A1785" i="11"/>
  <c r="Z1785" i="11" s="1"/>
  <c r="A1786" i="11"/>
  <c r="Z1786" i="11" s="1"/>
  <c r="A1787" i="11"/>
  <c r="Z1787" i="11" s="1"/>
  <c r="A1788" i="11"/>
  <c r="Z1788" i="11" s="1"/>
  <c r="A1789" i="11"/>
  <c r="A1790" i="11"/>
  <c r="Z1790" i="11" s="1"/>
  <c r="A1791" i="11"/>
  <c r="Z1791" i="11" s="1"/>
  <c r="A1792" i="11"/>
  <c r="A1793" i="11"/>
  <c r="A1794" i="11"/>
  <c r="Z1794" i="11" s="1"/>
  <c r="A1795" i="11"/>
  <c r="Z1795" i="11" s="1"/>
  <c r="A1796" i="11"/>
  <c r="Z1796" i="11" s="1"/>
  <c r="A1797" i="11"/>
  <c r="Z1797" i="11" s="1"/>
  <c r="A1798" i="11"/>
  <c r="Z1798" i="11" s="1"/>
  <c r="A1799" i="11"/>
  <c r="Z1799" i="11" s="1"/>
  <c r="A1800" i="11"/>
  <c r="A1801" i="11"/>
  <c r="Z1801" i="11" s="1"/>
  <c r="A1802" i="11"/>
  <c r="Z1802" i="11" s="1"/>
  <c r="A1803" i="11"/>
  <c r="Z1803" i="11" s="1"/>
  <c r="A1804" i="11"/>
  <c r="Z1804" i="11" s="1"/>
  <c r="A1805" i="11"/>
  <c r="A1806" i="11"/>
  <c r="Z1806" i="11" s="1"/>
  <c r="A1807" i="11"/>
  <c r="Z1807" i="11" s="1"/>
  <c r="A1808" i="11"/>
  <c r="Z1808" i="11" s="1"/>
  <c r="A1809" i="11"/>
  <c r="A1810" i="11"/>
  <c r="Z1810" i="11" s="1"/>
  <c r="A1811" i="11"/>
  <c r="Z1811" i="11" s="1"/>
  <c r="A1812" i="11"/>
  <c r="Z1812" i="11" s="1"/>
  <c r="A1813" i="11"/>
  <c r="Z1813" i="11" s="1"/>
  <c r="A1814" i="11"/>
  <c r="Z1814" i="11" s="1"/>
  <c r="A1815" i="11"/>
  <c r="A1816" i="11"/>
  <c r="Z1816" i="11" s="1"/>
  <c r="A1817" i="11"/>
  <c r="Z1817" i="11" s="1"/>
  <c r="A1818" i="11"/>
  <c r="Z1818" i="11" s="1"/>
  <c r="A1819" i="11"/>
  <c r="Z1819" i="11" s="1"/>
  <c r="A1820" i="11"/>
  <c r="Z1820" i="11" s="1"/>
  <c r="A1821" i="11"/>
  <c r="A1822" i="11"/>
  <c r="Z1822" i="11" s="1"/>
  <c r="A1823" i="11"/>
  <c r="Z1823" i="11" s="1"/>
  <c r="A1824" i="11"/>
  <c r="A1825" i="11"/>
  <c r="A1826" i="11"/>
  <c r="Z1826" i="11" s="1"/>
  <c r="A1827" i="11"/>
  <c r="Z1827" i="11" s="1"/>
  <c r="A1828" i="11"/>
  <c r="Z1828" i="11" s="1"/>
  <c r="A1829" i="11"/>
  <c r="Z1829" i="11" s="1"/>
  <c r="A1830" i="11"/>
  <c r="Z1830" i="11" s="1"/>
  <c r="A1831" i="11"/>
  <c r="Z1831" i="11" s="1"/>
  <c r="A1832" i="11"/>
  <c r="A1833" i="11"/>
  <c r="Z1833" i="11" s="1"/>
  <c r="A1834" i="11"/>
  <c r="Z1834" i="11" s="1"/>
  <c r="A1835" i="11"/>
  <c r="Z1835" i="11" s="1"/>
  <c r="A1836" i="11"/>
  <c r="Z1836" i="11" s="1"/>
  <c r="A1837" i="11"/>
  <c r="A1838" i="11"/>
  <c r="Z1838" i="11" s="1"/>
  <c r="A1839" i="11"/>
  <c r="Z1839" i="11" s="1"/>
  <c r="A1840" i="11"/>
  <c r="A1841" i="11"/>
  <c r="A1842" i="11"/>
  <c r="Z1842" i="11" s="1"/>
  <c r="A1843" i="11"/>
  <c r="Z1843" i="11" s="1"/>
  <c r="A1844" i="11"/>
  <c r="Z1844" i="11" s="1"/>
  <c r="A1845" i="11"/>
  <c r="Z1845" i="11" s="1"/>
  <c r="A1846" i="11"/>
  <c r="Z1846" i="11" s="1"/>
  <c r="A1847" i="11"/>
  <c r="A1848" i="11"/>
  <c r="A1849" i="11"/>
  <c r="Z1849" i="11" s="1"/>
  <c r="A1850" i="11"/>
  <c r="Z1850" i="11" s="1"/>
  <c r="A1851" i="11"/>
  <c r="Z1851" i="11" s="1"/>
  <c r="A1852" i="11"/>
  <c r="Z1852" i="11" s="1"/>
  <c r="A1853" i="11"/>
  <c r="A1854" i="11"/>
  <c r="Z1854" i="11" s="1"/>
  <c r="A1855" i="11"/>
  <c r="Z1855" i="11" s="1"/>
  <c r="A1856" i="11"/>
  <c r="Z1856" i="11" s="1"/>
  <c r="A1857" i="11"/>
  <c r="A1858" i="11"/>
  <c r="Z1858" i="11" s="1"/>
  <c r="A1859" i="11"/>
  <c r="Z1859" i="11" s="1"/>
  <c r="A1860" i="11"/>
  <c r="Z1860" i="11" s="1"/>
  <c r="A1861" i="11"/>
  <c r="Z1861" i="11" s="1"/>
  <c r="A1862" i="11"/>
  <c r="Z1862" i="11" s="1"/>
  <c r="A1863" i="11"/>
  <c r="Z1863" i="11" s="1"/>
  <c r="A1864" i="11"/>
  <c r="Z1864" i="11" s="1"/>
  <c r="A1865" i="11"/>
  <c r="Z1865" i="11" s="1"/>
  <c r="A1866" i="11"/>
  <c r="Z1866" i="11" s="1"/>
  <c r="A1867" i="11"/>
  <c r="Z1867" i="11" s="1"/>
  <c r="A1868" i="11"/>
  <c r="A1869" i="11"/>
  <c r="A1870" i="11"/>
  <c r="Z1870" i="11" s="1"/>
  <c r="A1871" i="11"/>
  <c r="Z1871" i="11" s="1"/>
  <c r="A1872" i="11"/>
  <c r="Z1872" i="11" s="1"/>
  <c r="A1873" i="11"/>
  <c r="A1874" i="11"/>
  <c r="Z1874" i="11" s="1"/>
  <c r="A1875" i="11"/>
  <c r="Z1875" i="11" s="1"/>
  <c r="A1876" i="11"/>
  <c r="Z1876" i="11" s="1"/>
  <c r="A1877" i="11"/>
  <c r="Z1877" i="11" s="1"/>
  <c r="A1878" i="11"/>
  <c r="Z1878" i="11" s="1"/>
  <c r="A1879" i="11"/>
  <c r="Z1879" i="11" s="1"/>
  <c r="A1880" i="11"/>
  <c r="Z1880" i="11" s="1"/>
  <c r="A1881" i="11"/>
  <c r="Z1881" i="11" s="1"/>
  <c r="A1882" i="11"/>
  <c r="Z1882" i="11" s="1"/>
  <c r="A1883" i="11"/>
  <c r="A1884" i="11"/>
  <c r="A1885" i="11"/>
  <c r="A1886" i="11"/>
  <c r="Z1886" i="11" s="1"/>
  <c r="A1887" i="11"/>
  <c r="Z1887" i="11" s="1"/>
  <c r="A1888" i="11"/>
  <c r="Z1888" i="11" s="1"/>
  <c r="A1889" i="11"/>
  <c r="A1890" i="11"/>
  <c r="Z1890" i="11" s="1"/>
  <c r="A1891" i="11"/>
  <c r="Z1891" i="11" s="1"/>
  <c r="A1892" i="11"/>
  <c r="A1893" i="11"/>
  <c r="Z1893" i="11" s="1"/>
  <c r="A1894" i="11"/>
  <c r="Z1894" i="11" s="1"/>
  <c r="A1895" i="11"/>
  <c r="Z1895" i="11" s="1"/>
  <c r="A1896" i="11"/>
  <c r="Z1896" i="11" s="1"/>
  <c r="A1897" i="11"/>
  <c r="Z1897" i="11" s="1"/>
  <c r="A1898" i="11"/>
  <c r="Z1898" i="11" s="1"/>
  <c r="A1899" i="11"/>
  <c r="Z1899" i="11" s="1"/>
  <c r="A1900" i="11"/>
  <c r="Z1900" i="11" s="1"/>
  <c r="A1901" i="11"/>
  <c r="A1902" i="11"/>
  <c r="Z1902" i="11" s="1"/>
  <c r="A1903" i="11"/>
  <c r="Z1903" i="11" s="1"/>
  <c r="A1904" i="11"/>
  <c r="Z1904" i="11" s="1"/>
  <c r="A1905" i="11"/>
  <c r="A1906" i="11"/>
  <c r="Z1906" i="11" s="1"/>
  <c r="A1907" i="11"/>
  <c r="Z1907" i="11" s="1"/>
  <c r="A1908" i="11"/>
  <c r="Z1908" i="11" s="1"/>
  <c r="A1909" i="11"/>
  <c r="Z1909" i="11" s="1"/>
  <c r="A1910" i="11"/>
  <c r="Z1910" i="11" s="1"/>
  <c r="A1911" i="11"/>
  <c r="Z1911" i="11" s="1"/>
  <c r="A1912" i="11"/>
  <c r="Z1912" i="11" s="1"/>
  <c r="A1913" i="11"/>
  <c r="Z1913" i="11" s="1"/>
  <c r="A1914" i="11"/>
  <c r="Z1914" i="11" s="1"/>
  <c r="A1915" i="11"/>
  <c r="A1916" i="11"/>
  <c r="A1917" i="11"/>
  <c r="A1918" i="11"/>
  <c r="Z1918" i="11" s="1"/>
  <c r="A1919" i="11"/>
  <c r="Z1919" i="11" s="1"/>
  <c r="A1920" i="11"/>
  <c r="Z1920" i="11" s="1"/>
  <c r="A1921" i="11"/>
  <c r="A1922" i="11"/>
  <c r="Z1922" i="11" s="1"/>
  <c r="A1923" i="11"/>
  <c r="A1924" i="11"/>
  <c r="Z1924" i="11" s="1"/>
  <c r="A1925" i="11"/>
  <c r="Z1925" i="11" s="1"/>
  <c r="A1926" i="11"/>
  <c r="Z1926" i="11" s="1"/>
  <c r="A1927" i="11"/>
  <c r="Z1927" i="11" s="1"/>
  <c r="A1928" i="11"/>
  <c r="Z1928" i="11" s="1"/>
  <c r="A1929" i="11"/>
  <c r="Z1929" i="11" s="1"/>
  <c r="A1930" i="11"/>
  <c r="Z1930" i="11" s="1"/>
  <c r="A1931" i="11"/>
  <c r="Z1931" i="11" s="1"/>
  <c r="A1932" i="11"/>
  <c r="A1933" i="11"/>
  <c r="A1934" i="11"/>
  <c r="Z1934" i="11" s="1"/>
  <c r="A1935" i="11"/>
  <c r="Z1935" i="11" s="1"/>
  <c r="A1936" i="11"/>
  <c r="Z1936" i="11" s="1"/>
  <c r="A1937" i="11"/>
  <c r="Z1937" i="11" s="1"/>
  <c r="A1938" i="11"/>
  <c r="Z1938" i="11" s="1"/>
  <c r="A1939" i="11"/>
  <c r="Z1939" i="11" s="1"/>
  <c r="A1940" i="11"/>
  <c r="A1941" i="11"/>
  <c r="Z1941" i="11" s="1"/>
  <c r="A1942" i="11"/>
  <c r="Z1942" i="11" s="1"/>
  <c r="A1943" i="11"/>
  <c r="Z1943" i="11" s="1"/>
  <c r="A1944" i="11"/>
  <c r="Z1944" i="11" s="1"/>
  <c r="A1945" i="11"/>
  <c r="Z1945" i="11" s="1"/>
  <c r="A1946" i="11"/>
  <c r="Z1946" i="11" s="1"/>
  <c r="A1947" i="11"/>
  <c r="Z1947" i="11" s="1"/>
  <c r="A1948" i="11"/>
  <c r="Z1948" i="11" s="1"/>
  <c r="A1949" i="11"/>
  <c r="A1950" i="11"/>
  <c r="Z1950" i="11" s="1"/>
  <c r="A1951" i="11"/>
  <c r="Z1951" i="11" s="1"/>
  <c r="A1952" i="11"/>
  <c r="Z1952" i="11" s="1"/>
  <c r="A1953" i="11"/>
  <c r="A1954" i="11"/>
  <c r="Z1954" i="11" s="1"/>
  <c r="A1955" i="11"/>
  <c r="Z1955" i="11" s="1"/>
  <c r="A1956" i="11"/>
  <c r="Z1956" i="11" s="1"/>
  <c r="A1957" i="11"/>
  <c r="Z1957" i="11" s="1"/>
  <c r="A1958" i="11"/>
  <c r="Z1958" i="11" s="1"/>
  <c r="A1959" i="11"/>
  <c r="Z1959" i="11" s="1"/>
  <c r="A1960" i="11"/>
  <c r="Z1960" i="11" s="1"/>
  <c r="A1961" i="11"/>
  <c r="Z1961" i="11" s="1"/>
  <c r="A1962" i="11"/>
  <c r="Z1962" i="11" s="1"/>
  <c r="A1963" i="11"/>
  <c r="Z1963" i="11" s="1"/>
  <c r="A1964" i="11"/>
  <c r="Z1964" i="11" s="1"/>
  <c r="A1965" i="11"/>
  <c r="A1966" i="11"/>
  <c r="Z1966" i="11" s="1"/>
  <c r="A1967" i="11"/>
  <c r="Z1967" i="11" s="1"/>
  <c r="A1968" i="11"/>
  <c r="A1969" i="11"/>
  <c r="Z1969" i="11" s="1"/>
  <c r="A1970" i="11"/>
  <c r="Z1970" i="11" s="1"/>
  <c r="A1971" i="11"/>
  <c r="Z1971" i="11" s="1"/>
  <c r="A1972" i="11"/>
  <c r="Z1972" i="11" s="1"/>
  <c r="A1973" i="11"/>
  <c r="Z1973" i="11" s="1"/>
  <c r="A1974" i="11"/>
  <c r="Z1974" i="11" s="1"/>
  <c r="A1975" i="11"/>
  <c r="Z1975" i="11" s="1"/>
  <c r="A1976" i="11"/>
  <c r="Z1976" i="11" s="1"/>
  <c r="A1977" i="11"/>
  <c r="Z1977" i="11" s="1"/>
  <c r="A1978" i="11"/>
  <c r="Z1978" i="11" s="1"/>
  <c r="A1979" i="11"/>
  <c r="Z1979" i="11" s="1"/>
  <c r="A1980" i="11"/>
  <c r="Z1980" i="11" s="1"/>
  <c r="A1981" i="11"/>
  <c r="A1982" i="11"/>
  <c r="Z1982" i="11" s="1"/>
  <c r="A1983" i="11"/>
  <c r="Z1983" i="11" s="1"/>
  <c r="A1984" i="11"/>
  <c r="Z1984" i="11" s="1"/>
  <c r="A1985" i="11"/>
  <c r="A1986" i="11"/>
  <c r="Z1986" i="11" s="1"/>
  <c r="A1987" i="11"/>
  <c r="Z1987" i="11" s="1"/>
  <c r="A1988" i="11"/>
  <c r="Z1988" i="11" s="1"/>
  <c r="A1989" i="11"/>
  <c r="Z1989" i="11" s="1"/>
  <c r="A1990" i="11"/>
  <c r="Z1990" i="11" s="1"/>
  <c r="A1991" i="11"/>
  <c r="Z1991" i="11" s="1"/>
  <c r="A1992" i="11"/>
  <c r="Z1992" i="11" s="1"/>
  <c r="A1993" i="11"/>
  <c r="Z1993" i="11" s="1"/>
  <c r="A1994" i="11"/>
  <c r="Z1994" i="11" s="1"/>
  <c r="A1995" i="11"/>
  <c r="Z1995" i="11" s="1"/>
  <c r="A1996" i="11"/>
  <c r="Z1996" i="11" s="1"/>
  <c r="A1997" i="11"/>
  <c r="A1998" i="11"/>
  <c r="Z1998" i="11" s="1"/>
  <c r="A1999" i="11"/>
  <c r="Z1999" i="11" s="1"/>
  <c r="A2000" i="11"/>
  <c r="Z739" i="11"/>
  <c r="Z740" i="11"/>
  <c r="Z756" i="11"/>
  <c r="Z760" i="11"/>
  <c r="Z763" i="11"/>
  <c r="Z772" i="11"/>
  <c r="Z803" i="11"/>
  <c r="Z804" i="11"/>
  <c r="Z820" i="11"/>
  <c r="Z831" i="11"/>
  <c r="Z832" i="11"/>
  <c r="Z848" i="11"/>
  <c r="Z855" i="11"/>
  <c r="Z876" i="11"/>
  <c r="Z887" i="11"/>
  <c r="Z892" i="11"/>
  <c r="Z904" i="11"/>
  <c r="Z948" i="11"/>
  <c r="Z960" i="11"/>
  <c r="Z962" i="11"/>
  <c r="Z972" i="11"/>
  <c r="Z996" i="11"/>
  <c r="Z1016" i="11"/>
  <c r="Z1036" i="11"/>
  <c r="Z1060" i="11"/>
  <c r="Z1080" i="11"/>
  <c r="Z1100" i="11"/>
  <c r="Z1124" i="11"/>
  <c r="Z1144" i="11"/>
  <c r="Z1164" i="11"/>
  <c r="Z1188" i="11"/>
  <c r="Z1208" i="11"/>
  <c r="Z1228" i="11"/>
  <c r="Z1252" i="11"/>
  <c r="Z1272" i="11"/>
  <c r="Z1292" i="11"/>
  <c r="Z1316" i="11"/>
  <c r="Z1336" i="11"/>
  <c r="Z1356" i="11"/>
  <c r="Z1361" i="11"/>
  <c r="Z1371" i="11"/>
  <c r="Z1373" i="11"/>
  <c r="Z1377" i="11"/>
  <c r="Z1380" i="11"/>
  <c r="Z1389" i="11"/>
  <c r="Z1392" i="11"/>
  <c r="Z1393" i="11"/>
  <c r="Z1400" i="11"/>
  <c r="Z1405" i="11"/>
  <c r="Z1409" i="11"/>
  <c r="Z1412" i="11"/>
  <c r="Z1421" i="11"/>
  <c r="Z1424" i="11"/>
  <c r="Z1425" i="11"/>
  <c r="Z1437" i="11"/>
  <c r="Z1441" i="11"/>
  <c r="Z1453" i="11"/>
  <c r="Z1456" i="11"/>
  <c r="Z1457" i="11"/>
  <c r="Z1468" i="11"/>
  <c r="Z1469" i="11"/>
  <c r="Z1473" i="11"/>
  <c r="Z1476" i="11"/>
  <c r="Z1485" i="11"/>
  <c r="Z1489" i="11"/>
  <c r="Z1500" i="11"/>
  <c r="Z1501" i="11"/>
  <c r="Z1505" i="11"/>
  <c r="Z1517" i="11"/>
  <c r="Z1521" i="11"/>
  <c r="Z1532" i="11"/>
  <c r="Z1533" i="11"/>
  <c r="Z1537" i="11"/>
  <c r="Z1540" i="11"/>
  <c r="Z1549" i="11"/>
  <c r="Z1552" i="11"/>
  <c r="Z1553" i="11"/>
  <c r="Z1564" i="11"/>
  <c r="Z1565" i="11"/>
  <c r="Z1569" i="11"/>
  <c r="Z1572" i="11"/>
  <c r="Z1581" i="11"/>
  <c r="Z1585" i="11"/>
  <c r="Z1597" i="11"/>
  <c r="Z1601" i="11"/>
  <c r="Z1613" i="11"/>
  <c r="Z1617" i="11"/>
  <c r="Z1629" i="11"/>
  <c r="Z1633" i="11"/>
  <c r="Z1640" i="11"/>
  <c r="Z1645" i="11"/>
  <c r="Z1647" i="11"/>
  <c r="Z1648" i="11"/>
  <c r="Z1649" i="11"/>
  <c r="Z1661" i="11"/>
  <c r="Z1665" i="11"/>
  <c r="Z1668" i="11"/>
  <c r="Z1677" i="11"/>
  <c r="Z1679" i="11"/>
  <c r="Z1681" i="11"/>
  <c r="Z1693" i="11"/>
  <c r="Z1697" i="11"/>
  <c r="Z1709" i="11"/>
  <c r="Z1713" i="11"/>
  <c r="Z1719" i="11"/>
  <c r="Z1720" i="11"/>
  <c r="Z1725" i="11"/>
  <c r="Z1729" i="11"/>
  <c r="Z1741" i="11"/>
  <c r="Z1745" i="11"/>
  <c r="Z1752" i="11"/>
  <c r="Z1757" i="11"/>
  <c r="Z1760" i="11"/>
  <c r="Z1761" i="11"/>
  <c r="Z1768" i="11"/>
  <c r="Z1773" i="11"/>
  <c r="Z1776" i="11"/>
  <c r="Z1777" i="11"/>
  <c r="Z1784" i="11"/>
  <c r="Z1789" i="11"/>
  <c r="Z1792" i="11"/>
  <c r="Z1793" i="11"/>
  <c r="Z1800" i="11"/>
  <c r="Z1805" i="11"/>
  <c r="Z1809" i="11"/>
  <c r="Z1815" i="11"/>
  <c r="Z1821" i="11"/>
  <c r="Z1824" i="11"/>
  <c r="Z1825" i="11"/>
  <c r="Z1832" i="11"/>
  <c r="Z1837" i="11"/>
  <c r="Z1840" i="11"/>
  <c r="Z1841" i="11"/>
  <c r="Z1847" i="11"/>
  <c r="Z1848" i="11"/>
  <c r="Z1853" i="11"/>
  <c r="Z1857" i="11"/>
  <c r="Z1868" i="11"/>
  <c r="Z1869" i="11"/>
  <c r="Z1873" i="11"/>
  <c r="Z1883" i="11"/>
  <c r="Z1884" i="11"/>
  <c r="Z1885" i="11"/>
  <c r="Z1889" i="11"/>
  <c r="Z1892" i="11"/>
  <c r="Z1901" i="11"/>
  <c r="Z1905" i="11"/>
  <c r="Z1915" i="11"/>
  <c r="Z1916" i="11"/>
  <c r="Z1917" i="11"/>
  <c r="Z1921" i="11"/>
  <c r="Z1923" i="11"/>
  <c r="Z1932" i="11"/>
  <c r="Z1933" i="11"/>
  <c r="Z1940" i="11"/>
  <c r="Z1949" i="11"/>
  <c r="Z1953" i="11"/>
  <c r="Z1965" i="11"/>
  <c r="Z1968" i="11"/>
  <c r="Z1981" i="11"/>
  <c r="Z1985" i="11"/>
  <c r="Z1997" i="11"/>
  <c r="Z2000" i="11"/>
  <c r="V1" i="16"/>
  <c r="U1" i="16"/>
  <c r="B3" i="16"/>
  <c r="F40" i="9"/>
  <c r="F41" i="9"/>
  <c r="U8" i="15"/>
  <c r="U3" i="15"/>
  <c r="B4" i="16" l="1"/>
  <c r="P2" i="16"/>
  <c r="Q2" i="16"/>
  <c r="Z706" i="11"/>
  <c r="Z702" i="11"/>
  <c r="Z698" i="11"/>
  <c r="Z694" i="11"/>
  <c r="Z690" i="11"/>
  <c r="Z686" i="11"/>
  <c r="Z682" i="11"/>
  <c r="Z708" i="11"/>
  <c r="Z704" i="11"/>
  <c r="Z700" i="11"/>
  <c r="Z696" i="11"/>
  <c r="Z691" i="11"/>
  <c r="Z685" i="11"/>
  <c r="Z680" i="11"/>
  <c r="Z693" i="11"/>
  <c r="Z688" i="11"/>
  <c r="Z683" i="11"/>
  <c r="Z709" i="11"/>
  <c r="Z705" i="11"/>
  <c r="Z701" i="11"/>
  <c r="Z697" i="11"/>
  <c r="Z692" i="11"/>
  <c r="Z681" i="11"/>
  <c r="K3" i="16"/>
  <c r="M3" i="16" s="1"/>
  <c r="T1" i="15"/>
  <c r="T3" i="15"/>
  <c r="B5" i="16" l="1"/>
  <c r="R2" i="16"/>
  <c r="X2" i="16" s="1"/>
  <c r="Q3" i="16"/>
  <c r="P3" i="16"/>
  <c r="K4" i="16"/>
  <c r="M4" i="16" s="1"/>
  <c r="A2" i="20"/>
  <c r="BB44" i="10"/>
  <c r="B6" i="16" l="1"/>
  <c r="R3" i="16"/>
  <c r="X3" i="16" s="1"/>
  <c r="Q4" i="16"/>
  <c r="P4" i="16"/>
  <c r="K5" i="16"/>
  <c r="M5" i="16" s="1"/>
  <c r="AW31" i="10"/>
  <c r="BB31" i="10" s="1"/>
  <c r="AW32" i="10"/>
  <c r="BB32" i="10" s="1"/>
  <c r="AW33" i="10"/>
  <c r="BB33" i="10" s="1"/>
  <c r="AW34" i="10"/>
  <c r="BB34" i="10" s="1"/>
  <c r="AW35" i="10"/>
  <c r="BB35" i="10" s="1"/>
  <c r="AW36" i="10"/>
  <c r="BB36" i="10" s="1"/>
  <c r="AW37" i="10"/>
  <c r="BB37" i="10" s="1"/>
  <c r="AW38" i="10"/>
  <c r="BB38" i="10" s="1"/>
  <c r="AW39" i="10"/>
  <c r="BB39" i="10" s="1"/>
  <c r="AW40" i="10"/>
  <c r="BB40" i="10" s="1"/>
  <c r="AW41" i="10"/>
  <c r="BB41" i="10" s="1"/>
  <c r="AW42" i="10"/>
  <c r="BB42" i="10" s="1"/>
  <c r="AW43" i="10"/>
  <c r="BB43" i="10" s="1"/>
  <c r="BC43" i="10" s="1"/>
  <c r="G3" i="8" s="1"/>
  <c r="B7" i="16" l="1"/>
  <c r="Q5" i="16"/>
  <c r="P5" i="16"/>
  <c r="R4" i="16"/>
  <c r="X4" i="16" s="1"/>
  <c r="K6" i="16"/>
  <c r="M6" i="16" s="1"/>
  <c r="BC41" i="10"/>
  <c r="BC37" i="10"/>
  <c r="BC33" i="10"/>
  <c r="BC39" i="10"/>
  <c r="BC31" i="10"/>
  <c r="BC42" i="10"/>
  <c r="BC38" i="10"/>
  <c r="BC34" i="10"/>
  <c r="BC40" i="10"/>
  <c r="BC32" i="10"/>
  <c r="BC36" i="10"/>
  <c r="BC35" i="10"/>
  <c r="AZ34" i="10"/>
  <c r="AZ33" i="10"/>
  <c r="AZ32" i="10"/>
  <c r="AZ31" i="10"/>
  <c r="BB14" i="18"/>
  <c r="BB15" i="18"/>
  <c r="BB16" i="18"/>
  <c r="BB17" i="18"/>
  <c r="BB18" i="18"/>
  <c r="BB19" i="18"/>
  <c r="BB20" i="18"/>
  <c r="BB21" i="18"/>
  <c r="BB22" i="18"/>
  <c r="BB23" i="18"/>
  <c r="BB24" i="18"/>
  <c r="BB25" i="18"/>
  <c r="BB26" i="18"/>
  <c r="BB27" i="18"/>
  <c r="BB28" i="18"/>
  <c r="BB29" i="18"/>
  <c r="BB30" i="18"/>
  <c r="BB31" i="18"/>
  <c r="BB32" i="18"/>
  <c r="BB33" i="18"/>
  <c r="BB34" i="18"/>
  <c r="BB35" i="18"/>
  <c r="BB36" i="18"/>
  <c r="BB37" i="18"/>
  <c r="BB38" i="18"/>
  <c r="BB39" i="18"/>
  <c r="BB40" i="18"/>
  <c r="BB41" i="18"/>
  <c r="BB42" i="18"/>
  <c r="BB43" i="18"/>
  <c r="BB44" i="18"/>
  <c r="BB45" i="18"/>
  <c r="BB46" i="18"/>
  <c r="BB47" i="18"/>
  <c r="BB48" i="18"/>
  <c r="BB49" i="18"/>
  <c r="BB50" i="18"/>
  <c r="BB51" i="18"/>
  <c r="BB52" i="18"/>
  <c r="BB53" i="18"/>
  <c r="BB54" i="18"/>
  <c r="BB55" i="18"/>
  <c r="BB56" i="18"/>
  <c r="BB57" i="18"/>
  <c r="BB58" i="18"/>
  <c r="BB59" i="18"/>
  <c r="BB60" i="18"/>
  <c r="BB61" i="18"/>
  <c r="BB62" i="18"/>
  <c r="BB63" i="18"/>
  <c r="BB64" i="18"/>
  <c r="BB65" i="18"/>
  <c r="BB66" i="18"/>
  <c r="BB67" i="18"/>
  <c r="BB68" i="18"/>
  <c r="BB69" i="18"/>
  <c r="BB70" i="18"/>
  <c r="BB71" i="18"/>
  <c r="BB72" i="18"/>
  <c r="BB73" i="18"/>
  <c r="BB74" i="18"/>
  <c r="BB75" i="18"/>
  <c r="BB76" i="18"/>
  <c r="BB77" i="18"/>
  <c r="BB78" i="18"/>
  <c r="BB79" i="18"/>
  <c r="BB80" i="18"/>
  <c r="BB81" i="18"/>
  <c r="BB82" i="18"/>
  <c r="BB83" i="18"/>
  <c r="BB84" i="18"/>
  <c r="BB85" i="18"/>
  <c r="BB86" i="18"/>
  <c r="BB87" i="18"/>
  <c r="BB88" i="18"/>
  <c r="BB89" i="18"/>
  <c r="BB90" i="18"/>
  <c r="BB91" i="18"/>
  <c r="BB92" i="18"/>
  <c r="BB93" i="18"/>
  <c r="BB94" i="18"/>
  <c r="BB95" i="18"/>
  <c r="BB96" i="18"/>
  <c r="BB97" i="18"/>
  <c r="BB98" i="18"/>
  <c r="BB99" i="18"/>
  <c r="BB100" i="18"/>
  <c r="BB101" i="18"/>
  <c r="B8" i="16" l="1"/>
  <c r="R5" i="16"/>
  <c r="X5" i="16" s="1"/>
  <c r="P6" i="16"/>
  <c r="Q6" i="16"/>
  <c r="K7" i="16"/>
  <c r="M7" i="16" s="1"/>
  <c r="C14" i="19"/>
  <c r="C15" i="19"/>
  <c r="C16" i="19"/>
  <c r="C17" i="19"/>
  <c r="AC337" i="18"/>
  <c r="AD337" i="18"/>
  <c r="AE337" i="18"/>
  <c r="AF337" i="18"/>
  <c r="AG337" i="18"/>
  <c r="AH337" i="18"/>
  <c r="AI337" i="18"/>
  <c r="AJ337" i="18"/>
  <c r="AK337" i="18"/>
  <c r="AL337" i="18"/>
  <c r="AM337" i="18"/>
  <c r="AN337" i="18"/>
  <c r="AO337" i="18"/>
  <c r="AP337" i="18"/>
  <c r="AQ337" i="18"/>
  <c r="AR337" i="18"/>
  <c r="AS337" i="18"/>
  <c r="AT337" i="18"/>
  <c r="AU337" i="18"/>
  <c r="AV337" i="18"/>
  <c r="AC338" i="18"/>
  <c r="AD338" i="18"/>
  <c r="AE338" i="18"/>
  <c r="AF338" i="18"/>
  <c r="AG338" i="18"/>
  <c r="AH338" i="18"/>
  <c r="AI338" i="18"/>
  <c r="AJ338" i="18"/>
  <c r="AK338" i="18"/>
  <c r="AL338" i="18"/>
  <c r="AM338" i="18"/>
  <c r="AN338" i="18"/>
  <c r="AO338" i="18"/>
  <c r="AP338" i="18"/>
  <c r="AQ338" i="18"/>
  <c r="AR338" i="18"/>
  <c r="AS338" i="18"/>
  <c r="AT338" i="18"/>
  <c r="AU338" i="18"/>
  <c r="AV338" i="18"/>
  <c r="AC339" i="18"/>
  <c r="AD339" i="18"/>
  <c r="AE339" i="18"/>
  <c r="AF339" i="18"/>
  <c r="AG339" i="18"/>
  <c r="AH339" i="18"/>
  <c r="AI339" i="18"/>
  <c r="AJ339" i="18"/>
  <c r="AK339" i="18"/>
  <c r="AL339" i="18"/>
  <c r="AM339" i="18"/>
  <c r="AN339" i="18"/>
  <c r="AO339" i="18"/>
  <c r="AP339" i="18"/>
  <c r="AQ339" i="18"/>
  <c r="AR339" i="18"/>
  <c r="AS339" i="18"/>
  <c r="AT339" i="18"/>
  <c r="AU339" i="18"/>
  <c r="AV339" i="18"/>
  <c r="AC340" i="18"/>
  <c r="AD340" i="18"/>
  <c r="AE340" i="18"/>
  <c r="AF340" i="18"/>
  <c r="AG340" i="18"/>
  <c r="AH340" i="18"/>
  <c r="AI340" i="18"/>
  <c r="AJ340" i="18"/>
  <c r="AK340" i="18"/>
  <c r="AL340" i="18"/>
  <c r="AM340" i="18"/>
  <c r="AN340" i="18"/>
  <c r="AO340" i="18"/>
  <c r="AP340" i="18"/>
  <c r="AQ340" i="18"/>
  <c r="AR340" i="18"/>
  <c r="AS340" i="18"/>
  <c r="AT340" i="18"/>
  <c r="AU340" i="18"/>
  <c r="AV340" i="18"/>
  <c r="AC341" i="18"/>
  <c r="AD341" i="18"/>
  <c r="AE341" i="18"/>
  <c r="AF341" i="18"/>
  <c r="AG341" i="18"/>
  <c r="AH341" i="18"/>
  <c r="AI341" i="18"/>
  <c r="AJ341" i="18"/>
  <c r="AK341" i="18"/>
  <c r="AL341" i="18"/>
  <c r="AM341" i="18"/>
  <c r="AN341" i="18"/>
  <c r="AO341" i="18"/>
  <c r="AP341" i="18"/>
  <c r="AQ341" i="18"/>
  <c r="AR341" i="18"/>
  <c r="AS341" i="18"/>
  <c r="AT341" i="18"/>
  <c r="AU341" i="18"/>
  <c r="AV341" i="18"/>
  <c r="AC342" i="18"/>
  <c r="AD342" i="18"/>
  <c r="AE342" i="18"/>
  <c r="AF342" i="18"/>
  <c r="AG342" i="18"/>
  <c r="AH342" i="18"/>
  <c r="AI342" i="18"/>
  <c r="AJ342" i="18"/>
  <c r="AK342" i="18"/>
  <c r="AL342" i="18"/>
  <c r="AM342" i="18"/>
  <c r="AN342" i="18"/>
  <c r="AO342" i="18"/>
  <c r="AP342" i="18"/>
  <c r="AQ342" i="18"/>
  <c r="AR342" i="18"/>
  <c r="AS342" i="18"/>
  <c r="AT342" i="18"/>
  <c r="AU342" i="18"/>
  <c r="AV342" i="18"/>
  <c r="AC343" i="18"/>
  <c r="AD343" i="18"/>
  <c r="AE343" i="18"/>
  <c r="AF343" i="18"/>
  <c r="AG343" i="18"/>
  <c r="AH343" i="18"/>
  <c r="AI343" i="18"/>
  <c r="AJ343" i="18"/>
  <c r="AK343" i="18"/>
  <c r="AL343" i="18"/>
  <c r="AM343" i="18"/>
  <c r="AN343" i="18"/>
  <c r="AO343" i="18"/>
  <c r="AP343" i="18"/>
  <c r="AQ343" i="18"/>
  <c r="AR343" i="18"/>
  <c r="AS343" i="18"/>
  <c r="AT343" i="18"/>
  <c r="AU343" i="18"/>
  <c r="AV343" i="18"/>
  <c r="AC344" i="18"/>
  <c r="AD344" i="18"/>
  <c r="AE344" i="18"/>
  <c r="AF344" i="18"/>
  <c r="AG344" i="18"/>
  <c r="AH344" i="18"/>
  <c r="AI344" i="18"/>
  <c r="AJ344" i="18"/>
  <c r="AK344" i="18"/>
  <c r="AL344" i="18"/>
  <c r="AM344" i="18"/>
  <c r="AN344" i="18"/>
  <c r="AO344" i="18"/>
  <c r="AP344" i="18"/>
  <c r="AQ344" i="18"/>
  <c r="AR344" i="18"/>
  <c r="AS344" i="18"/>
  <c r="AT344" i="18"/>
  <c r="AU344" i="18"/>
  <c r="AV344" i="18"/>
  <c r="AC345" i="18"/>
  <c r="AD345" i="18"/>
  <c r="AE345" i="18"/>
  <c r="AF345" i="18"/>
  <c r="AG345" i="18"/>
  <c r="AH345" i="18"/>
  <c r="AI345" i="18"/>
  <c r="AJ345" i="18"/>
  <c r="AK345" i="18"/>
  <c r="AL345" i="18"/>
  <c r="AM345" i="18"/>
  <c r="AN345" i="18"/>
  <c r="AO345" i="18"/>
  <c r="AP345" i="18"/>
  <c r="AQ345" i="18"/>
  <c r="AR345" i="18"/>
  <c r="AS345" i="18"/>
  <c r="AT345" i="18"/>
  <c r="AU345" i="18"/>
  <c r="AV345" i="18"/>
  <c r="AC346" i="18"/>
  <c r="AD346" i="18"/>
  <c r="AE346" i="18"/>
  <c r="AF346" i="18"/>
  <c r="AG346" i="18"/>
  <c r="AH346" i="18"/>
  <c r="AI346" i="18"/>
  <c r="AJ346" i="18"/>
  <c r="AK346" i="18"/>
  <c r="AL346" i="18"/>
  <c r="AM346" i="18"/>
  <c r="AN346" i="18"/>
  <c r="AO346" i="18"/>
  <c r="AP346" i="18"/>
  <c r="AQ346" i="18"/>
  <c r="AR346" i="18"/>
  <c r="AS346" i="18"/>
  <c r="AT346" i="18"/>
  <c r="AU346" i="18"/>
  <c r="AV346" i="18"/>
  <c r="AC347" i="18"/>
  <c r="AD347" i="18"/>
  <c r="AE347" i="18"/>
  <c r="AF347" i="18"/>
  <c r="AG347" i="18"/>
  <c r="AH347" i="18"/>
  <c r="AI347" i="18"/>
  <c r="AJ347" i="18"/>
  <c r="AK347" i="18"/>
  <c r="AL347" i="18"/>
  <c r="AM347" i="18"/>
  <c r="AN347" i="18"/>
  <c r="AO347" i="18"/>
  <c r="AP347" i="18"/>
  <c r="AQ347" i="18"/>
  <c r="AR347" i="18"/>
  <c r="AS347" i="18"/>
  <c r="AT347" i="18"/>
  <c r="AU347" i="18"/>
  <c r="AV347" i="18"/>
  <c r="AC348" i="18"/>
  <c r="AD348" i="18"/>
  <c r="AE348" i="18"/>
  <c r="AF348" i="18"/>
  <c r="AG348" i="18"/>
  <c r="AH348" i="18"/>
  <c r="AI348" i="18"/>
  <c r="AJ348" i="18"/>
  <c r="AK348" i="18"/>
  <c r="AL348" i="18"/>
  <c r="AM348" i="18"/>
  <c r="AN348" i="18"/>
  <c r="AO348" i="18"/>
  <c r="AP348" i="18"/>
  <c r="AQ348" i="18"/>
  <c r="AR348" i="18"/>
  <c r="AS348" i="18"/>
  <c r="AT348" i="18"/>
  <c r="AU348" i="18"/>
  <c r="AV348" i="18"/>
  <c r="AC349" i="18"/>
  <c r="AD349" i="18"/>
  <c r="AE349" i="18"/>
  <c r="AF349" i="18"/>
  <c r="AG349" i="18"/>
  <c r="AH349" i="18"/>
  <c r="AI349" i="18"/>
  <c r="AJ349" i="18"/>
  <c r="AK349" i="18"/>
  <c r="AL349" i="18"/>
  <c r="AM349" i="18"/>
  <c r="AN349" i="18"/>
  <c r="AO349" i="18"/>
  <c r="AP349" i="18"/>
  <c r="AQ349" i="18"/>
  <c r="AR349" i="18"/>
  <c r="AS349" i="18"/>
  <c r="AT349" i="18"/>
  <c r="AU349" i="18"/>
  <c r="AV349" i="18"/>
  <c r="AC350" i="18"/>
  <c r="AD350" i="18"/>
  <c r="AE350" i="18"/>
  <c r="AF350" i="18"/>
  <c r="AG350" i="18"/>
  <c r="AH350" i="18"/>
  <c r="AI350" i="18"/>
  <c r="AJ350" i="18"/>
  <c r="AK350" i="18"/>
  <c r="AL350" i="18"/>
  <c r="AM350" i="18"/>
  <c r="AN350" i="18"/>
  <c r="AO350" i="18"/>
  <c r="AP350" i="18"/>
  <c r="AQ350" i="18"/>
  <c r="AR350" i="18"/>
  <c r="AS350" i="18"/>
  <c r="AT350" i="18"/>
  <c r="AU350" i="18"/>
  <c r="AV350" i="18"/>
  <c r="AC351" i="18"/>
  <c r="AD351" i="18"/>
  <c r="AE351" i="18"/>
  <c r="AF351" i="18"/>
  <c r="AG351" i="18"/>
  <c r="AH351" i="18"/>
  <c r="AI351" i="18"/>
  <c r="AJ351" i="18"/>
  <c r="AK351" i="18"/>
  <c r="AL351" i="18"/>
  <c r="AM351" i="18"/>
  <c r="AN351" i="18"/>
  <c r="AO351" i="18"/>
  <c r="AP351" i="18"/>
  <c r="AQ351" i="18"/>
  <c r="AR351" i="18"/>
  <c r="AS351" i="18"/>
  <c r="AT351" i="18"/>
  <c r="AU351" i="18"/>
  <c r="AV351" i="18"/>
  <c r="AC352" i="18"/>
  <c r="AD352" i="18"/>
  <c r="AE352" i="18"/>
  <c r="AF352" i="18"/>
  <c r="AG352" i="18"/>
  <c r="AH352" i="18"/>
  <c r="AI352" i="18"/>
  <c r="AJ352" i="18"/>
  <c r="AK352" i="18"/>
  <c r="AL352" i="18"/>
  <c r="AM352" i="18"/>
  <c r="AN352" i="18"/>
  <c r="AO352" i="18"/>
  <c r="AP352" i="18"/>
  <c r="AQ352" i="18"/>
  <c r="AR352" i="18"/>
  <c r="AS352" i="18"/>
  <c r="AT352" i="18"/>
  <c r="AU352" i="18"/>
  <c r="AV352" i="18"/>
  <c r="AC353" i="18"/>
  <c r="AD353" i="18"/>
  <c r="AE353" i="18"/>
  <c r="AF353" i="18"/>
  <c r="AG353" i="18"/>
  <c r="AH353" i="18"/>
  <c r="AI353" i="18"/>
  <c r="AJ353" i="18"/>
  <c r="AK353" i="18"/>
  <c r="AL353" i="18"/>
  <c r="AM353" i="18"/>
  <c r="AN353" i="18"/>
  <c r="AO353" i="18"/>
  <c r="AP353" i="18"/>
  <c r="AQ353" i="18"/>
  <c r="AR353" i="18"/>
  <c r="AS353" i="18"/>
  <c r="AT353" i="18"/>
  <c r="AU353" i="18"/>
  <c r="AV353" i="18"/>
  <c r="AC354" i="18"/>
  <c r="AD354" i="18"/>
  <c r="AE354" i="18"/>
  <c r="AF354" i="18"/>
  <c r="AG354" i="18"/>
  <c r="AH354" i="18"/>
  <c r="AI354" i="18"/>
  <c r="AJ354" i="18"/>
  <c r="AK354" i="18"/>
  <c r="AL354" i="18"/>
  <c r="AM354" i="18"/>
  <c r="AN354" i="18"/>
  <c r="AO354" i="18"/>
  <c r="AP354" i="18"/>
  <c r="AQ354" i="18"/>
  <c r="AR354" i="18"/>
  <c r="AS354" i="18"/>
  <c r="AT354" i="18"/>
  <c r="AU354" i="18"/>
  <c r="AV354" i="18"/>
  <c r="AC355" i="18"/>
  <c r="AD355" i="18"/>
  <c r="AE355" i="18"/>
  <c r="AF355" i="18"/>
  <c r="AG355" i="18"/>
  <c r="AH355" i="18"/>
  <c r="AI355" i="18"/>
  <c r="AJ355" i="18"/>
  <c r="AK355" i="18"/>
  <c r="AL355" i="18"/>
  <c r="AM355" i="18"/>
  <c r="AN355" i="18"/>
  <c r="AO355" i="18"/>
  <c r="AP355" i="18"/>
  <c r="AQ355" i="18"/>
  <c r="AR355" i="18"/>
  <c r="AS355" i="18"/>
  <c r="AT355" i="18"/>
  <c r="AU355" i="18"/>
  <c r="AV355" i="18"/>
  <c r="AC356" i="18"/>
  <c r="AD356" i="18"/>
  <c r="AE356" i="18"/>
  <c r="AF356" i="18"/>
  <c r="AG356" i="18"/>
  <c r="AH356" i="18"/>
  <c r="AI356" i="18"/>
  <c r="AJ356" i="18"/>
  <c r="AK356" i="18"/>
  <c r="AL356" i="18"/>
  <c r="AM356" i="18"/>
  <c r="AN356" i="18"/>
  <c r="AO356" i="18"/>
  <c r="AP356" i="18"/>
  <c r="AQ356" i="18"/>
  <c r="AR356" i="18"/>
  <c r="AS356" i="18"/>
  <c r="AT356" i="18"/>
  <c r="AU356" i="18"/>
  <c r="AV356" i="18"/>
  <c r="AC357" i="18"/>
  <c r="AD357" i="18"/>
  <c r="AE357" i="18"/>
  <c r="AF357" i="18"/>
  <c r="AG357" i="18"/>
  <c r="AH357" i="18"/>
  <c r="AI357" i="18"/>
  <c r="AJ357" i="18"/>
  <c r="AK357" i="18"/>
  <c r="AL357" i="18"/>
  <c r="AM357" i="18"/>
  <c r="AN357" i="18"/>
  <c r="AO357" i="18"/>
  <c r="AP357" i="18"/>
  <c r="AQ357" i="18"/>
  <c r="AR357" i="18"/>
  <c r="AS357" i="18"/>
  <c r="AT357" i="18"/>
  <c r="AU357" i="18"/>
  <c r="AV357" i="18"/>
  <c r="AC358" i="18"/>
  <c r="AD358" i="18"/>
  <c r="AE358" i="18"/>
  <c r="AF358" i="18"/>
  <c r="AG358" i="18"/>
  <c r="AH358" i="18"/>
  <c r="AI358" i="18"/>
  <c r="AJ358" i="18"/>
  <c r="AK358" i="18"/>
  <c r="AL358" i="18"/>
  <c r="AM358" i="18"/>
  <c r="AN358" i="18"/>
  <c r="AO358" i="18"/>
  <c r="AP358" i="18"/>
  <c r="AQ358" i="18"/>
  <c r="AR358" i="18"/>
  <c r="AS358" i="18"/>
  <c r="AT358" i="18"/>
  <c r="AU358" i="18"/>
  <c r="AV358" i="18"/>
  <c r="AC359" i="18"/>
  <c r="AD359" i="18"/>
  <c r="AE359" i="18"/>
  <c r="AF359" i="18"/>
  <c r="AG359" i="18"/>
  <c r="AH359" i="18"/>
  <c r="AI359" i="18"/>
  <c r="AJ359" i="18"/>
  <c r="AK359" i="18"/>
  <c r="AL359" i="18"/>
  <c r="AM359" i="18"/>
  <c r="AN359" i="18"/>
  <c r="AO359" i="18"/>
  <c r="AP359" i="18"/>
  <c r="AQ359" i="18"/>
  <c r="AR359" i="18"/>
  <c r="AS359" i="18"/>
  <c r="AT359" i="18"/>
  <c r="AU359" i="18"/>
  <c r="AV359" i="18"/>
  <c r="AC360" i="18"/>
  <c r="AD360" i="18"/>
  <c r="AE360" i="18"/>
  <c r="AF360" i="18"/>
  <c r="AG360" i="18"/>
  <c r="AH360" i="18"/>
  <c r="AI360" i="18"/>
  <c r="AJ360" i="18"/>
  <c r="AK360" i="18"/>
  <c r="AL360" i="18"/>
  <c r="AM360" i="18"/>
  <c r="AN360" i="18"/>
  <c r="AO360" i="18"/>
  <c r="AP360" i="18"/>
  <c r="AQ360" i="18"/>
  <c r="AR360" i="18"/>
  <c r="AS360" i="18"/>
  <c r="AT360" i="18"/>
  <c r="AU360" i="18"/>
  <c r="AV360" i="18"/>
  <c r="AC361" i="18"/>
  <c r="AD361" i="18"/>
  <c r="AE361" i="18"/>
  <c r="AF361" i="18"/>
  <c r="AG361" i="18"/>
  <c r="AH361" i="18"/>
  <c r="AI361" i="18"/>
  <c r="AJ361" i="18"/>
  <c r="AK361" i="18"/>
  <c r="AL361" i="18"/>
  <c r="AM361" i="18"/>
  <c r="AN361" i="18"/>
  <c r="AO361" i="18"/>
  <c r="AP361" i="18"/>
  <c r="AQ361" i="18"/>
  <c r="AR361" i="18"/>
  <c r="AS361" i="18"/>
  <c r="AT361" i="18"/>
  <c r="AU361" i="18"/>
  <c r="AV361" i="18"/>
  <c r="AC362" i="18"/>
  <c r="AD362" i="18"/>
  <c r="AE362" i="18"/>
  <c r="AF362" i="18"/>
  <c r="AG362" i="18"/>
  <c r="AH362" i="18"/>
  <c r="AI362" i="18"/>
  <c r="AJ362" i="18"/>
  <c r="AK362" i="18"/>
  <c r="AL362" i="18"/>
  <c r="AM362" i="18"/>
  <c r="AN362" i="18"/>
  <c r="AO362" i="18"/>
  <c r="AP362" i="18"/>
  <c r="AQ362" i="18"/>
  <c r="AR362" i="18"/>
  <c r="AS362" i="18"/>
  <c r="AT362" i="18"/>
  <c r="AU362" i="18"/>
  <c r="AV362" i="18"/>
  <c r="AC363" i="18"/>
  <c r="AD363" i="18"/>
  <c r="AE363" i="18"/>
  <c r="AF363" i="18"/>
  <c r="AG363" i="18"/>
  <c r="AH363" i="18"/>
  <c r="AI363" i="18"/>
  <c r="AJ363" i="18"/>
  <c r="AK363" i="18"/>
  <c r="AL363" i="18"/>
  <c r="AM363" i="18"/>
  <c r="AN363" i="18"/>
  <c r="AO363" i="18"/>
  <c r="AP363" i="18"/>
  <c r="AQ363" i="18"/>
  <c r="AR363" i="18"/>
  <c r="AS363" i="18"/>
  <c r="AT363" i="18"/>
  <c r="AU363" i="18"/>
  <c r="AV363" i="18"/>
  <c r="AC364" i="18"/>
  <c r="AD364" i="18"/>
  <c r="AE364" i="18"/>
  <c r="AF364" i="18"/>
  <c r="AG364" i="18"/>
  <c r="AH364" i="18"/>
  <c r="AI364" i="18"/>
  <c r="AJ364" i="18"/>
  <c r="AK364" i="18"/>
  <c r="AL364" i="18"/>
  <c r="AM364" i="18"/>
  <c r="AN364" i="18"/>
  <c r="AO364" i="18"/>
  <c r="AP364" i="18"/>
  <c r="AQ364" i="18"/>
  <c r="AR364" i="18"/>
  <c r="AS364" i="18"/>
  <c r="AT364" i="18"/>
  <c r="AU364" i="18"/>
  <c r="AV364" i="18"/>
  <c r="AC365" i="18"/>
  <c r="AD365" i="18"/>
  <c r="AE365" i="18"/>
  <c r="AF365" i="18"/>
  <c r="AG365" i="18"/>
  <c r="AH365" i="18"/>
  <c r="AI365" i="18"/>
  <c r="AJ365" i="18"/>
  <c r="AK365" i="18"/>
  <c r="AL365" i="18"/>
  <c r="AM365" i="18"/>
  <c r="AN365" i="18"/>
  <c r="AO365" i="18"/>
  <c r="AP365" i="18"/>
  <c r="AQ365" i="18"/>
  <c r="AR365" i="18"/>
  <c r="AS365" i="18"/>
  <c r="AT365" i="18"/>
  <c r="AU365" i="18"/>
  <c r="AV365" i="18"/>
  <c r="AC366" i="18"/>
  <c r="AD366" i="18"/>
  <c r="AE366" i="18"/>
  <c r="AF366" i="18"/>
  <c r="AG366" i="18"/>
  <c r="AH366" i="18"/>
  <c r="AI366" i="18"/>
  <c r="AJ366" i="18"/>
  <c r="AK366" i="18"/>
  <c r="AL366" i="18"/>
  <c r="AM366" i="18"/>
  <c r="AN366" i="18"/>
  <c r="AO366" i="18"/>
  <c r="AP366" i="18"/>
  <c r="AQ366" i="18"/>
  <c r="AR366" i="18"/>
  <c r="AS366" i="18"/>
  <c r="AT366" i="18"/>
  <c r="AU366" i="18"/>
  <c r="AV366" i="18"/>
  <c r="AC367" i="18"/>
  <c r="AD367" i="18"/>
  <c r="AE367" i="18"/>
  <c r="AF367" i="18"/>
  <c r="AG367" i="18"/>
  <c r="AH367" i="18"/>
  <c r="AI367" i="18"/>
  <c r="AJ367" i="18"/>
  <c r="AK367" i="18"/>
  <c r="AL367" i="18"/>
  <c r="AM367" i="18"/>
  <c r="AN367" i="18"/>
  <c r="AO367" i="18"/>
  <c r="AP367" i="18"/>
  <c r="AQ367" i="18"/>
  <c r="AR367" i="18"/>
  <c r="AS367" i="18"/>
  <c r="AT367" i="18"/>
  <c r="AU367" i="18"/>
  <c r="AV367" i="18"/>
  <c r="AC368" i="18"/>
  <c r="AD368" i="18"/>
  <c r="AE368" i="18"/>
  <c r="AF368" i="18"/>
  <c r="AG368" i="18"/>
  <c r="AH368" i="18"/>
  <c r="AI368" i="18"/>
  <c r="AJ368" i="18"/>
  <c r="AK368" i="18"/>
  <c r="AL368" i="18"/>
  <c r="AM368" i="18"/>
  <c r="AN368" i="18"/>
  <c r="AO368" i="18"/>
  <c r="AP368" i="18"/>
  <c r="AQ368" i="18"/>
  <c r="AR368" i="18"/>
  <c r="AS368" i="18"/>
  <c r="AT368" i="18"/>
  <c r="AU368" i="18"/>
  <c r="AV368" i="18"/>
  <c r="AC369" i="18"/>
  <c r="AD369" i="18"/>
  <c r="AE369" i="18"/>
  <c r="AF369" i="18"/>
  <c r="AG369" i="18"/>
  <c r="AH369" i="18"/>
  <c r="AI369" i="18"/>
  <c r="AJ369" i="18"/>
  <c r="AK369" i="18"/>
  <c r="AL369" i="18"/>
  <c r="AM369" i="18"/>
  <c r="AN369" i="18"/>
  <c r="AO369" i="18"/>
  <c r="AP369" i="18"/>
  <c r="AQ369" i="18"/>
  <c r="AR369" i="18"/>
  <c r="AS369" i="18"/>
  <c r="AT369" i="18"/>
  <c r="AU369" i="18"/>
  <c r="AV369" i="18"/>
  <c r="AC370" i="18"/>
  <c r="AD370" i="18"/>
  <c r="AE370" i="18"/>
  <c r="AF370" i="18"/>
  <c r="AG370" i="18"/>
  <c r="AH370" i="18"/>
  <c r="AI370" i="18"/>
  <c r="AJ370" i="18"/>
  <c r="AK370" i="18"/>
  <c r="AL370" i="18"/>
  <c r="AM370" i="18"/>
  <c r="AN370" i="18"/>
  <c r="AO370" i="18"/>
  <c r="AP370" i="18"/>
  <c r="AQ370" i="18"/>
  <c r="AR370" i="18"/>
  <c r="AS370" i="18"/>
  <c r="AT370" i="18"/>
  <c r="AU370" i="18"/>
  <c r="AV370" i="18"/>
  <c r="AC371" i="18"/>
  <c r="AD371" i="18"/>
  <c r="AE371" i="18"/>
  <c r="AF371" i="18"/>
  <c r="AG371" i="18"/>
  <c r="AH371" i="18"/>
  <c r="AI371" i="18"/>
  <c r="AJ371" i="18"/>
  <c r="AK371" i="18"/>
  <c r="AL371" i="18"/>
  <c r="AM371" i="18"/>
  <c r="AN371" i="18"/>
  <c r="AO371" i="18"/>
  <c r="AP371" i="18"/>
  <c r="AQ371" i="18"/>
  <c r="AR371" i="18"/>
  <c r="AS371" i="18"/>
  <c r="AT371" i="18"/>
  <c r="AU371" i="18"/>
  <c r="AV371" i="18"/>
  <c r="AC372" i="18"/>
  <c r="AD372" i="18"/>
  <c r="AE372" i="18"/>
  <c r="AF372" i="18"/>
  <c r="AG372" i="18"/>
  <c r="AH372" i="18"/>
  <c r="AI372" i="18"/>
  <c r="AJ372" i="18"/>
  <c r="AK372" i="18"/>
  <c r="AL372" i="18"/>
  <c r="AM372" i="18"/>
  <c r="AN372" i="18"/>
  <c r="AO372" i="18"/>
  <c r="AP372" i="18"/>
  <c r="AQ372" i="18"/>
  <c r="AR372" i="18"/>
  <c r="AS372" i="18"/>
  <c r="AT372" i="18"/>
  <c r="AU372" i="18"/>
  <c r="AV372" i="18"/>
  <c r="AC373" i="18"/>
  <c r="AD373" i="18"/>
  <c r="AE373" i="18"/>
  <c r="AF373" i="18"/>
  <c r="AG373" i="18"/>
  <c r="AH373" i="18"/>
  <c r="AI373" i="18"/>
  <c r="AJ373" i="18"/>
  <c r="AK373" i="18"/>
  <c r="AL373" i="18"/>
  <c r="AM373" i="18"/>
  <c r="AN373" i="18"/>
  <c r="AO373" i="18"/>
  <c r="AP373" i="18"/>
  <c r="AQ373" i="18"/>
  <c r="AR373" i="18"/>
  <c r="AS373" i="18"/>
  <c r="AT373" i="18"/>
  <c r="AU373" i="18"/>
  <c r="AV373" i="18"/>
  <c r="AC374" i="18"/>
  <c r="AD374" i="18"/>
  <c r="AE374" i="18"/>
  <c r="AF374" i="18"/>
  <c r="AG374" i="18"/>
  <c r="AH374" i="18"/>
  <c r="AI374" i="18"/>
  <c r="AJ374" i="18"/>
  <c r="AK374" i="18"/>
  <c r="AL374" i="18"/>
  <c r="AM374" i="18"/>
  <c r="AN374" i="18"/>
  <c r="AO374" i="18"/>
  <c r="AP374" i="18"/>
  <c r="AQ374" i="18"/>
  <c r="AR374" i="18"/>
  <c r="AS374" i="18"/>
  <c r="AT374" i="18"/>
  <c r="AU374" i="18"/>
  <c r="AV374" i="18"/>
  <c r="AC375" i="18"/>
  <c r="AD375" i="18"/>
  <c r="AE375" i="18"/>
  <c r="AF375" i="18"/>
  <c r="AG375" i="18"/>
  <c r="AH375" i="18"/>
  <c r="AI375" i="18"/>
  <c r="AJ375" i="18"/>
  <c r="AK375" i="18"/>
  <c r="AL375" i="18"/>
  <c r="AM375" i="18"/>
  <c r="AN375" i="18"/>
  <c r="AO375" i="18"/>
  <c r="AP375" i="18"/>
  <c r="AQ375" i="18"/>
  <c r="AR375" i="18"/>
  <c r="AS375" i="18"/>
  <c r="AT375" i="18"/>
  <c r="AU375" i="18"/>
  <c r="AV375" i="18"/>
  <c r="AC376" i="18"/>
  <c r="AD376" i="18"/>
  <c r="AE376" i="18"/>
  <c r="AF376" i="18"/>
  <c r="AG376" i="18"/>
  <c r="AH376" i="18"/>
  <c r="AI376" i="18"/>
  <c r="AJ376" i="18"/>
  <c r="AK376" i="18"/>
  <c r="AL376" i="18"/>
  <c r="AM376" i="18"/>
  <c r="AN376" i="18"/>
  <c r="AO376" i="18"/>
  <c r="AP376" i="18"/>
  <c r="AQ376" i="18"/>
  <c r="AR376" i="18"/>
  <c r="AS376" i="18"/>
  <c r="AT376" i="18"/>
  <c r="AU376" i="18"/>
  <c r="AV376" i="18"/>
  <c r="AC377" i="18"/>
  <c r="AD377" i="18"/>
  <c r="AE377" i="18"/>
  <c r="AF377" i="18"/>
  <c r="AG377" i="18"/>
  <c r="AH377" i="18"/>
  <c r="AI377" i="18"/>
  <c r="AJ377" i="18"/>
  <c r="AK377" i="18"/>
  <c r="AL377" i="18"/>
  <c r="AM377" i="18"/>
  <c r="AN377" i="18"/>
  <c r="AO377" i="18"/>
  <c r="AP377" i="18"/>
  <c r="AQ377" i="18"/>
  <c r="AR377" i="18"/>
  <c r="AS377" i="18"/>
  <c r="AT377" i="18"/>
  <c r="AU377" i="18"/>
  <c r="AV377" i="18"/>
  <c r="AC378" i="18"/>
  <c r="AD378" i="18"/>
  <c r="AE378" i="18"/>
  <c r="AF378" i="18"/>
  <c r="AG378" i="18"/>
  <c r="AH378" i="18"/>
  <c r="AI378" i="18"/>
  <c r="AJ378" i="18"/>
  <c r="AK378" i="18"/>
  <c r="AL378" i="18"/>
  <c r="AM378" i="18"/>
  <c r="AN378" i="18"/>
  <c r="AO378" i="18"/>
  <c r="AP378" i="18"/>
  <c r="AQ378" i="18"/>
  <c r="AR378" i="18"/>
  <c r="AS378" i="18"/>
  <c r="AT378" i="18"/>
  <c r="AU378" i="18"/>
  <c r="AV378" i="18"/>
  <c r="AC379" i="18"/>
  <c r="AD379" i="18"/>
  <c r="AE379" i="18"/>
  <c r="AF379" i="18"/>
  <c r="AG379" i="18"/>
  <c r="AH379" i="18"/>
  <c r="AI379" i="18"/>
  <c r="AJ379" i="18"/>
  <c r="AK379" i="18"/>
  <c r="AL379" i="18"/>
  <c r="AM379" i="18"/>
  <c r="AN379" i="18"/>
  <c r="AO379" i="18"/>
  <c r="AP379" i="18"/>
  <c r="AQ379" i="18"/>
  <c r="AR379" i="18"/>
  <c r="AS379" i="18"/>
  <c r="AT379" i="18"/>
  <c r="AU379" i="18"/>
  <c r="AV379" i="18"/>
  <c r="AC380" i="18"/>
  <c r="AD380" i="18"/>
  <c r="AE380" i="18"/>
  <c r="AF380" i="18"/>
  <c r="AG380" i="18"/>
  <c r="AH380" i="18"/>
  <c r="AI380" i="18"/>
  <c r="AJ380" i="18"/>
  <c r="AK380" i="18"/>
  <c r="AL380" i="18"/>
  <c r="AM380" i="18"/>
  <c r="AN380" i="18"/>
  <c r="AO380" i="18"/>
  <c r="AP380" i="18"/>
  <c r="AQ380" i="18"/>
  <c r="AR380" i="18"/>
  <c r="AS380" i="18"/>
  <c r="AT380" i="18"/>
  <c r="AU380" i="18"/>
  <c r="AV380" i="18"/>
  <c r="AC381" i="18"/>
  <c r="AD381" i="18"/>
  <c r="AE381" i="18"/>
  <c r="AF381" i="18"/>
  <c r="AG381" i="18"/>
  <c r="AH381" i="18"/>
  <c r="AI381" i="18"/>
  <c r="AJ381" i="18"/>
  <c r="AK381" i="18"/>
  <c r="AL381" i="18"/>
  <c r="AM381" i="18"/>
  <c r="AN381" i="18"/>
  <c r="AO381" i="18"/>
  <c r="AP381" i="18"/>
  <c r="AQ381" i="18"/>
  <c r="AR381" i="18"/>
  <c r="AS381" i="18"/>
  <c r="AT381" i="18"/>
  <c r="AU381" i="18"/>
  <c r="AV381" i="18"/>
  <c r="AC382" i="18"/>
  <c r="AD382" i="18"/>
  <c r="AE382" i="18"/>
  <c r="AF382" i="18"/>
  <c r="AG382" i="18"/>
  <c r="AH382" i="18"/>
  <c r="AI382" i="18"/>
  <c r="AJ382" i="18"/>
  <c r="AK382" i="18"/>
  <c r="AL382" i="18"/>
  <c r="AM382" i="18"/>
  <c r="AN382" i="18"/>
  <c r="AO382" i="18"/>
  <c r="AP382" i="18"/>
  <c r="AQ382" i="18"/>
  <c r="AR382" i="18"/>
  <c r="AS382" i="18"/>
  <c r="AT382" i="18"/>
  <c r="AU382" i="18"/>
  <c r="AV382" i="18"/>
  <c r="AC383" i="18"/>
  <c r="AD383" i="18"/>
  <c r="AE383" i="18"/>
  <c r="AF383" i="18"/>
  <c r="AG383" i="18"/>
  <c r="AH383" i="18"/>
  <c r="AI383" i="18"/>
  <c r="AJ383" i="18"/>
  <c r="AK383" i="18"/>
  <c r="AL383" i="18"/>
  <c r="AM383" i="18"/>
  <c r="AN383" i="18"/>
  <c r="AO383" i="18"/>
  <c r="AP383" i="18"/>
  <c r="AQ383" i="18"/>
  <c r="AR383" i="18"/>
  <c r="AS383" i="18"/>
  <c r="AT383" i="18"/>
  <c r="AU383" i="18"/>
  <c r="AV383" i="18"/>
  <c r="AC384" i="18"/>
  <c r="AD384" i="18"/>
  <c r="AE384" i="18"/>
  <c r="AF384" i="18"/>
  <c r="AG384" i="18"/>
  <c r="AH384" i="18"/>
  <c r="AI384" i="18"/>
  <c r="AJ384" i="18"/>
  <c r="AK384" i="18"/>
  <c r="AL384" i="18"/>
  <c r="AM384" i="18"/>
  <c r="AN384" i="18"/>
  <c r="AO384" i="18"/>
  <c r="AP384" i="18"/>
  <c r="AQ384" i="18"/>
  <c r="AR384" i="18"/>
  <c r="AS384" i="18"/>
  <c r="AT384" i="18"/>
  <c r="AU384" i="18"/>
  <c r="AV384" i="18"/>
  <c r="AC385" i="18"/>
  <c r="AD385" i="18"/>
  <c r="AE385" i="18"/>
  <c r="AF385" i="18"/>
  <c r="AG385" i="18"/>
  <c r="AH385" i="18"/>
  <c r="AI385" i="18"/>
  <c r="AJ385" i="18"/>
  <c r="AK385" i="18"/>
  <c r="AL385" i="18"/>
  <c r="AM385" i="18"/>
  <c r="AN385" i="18"/>
  <c r="AO385" i="18"/>
  <c r="AP385" i="18"/>
  <c r="AQ385" i="18"/>
  <c r="AR385" i="18"/>
  <c r="AS385" i="18"/>
  <c r="AT385" i="18"/>
  <c r="AU385" i="18"/>
  <c r="AV385" i="18"/>
  <c r="AC386" i="18"/>
  <c r="AD386" i="18"/>
  <c r="AE386" i="18"/>
  <c r="AF386" i="18"/>
  <c r="AG386" i="18"/>
  <c r="AH386" i="18"/>
  <c r="AI386" i="18"/>
  <c r="AJ386" i="18"/>
  <c r="AK386" i="18"/>
  <c r="AL386" i="18"/>
  <c r="AM386" i="18"/>
  <c r="AN386" i="18"/>
  <c r="AO386" i="18"/>
  <c r="AP386" i="18"/>
  <c r="AQ386" i="18"/>
  <c r="AR386" i="18"/>
  <c r="AS386" i="18"/>
  <c r="AT386" i="18"/>
  <c r="AU386" i="18"/>
  <c r="AV386" i="18"/>
  <c r="AC387" i="18"/>
  <c r="AD387" i="18"/>
  <c r="AE387" i="18"/>
  <c r="AF387" i="18"/>
  <c r="AG387" i="18"/>
  <c r="AH387" i="18"/>
  <c r="AI387" i="18"/>
  <c r="AJ387" i="18"/>
  <c r="AK387" i="18"/>
  <c r="AL387" i="18"/>
  <c r="AM387" i="18"/>
  <c r="AN387" i="18"/>
  <c r="AO387" i="18"/>
  <c r="AP387" i="18"/>
  <c r="AQ387" i="18"/>
  <c r="AR387" i="18"/>
  <c r="AS387" i="18"/>
  <c r="AT387" i="18"/>
  <c r="AU387" i="18"/>
  <c r="AV387" i="18"/>
  <c r="AC388" i="18"/>
  <c r="AD388" i="18"/>
  <c r="AE388" i="18"/>
  <c r="AF388" i="18"/>
  <c r="AG388" i="18"/>
  <c r="AH388" i="18"/>
  <c r="AI388" i="18"/>
  <c r="AJ388" i="18"/>
  <c r="AK388" i="18"/>
  <c r="AL388" i="18"/>
  <c r="AM388" i="18"/>
  <c r="AN388" i="18"/>
  <c r="AO388" i="18"/>
  <c r="AP388" i="18"/>
  <c r="AQ388" i="18"/>
  <c r="AR388" i="18"/>
  <c r="AS388" i="18"/>
  <c r="AT388" i="18"/>
  <c r="AU388" i="18"/>
  <c r="AV388" i="18"/>
  <c r="AC389" i="18"/>
  <c r="AD389" i="18"/>
  <c r="AE389" i="18"/>
  <c r="AF389" i="18"/>
  <c r="AG389" i="18"/>
  <c r="AH389" i="18"/>
  <c r="AI389" i="18"/>
  <c r="AJ389" i="18"/>
  <c r="AK389" i="18"/>
  <c r="AL389" i="18"/>
  <c r="AM389" i="18"/>
  <c r="AN389" i="18"/>
  <c r="AO389" i="18"/>
  <c r="AP389" i="18"/>
  <c r="AQ389" i="18"/>
  <c r="AR389" i="18"/>
  <c r="AS389" i="18"/>
  <c r="AT389" i="18"/>
  <c r="AU389" i="18"/>
  <c r="AV389" i="18"/>
  <c r="AC390" i="18"/>
  <c r="AD390" i="18"/>
  <c r="AE390" i="18"/>
  <c r="AF390" i="18"/>
  <c r="AG390" i="18"/>
  <c r="AH390" i="18"/>
  <c r="AI390" i="18"/>
  <c r="AJ390" i="18"/>
  <c r="AK390" i="18"/>
  <c r="AL390" i="18"/>
  <c r="AM390" i="18"/>
  <c r="AN390" i="18"/>
  <c r="AO390" i="18"/>
  <c r="AP390" i="18"/>
  <c r="AQ390" i="18"/>
  <c r="AR390" i="18"/>
  <c r="AS390" i="18"/>
  <c r="AT390" i="18"/>
  <c r="AU390" i="18"/>
  <c r="AV390" i="18"/>
  <c r="AC391" i="18"/>
  <c r="AD391" i="18"/>
  <c r="AE391" i="18"/>
  <c r="AF391" i="18"/>
  <c r="AG391" i="18"/>
  <c r="AH391" i="18"/>
  <c r="AI391" i="18"/>
  <c r="AJ391" i="18"/>
  <c r="AK391" i="18"/>
  <c r="AL391" i="18"/>
  <c r="AM391" i="18"/>
  <c r="AN391" i="18"/>
  <c r="AO391" i="18"/>
  <c r="AP391" i="18"/>
  <c r="AQ391" i="18"/>
  <c r="AR391" i="18"/>
  <c r="AS391" i="18"/>
  <c r="AT391" i="18"/>
  <c r="AU391" i="18"/>
  <c r="AV391" i="18"/>
  <c r="AC392" i="18"/>
  <c r="AD392" i="18"/>
  <c r="AE392" i="18"/>
  <c r="AF392" i="18"/>
  <c r="AG392" i="18"/>
  <c r="AH392" i="18"/>
  <c r="AI392" i="18"/>
  <c r="AJ392" i="18"/>
  <c r="AK392" i="18"/>
  <c r="AL392" i="18"/>
  <c r="AM392" i="18"/>
  <c r="AN392" i="18"/>
  <c r="AO392" i="18"/>
  <c r="AP392" i="18"/>
  <c r="AQ392" i="18"/>
  <c r="AR392" i="18"/>
  <c r="AS392" i="18"/>
  <c r="AT392" i="18"/>
  <c r="AU392" i="18"/>
  <c r="AV392" i="18"/>
  <c r="AC393" i="18"/>
  <c r="AD393" i="18"/>
  <c r="AE393" i="18"/>
  <c r="AF393" i="18"/>
  <c r="AG393" i="18"/>
  <c r="AH393" i="18"/>
  <c r="AI393" i="18"/>
  <c r="AJ393" i="18"/>
  <c r="AK393" i="18"/>
  <c r="AL393" i="18"/>
  <c r="AM393" i="18"/>
  <c r="AN393" i="18"/>
  <c r="AO393" i="18"/>
  <c r="AP393" i="18"/>
  <c r="AQ393" i="18"/>
  <c r="AR393" i="18"/>
  <c r="AS393" i="18"/>
  <c r="AT393" i="18"/>
  <c r="AU393" i="18"/>
  <c r="AV393" i="18"/>
  <c r="AC394" i="18"/>
  <c r="AD394" i="18"/>
  <c r="AE394" i="18"/>
  <c r="AF394" i="18"/>
  <c r="AG394" i="18"/>
  <c r="AH394" i="18"/>
  <c r="AI394" i="18"/>
  <c r="AJ394" i="18"/>
  <c r="AK394" i="18"/>
  <c r="AL394" i="18"/>
  <c r="AM394" i="18"/>
  <c r="AN394" i="18"/>
  <c r="AO394" i="18"/>
  <c r="AP394" i="18"/>
  <c r="AQ394" i="18"/>
  <c r="AR394" i="18"/>
  <c r="AS394" i="18"/>
  <c r="AT394" i="18"/>
  <c r="AU394" i="18"/>
  <c r="AV394" i="18"/>
  <c r="AC395" i="18"/>
  <c r="AD395" i="18"/>
  <c r="AE395" i="18"/>
  <c r="AF395" i="18"/>
  <c r="AG395" i="18"/>
  <c r="AH395" i="18"/>
  <c r="AI395" i="18"/>
  <c r="AJ395" i="18"/>
  <c r="AK395" i="18"/>
  <c r="AL395" i="18"/>
  <c r="AM395" i="18"/>
  <c r="AN395" i="18"/>
  <c r="AO395" i="18"/>
  <c r="AP395" i="18"/>
  <c r="AQ395" i="18"/>
  <c r="AR395" i="18"/>
  <c r="AS395" i="18"/>
  <c r="AT395" i="18"/>
  <c r="AU395" i="18"/>
  <c r="AV395" i="18"/>
  <c r="AC396" i="18"/>
  <c r="AD396" i="18"/>
  <c r="AE396" i="18"/>
  <c r="AF396" i="18"/>
  <c r="AG396" i="18"/>
  <c r="AH396" i="18"/>
  <c r="AI396" i="18"/>
  <c r="AJ396" i="18"/>
  <c r="AK396" i="18"/>
  <c r="AL396" i="18"/>
  <c r="AM396" i="18"/>
  <c r="AN396" i="18"/>
  <c r="AO396" i="18"/>
  <c r="AP396" i="18"/>
  <c r="AQ396" i="18"/>
  <c r="AR396" i="18"/>
  <c r="AS396" i="18"/>
  <c r="AT396" i="18"/>
  <c r="AU396" i="18"/>
  <c r="AV396" i="18"/>
  <c r="AC397" i="18"/>
  <c r="AD397" i="18"/>
  <c r="AE397" i="18"/>
  <c r="AF397" i="18"/>
  <c r="AG397" i="18"/>
  <c r="AH397" i="18"/>
  <c r="AI397" i="18"/>
  <c r="AJ397" i="18"/>
  <c r="AK397" i="18"/>
  <c r="AL397" i="18"/>
  <c r="AM397" i="18"/>
  <c r="AN397" i="18"/>
  <c r="AO397" i="18"/>
  <c r="AP397" i="18"/>
  <c r="AQ397" i="18"/>
  <c r="AR397" i="18"/>
  <c r="AS397" i="18"/>
  <c r="AT397" i="18"/>
  <c r="AU397" i="18"/>
  <c r="AV397" i="18"/>
  <c r="AC398" i="18"/>
  <c r="AD398" i="18"/>
  <c r="AE398" i="18"/>
  <c r="AF398" i="18"/>
  <c r="AG398" i="18"/>
  <c r="AH398" i="18"/>
  <c r="AI398" i="18"/>
  <c r="AJ398" i="18"/>
  <c r="AK398" i="18"/>
  <c r="AL398" i="18"/>
  <c r="AM398" i="18"/>
  <c r="AN398" i="18"/>
  <c r="AO398" i="18"/>
  <c r="AP398" i="18"/>
  <c r="AQ398" i="18"/>
  <c r="AR398" i="18"/>
  <c r="AS398" i="18"/>
  <c r="AT398" i="18"/>
  <c r="AU398" i="18"/>
  <c r="AV398" i="18"/>
  <c r="AC399" i="18"/>
  <c r="AD399" i="18"/>
  <c r="AE399" i="18"/>
  <c r="AF399" i="18"/>
  <c r="AG399" i="18"/>
  <c r="AH399" i="18"/>
  <c r="AI399" i="18"/>
  <c r="AJ399" i="18"/>
  <c r="AK399" i="18"/>
  <c r="AL399" i="18"/>
  <c r="AM399" i="18"/>
  <c r="AN399" i="18"/>
  <c r="AO399" i="18"/>
  <c r="AP399" i="18"/>
  <c r="AQ399" i="18"/>
  <c r="AR399" i="18"/>
  <c r="AS399" i="18"/>
  <c r="AT399" i="18"/>
  <c r="AU399" i="18"/>
  <c r="AV399" i="18"/>
  <c r="AC400" i="18"/>
  <c r="AD400" i="18"/>
  <c r="AE400" i="18"/>
  <c r="AF400" i="18"/>
  <c r="AG400" i="18"/>
  <c r="AH400" i="18"/>
  <c r="AI400" i="18"/>
  <c r="AJ400" i="18"/>
  <c r="AK400" i="18"/>
  <c r="AL400" i="18"/>
  <c r="AM400" i="18"/>
  <c r="AN400" i="18"/>
  <c r="AO400" i="18"/>
  <c r="AP400" i="18"/>
  <c r="AQ400" i="18"/>
  <c r="AR400" i="18"/>
  <c r="AS400" i="18"/>
  <c r="AT400" i="18"/>
  <c r="AU400" i="18"/>
  <c r="AV400" i="18"/>
  <c r="AC401" i="18"/>
  <c r="AD401" i="18"/>
  <c r="AE401" i="18"/>
  <c r="AF401" i="18"/>
  <c r="AG401" i="18"/>
  <c r="AH401" i="18"/>
  <c r="AI401" i="18"/>
  <c r="AJ401" i="18"/>
  <c r="AK401" i="18"/>
  <c r="AL401" i="18"/>
  <c r="AM401" i="18"/>
  <c r="AN401" i="18"/>
  <c r="AO401" i="18"/>
  <c r="AP401" i="18"/>
  <c r="AQ401" i="18"/>
  <c r="AR401" i="18"/>
  <c r="AS401" i="18"/>
  <c r="AT401" i="18"/>
  <c r="AU401" i="18"/>
  <c r="AV401" i="18"/>
  <c r="AC402" i="18"/>
  <c r="AD402" i="18"/>
  <c r="AE402" i="18"/>
  <c r="AF402" i="18"/>
  <c r="AG402" i="18"/>
  <c r="AH402" i="18"/>
  <c r="AI402" i="18"/>
  <c r="AJ402" i="18"/>
  <c r="AK402" i="18"/>
  <c r="AL402" i="18"/>
  <c r="AM402" i="18"/>
  <c r="AN402" i="18"/>
  <c r="AO402" i="18"/>
  <c r="AP402" i="18"/>
  <c r="AQ402" i="18"/>
  <c r="AR402" i="18"/>
  <c r="AS402" i="18"/>
  <c r="AT402" i="18"/>
  <c r="AU402" i="18"/>
  <c r="AV402" i="18"/>
  <c r="AC403" i="18"/>
  <c r="AD403" i="18"/>
  <c r="AE403" i="18"/>
  <c r="AF403" i="18"/>
  <c r="AG403" i="18"/>
  <c r="AH403" i="18"/>
  <c r="AI403" i="18"/>
  <c r="AJ403" i="18"/>
  <c r="AK403" i="18"/>
  <c r="AL403" i="18"/>
  <c r="AM403" i="18"/>
  <c r="AN403" i="18"/>
  <c r="AO403" i="18"/>
  <c r="AP403" i="18"/>
  <c r="AQ403" i="18"/>
  <c r="AR403" i="18"/>
  <c r="AS403" i="18"/>
  <c r="AT403" i="18"/>
  <c r="AU403" i="18"/>
  <c r="AV403" i="18"/>
  <c r="AC404" i="18"/>
  <c r="AD404" i="18"/>
  <c r="AE404" i="18"/>
  <c r="AF404" i="18"/>
  <c r="AG404" i="18"/>
  <c r="AH404" i="18"/>
  <c r="AI404" i="18"/>
  <c r="AJ404" i="18"/>
  <c r="AK404" i="18"/>
  <c r="AL404" i="18"/>
  <c r="AM404" i="18"/>
  <c r="AN404" i="18"/>
  <c r="AO404" i="18"/>
  <c r="AP404" i="18"/>
  <c r="AQ404" i="18"/>
  <c r="AR404" i="18"/>
  <c r="AS404" i="18"/>
  <c r="AT404" i="18"/>
  <c r="AU404" i="18"/>
  <c r="AV404" i="18"/>
  <c r="AC405" i="18"/>
  <c r="AD405" i="18"/>
  <c r="AE405" i="18"/>
  <c r="AF405" i="18"/>
  <c r="AG405" i="18"/>
  <c r="AH405" i="18"/>
  <c r="AI405" i="18"/>
  <c r="AJ405" i="18"/>
  <c r="AK405" i="18"/>
  <c r="AL405" i="18"/>
  <c r="AM405" i="18"/>
  <c r="AN405" i="18"/>
  <c r="AO405" i="18"/>
  <c r="AP405" i="18"/>
  <c r="AQ405" i="18"/>
  <c r="AR405" i="18"/>
  <c r="AS405" i="18"/>
  <c r="AT405" i="18"/>
  <c r="AU405" i="18"/>
  <c r="AV405" i="18"/>
  <c r="AC406" i="18"/>
  <c r="AD406" i="18"/>
  <c r="AE406" i="18"/>
  <c r="AF406" i="18"/>
  <c r="AG406" i="18"/>
  <c r="AH406" i="18"/>
  <c r="AI406" i="18"/>
  <c r="AJ406" i="18"/>
  <c r="AK406" i="18"/>
  <c r="AL406" i="18"/>
  <c r="AM406" i="18"/>
  <c r="AN406" i="18"/>
  <c r="AO406" i="18"/>
  <c r="AP406" i="18"/>
  <c r="AQ406" i="18"/>
  <c r="AR406" i="18"/>
  <c r="AS406" i="18"/>
  <c r="AT406" i="18"/>
  <c r="AU406" i="18"/>
  <c r="AV406" i="18"/>
  <c r="AC407" i="18"/>
  <c r="AD407" i="18"/>
  <c r="AE407" i="18"/>
  <c r="AF407" i="18"/>
  <c r="AG407" i="18"/>
  <c r="AH407" i="18"/>
  <c r="AI407" i="18"/>
  <c r="AJ407" i="18"/>
  <c r="AK407" i="18"/>
  <c r="AL407" i="18"/>
  <c r="AM407" i="18"/>
  <c r="AN407" i="18"/>
  <c r="AO407" i="18"/>
  <c r="AP407" i="18"/>
  <c r="AQ407" i="18"/>
  <c r="AR407" i="18"/>
  <c r="AS407" i="18"/>
  <c r="AT407" i="18"/>
  <c r="AU407" i="18"/>
  <c r="AV407" i="18"/>
  <c r="AC408" i="18"/>
  <c r="AD408" i="18"/>
  <c r="AE408" i="18"/>
  <c r="AF408" i="18"/>
  <c r="AG408" i="18"/>
  <c r="AH408" i="18"/>
  <c r="AI408" i="18"/>
  <c r="AJ408" i="18"/>
  <c r="AK408" i="18"/>
  <c r="AL408" i="18"/>
  <c r="AM408" i="18"/>
  <c r="AN408" i="18"/>
  <c r="AO408" i="18"/>
  <c r="AP408" i="18"/>
  <c r="AQ408" i="18"/>
  <c r="AR408" i="18"/>
  <c r="AS408" i="18"/>
  <c r="AT408" i="18"/>
  <c r="AU408" i="18"/>
  <c r="AV408" i="18"/>
  <c r="AC409" i="18"/>
  <c r="AD409" i="18"/>
  <c r="AE409" i="18"/>
  <c r="AF409" i="18"/>
  <c r="AG409" i="18"/>
  <c r="AH409" i="18"/>
  <c r="AI409" i="18"/>
  <c r="AJ409" i="18"/>
  <c r="AK409" i="18"/>
  <c r="AL409" i="18"/>
  <c r="AM409" i="18"/>
  <c r="AN409" i="18"/>
  <c r="AO409" i="18"/>
  <c r="AP409" i="18"/>
  <c r="AQ409" i="18"/>
  <c r="AR409" i="18"/>
  <c r="AS409" i="18"/>
  <c r="AT409" i="18"/>
  <c r="AU409" i="18"/>
  <c r="AV409" i="18"/>
  <c r="AC410" i="18"/>
  <c r="AD410" i="18"/>
  <c r="AE410" i="18"/>
  <c r="AF410" i="18"/>
  <c r="AG410" i="18"/>
  <c r="AH410" i="18"/>
  <c r="AI410" i="18"/>
  <c r="AJ410" i="18"/>
  <c r="AK410" i="18"/>
  <c r="AL410" i="18"/>
  <c r="AM410" i="18"/>
  <c r="AN410" i="18"/>
  <c r="AO410" i="18"/>
  <c r="AP410" i="18"/>
  <c r="AQ410" i="18"/>
  <c r="AR410" i="18"/>
  <c r="AS410" i="18"/>
  <c r="AT410" i="18"/>
  <c r="AU410" i="18"/>
  <c r="AV410" i="18"/>
  <c r="AC411" i="18"/>
  <c r="AD411" i="18"/>
  <c r="AE411" i="18"/>
  <c r="AF411" i="18"/>
  <c r="AG411" i="18"/>
  <c r="AH411" i="18"/>
  <c r="AI411" i="18"/>
  <c r="AJ411" i="18"/>
  <c r="AK411" i="18"/>
  <c r="AL411" i="18"/>
  <c r="AM411" i="18"/>
  <c r="AN411" i="18"/>
  <c r="AO411" i="18"/>
  <c r="AP411" i="18"/>
  <c r="AQ411" i="18"/>
  <c r="AR411" i="18"/>
  <c r="AS411" i="18"/>
  <c r="AT411" i="18"/>
  <c r="AU411" i="18"/>
  <c r="AV411" i="18"/>
  <c r="AC412" i="18"/>
  <c r="AD412" i="18"/>
  <c r="AE412" i="18"/>
  <c r="AF412" i="18"/>
  <c r="AG412" i="18"/>
  <c r="AH412" i="18"/>
  <c r="AI412" i="18"/>
  <c r="AJ412" i="18"/>
  <c r="AK412" i="18"/>
  <c r="AL412" i="18"/>
  <c r="AM412" i="18"/>
  <c r="AN412" i="18"/>
  <c r="AO412" i="18"/>
  <c r="AP412" i="18"/>
  <c r="AQ412" i="18"/>
  <c r="AR412" i="18"/>
  <c r="AS412" i="18"/>
  <c r="AT412" i="18"/>
  <c r="AU412" i="18"/>
  <c r="AV412" i="18"/>
  <c r="AC413" i="18"/>
  <c r="AD413" i="18"/>
  <c r="AE413" i="18"/>
  <c r="AF413" i="18"/>
  <c r="AG413" i="18"/>
  <c r="AH413" i="18"/>
  <c r="AI413" i="18"/>
  <c r="AJ413" i="18"/>
  <c r="AK413" i="18"/>
  <c r="AL413" i="18"/>
  <c r="AM413" i="18"/>
  <c r="AN413" i="18"/>
  <c r="AO413" i="18"/>
  <c r="AP413" i="18"/>
  <c r="AQ413" i="18"/>
  <c r="AR413" i="18"/>
  <c r="AS413" i="18"/>
  <c r="AT413" i="18"/>
  <c r="AU413" i="18"/>
  <c r="AV413" i="18"/>
  <c r="AC414" i="18"/>
  <c r="AD414" i="18"/>
  <c r="AE414" i="18"/>
  <c r="AF414" i="18"/>
  <c r="AG414" i="18"/>
  <c r="AH414" i="18"/>
  <c r="AI414" i="18"/>
  <c r="AJ414" i="18"/>
  <c r="AK414" i="18"/>
  <c r="AL414" i="18"/>
  <c r="AM414" i="18"/>
  <c r="AN414" i="18"/>
  <c r="AO414" i="18"/>
  <c r="AP414" i="18"/>
  <c r="AQ414" i="18"/>
  <c r="AR414" i="18"/>
  <c r="AS414" i="18"/>
  <c r="AT414" i="18"/>
  <c r="AU414" i="18"/>
  <c r="AV414" i="18"/>
  <c r="AC415" i="18"/>
  <c r="AD415" i="18"/>
  <c r="AE415" i="18"/>
  <c r="AF415" i="18"/>
  <c r="AG415" i="18"/>
  <c r="AH415" i="18"/>
  <c r="AI415" i="18"/>
  <c r="AJ415" i="18"/>
  <c r="AK415" i="18"/>
  <c r="AL415" i="18"/>
  <c r="AM415" i="18"/>
  <c r="AN415" i="18"/>
  <c r="AO415" i="18"/>
  <c r="AP415" i="18"/>
  <c r="AQ415" i="18"/>
  <c r="AR415" i="18"/>
  <c r="AS415" i="18"/>
  <c r="AT415" i="18"/>
  <c r="AU415" i="18"/>
  <c r="AV415" i="18"/>
  <c r="AC416" i="18"/>
  <c r="AD416" i="18"/>
  <c r="AE416" i="18"/>
  <c r="AF416" i="18"/>
  <c r="AG416" i="18"/>
  <c r="AH416" i="18"/>
  <c r="AI416" i="18"/>
  <c r="AJ416" i="18"/>
  <c r="AK416" i="18"/>
  <c r="AL416" i="18"/>
  <c r="AM416" i="18"/>
  <c r="AN416" i="18"/>
  <c r="AO416" i="18"/>
  <c r="AP416" i="18"/>
  <c r="AQ416" i="18"/>
  <c r="AR416" i="18"/>
  <c r="AS416" i="18"/>
  <c r="AT416" i="18"/>
  <c r="AU416" i="18"/>
  <c r="AV416" i="18"/>
  <c r="AC417" i="18"/>
  <c r="AD417" i="18"/>
  <c r="AE417" i="18"/>
  <c r="AF417" i="18"/>
  <c r="AG417" i="18"/>
  <c r="AH417" i="18"/>
  <c r="AI417" i="18"/>
  <c r="AJ417" i="18"/>
  <c r="AK417" i="18"/>
  <c r="AL417" i="18"/>
  <c r="AM417" i="18"/>
  <c r="AN417" i="18"/>
  <c r="AO417" i="18"/>
  <c r="AP417" i="18"/>
  <c r="AQ417" i="18"/>
  <c r="AR417" i="18"/>
  <c r="AS417" i="18"/>
  <c r="AT417" i="18"/>
  <c r="AU417" i="18"/>
  <c r="AV417" i="18"/>
  <c r="AC418" i="18"/>
  <c r="AD418" i="18"/>
  <c r="AE418" i="18"/>
  <c r="AF418" i="18"/>
  <c r="AG418" i="18"/>
  <c r="AH418" i="18"/>
  <c r="AI418" i="18"/>
  <c r="AJ418" i="18"/>
  <c r="AK418" i="18"/>
  <c r="AL418" i="18"/>
  <c r="AM418" i="18"/>
  <c r="AN418" i="18"/>
  <c r="AO418" i="18"/>
  <c r="AP418" i="18"/>
  <c r="AQ418" i="18"/>
  <c r="AR418" i="18"/>
  <c r="AS418" i="18"/>
  <c r="AT418" i="18"/>
  <c r="AU418" i="18"/>
  <c r="AV418" i="18"/>
  <c r="AC419" i="18"/>
  <c r="AD419" i="18"/>
  <c r="AE419" i="18"/>
  <c r="AF419" i="18"/>
  <c r="AG419" i="18"/>
  <c r="AH419" i="18"/>
  <c r="AI419" i="18"/>
  <c r="AJ419" i="18"/>
  <c r="AK419" i="18"/>
  <c r="AL419" i="18"/>
  <c r="AM419" i="18"/>
  <c r="AN419" i="18"/>
  <c r="AO419" i="18"/>
  <c r="AP419" i="18"/>
  <c r="AQ419" i="18"/>
  <c r="AR419" i="18"/>
  <c r="AS419" i="18"/>
  <c r="AT419" i="18"/>
  <c r="AU419" i="18"/>
  <c r="AV419" i="18"/>
  <c r="AC420" i="18"/>
  <c r="AD420" i="18"/>
  <c r="AE420" i="18"/>
  <c r="AF420" i="18"/>
  <c r="AG420" i="18"/>
  <c r="AH420" i="18"/>
  <c r="AI420" i="18"/>
  <c r="AJ420" i="18"/>
  <c r="AK420" i="18"/>
  <c r="AL420" i="18"/>
  <c r="AM420" i="18"/>
  <c r="AN420" i="18"/>
  <c r="AO420" i="18"/>
  <c r="AP420" i="18"/>
  <c r="AQ420" i="18"/>
  <c r="AR420" i="18"/>
  <c r="AS420" i="18"/>
  <c r="AT420" i="18"/>
  <c r="AU420" i="18"/>
  <c r="AV420" i="18"/>
  <c r="AC421" i="18"/>
  <c r="AD421" i="18"/>
  <c r="AE421" i="18"/>
  <c r="AF421" i="18"/>
  <c r="AG421" i="18"/>
  <c r="AH421" i="18"/>
  <c r="AI421" i="18"/>
  <c r="AJ421" i="18"/>
  <c r="AK421" i="18"/>
  <c r="AL421" i="18"/>
  <c r="AM421" i="18"/>
  <c r="AN421" i="18"/>
  <c r="AO421" i="18"/>
  <c r="AP421" i="18"/>
  <c r="AQ421" i="18"/>
  <c r="AR421" i="18"/>
  <c r="AS421" i="18"/>
  <c r="AT421" i="18"/>
  <c r="AU421" i="18"/>
  <c r="AV421" i="18"/>
  <c r="AC422" i="18"/>
  <c r="AD422" i="18"/>
  <c r="AE422" i="18"/>
  <c r="AF422" i="18"/>
  <c r="AG422" i="18"/>
  <c r="AH422" i="18"/>
  <c r="AI422" i="18"/>
  <c r="AJ422" i="18"/>
  <c r="AK422" i="18"/>
  <c r="AL422" i="18"/>
  <c r="AM422" i="18"/>
  <c r="AN422" i="18"/>
  <c r="AO422" i="18"/>
  <c r="AP422" i="18"/>
  <c r="AQ422" i="18"/>
  <c r="AR422" i="18"/>
  <c r="AS422" i="18"/>
  <c r="AT422" i="18"/>
  <c r="AU422" i="18"/>
  <c r="AV422" i="18"/>
  <c r="AC423" i="18"/>
  <c r="AD423" i="18"/>
  <c r="AE423" i="18"/>
  <c r="AF423" i="18"/>
  <c r="AG423" i="18"/>
  <c r="AH423" i="18"/>
  <c r="AI423" i="18"/>
  <c r="AJ423" i="18"/>
  <c r="AK423" i="18"/>
  <c r="AL423" i="18"/>
  <c r="AM423" i="18"/>
  <c r="AN423" i="18"/>
  <c r="AO423" i="18"/>
  <c r="AP423" i="18"/>
  <c r="AQ423" i="18"/>
  <c r="AR423" i="18"/>
  <c r="AS423" i="18"/>
  <c r="AT423" i="18"/>
  <c r="AU423" i="18"/>
  <c r="AV423" i="18"/>
  <c r="AC424" i="18"/>
  <c r="AD424" i="18"/>
  <c r="AE424" i="18"/>
  <c r="AF424" i="18"/>
  <c r="AG424" i="18"/>
  <c r="AH424" i="18"/>
  <c r="AI424" i="18"/>
  <c r="AJ424" i="18"/>
  <c r="AK424" i="18"/>
  <c r="AL424" i="18"/>
  <c r="AM424" i="18"/>
  <c r="AN424" i="18"/>
  <c r="AO424" i="18"/>
  <c r="AP424" i="18"/>
  <c r="AQ424" i="18"/>
  <c r="AR424" i="18"/>
  <c r="AS424" i="18"/>
  <c r="AT424" i="18"/>
  <c r="AU424" i="18"/>
  <c r="AV424" i="18"/>
  <c r="AC425" i="18"/>
  <c r="AD425" i="18"/>
  <c r="AE425" i="18"/>
  <c r="AF425" i="18"/>
  <c r="AG425" i="18"/>
  <c r="AH425" i="18"/>
  <c r="AI425" i="18"/>
  <c r="AJ425" i="18"/>
  <c r="AK425" i="18"/>
  <c r="AL425" i="18"/>
  <c r="AM425" i="18"/>
  <c r="AN425" i="18"/>
  <c r="AO425" i="18"/>
  <c r="AP425" i="18"/>
  <c r="AQ425" i="18"/>
  <c r="AR425" i="18"/>
  <c r="AS425" i="18"/>
  <c r="AT425" i="18"/>
  <c r="AU425" i="18"/>
  <c r="AV425" i="18"/>
  <c r="AC426" i="18"/>
  <c r="AD426" i="18"/>
  <c r="AE426" i="18"/>
  <c r="AF426" i="18"/>
  <c r="AG426" i="18"/>
  <c r="AH426" i="18"/>
  <c r="AI426" i="18"/>
  <c r="AJ426" i="18"/>
  <c r="AK426" i="18"/>
  <c r="AL426" i="18"/>
  <c r="AM426" i="18"/>
  <c r="AN426" i="18"/>
  <c r="AO426" i="18"/>
  <c r="AP426" i="18"/>
  <c r="AQ426" i="18"/>
  <c r="AR426" i="18"/>
  <c r="AS426" i="18"/>
  <c r="AT426" i="18"/>
  <c r="AU426" i="18"/>
  <c r="AV426" i="18"/>
  <c r="AC427" i="18"/>
  <c r="AD427" i="18"/>
  <c r="AE427" i="18"/>
  <c r="AF427" i="18"/>
  <c r="AG427" i="18"/>
  <c r="AH427" i="18"/>
  <c r="AI427" i="18"/>
  <c r="AJ427" i="18"/>
  <c r="AK427" i="18"/>
  <c r="AL427" i="18"/>
  <c r="AM427" i="18"/>
  <c r="AN427" i="18"/>
  <c r="AO427" i="18"/>
  <c r="AP427" i="18"/>
  <c r="AQ427" i="18"/>
  <c r="AR427" i="18"/>
  <c r="AS427" i="18"/>
  <c r="AT427" i="18"/>
  <c r="AU427" i="18"/>
  <c r="AV427" i="18"/>
  <c r="AC428" i="18"/>
  <c r="AD428" i="18"/>
  <c r="AE428" i="18"/>
  <c r="AF428" i="18"/>
  <c r="AG428" i="18"/>
  <c r="AH428" i="18"/>
  <c r="AI428" i="18"/>
  <c r="AJ428" i="18"/>
  <c r="AK428" i="18"/>
  <c r="AL428" i="18"/>
  <c r="AM428" i="18"/>
  <c r="AN428" i="18"/>
  <c r="AO428" i="18"/>
  <c r="AP428" i="18"/>
  <c r="AQ428" i="18"/>
  <c r="AR428" i="18"/>
  <c r="AS428" i="18"/>
  <c r="AT428" i="18"/>
  <c r="AU428" i="18"/>
  <c r="AV428" i="18"/>
  <c r="AC429" i="18"/>
  <c r="AD429" i="18"/>
  <c r="AE429" i="18"/>
  <c r="AF429" i="18"/>
  <c r="AG429" i="18"/>
  <c r="AH429" i="18"/>
  <c r="AI429" i="18"/>
  <c r="AJ429" i="18"/>
  <c r="AK429" i="18"/>
  <c r="AL429" i="18"/>
  <c r="AM429" i="18"/>
  <c r="AN429" i="18"/>
  <c r="AO429" i="18"/>
  <c r="AP429" i="18"/>
  <c r="AQ429" i="18"/>
  <c r="AR429" i="18"/>
  <c r="AS429" i="18"/>
  <c r="AT429" i="18"/>
  <c r="AU429" i="18"/>
  <c r="AV429" i="18"/>
  <c r="AC430" i="18"/>
  <c r="AD430" i="18"/>
  <c r="AE430" i="18"/>
  <c r="AF430" i="18"/>
  <c r="AG430" i="18"/>
  <c r="AH430" i="18"/>
  <c r="AI430" i="18"/>
  <c r="AJ430" i="18"/>
  <c r="AK430" i="18"/>
  <c r="AL430" i="18"/>
  <c r="AM430" i="18"/>
  <c r="AN430" i="18"/>
  <c r="AO430" i="18"/>
  <c r="AP430" i="18"/>
  <c r="AQ430" i="18"/>
  <c r="AR430" i="18"/>
  <c r="AS430" i="18"/>
  <c r="AT430" i="18"/>
  <c r="AU430" i="18"/>
  <c r="AV430" i="18"/>
  <c r="AC431" i="18"/>
  <c r="AD431" i="18"/>
  <c r="AE431" i="18"/>
  <c r="AF431" i="18"/>
  <c r="AG431" i="18"/>
  <c r="AH431" i="18"/>
  <c r="AI431" i="18"/>
  <c r="AJ431" i="18"/>
  <c r="AK431" i="18"/>
  <c r="AL431" i="18"/>
  <c r="AM431" i="18"/>
  <c r="AN431" i="18"/>
  <c r="AO431" i="18"/>
  <c r="AP431" i="18"/>
  <c r="AQ431" i="18"/>
  <c r="AR431" i="18"/>
  <c r="AS431" i="18"/>
  <c r="AT431" i="18"/>
  <c r="AU431" i="18"/>
  <c r="AV431" i="18"/>
  <c r="AC432" i="18"/>
  <c r="AD432" i="18"/>
  <c r="AE432" i="18"/>
  <c r="AF432" i="18"/>
  <c r="AG432" i="18"/>
  <c r="AH432" i="18"/>
  <c r="AI432" i="18"/>
  <c r="AJ432" i="18"/>
  <c r="AK432" i="18"/>
  <c r="AL432" i="18"/>
  <c r="AM432" i="18"/>
  <c r="AN432" i="18"/>
  <c r="AO432" i="18"/>
  <c r="AP432" i="18"/>
  <c r="AQ432" i="18"/>
  <c r="AR432" i="18"/>
  <c r="AS432" i="18"/>
  <c r="AT432" i="18"/>
  <c r="AU432" i="18"/>
  <c r="AV432" i="18"/>
  <c r="AC433" i="18"/>
  <c r="AD433" i="18"/>
  <c r="AE433" i="18"/>
  <c r="AF433" i="18"/>
  <c r="AG433" i="18"/>
  <c r="AH433" i="18"/>
  <c r="AI433" i="18"/>
  <c r="AJ433" i="18"/>
  <c r="AK433" i="18"/>
  <c r="AL433" i="18"/>
  <c r="AM433" i="18"/>
  <c r="AN433" i="18"/>
  <c r="AO433" i="18"/>
  <c r="AP433" i="18"/>
  <c r="AQ433" i="18"/>
  <c r="AR433" i="18"/>
  <c r="AS433" i="18"/>
  <c r="AT433" i="18"/>
  <c r="AU433" i="18"/>
  <c r="AV433" i="18"/>
  <c r="AC434" i="18"/>
  <c r="AD434" i="18"/>
  <c r="AE434" i="18"/>
  <c r="AF434" i="18"/>
  <c r="AG434" i="18"/>
  <c r="AH434" i="18"/>
  <c r="AI434" i="18"/>
  <c r="AJ434" i="18"/>
  <c r="AK434" i="18"/>
  <c r="AL434" i="18"/>
  <c r="AM434" i="18"/>
  <c r="AN434" i="18"/>
  <c r="AO434" i="18"/>
  <c r="AP434" i="18"/>
  <c r="AQ434" i="18"/>
  <c r="AR434" i="18"/>
  <c r="AS434" i="18"/>
  <c r="AT434" i="18"/>
  <c r="AU434" i="18"/>
  <c r="AV434" i="18"/>
  <c r="AC435" i="18"/>
  <c r="AD435" i="18"/>
  <c r="AE435" i="18"/>
  <c r="AF435" i="18"/>
  <c r="AG435" i="18"/>
  <c r="AH435" i="18"/>
  <c r="AI435" i="18"/>
  <c r="AJ435" i="18"/>
  <c r="AK435" i="18"/>
  <c r="AL435" i="18"/>
  <c r="AM435" i="18"/>
  <c r="AN435" i="18"/>
  <c r="AO435" i="18"/>
  <c r="AP435" i="18"/>
  <c r="AQ435" i="18"/>
  <c r="AR435" i="18"/>
  <c r="AS435" i="18"/>
  <c r="AT435" i="18"/>
  <c r="AU435" i="18"/>
  <c r="AV435" i="18"/>
  <c r="AC436" i="18"/>
  <c r="AD436" i="18"/>
  <c r="AE436" i="18"/>
  <c r="AF436" i="18"/>
  <c r="AG436" i="18"/>
  <c r="AH436" i="18"/>
  <c r="AI436" i="18"/>
  <c r="AJ436" i="18"/>
  <c r="AK436" i="18"/>
  <c r="AL436" i="18"/>
  <c r="AM436" i="18"/>
  <c r="AN436" i="18"/>
  <c r="AO436" i="18"/>
  <c r="AP436" i="18"/>
  <c r="AQ436" i="18"/>
  <c r="AR436" i="18"/>
  <c r="AS436" i="18"/>
  <c r="AT436" i="18"/>
  <c r="AU436" i="18"/>
  <c r="AV436" i="18"/>
  <c r="AC437" i="18"/>
  <c r="AD437" i="18"/>
  <c r="AE437" i="18"/>
  <c r="AF437" i="18"/>
  <c r="AG437" i="18"/>
  <c r="AH437" i="18"/>
  <c r="AI437" i="18"/>
  <c r="AJ437" i="18"/>
  <c r="AK437" i="18"/>
  <c r="AL437" i="18"/>
  <c r="AM437" i="18"/>
  <c r="AN437" i="18"/>
  <c r="AO437" i="18"/>
  <c r="AP437" i="18"/>
  <c r="AQ437" i="18"/>
  <c r="AR437" i="18"/>
  <c r="AS437" i="18"/>
  <c r="AT437" i="18"/>
  <c r="AU437" i="18"/>
  <c r="AV437" i="18"/>
  <c r="AC438" i="18"/>
  <c r="AD438" i="18"/>
  <c r="AE438" i="18"/>
  <c r="AF438" i="18"/>
  <c r="AG438" i="18"/>
  <c r="AH438" i="18"/>
  <c r="AI438" i="18"/>
  <c r="AJ438" i="18"/>
  <c r="AK438" i="18"/>
  <c r="AL438" i="18"/>
  <c r="AM438" i="18"/>
  <c r="AN438" i="18"/>
  <c r="AO438" i="18"/>
  <c r="AP438" i="18"/>
  <c r="AQ438" i="18"/>
  <c r="AR438" i="18"/>
  <c r="AS438" i="18"/>
  <c r="AT438" i="18"/>
  <c r="AU438" i="18"/>
  <c r="AV438" i="18"/>
  <c r="AC439" i="18"/>
  <c r="AD439" i="18"/>
  <c r="AE439" i="18"/>
  <c r="AF439" i="18"/>
  <c r="AG439" i="18"/>
  <c r="AH439" i="18"/>
  <c r="AI439" i="18"/>
  <c r="AJ439" i="18"/>
  <c r="AK439" i="18"/>
  <c r="AL439" i="18"/>
  <c r="AM439" i="18"/>
  <c r="AN439" i="18"/>
  <c r="AO439" i="18"/>
  <c r="AP439" i="18"/>
  <c r="AQ439" i="18"/>
  <c r="AR439" i="18"/>
  <c r="AS439" i="18"/>
  <c r="AT439" i="18"/>
  <c r="AU439" i="18"/>
  <c r="AV439" i="18"/>
  <c r="AC440" i="18"/>
  <c r="AD440" i="18"/>
  <c r="AE440" i="18"/>
  <c r="AF440" i="18"/>
  <c r="AG440" i="18"/>
  <c r="AH440" i="18"/>
  <c r="AI440" i="18"/>
  <c r="AJ440" i="18"/>
  <c r="AK440" i="18"/>
  <c r="AL440" i="18"/>
  <c r="AM440" i="18"/>
  <c r="AN440" i="18"/>
  <c r="AO440" i="18"/>
  <c r="AP440" i="18"/>
  <c r="AQ440" i="18"/>
  <c r="AR440" i="18"/>
  <c r="AS440" i="18"/>
  <c r="AT440" i="18"/>
  <c r="AU440" i="18"/>
  <c r="AV440" i="18"/>
  <c r="AC441" i="18"/>
  <c r="AD441" i="18"/>
  <c r="AE441" i="18"/>
  <c r="AF441" i="18"/>
  <c r="AG441" i="18"/>
  <c r="AH441" i="18"/>
  <c r="AI441" i="18"/>
  <c r="AJ441" i="18"/>
  <c r="AK441" i="18"/>
  <c r="AL441" i="18"/>
  <c r="AM441" i="18"/>
  <c r="AN441" i="18"/>
  <c r="AO441" i="18"/>
  <c r="AP441" i="18"/>
  <c r="AQ441" i="18"/>
  <c r="AR441" i="18"/>
  <c r="AS441" i="18"/>
  <c r="AT441" i="18"/>
  <c r="AU441" i="18"/>
  <c r="AV441" i="18"/>
  <c r="AC442" i="18"/>
  <c r="AD442" i="18"/>
  <c r="AE442" i="18"/>
  <c r="AF442" i="18"/>
  <c r="AG442" i="18"/>
  <c r="AH442" i="18"/>
  <c r="AI442" i="18"/>
  <c r="AJ442" i="18"/>
  <c r="AK442" i="18"/>
  <c r="AL442" i="18"/>
  <c r="AM442" i="18"/>
  <c r="AN442" i="18"/>
  <c r="AO442" i="18"/>
  <c r="AP442" i="18"/>
  <c r="AQ442" i="18"/>
  <c r="AR442" i="18"/>
  <c r="AS442" i="18"/>
  <c r="AT442" i="18"/>
  <c r="AU442" i="18"/>
  <c r="AV442" i="18"/>
  <c r="AC443" i="18"/>
  <c r="AD443" i="18"/>
  <c r="AE443" i="18"/>
  <c r="AF443" i="18"/>
  <c r="AG443" i="18"/>
  <c r="AH443" i="18"/>
  <c r="AI443" i="18"/>
  <c r="AJ443" i="18"/>
  <c r="AK443" i="18"/>
  <c r="AL443" i="18"/>
  <c r="AM443" i="18"/>
  <c r="AN443" i="18"/>
  <c r="AO443" i="18"/>
  <c r="AP443" i="18"/>
  <c r="AQ443" i="18"/>
  <c r="AR443" i="18"/>
  <c r="AS443" i="18"/>
  <c r="AT443" i="18"/>
  <c r="AU443" i="18"/>
  <c r="AV443" i="18"/>
  <c r="AC444" i="18"/>
  <c r="AD444" i="18"/>
  <c r="AE444" i="18"/>
  <c r="AF444" i="18"/>
  <c r="AG444" i="18"/>
  <c r="AH444" i="18"/>
  <c r="AI444" i="18"/>
  <c r="AJ444" i="18"/>
  <c r="AK444" i="18"/>
  <c r="AL444" i="18"/>
  <c r="AM444" i="18"/>
  <c r="AN444" i="18"/>
  <c r="AO444" i="18"/>
  <c r="AP444" i="18"/>
  <c r="AQ444" i="18"/>
  <c r="AR444" i="18"/>
  <c r="AS444" i="18"/>
  <c r="AT444" i="18"/>
  <c r="AU444" i="18"/>
  <c r="AV444" i="18"/>
  <c r="AC445" i="18"/>
  <c r="AD445" i="18"/>
  <c r="AE445" i="18"/>
  <c r="AF445" i="18"/>
  <c r="AG445" i="18"/>
  <c r="AH445" i="18"/>
  <c r="AI445" i="18"/>
  <c r="AJ445" i="18"/>
  <c r="AK445" i="18"/>
  <c r="AL445" i="18"/>
  <c r="AM445" i="18"/>
  <c r="AN445" i="18"/>
  <c r="AO445" i="18"/>
  <c r="AP445" i="18"/>
  <c r="AQ445" i="18"/>
  <c r="AR445" i="18"/>
  <c r="AS445" i="18"/>
  <c r="AT445" i="18"/>
  <c r="AU445" i="18"/>
  <c r="AV445" i="18"/>
  <c r="AC446" i="18"/>
  <c r="AD446" i="18"/>
  <c r="AE446" i="18"/>
  <c r="AF446" i="18"/>
  <c r="AG446" i="18"/>
  <c r="AH446" i="18"/>
  <c r="AI446" i="18"/>
  <c r="AJ446" i="18"/>
  <c r="AK446" i="18"/>
  <c r="AL446" i="18"/>
  <c r="AM446" i="18"/>
  <c r="AN446" i="18"/>
  <c r="AO446" i="18"/>
  <c r="AP446" i="18"/>
  <c r="AQ446" i="18"/>
  <c r="AR446" i="18"/>
  <c r="AS446" i="18"/>
  <c r="AT446" i="18"/>
  <c r="AU446" i="18"/>
  <c r="AV446" i="18"/>
  <c r="AC447" i="18"/>
  <c r="AD447" i="18"/>
  <c r="AE447" i="18"/>
  <c r="AF447" i="18"/>
  <c r="AG447" i="18"/>
  <c r="AH447" i="18"/>
  <c r="AI447" i="18"/>
  <c r="AJ447" i="18"/>
  <c r="AK447" i="18"/>
  <c r="AL447" i="18"/>
  <c r="AM447" i="18"/>
  <c r="AN447" i="18"/>
  <c r="AO447" i="18"/>
  <c r="AP447" i="18"/>
  <c r="AQ447" i="18"/>
  <c r="AR447" i="18"/>
  <c r="AS447" i="18"/>
  <c r="AT447" i="18"/>
  <c r="AU447" i="18"/>
  <c r="AV447" i="18"/>
  <c r="AC448" i="18"/>
  <c r="AD448" i="18"/>
  <c r="AE448" i="18"/>
  <c r="AF448" i="18"/>
  <c r="AG448" i="18"/>
  <c r="AH448" i="18"/>
  <c r="AI448" i="18"/>
  <c r="AJ448" i="18"/>
  <c r="AK448" i="18"/>
  <c r="AL448" i="18"/>
  <c r="AM448" i="18"/>
  <c r="AN448" i="18"/>
  <c r="AO448" i="18"/>
  <c r="AP448" i="18"/>
  <c r="AQ448" i="18"/>
  <c r="AR448" i="18"/>
  <c r="AS448" i="18"/>
  <c r="AT448" i="18"/>
  <c r="AU448" i="18"/>
  <c r="AV448" i="18"/>
  <c r="AC449" i="18"/>
  <c r="AD449" i="18"/>
  <c r="AE449" i="18"/>
  <c r="AF449" i="18"/>
  <c r="AG449" i="18"/>
  <c r="AH449" i="18"/>
  <c r="AI449" i="18"/>
  <c r="AJ449" i="18"/>
  <c r="AK449" i="18"/>
  <c r="AL449" i="18"/>
  <c r="AM449" i="18"/>
  <c r="AN449" i="18"/>
  <c r="AO449" i="18"/>
  <c r="AP449" i="18"/>
  <c r="AQ449" i="18"/>
  <c r="AR449" i="18"/>
  <c r="AS449" i="18"/>
  <c r="AT449" i="18"/>
  <c r="AU449" i="18"/>
  <c r="AV449" i="18"/>
  <c r="AC450" i="18"/>
  <c r="AD450" i="18"/>
  <c r="AE450" i="18"/>
  <c r="AF450" i="18"/>
  <c r="AG450" i="18"/>
  <c r="AH450" i="18"/>
  <c r="AI450" i="18"/>
  <c r="AJ450" i="18"/>
  <c r="AK450" i="18"/>
  <c r="AL450" i="18"/>
  <c r="AM450" i="18"/>
  <c r="AN450" i="18"/>
  <c r="AO450" i="18"/>
  <c r="AP450" i="18"/>
  <c r="AQ450" i="18"/>
  <c r="AR450" i="18"/>
  <c r="AS450" i="18"/>
  <c r="AT450" i="18"/>
  <c r="AU450" i="18"/>
  <c r="AV450" i="18"/>
  <c r="AC451" i="18"/>
  <c r="AD451" i="18"/>
  <c r="AE451" i="18"/>
  <c r="AF451" i="18"/>
  <c r="AG451" i="18"/>
  <c r="AH451" i="18"/>
  <c r="AI451" i="18"/>
  <c r="AJ451" i="18"/>
  <c r="AK451" i="18"/>
  <c r="AL451" i="18"/>
  <c r="AM451" i="18"/>
  <c r="AN451" i="18"/>
  <c r="AO451" i="18"/>
  <c r="AP451" i="18"/>
  <c r="AQ451" i="18"/>
  <c r="AR451" i="18"/>
  <c r="AS451" i="18"/>
  <c r="AT451" i="18"/>
  <c r="AU451" i="18"/>
  <c r="AV451" i="18"/>
  <c r="AC452" i="18"/>
  <c r="AD452" i="18"/>
  <c r="AE452" i="18"/>
  <c r="AF452" i="18"/>
  <c r="AG452" i="18"/>
  <c r="AH452" i="18"/>
  <c r="AI452" i="18"/>
  <c r="AJ452" i="18"/>
  <c r="AK452" i="18"/>
  <c r="AL452" i="18"/>
  <c r="AM452" i="18"/>
  <c r="AN452" i="18"/>
  <c r="AO452" i="18"/>
  <c r="AP452" i="18"/>
  <c r="AQ452" i="18"/>
  <c r="AR452" i="18"/>
  <c r="AS452" i="18"/>
  <c r="AT452" i="18"/>
  <c r="AU452" i="18"/>
  <c r="AV452" i="18"/>
  <c r="AC453" i="18"/>
  <c r="AD453" i="18"/>
  <c r="AE453" i="18"/>
  <c r="AF453" i="18"/>
  <c r="AG453" i="18"/>
  <c r="AH453" i="18"/>
  <c r="AI453" i="18"/>
  <c r="AJ453" i="18"/>
  <c r="AK453" i="18"/>
  <c r="AL453" i="18"/>
  <c r="AM453" i="18"/>
  <c r="AN453" i="18"/>
  <c r="AO453" i="18"/>
  <c r="AP453" i="18"/>
  <c r="AQ453" i="18"/>
  <c r="AR453" i="18"/>
  <c r="AS453" i="18"/>
  <c r="AT453" i="18"/>
  <c r="AU453" i="18"/>
  <c r="AV453" i="18"/>
  <c r="AC454" i="18"/>
  <c r="AD454" i="18"/>
  <c r="AE454" i="18"/>
  <c r="AF454" i="18"/>
  <c r="AG454" i="18"/>
  <c r="AH454" i="18"/>
  <c r="AI454" i="18"/>
  <c r="AJ454" i="18"/>
  <c r="AK454" i="18"/>
  <c r="AL454" i="18"/>
  <c r="AM454" i="18"/>
  <c r="AN454" i="18"/>
  <c r="AO454" i="18"/>
  <c r="AP454" i="18"/>
  <c r="AQ454" i="18"/>
  <c r="AR454" i="18"/>
  <c r="AS454" i="18"/>
  <c r="AT454" i="18"/>
  <c r="AU454" i="18"/>
  <c r="AV454" i="18"/>
  <c r="AC455" i="18"/>
  <c r="AD455" i="18"/>
  <c r="AE455" i="18"/>
  <c r="AF455" i="18"/>
  <c r="AG455" i="18"/>
  <c r="AH455" i="18"/>
  <c r="AI455" i="18"/>
  <c r="AJ455" i="18"/>
  <c r="AK455" i="18"/>
  <c r="AL455" i="18"/>
  <c r="AM455" i="18"/>
  <c r="AN455" i="18"/>
  <c r="AO455" i="18"/>
  <c r="AP455" i="18"/>
  <c r="AQ455" i="18"/>
  <c r="AR455" i="18"/>
  <c r="AS455" i="18"/>
  <c r="AT455" i="18"/>
  <c r="AU455" i="18"/>
  <c r="AV455" i="18"/>
  <c r="AC456" i="18"/>
  <c r="AD456" i="18"/>
  <c r="AE456" i="18"/>
  <c r="AF456" i="18"/>
  <c r="AG456" i="18"/>
  <c r="AH456" i="18"/>
  <c r="AI456" i="18"/>
  <c r="AJ456" i="18"/>
  <c r="AK456" i="18"/>
  <c r="AL456" i="18"/>
  <c r="AM456" i="18"/>
  <c r="AN456" i="18"/>
  <c r="AO456" i="18"/>
  <c r="AP456" i="18"/>
  <c r="AQ456" i="18"/>
  <c r="AR456" i="18"/>
  <c r="AS456" i="18"/>
  <c r="AT456" i="18"/>
  <c r="AU456" i="18"/>
  <c r="AV456" i="18"/>
  <c r="AC457" i="18"/>
  <c r="AD457" i="18"/>
  <c r="AE457" i="18"/>
  <c r="AF457" i="18"/>
  <c r="AG457" i="18"/>
  <c r="AH457" i="18"/>
  <c r="AI457" i="18"/>
  <c r="AJ457" i="18"/>
  <c r="AK457" i="18"/>
  <c r="AL457" i="18"/>
  <c r="AM457" i="18"/>
  <c r="AN457" i="18"/>
  <c r="AO457" i="18"/>
  <c r="AP457" i="18"/>
  <c r="AQ457" i="18"/>
  <c r="AR457" i="18"/>
  <c r="AS457" i="18"/>
  <c r="AT457" i="18"/>
  <c r="AU457" i="18"/>
  <c r="AV457" i="18"/>
  <c r="AC458" i="18"/>
  <c r="AD458" i="18"/>
  <c r="AE458" i="18"/>
  <c r="AF458" i="18"/>
  <c r="AG458" i="18"/>
  <c r="AH458" i="18"/>
  <c r="AI458" i="18"/>
  <c r="AJ458" i="18"/>
  <c r="AK458" i="18"/>
  <c r="AL458" i="18"/>
  <c r="AM458" i="18"/>
  <c r="AN458" i="18"/>
  <c r="AO458" i="18"/>
  <c r="AP458" i="18"/>
  <c r="AQ458" i="18"/>
  <c r="AR458" i="18"/>
  <c r="AS458" i="18"/>
  <c r="AT458" i="18"/>
  <c r="AU458" i="18"/>
  <c r="AV458" i="18"/>
  <c r="AC459" i="18"/>
  <c r="AD459" i="18"/>
  <c r="AE459" i="18"/>
  <c r="AF459" i="18"/>
  <c r="AG459" i="18"/>
  <c r="AH459" i="18"/>
  <c r="AI459" i="18"/>
  <c r="AJ459" i="18"/>
  <c r="AK459" i="18"/>
  <c r="AL459" i="18"/>
  <c r="AM459" i="18"/>
  <c r="AN459" i="18"/>
  <c r="AO459" i="18"/>
  <c r="AP459" i="18"/>
  <c r="AQ459" i="18"/>
  <c r="AR459" i="18"/>
  <c r="AS459" i="18"/>
  <c r="AT459" i="18"/>
  <c r="AU459" i="18"/>
  <c r="AV459" i="18"/>
  <c r="AC460" i="18"/>
  <c r="AD460" i="18"/>
  <c r="AE460" i="18"/>
  <c r="AF460" i="18"/>
  <c r="AG460" i="18"/>
  <c r="AH460" i="18"/>
  <c r="AI460" i="18"/>
  <c r="AJ460" i="18"/>
  <c r="AK460" i="18"/>
  <c r="AL460" i="18"/>
  <c r="AM460" i="18"/>
  <c r="AN460" i="18"/>
  <c r="AO460" i="18"/>
  <c r="AP460" i="18"/>
  <c r="AQ460" i="18"/>
  <c r="AR460" i="18"/>
  <c r="AS460" i="18"/>
  <c r="AT460" i="18"/>
  <c r="AU460" i="18"/>
  <c r="AV460" i="18"/>
  <c r="AC461" i="18"/>
  <c r="AD461" i="18"/>
  <c r="AE461" i="18"/>
  <c r="AF461" i="18"/>
  <c r="AG461" i="18"/>
  <c r="AH461" i="18"/>
  <c r="AI461" i="18"/>
  <c r="AJ461" i="18"/>
  <c r="AK461" i="18"/>
  <c r="AL461" i="18"/>
  <c r="AM461" i="18"/>
  <c r="AN461" i="18"/>
  <c r="AO461" i="18"/>
  <c r="AP461" i="18"/>
  <c r="AQ461" i="18"/>
  <c r="AR461" i="18"/>
  <c r="AS461" i="18"/>
  <c r="AT461" i="18"/>
  <c r="AU461" i="18"/>
  <c r="AV461" i="18"/>
  <c r="AC462" i="18"/>
  <c r="AD462" i="18"/>
  <c r="AE462" i="18"/>
  <c r="AF462" i="18"/>
  <c r="AG462" i="18"/>
  <c r="AH462" i="18"/>
  <c r="AI462" i="18"/>
  <c r="AJ462" i="18"/>
  <c r="AK462" i="18"/>
  <c r="AL462" i="18"/>
  <c r="AM462" i="18"/>
  <c r="AN462" i="18"/>
  <c r="AO462" i="18"/>
  <c r="AP462" i="18"/>
  <c r="AQ462" i="18"/>
  <c r="AR462" i="18"/>
  <c r="AS462" i="18"/>
  <c r="AT462" i="18"/>
  <c r="AU462" i="18"/>
  <c r="AV462" i="18"/>
  <c r="AC463" i="18"/>
  <c r="AD463" i="18"/>
  <c r="AE463" i="18"/>
  <c r="AF463" i="18"/>
  <c r="AG463" i="18"/>
  <c r="AH463" i="18"/>
  <c r="AI463" i="18"/>
  <c r="AJ463" i="18"/>
  <c r="AK463" i="18"/>
  <c r="AL463" i="18"/>
  <c r="AM463" i="18"/>
  <c r="AN463" i="18"/>
  <c r="AO463" i="18"/>
  <c r="AP463" i="18"/>
  <c r="AQ463" i="18"/>
  <c r="AR463" i="18"/>
  <c r="AS463" i="18"/>
  <c r="AT463" i="18"/>
  <c r="AU463" i="18"/>
  <c r="AV463" i="18"/>
  <c r="AC464" i="18"/>
  <c r="AD464" i="18"/>
  <c r="AE464" i="18"/>
  <c r="AF464" i="18"/>
  <c r="AG464" i="18"/>
  <c r="AH464" i="18"/>
  <c r="AI464" i="18"/>
  <c r="AJ464" i="18"/>
  <c r="AK464" i="18"/>
  <c r="AL464" i="18"/>
  <c r="AM464" i="18"/>
  <c r="AN464" i="18"/>
  <c r="AO464" i="18"/>
  <c r="AP464" i="18"/>
  <c r="AQ464" i="18"/>
  <c r="AR464" i="18"/>
  <c r="AS464" i="18"/>
  <c r="AT464" i="18"/>
  <c r="AU464" i="18"/>
  <c r="AV464" i="18"/>
  <c r="AC465" i="18"/>
  <c r="AD465" i="18"/>
  <c r="AE465" i="18"/>
  <c r="AF465" i="18"/>
  <c r="AG465" i="18"/>
  <c r="AH465" i="18"/>
  <c r="AI465" i="18"/>
  <c r="AJ465" i="18"/>
  <c r="AK465" i="18"/>
  <c r="AL465" i="18"/>
  <c r="AM465" i="18"/>
  <c r="AN465" i="18"/>
  <c r="AO465" i="18"/>
  <c r="AP465" i="18"/>
  <c r="AQ465" i="18"/>
  <c r="AR465" i="18"/>
  <c r="AS465" i="18"/>
  <c r="AT465" i="18"/>
  <c r="AU465" i="18"/>
  <c r="AV465" i="18"/>
  <c r="AC466" i="18"/>
  <c r="AD466" i="18"/>
  <c r="AE466" i="18"/>
  <c r="AF466" i="18"/>
  <c r="AG466" i="18"/>
  <c r="AH466" i="18"/>
  <c r="AI466" i="18"/>
  <c r="AJ466" i="18"/>
  <c r="AK466" i="18"/>
  <c r="AL466" i="18"/>
  <c r="AM466" i="18"/>
  <c r="AN466" i="18"/>
  <c r="AO466" i="18"/>
  <c r="AP466" i="18"/>
  <c r="AQ466" i="18"/>
  <c r="AR466" i="18"/>
  <c r="AS466" i="18"/>
  <c r="AT466" i="18"/>
  <c r="AU466" i="18"/>
  <c r="AV466" i="18"/>
  <c r="AC467" i="18"/>
  <c r="AD467" i="18"/>
  <c r="AE467" i="18"/>
  <c r="AF467" i="18"/>
  <c r="AG467" i="18"/>
  <c r="AH467" i="18"/>
  <c r="AI467" i="18"/>
  <c r="AJ467" i="18"/>
  <c r="AK467" i="18"/>
  <c r="AL467" i="18"/>
  <c r="AM467" i="18"/>
  <c r="AN467" i="18"/>
  <c r="AO467" i="18"/>
  <c r="AP467" i="18"/>
  <c r="AQ467" i="18"/>
  <c r="AR467" i="18"/>
  <c r="AS467" i="18"/>
  <c r="AT467" i="18"/>
  <c r="AU467" i="18"/>
  <c r="AV467" i="18"/>
  <c r="AC468" i="18"/>
  <c r="AD468" i="18"/>
  <c r="AE468" i="18"/>
  <c r="AF468" i="18"/>
  <c r="AG468" i="18"/>
  <c r="AH468" i="18"/>
  <c r="AI468" i="18"/>
  <c r="AJ468" i="18"/>
  <c r="AK468" i="18"/>
  <c r="AL468" i="18"/>
  <c r="AM468" i="18"/>
  <c r="AN468" i="18"/>
  <c r="AO468" i="18"/>
  <c r="AP468" i="18"/>
  <c r="AQ468" i="18"/>
  <c r="AR468" i="18"/>
  <c r="AS468" i="18"/>
  <c r="AT468" i="18"/>
  <c r="AU468" i="18"/>
  <c r="AV468" i="18"/>
  <c r="AC469" i="18"/>
  <c r="AD469" i="18"/>
  <c r="AE469" i="18"/>
  <c r="AF469" i="18"/>
  <c r="AG469" i="18"/>
  <c r="AH469" i="18"/>
  <c r="AI469" i="18"/>
  <c r="AJ469" i="18"/>
  <c r="AK469" i="18"/>
  <c r="AL469" i="18"/>
  <c r="AM469" i="18"/>
  <c r="AN469" i="18"/>
  <c r="AO469" i="18"/>
  <c r="AP469" i="18"/>
  <c r="AQ469" i="18"/>
  <c r="AR469" i="18"/>
  <c r="AS469" i="18"/>
  <c r="AT469" i="18"/>
  <c r="AU469" i="18"/>
  <c r="AV469" i="18"/>
  <c r="AC470" i="18"/>
  <c r="AD470" i="18"/>
  <c r="AE470" i="18"/>
  <c r="AF470" i="18"/>
  <c r="AG470" i="18"/>
  <c r="AH470" i="18"/>
  <c r="AI470" i="18"/>
  <c r="AJ470" i="18"/>
  <c r="AK470" i="18"/>
  <c r="AL470" i="18"/>
  <c r="AM470" i="18"/>
  <c r="AN470" i="18"/>
  <c r="AO470" i="18"/>
  <c r="AP470" i="18"/>
  <c r="AQ470" i="18"/>
  <c r="AR470" i="18"/>
  <c r="AS470" i="18"/>
  <c r="AT470" i="18"/>
  <c r="AU470" i="18"/>
  <c r="AV470" i="18"/>
  <c r="AC471" i="18"/>
  <c r="AD471" i="18"/>
  <c r="AE471" i="18"/>
  <c r="AF471" i="18"/>
  <c r="AG471" i="18"/>
  <c r="AH471" i="18"/>
  <c r="AI471" i="18"/>
  <c r="AJ471" i="18"/>
  <c r="AK471" i="18"/>
  <c r="AL471" i="18"/>
  <c r="AM471" i="18"/>
  <c r="AN471" i="18"/>
  <c r="AO471" i="18"/>
  <c r="AP471" i="18"/>
  <c r="AQ471" i="18"/>
  <c r="AR471" i="18"/>
  <c r="AS471" i="18"/>
  <c r="AT471" i="18"/>
  <c r="AU471" i="18"/>
  <c r="AV471" i="18"/>
  <c r="AC472" i="18"/>
  <c r="AD472" i="18"/>
  <c r="AE472" i="18"/>
  <c r="AF472" i="18"/>
  <c r="AG472" i="18"/>
  <c r="AH472" i="18"/>
  <c r="AI472" i="18"/>
  <c r="AJ472" i="18"/>
  <c r="AK472" i="18"/>
  <c r="AL472" i="18"/>
  <c r="AM472" i="18"/>
  <c r="AN472" i="18"/>
  <c r="AO472" i="18"/>
  <c r="AP472" i="18"/>
  <c r="AQ472" i="18"/>
  <c r="AR472" i="18"/>
  <c r="AS472" i="18"/>
  <c r="AT472" i="18"/>
  <c r="AU472" i="18"/>
  <c r="AV472" i="18"/>
  <c r="AC473" i="18"/>
  <c r="AD473" i="18"/>
  <c r="AE473" i="18"/>
  <c r="AF473" i="18"/>
  <c r="AG473" i="18"/>
  <c r="AH473" i="18"/>
  <c r="AI473" i="18"/>
  <c r="AJ473" i="18"/>
  <c r="AK473" i="18"/>
  <c r="AL473" i="18"/>
  <c r="AM473" i="18"/>
  <c r="AN473" i="18"/>
  <c r="AO473" i="18"/>
  <c r="AP473" i="18"/>
  <c r="AQ473" i="18"/>
  <c r="AR473" i="18"/>
  <c r="AS473" i="18"/>
  <c r="AT473" i="18"/>
  <c r="AU473" i="18"/>
  <c r="AV473" i="18"/>
  <c r="AC474" i="18"/>
  <c r="AD474" i="18"/>
  <c r="AE474" i="18"/>
  <c r="AF474" i="18"/>
  <c r="AG474" i="18"/>
  <c r="AH474" i="18"/>
  <c r="AI474" i="18"/>
  <c r="AJ474" i="18"/>
  <c r="AK474" i="18"/>
  <c r="AL474" i="18"/>
  <c r="AM474" i="18"/>
  <c r="AN474" i="18"/>
  <c r="AO474" i="18"/>
  <c r="AP474" i="18"/>
  <c r="AQ474" i="18"/>
  <c r="AR474" i="18"/>
  <c r="AS474" i="18"/>
  <c r="AT474" i="18"/>
  <c r="AU474" i="18"/>
  <c r="AV474" i="18"/>
  <c r="AC475" i="18"/>
  <c r="AD475" i="18"/>
  <c r="AE475" i="18"/>
  <c r="AF475" i="18"/>
  <c r="AG475" i="18"/>
  <c r="AH475" i="18"/>
  <c r="AI475" i="18"/>
  <c r="AJ475" i="18"/>
  <c r="AK475" i="18"/>
  <c r="AL475" i="18"/>
  <c r="AM475" i="18"/>
  <c r="AN475" i="18"/>
  <c r="AO475" i="18"/>
  <c r="AP475" i="18"/>
  <c r="AQ475" i="18"/>
  <c r="AR475" i="18"/>
  <c r="AS475" i="18"/>
  <c r="AT475" i="18"/>
  <c r="AU475" i="18"/>
  <c r="AV475" i="18"/>
  <c r="AC476" i="18"/>
  <c r="AD476" i="18"/>
  <c r="AE476" i="18"/>
  <c r="AF476" i="18"/>
  <c r="AG476" i="18"/>
  <c r="AH476" i="18"/>
  <c r="AI476" i="18"/>
  <c r="AJ476" i="18"/>
  <c r="AK476" i="18"/>
  <c r="AL476" i="18"/>
  <c r="AM476" i="18"/>
  <c r="AN476" i="18"/>
  <c r="AO476" i="18"/>
  <c r="AP476" i="18"/>
  <c r="AQ476" i="18"/>
  <c r="AR476" i="18"/>
  <c r="AS476" i="18"/>
  <c r="AT476" i="18"/>
  <c r="AU476" i="18"/>
  <c r="AV476" i="18"/>
  <c r="AC477" i="18"/>
  <c r="AD477" i="18"/>
  <c r="AE477" i="18"/>
  <c r="AF477" i="18"/>
  <c r="AG477" i="18"/>
  <c r="AH477" i="18"/>
  <c r="AI477" i="18"/>
  <c r="AJ477" i="18"/>
  <c r="AK477" i="18"/>
  <c r="AL477" i="18"/>
  <c r="AM477" i="18"/>
  <c r="AN477" i="18"/>
  <c r="AO477" i="18"/>
  <c r="AP477" i="18"/>
  <c r="AQ477" i="18"/>
  <c r="AR477" i="18"/>
  <c r="AS477" i="18"/>
  <c r="AT477" i="18"/>
  <c r="AU477" i="18"/>
  <c r="AV477" i="18"/>
  <c r="AC478" i="18"/>
  <c r="AD478" i="18"/>
  <c r="AE478" i="18"/>
  <c r="AF478" i="18"/>
  <c r="AG478" i="18"/>
  <c r="AH478" i="18"/>
  <c r="AI478" i="18"/>
  <c r="AJ478" i="18"/>
  <c r="AK478" i="18"/>
  <c r="AL478" i="18"/>
  <c r="AM478" i="18"/>
  <c r="AN478" i="18"/>
  <c r="AO478" i="18"/>
  <c r="AP478" i="18"/>
  <c r="AQ478" i="18"/>
  <c r="AR478" i="18"/>
  <c r="AS478" i="18"/>
  <c r="AT478" i="18"/>
  <c r="AU478" i="18"/>
  <c r="AV478" i="18"/>
  <c r="B9" i="16" l="1"/>
  <c r="Q7" i="16"/>
  <c r="P7" i="16"/>
  <c r="R6" i="16"/>
  <c r="X6" i="16" s="1"/>
  <c r="K8" i="16"/>
  <c r="M8" i="16" s="1"/>
  <c r="AW364" i="18"/>
  <c r="AY460" i="18"/>
  <c r="AX426" i="18"/>
  <c r="AX410" i="18"/>
  <c r="AX385" i="18"/>
  <c r="AY342" i="18"/>
  <c r="AW478" i="18"/>
  <c r="AY476" i="18"/>
  <c r="AY452" i="18"/>
  <c r="AY444" i="18"/>
  <c r="AX434" i="18"/>
  <c r="AY390" i="18"/>
  <c r="AY358" i="18"/>
  <c r="AX418" i="18"/>
  <c r="AW396" i="18"/>
  <c r="AX369" i="18"/>
  <c r="AX337" i="18"/>
  <c r="AX402" i="18"/>
  <c r="AY374" i="18"/>
  <c r="AW348" i="18"/>
  <c r="AY468" i="18"/>
  <c r="AW380" i="18"/>
  <c r="AX353" i="18"/>
  <c r="AW454" i="18"/>
  <c r="AY386" i="18"/>
  <c r="AW360" i="18"/>
  <c r="AY359" i="18"/>
  <c r="AW352" i="18"/>
  <c r="AX345" i="18"/>
  <c r="AY338" i="18"/>
  <c r="AW450" i="18"/>
  <c r="AX439" i="18"/>
  <c r="AY427" i="18"/>
  <c r="AY407" i="18"/>
  <c r="AX397" i="18"/>
  <c r="AX396" i="18"/>
  <c r="AX381" i="18"/>
  <c r="AX361" i="18"/>
  <c r="AW340" i="18"/>
  <c r="AY354" i="18"/>
  <c r="AX349" i="18"/>
  <c r="AW356" i="18"/>
  <c r="AW344" i="18"/>
  <c r="AW376" i="18"/>
  <c r="AY375" i="18"/>
  <c r="AW368" i="18"/>
  <c r="AW474" i="18"/>
  <c r="AW470" i="18"/>
  <c r="AY463" i="18"/>
  <c r="AX463" i="18"/>
  <c r="AW453" i="18"/>
  <c r="AW442" i="18"/>
  <c r="AW429" i="18"/>
  <c r="AW421" i="18"/>
  <c r="AW409" i="18"/>
  <c r="AX398" i="18"/>
  <c r="AY398" i="18"/>
  <c r="AW392" i="18"/>
  <c r="AY391" i="18"/>
  <c r="AW384" i="18"/>
  <c r="AX377" i="18"/>
  <c r="AY370" i="18"/>
  <c r="AY471" i="18"/>
  <c r="AX471" i="18"/>
  <c r="AW461" i="18"/>
  <c r="AW417" i="18"/>
  <c r="AX395" i="18"/>
  <c r="AW389" i="18"/>
  <c r="AX389" i="18"/>
  <c r="AX382" i="18"/>
  <c r="AY382" i="18"/>
  <c r="AW477" i="18"/>
  <c r="AW466" i="18"/>
  <c r="AW462" i="18"/>
  <c r="AY455" i="18"/>
  <c r="AX455" i="18"/>
  <c r="AW446" i="18"/>
  <c r="AW445" i="18"/>
  <c r="AW433" i="18"/>
  <c r="AY423" i="18"/>
  <c r="AY411" i="18"/>
  <c r="AW401" i="18"/>
  <c r="AX393" i="18"/>
  <c r="AY385" i="18"/>
  <c r="AW378" i="18"/>
  <c r="AY378" i="18"/>
  <c r="AW372" i="18"/>
  <c r="AW371" i="18"/>
  <c r="AX365" i="18"/>
  <c r="AX364" i="18"/>
  <c r="AX363" i="18"/>
  <c r="AY350" i="18"/>
  <c r="AW469" i="18"/>
  <c r="AW458" i="18"/>
  <c r="AY447" i="18"/>
  <c r="AX447" i="18"/>
  <c r="AW437" i="18"/>
  <c r="AW425" i="18"/>
  <c r="AW413" i="18"/>
  <c r="AW405" i="18"/>
  <c r="AW394" i="18"/>
  <c r="AY394" i="18"/>
  <c r="AW388" i="18"/>
  <c r="AW387" i="18"/>
  <c r="AX380" i="18"/>
  <c r="AX379" i="18"/>
  <c r="AW373" i="18"/>
  <c r="AX373" i="18"/>
  <c r="AX366" i="18"/>
  <c r="AY366" i="18"/>
  <c r="AX451" i="18"/>
  <c r="AW449" i="18"/>
  <c r="AX443" i="18"/>
  <c r="AW441" i="18"/>
  <c r="AX428" i="18"/>
  <c r="AX412" i="18"/>
  <c r="AY399" i="18"/>
  <c r="AW397" i="18"/>
  <c r="AW395" i="18"/>
  <c r="AY393" i="18"/>
  <c r="AX390" i="18"/>
  <c r="AX388" i="18"/>
  <c r="AX387" i="18"/>
  <c r="AW386" i="18"/>
  <c r="AY383" i="18"/>
  <c r="AW381" i="18"/>
  <c r="AW379" i="18"/>
  <c r="AY377" i="18"/>
  <c r="AX374" i="18"/>
  <c r="AX372" i="18"/>
  <c r="AX371" i="18"/>
  <c r="AW370" i="18"/>
  <c r="AY367" i="18"/>
  <c r="AW365" i="18"/>
  <c r="AW363" i="18"/>
  <c r="AX358" i="18"/>
  <c r="AX356" i="18"/>
  <c r="AW354" i="18"/>
  <c r="AY351" i="18"/>
  <c r="AW349" i="18"/>
  <c r="AX347" i="18"/>
  <c r="AX342" i="18"/>
  <c r="AX340" i="18"/>
  <c r="AW338" i="18"/>
  <c r="AW362" i="18"/>
  <c r="AW357" i="18"/>
  <c r="AX355" i="18"/>
  <c r="AX350" i="18"/>
  <c r="AX348" i="18"/>
  <c r="AW346" i="18"/>
  <c r="AY343" i="18"/>
  <c r="AW341" i="18"/>
  <c r="AW339" i="18"/>
  <c r="AX476" i="18"/>
  <c r="AX475" i="18"/>
  <c r="AW473" i="18"/>
  <c r="AX467" i="18"/>
  <c r="AW465" i="18"/>
  <c r="AX459" i="18"/>
  <c r="AW457" i="18"/>
  <c r="AX478" i="18"/>
  <c r="AY470" i="18"/>
  <c r="AX462" i="18"/>
  <c r="AX454" i="18"/>
  <c r="AY448" i="18"/>
  <c r="AX446" i="18"/>
  <c r="AY440" i="18"/>
  <c r="AX436" i="18"/>
  <c r="AX420" i="18"/>
  <c r="AX404" i="18"/>
  <c r="AW399" i="18"/>
  <c r="AX394" i="18"/>
  <c r="AX392" i="18"/>
  <c r="AX391" i="18"/>
  <c r="AW390" i="18"/>
  <c r="AY387" i="18"/>
  <c r="AW385" i="18"/>
  <c r="AW383" i="18"/>
  <c r="AY381" i="18"/>
  <c r="AX378" i="18"/>
  <c r="AX376" i="18"/>
  <c r="AX375" i="18"/>
  <c r="AW374" i="18"/>
  <c r="AY371" i="18"/>
  <c r="AW369" i="18"/>
  <c r="AW367" i="18"/>
  <c r="AX362" i="18"/>
  <c r="AX360" i="18"/>
  <c r="AX359" i="18"/>
  <c r="AW358" i="18"/>
  <c r="AY355" i="18"/>
  <c r="AW353" i="18"/>
  <c r="AX346" i="18"/>
  <c r="AX344" i="18"/>
  <c r="AW342" i="18"/>
  <c r="AY339" i="18"/>
  <c r="AW337" i="18"/>
  <c r="AY474" i="18"/>
  <c r="AY466" i="18"/>
  <c r="AY458" i="18"/>
  <c r="AY450" i="18"/>
  <c r="AY442" i="18"/>
  <c r="AX422" i="18"/>
  <c r="AX399" i="18"/>
  <c r="AW398" i="18"/>
  <c r="AY395" i="18"/>
  <c r="AW393" i="18"/>
  <c r="AW391" i="18"/>
  <c r="AY389" i="18"/>
  <c r="AX386" i="18"/>
  <c r="AX384" i="18"/>
  <c r="AX383" i="18"/>
  <c r="AW382" i="18"/>
  <c r="AY379" i="18"/>
  <c r="AW377" i="18"/>
  <c r="AW375" i="18"/>
  <c r="AY373" i="18"/>
  <c r="AX370" i="18"/>
  <c r="AX368" i="18"/>
  <c r="AX367" i="18"/>
  <c r="AW366" i="18"/>
  <c r="AY363" i="18"/>
  <c r="AY362" i="18"/>
  <c r="AW361" i="18"/>
  <c r="AX357" i="18"/>
  <c r="AX354" i="18"/>
  <c r="AX352" i="18"/>
  <c r="AX351" i="18"/>
  <c r="AW350" i="18"/>
  <c r="AY347" i="18"/>
  <c r="AY346" i="18"/>
  <c r="AW345" i="18"/>
  <c r="AX343" i="18"/>
  <c r="AX341" i="18"/>
  <c r="AX338" i="18"/>
  <c r="AX472" i="18"/>
  <c r="AX464" i="18"/>
  <c r="AX456" i="18"/>
  <c r="AY438" i="18"/>
  <c r="AW438" i="18"/>
  <c r="AX429" i="18"/>
  <c r="AY429" i="18"/>
  <c r="AW415" i="18"/>
  <c r="AX415" i="18"/>
  <c r="AY406" i="18"/>
  <c r="AW406" i="18"/>
  <c r="AY475" i="18"/>
  <c r="AW475" i="18"/>
  <c r="AX473" i="18"/>
  <c r="AY473" i="18"/>
  <c r="AW472" i="18"/>
  <c r="AX470" i="18"/>
  <c r="AY467" i="18"/>
  <c r="AW467" i="18"/>
  <c r="AX465" i="18"/>
  <c r="AY465" i="18"/>
  <c r="AW464" i="18"/>
  <c r="AY459" i="18"/>
  <c r="AW459" i="18"/>
  <c r="AX457" i="18"/>
  <c r="AY457" i="18"/>
  <c r="AW456" i="18"/>
  <c r="AY451" i="18"/>
  <c r="AW451" i="18"/>
  <c r="AX449" i="18"/>
  <c r="AY449" i="18"/>
  <c r="AW448" i="18"/>
  <c r="AY443" i="18"/>
  <c r="AW443" i="18"/>
  <c r="AX441" i="18"/>
  <c r="AY441" i="18"/>
  <c r="AW440" i="18"/>
  <c r="AX438" i="18"/>
  <c r="AW435" i="18"/>
  <c r="AX435" i="18"/>
  <c r="AX433" i="18"/>
  <c r="AY433" i="18"/>
  <c r="AX432" i="18"/>
  <c r="AW428" i="18"/>
  <c r="AY426" i="18"/>
  <c r="AW426" i="18"/>
  <c r="AW419" i="18"/>
  <c r="AX419" i="18"/>
  <c r="AX417" i="18"/>
  <c r="AY417" i="18"/>
  <c r="AX416" i="18"/>
  <c r="AW412" i="18"/>
  <c r="AY410" i="18"/>
  <c r="AW410" i="18"/>
  <c r="AX406" i="18"/>
  <c r="AW403" i="18"/>
  <c r="AX403" i="18"/>
  <c r="AX401" i="18"/>
  <c r="AY401" i="18"/>
  <c r="AX400" i="18"/>
  <c r="AW431" i="18"/>
  <c r="AX431" i="18"/>
  <c r="AY422" i="18"/>
  <c r="AW422" i="18"/>
  <c r="AX413" i="18"/>
  <c r="AY413" i="18"/>
  <c r="AW408" i="18"/>
  <c r="AY472" i="18"/>
  <c r="AY462" i="18"/>
  <c r="AX460" i="18"/>
  <c r="AY456" i="18"/>
  <c r="AY454" i="18"/>
  <c r="AX452" i="18"/>
  <c r="AY446" i="18"/>
  <c r="AX444" i="18"/>
  <c r="AW439" i="18"/>
  <c r="AX437" i="18"/>
  <c r="AY437" i="18"/>
  <c r="AW432" i="18"/>
  <c r="AY431" i="18"/>
  <c r="AY430" i="18"/>
  <c r="AW430" i="18"/>
  <c r="AW423" i="18"/>
  <c r="AX423" i="18"/>
  <c r="AX421" i="18"/>
  <c r="AY421" i="18"/>
  <c r="AW416" i="18"/>
  <c r="AY415" i="18"/>
  <c r="AY414" i="18"/>
  <c r="AW414" i="18"/>
  <c r="AW407" i="18"/>
  <c r="AX407" i="18"/>
  <c r="AX405" i="18"/>
  <c r="AY405" i="18"/>
  <c r="AW400" i="18"/>
  <c r="AX448" i="18"/>
  <c r="AX440" i="18"/>
  <c r="AW424" i="18"/>
  <c r="AY478" i="18"/>
  <c r="AX468" i="18"/>
  <c r="AY464" i="18"/>
  <c r="AX477" i="18"/>
  <c r="AY477" i="18"/>
  <c r="AW476" i="18"/>
  <c r="AX474" i="18"/>
  <c r="AW471" i="18"/>
  <c r="AX469" i="18"/>
  <c r="AY469" i="18"/>
  <c r="AW468" i="18"/>
  <c r="AX466" i="18"/>
  <c r="AW463" i="18"/>
  <c r="AX461" i="18"/>
  <c r="AY461" i="18"/>
  <c r="AW460" i="18"/>
  <c r="AX458" i="18"/>
  <c r="AW455" i="18"/>
  <c r="AX453" i="18"/>
  <c r="AY453" i="18"/>
  <c r="AW452" i="18"/>
  <c r="AX450" i="18"/>
  <c r="AW447" i="18"/>
  <c r="AX445" i="18"/>
  <c r="AY445" i="18"/>
  <c r="AW444" i="18"/>
  <c r="AX442" i="18"/>
  <c r="AY439" i="18"/>
  <c r="AW436" i="18"/>
  <c r="AY435" i="18"/>
  <c r="AY434" i="18"/>
  <c r="AW434" i="18"/>
  <c r="AX430" i="18"/>
  <c r="AW427" i="18"/>
  <c r="AX427" i="18"/>
  <c r="AX425" i="18"/>
  <c r="AY425" i="18"/>
  <c r="AX424" i="18"/>
  <c r="AW420" i="18"/>
  <c r="AY419" i="18"/>
  <c r="AY418" i="18"/>
  <c r="AW418" i="18"/>
  <c r="AX414" i="18"/>
  <c r="AW411" i="18"/>
  <c r="AX411" i="18"/>
  <c r="AX409" i="18"/>
  <c r="AY409" i="18"/>
  <c r="AX408" i="18"/>
  <c r="AW404" i="18"/>
  <c r="AY403" i="18"/>
  <c r="AY402" i="18"/>
  <c r="AW402" i="18"/>
  <c r="AY436" i="18"/>
  <c r="AY432" i="18"/>
  <c r="AY428" i="18"/>
  <c r="AY424" i="18"/>
  <c r="AY420" i="18"/>
  <c r="AY416" i="18"/>
  <c r="AY412" i="18"/>
  <c r="AY408" i="18"/>
  <c r="AY404" i="18"/>
  <c r="AY400" i="18"/>
  <c r="AY396" i="18"/>
  <c r="AY392" i="18"/>
  <c r="AY388" i="18"/>
  <c r="AY384" i="18"/>
  <c r="AY380" i="18"/>
  <c r="AY376" i="18"/>
  <c r="AY372" i="18"/>
  <c r="AY368" i="18"/>
  <c r="AY364" i="18"/>
  <c r="AY360" i="18"/>
  <c r="AY356" i="18"/>
  <c r="AY352" i="18"/>
  <c r="AY348" i="18"/>
  <c r="AY344" i="18"/>
  <c r="AY340" i="18"/>
  <c r="AX339" i="18"/>
  <c r="AY397" i="18"/>
  <c r="AY369" i="18"/>
  <c r="AY365" i="18"/>
  <c r="AY361" i="18"/>
  <c r="AW359" i="18"/>
  <c r="AY357" i="18"/>
  <c r="AW355" i="18"/>
  <c r="AY353" i="18"/>
  <c r="AW351" i="18"/>
  <c r="AY349" i="18"/>
  <c r="AW347" i="18"/>
  <c r="AY345" i="18"/>
  <c r="AW343" i="18"/>
  <c r="AY341" i="18"/>
  <c r="AY337" i="18"/>
  <c r="AC334" i="18"/>
  <c r="AD334" i="18"/>
  <c r="AE334" i="18"/>
  <c r="AF334" i="18"/>
  <c r="AG334" i="18"/>
  <c r="AH334" i="18"/>
  <c r="AI334" i="18"/>
  <c r="AJ334" i="18"/>
  <c r="AK334" i="18"/>
  <c r="AL334" i="18"/>
  <c r="AM334" i="18"/>
  <c r="AN334" i="18"/>
  <c r="AO334" i="18"/>
  <c r="AP334" i="18"/>
  <c r="AQ334" i="18"/>
  <c r="AR334" i="18"/>
  <c r="AS334" i="18"/>
  <c r="AT334" i="18"/>
  <c r="AU334" i="18"/>
  <c r="AV334" i="18"/>
  <c r="AC335" i="18"/>
  <c r="AD335" i="18"/>
  <c r="AE335" i="18"/>
  <c r="AF335" i="18"/>
  <c r="AG335" i="18"/>
  <c r="AH335" i="18"/>
  <c r="AI335" i="18"/>
  <c r="AJ335" i="18"/>
  <c r="AK335" i="18"/>
  <c r="AL335" i="18"/>
  <c r="AM335" i="18"/>
  <c r="AN335" i="18"/>
  <c r="AO335" i="18"/>
  <c r="AP335" i="18"/>
  <c r="AQ335" i="18"/>
  <c r="AR335" i="18"/>
  <c r="AS335" i="18"/>
  <c r="AT335" i="18"/>
  <c r="AU335" i="18"/>
  <c r="AV335" i="18"/>
  <c r="AC336" i="18"/>
  <c r="AD336" i="18"/>
  <c r="AE336" i="18"/>
  <c r="AF336" i="18"/>
  <c r="AG336" i="18"/>
  <c r="AH336" i="18"/>
  <c r="AI336" i="18"/>
  <c r="AJ336" i="18"/>
  <c r="AK336" i="18"/>
  <c r="AL336" i="18"/>
  <c r="AM336" i="18"/>
  <c r="AN336" i="18"/>
  <c r="AO336" i="18"/>
  <c r="AP336" i="18"/>
  <c r="AQ336" i="18"/>
  <c r="AR336" i="18"/>
  <c r="AS336" i="18"/>
  <c r="AT336" i="18"/>
  <c r="AU336" i="18"/>
  <c r="AV336" i="18"/>
  <c r="AC150" i="18"/>
  <c r="AD150" i="18"/>
  <c r="AE150" i="18"/>
  <c r="AF150" i="18"/>
  <c r="AG150" i="18"/>
  <c r="AH150" i="18"/>
  <c r="AI150" i="18"/>
  <c r="AJ150" i="18"/>
  <c r="AK150" i="18"/>
  <c r="AL150" i="18"/>
  <c r="AM150" i="18"/>
  <c r="AN150" i="18"/>
  <c r="AO150" i="18"/>
  <c r="AP150" i="18"/>
  <c r="AQ150" i="18"/>
  <c r="AR150" i="18"/>
  <c r="AS150" i="18"/>
  <c r="AT150" i="18"/>
  <c r="AU150" i="18"/>
  <c r="AV150" i="18"/>
  <c r="AC151" i="18"/>
  <c r="AD151" i="18"/>
  <c r="AE151" i="18"/>
  <c r="AF151" i="18"/>
  <c r="AG151" i="18"/>
  <c r="AH151" i="18"/>
  <c r="AI151" i="18"/>
  <c r="AJ151" i="18"/>
  <c r="AK151" i="18"/>
  <c r="AL151" i="18"/>
  <c r="AM151" i="18"/>
  <c r="AN151" i="18"/>
  <c r="AO151" i="18"/>
  <c r="AP151" i="18"/>
  <c r="AQ151" i="18"/>
  <c r="AR151" i="18"/>
  <c r="AS151" i="18"/>
  <c r="AT151" i="18"/>
  <c r="AU151" i="18"/>
  <c r="AV151" i="18"/>
  <c r="AC152" i="18"/>
  <c r="AD152" i="18"/>
  <c r="AE152" i="18"/>
  <c r="AF152" i="18"/>
  <c r="AG152" i="18"/>
  <c r="AH152" i="18"/>
  <c r="AI152" i="18"/>
  <c r="AJ152" i="18"/>
  <c r="AK152" i="18"/>
  <c r="AL152" i="18"/>
  <c r="AM152" i="18"/>
  <c r="AN152" i="18"/>
  <c r="AO152" i="18"/>
  <c r="AP152" i="18"/>
  <c r="AQ152" i="18"/>
  <c r="AR152" i="18"/>
  <c r="AS152" i="18"/>
  <c r="AT152" i="18"/>
  <c r="AU152" i="18"/>
  <c r="AV152" i="18"/>
  <c r="AC153" i="18"/>
  <c r="AD153" i="18"/>
  <c r="AE153" i="18"/>
  <c r="AF153" i="18"/>
  <c r="AG153" i="18"/>
  <c r="AH153" i="18"/>
  <c r="AI153" i="18"/>
  <c r="AJ153" i="18"/>
  <c r="AK153" i="18"/>
  <c r="AL153" i="18"/>
  <c r="AM153" i="18"/>
  <c r="AN153" i="18"/>
  <c r="AO153" i="18"/>
  <c r="AP153" i="18"/>
  <c r="AQ153" i="18"/>
  <c r="AR153" i="18"/>
  <c r="AS153" i="18"/>
  <c r="AT153" i="18"/>
  <c r="AU153" i="18"/>
  <c r="AV153" i="18"/>
  <c r="AC154" i="18"/>
  <c r="AD154" i="18"/>
  <c r="AE154" i="18"/>
  <c r="AF154" i="18"/>
  <c r="AG154" i="18"/>
  <c r="AH154" i="18"/>
  <c r="AI154" i="18"/>
  <c r="AJ154" i="18"/>
  <c r="AK154" i="18"/>
  <c r="AL154" i="18"/>
  <c r="AM154" i="18"/>
  <c r="AN154" i="18"/>
  <c r="AO154" i="18"/>
  <c r="AP154" i="18"/>
  <c r="AQ154" i="18"/>
  <c r="AR154" i="18"/>
  <c r="AS154" i="18"/>
  <c r="AT154" i="18"/>
  <c r="AU154" i="18"/>
  <c r="AV154" i="18"/>
  <c r="AC155" i="18"/>
  <c r="AD155" i="18"/>
  <c r="AE155" i="18"/>
  <c r="AF155" i="18"/>
  <c r="AG155" i="18"/>
  <c r="AH155" i="18"/>
  <c r="AI155" i="18"/>
  <c r="AJ155" i="18"/>
  <c r="AK155" i="18"/>
  <c r="AL155" i="18"/>
  <c r="AM155" i="18"/>
  <c r="AN155" i="18"/>
  <c r="AO155" i="18"/>
  <c r="AP155" i="18"/>
  <c r="AQ155" i="18"/>
  <c r="AR155" i="18"/>
  <c r="AS155" i="18"/>
  <c r="AT155" i="18"/>
  <c r="AU155" i="18"/>
  <c r="AV155" i="18"/>
  <c r="AC156" i="18"/>
  <c r="AD156" i="18"/>
  <c r="AE156" i="18"/>
  <c r="AF156" i="18"/>
  <c r="AG156" i="18"/>
  <c r="AH156" i="18"/>
  <c r="AI156" i="18"/>
  <c r="AJ156" i="18"/>
  <c r="AK156" i="18"/>
  <c r="AL156" i="18"/>
  <c r="AM156" i="18"/>
  <c r="AN156" i="18"/>
  <c r="AO156" i="18"/>
  <c r="AP156" i="18"/>
  <c r="AQ156" i="18"/>
  <c r="AR156" i="18"/>
  <c r="AS156" i="18"/>
  <c r="AT156" i="18"/>
  <c r="AU156" i="18"/>
  <c r="AV156" i="18"/>
  <c r="AC157" i="18"/>
  <c r="AD157" i="18"/>
  <c r="AE157" i="18"/>
  <c r="AF157" i="18"/>
  <c r="AG157" i="18"/>
  <c r="AH157" i="18"/>
  <c r="AI157" i="18"/>
  <c r="AJ157" i="18"/>
  <c r="AK157" i="18"/>
  <c r="AL157" i="18"/>
  <c r="AM157" i="18"/>
  <c r="AN157" i="18"/>
  <c r="AO157" i="18"/>
  <c r="AP157" i="18"/>
  <c r="AQ157" i="18"/>
  <c r="AR157" i="18"/>
  <c r="AS157" i="18"/>
  <c r="AT157" i="18"/>
  <c r="AU157" i="18"/>
  <c r="AV157" i="18"/>
  <c r="AC158" i="18"/>
  <c r="AD158" i="18"/>
  <c r="AE158" i="18"/>
  <c r="AF158" i="18"/>
  <c r="AG158" i="18"/>
  <c r="AH158" i="18"/>
  <c r="AI158" i="18"/>
  <c r="AJ158" i="18"/>
  <c r="AK158" i="18"/>
  <c r="AL158" i="18"/>
  <c r="AM158" i="18"/>
  <c r="AN158" i="18"/>
  <c r="AO158" i="18"/>
  <c r="AP158" i="18"/>
  <c r="AQ158" i="18"/>
  <c r="AR158" i="18"/>
  <c r="AS158" i="18"/>
  <c r="AT158" i="18"/>
  <c r="AU158" i="18"/>
  <c r="AV158" i="18"/>
  <c r="AC159" i="18"/>
  <c r="AD159" i="18"/>
  <c r="AE159" i="18"/>
  <c r="AF159" i="18"/>
  <c r="AG159" i="18"/>
  <c r="AH159" i="18"/>
  <c r="AI159" i="18"/>
  <c r="AJ159" i="18"/>
  <c r="AK159" i="18"/>
  <c r="AL159" i="18"/>
  <c r="AM159" i="18"/>
  <c r="AN159" i="18"/>
  <c r="AO159" i="18"/>
  <c r="AP159" i="18"/>
  <c r="AQ159" i="18"/>
  <c r="AR159" i="18"/>
  <c r="AS159" i="18"/>
  <c r="AT159" i="18"/>
  <c r="AU159" i="18"/>
  <c r="AV159" i="18"/>
  <c r="AC160" i="18"/>
  <c r="AD160" i="18"/>
  <c r="AE160" i="18"/>
  <c r="AF160" i="18"/>
  <c r="AG160" i="18"/>
  <c r="AH160" i="18"/>
  <c r="AI160" i="18"/>
  <c r="AJ160" i="18"/>
  <c r="AK160" i="18"/>
  <c r="AL160" i="18"/>
  <c r="AM160" i="18"/>
  <c r="AN160" i="18"/>
  <c r="AO160" i="18"/>
  <c r="AP160" i="18"/>
  <c r="AQ160" i="18"/>
  <c r="AR160" i="18"/>
  <c r="AS160" i="18"/>
  <c r="AT160" i="18"/>
  <c r="AU160" i="18"/>
  <c r="AV160" i="18"/>
  <c r="AC161" i="18"/>
  <c r="AD161" i="18"/>
  <c r="AE161" i="18"/>
  <c r="AF161" i="18"/>
  <c r="AG161" i="18"/>
  <c r="AH161" i="18"/>
  <c r="AI161" i="18"/>
  <c r="AJ161" i="18"/>
  <c r="AK161" i="18"/>
  <c r="AL161" i="18"/>
  <c r="AM161" i="18"/>
  <c r="AN161" i="18"/>
  <c r="AO161" i="18"/>
  <c r="AP161" i="18"/>
  <c r="AQ161" i="18"/>
  <c r="AR161" i="18"/>
  <c r="AS161" i="18"/>
  <c r="AT161" i="18"/>
  <c r="AU161" i="18"/>
  <c r="AV161" i="18"/>
  <c r="AC162" i="18"/>
  <c r="AD162" i="18"/>
  <c r="AE162" i="18"/>
  <c r="AF162" i="18"/>
  <c r="AG162" i="18"/>
  <c r="AH162" i="18"/>
  <c r="AI162" i="18"/>
  <c r="AJ162" i="18"/>
  <c r="AK162" i="18"/>
  <c r="AL162" i="18"/>
  <c r="AM162" i="18"/>
  <c r="AN162" i="18"/>
  <c r="AO162" i="18"/>
  <c r="AP162" i="18"/>
  <c r="AQ162" i="18"/>
  <c r="AR162" i="18"/>
  <c r="AS162" i="18"/>
  <c r="AT162" i="18"/>
  <c r="AU162" i="18"/>
  <c r="AV162" i="18"/>
  <c r="AC163" i="18"/>
  <c r="AD163" i="18"/>
  <c r="AE163" i="18"/>
  <c r="AF163" i="18"/>
  <c r="AG163" i="18"/>
  <c r="AH163" i="18"/>
  <c r="AI163" i="18"/>
  <c r="AJ163" i="18"/>
  <c r="AK163" i="18"/>
  <c r="AL163" i="18"/>
  <c r="AM163" i="18"/>
  <c r="AN163" i="18"/>
  <c r="AO163" i="18"/>
  <c r="AP163" i="18"/>
  <c r="AQ163" i="18"/>
  <c r="AR163" i="18"/>
  <c r="AS163" i="18"/>
  <c r="AT163" i="18"/>
  <c r="AU163" i="18"/>
  <c r="AV163" i="18"/>
  <c r="AC164" i="18"/>
  <c r="AD164" i="18"/>
  <c r="AE164" i="18"/>
  <c r="AF164" i="18"/>
  <c r="AG164" i="18"/>
  <c r="AH164" i="18"/>
  <c r="AI164" i="18"/>
  <c r="AJ164" i="18"/>
  <c r="AK164" i="18"/>
  <c r="AL164" i="18"/>
  <c r="AM164" i="18"/>
  <c r="AN164" i="18"/>
  <c r="AO164" i="18"/>
  <c r="AP164" i="18"/>
  <c r="AQ164" i="18"/>
  <c r="AR164" i="18"/>
  <c r="AS164" i="18"/>
  <c r="AT164" i="18"/>
  <c r="AU164" i="18"/>
  <c r="AV164" i="18"/>
  <c r="AC165" i="18"/>
  <c r="AD165" i="18"/>
  <c r="AE165" i="18"/>
  <c r="AF165" i="18"/>
  <c r="AG165" i="18"/>
  <c r="AH165" i="18"/>
  <c r="AI165" i="18"/>
  <c r="AJ165" i="18"/>
  <c r="AK165" i="18"/>
  <c r="AL165" i="18"/>
  <c r="AM165" i="18"/>
  <c r="AN165" i="18"/>
  <c r="AO165" i="18"/>
  <c r="AP165" i="18"/>
  <c r="AQ165" i="18"/>
  <c r="AR165" i="18"/>
  <c r="AS165" i="18"/>
  <c r="AT165" i="18"/>
  <c r="AU165" i="18"/>
  <c r="AV165" i="18"/>
  <c r="AC166" i="18"/>
  <c r="AD166" i="18"/>
  <c r="AE166" i="18"/>
  <c r="AF166" i="18"/>
  <c r="AG166" i="18"/>
  <c r="AH166" i="18"/>
  <c r="AI166" i="18"/>
  <c r="AJ166" i="18"/>
  <c r="AK166" i="18"/>
  <c r="AL166" i="18"/>
  <c r="AM166" i="18"/>
  <c r="AN166" i="18"/>
  <c r="AO166" i="18"/>
  <c r="AP166" i="18"/>
  <c r="AQ166" i="18"/>
  <c r="AR166" i="18"/>
  <c r="AS166" i="18"/>
  <c r="AT166" i="18"/>
  <c r="AU166" i="18"/>
  <c r="AV166" i="18"/>
  <c r="AC167" i="18"/>
  <c r="AD167" i="18"/>
  <c r="AE167" i="18"/>
  <c r="AF167" i="18"/>
  <c r="AG167" i="18"/>
  <c r="AH167" i="18"/>
  <c r="AI167" i="18"/>
  <c r="AJ167" i="18"/>
  <c r="AK167" i="18"/>
  <c r="AL167" i="18"/>
  <c r="AM167" i="18"/>
  <c r="AN167" i="18"/>
  <c r="AO167" i="18"/>
  <c r="AP167" i="18"/>
  <c r="AQ167" i="18"/>
  <c r="AR167" i="18"/>
  <c r="AS167" i="18"/>
  <c r="AT167" i="18"/>
  <c r="AU167" i="18"/>
  <c r="AV167" i="18"/>
  <c r="AC168" i="18"/>
  <c r="AD168" i="18"/>
  <c r="AE168" i="18"/>
  <c r="AF168" i="18"/>
  <c r="AG168" i="18"/>
  <c r="AH168" i="18"/>
  <c r="AI168" i="18"/>
  <c r="AJ168" i="18"/>
  <c r="AK168" i="18"/>
  <c r="AL168" i="18"/>
  <c r="AM168" i="18"/>
  <c r="AN168" i="18"/>
  <c r="AO168" i="18"/>
  <c r="AP168" i="18"/>
  <c r="AQ168" i="18"/>
  <c r="AR168" i="18"/>
  <c r="AS168" i="18"/>
  <c r="AT168" i="18"/>
  <c r="AU168" i="18"/>
  <c r="AV168" i="18"/>
  <c r="AC169" i="18"/>
  <c r="AD169" i="18"/>
  <c r="AE169" i="18"/>
  <c r="AF169" i="18"/>
  <c r="AG169" i="18"/>
  <c r="AH169" i="18"/>
  <c r="AI169" i="18"/>
  <c r="AJ169" i="18"/>
  <c r="AK169" i="18"/>
  <c r="AL169" i="18"/>
  <c r="AM169" i="18"/>
  <c r="AN169" i="18"/>
  <c r="AO169" i="18"/>
  <c r="AP169" i="18"/>
  <c r="AQ169" i="18"/>
  <c r="AR169" i="18"/>
  <c r="AS169" i="18"/>
  <c r="AT169" i="18"/>
  <c r="AU169" i="18"/>
  <c r="AV169" i="18"/>
  <c r="AC170" i="18"/>
  <c r="AD170" i="18"/>
  <c r="AE170" i="18"/>
  <c r="AF170" i="18"/>
  <c r="AG170" i="18"/>
  <c r="AH170" i="18"/>
  <c r="AI170" i="18"/>
  <c r="AJ170" i="18"/>
  <c r="AK170" i="18"/>
  <c r="AL170" i="18"/>
  <c r="AM170" i="18"/>
  <c r="AN170" i="18"/>
  <c r="AO170" i="18"/>
  <c r="AP170" i="18"/>
  <c r="AQ170" i="18"/>
  <c r="AR170" i="18"/>
  <c r="AS170" i="18"/>
  <c r="AT170" i="18"/>
  <c r="AU170" i="18"/>
  <c r="AV170" i="18"/>
  <c r="AC171" i="18"/>
  <c r="AD171" i="18"/>
  <c r="AE171" i="18"/>
  <c r="AF171" i="18"/>
  <c r="AG171" i="18"/>
  <c r="AH171" i="18"/>
  <c r="AI171" i="18"/>
  <c r="AJ171" i="18"/>
  <c r="AK171" i="18"/>
  <c r="AL171" i="18"/>
  <c r="AM171" i="18"/>
  <c r="AN171" i="18"/>
  <c r="AO171" i="18"/>
  <c r="AP171" i="18"/>
  <c r="AQ171" i="18"/>
  <c r="AR171" i="18"/>
  <c r="AS171" i="18"/>
  <c r="AT171" i="18"/>
  <c r="AU171" i="18"/>
  <c r="AV171" i="18"/>
  <c r="AC172" i="18"/>
  <c r="AD172" i="18"/>
  <c r="AE172" i="18"/>
  <c r="AF172" i="18"/>
  <c r="AG172" i="18"/>
  <c r="AH172" i="18"/>
  <c r="AI172" i="18"/>
  <c r="AJ172" i="18"/>
  <c r="AK172" i="18"/>
  <c r="AL172" i="18"/>
  <c r="AM172" i="18"/>
  <c r="AN172" i="18"/>
  <c r="AO172" i="18"/>
  <c r="AP172" i="18"/>
  <c r="AQ172" i="18"/>
  <c r="AR172" i="18"/>
  <c r="AS172" i="18"/>
  <c r="AT172" i="18"/>
  <c r="AU172" i="18"/>
  <c r="AV172" i="18"/>
  <c r="AC173" i="18"/>
  <c r="AD173" i="18"/>
  <c r="AE173" i="18"/>
  <c r="AF173" i="18"/>
  <c r="AG173" i="18"/>
  <c r="AH173" i="18"/>
  <c r="AI173" i="18"/>
  <c r="AJ173" i="18"/>
  <c r="AK173" i="18"/>
  <c r="AL173" i="18"/>
  <c r="AM173" i="18"/>
  <c r="AN173" i="18"/>
  <c r="AO173" i="18"/>
  <c r="AP173" i="18"/>
  <c r="AQ173" i="18"/>
  <c r="AR173" i="18"/>
  <c r="AS173" i="18"/>
  <c r="AT173" i="18"/>
  <c r="AU173" i="18"/>
  <c r="AV173" i="18"/>
  <c r="AC174" i="18"/>
  <c r="AD174" i="18"/>
  <c r="AE174" i="18"/>
  <c r="AF174" i="18"/>
  <c r="AG174" i="18"/>
  <c r="AH174" i="18"/>
  <c r="AI174" i="18"/>
  <c r="AJ174" i="18"/>
  <c r="AK174" i="18"/>
  <c r="AL174" i="18"/>
  <c r="AM174" i="18"/>
  <c r="AN174" i="18"/>
  <c r="AO174" i="18"/>
  <c r="AP174" i="18"/>
  <c r="AQ174" i="18"/>
  <c r="AR174" i="18"/>
  <c r="AS174" i="18"/>
  <c r="AT174" i="18"/>
  <c r="AU174" i="18"/>
  <c r="AV174" i="18"/>
  <c r="AC175" i="18"/>
  <c r="AD175" i="18"/>
  <c r="AE175" i="18"/>
  <c r="AF175" i="18"/>
  <c r="AG175" i="18"/>
  <c r="AH175" i="18"/>
  <c r="AI175" i="18"/>
  <c r="AJ175" i="18"/>
  <c r="AK175" i="18"/>
  <c r="AL175" i="18"/>
  <c r="AM175" i="18"/>
  <c r="AN175" i="18"/>
  <c r="AO175" i="18"/>
  <c r="AP175" i="18"/>
  <c r="AQ175" i="18"/>
  <c r="AR175" i="18"/>
  <c r="AS175" i="18"/>
  <c r="AT175" i="18"/>
  <c r="AU175" i="18"/>
  <c r="AV175" i="18"/>
  <c r="AC176" i="18"/>
  <c r="AD176" i="18"/>
  <c r="AE176" i="18"/>
  <c r="AF176" i="18"/>
  <c r="AG176" i="18"/>
  <c r="AH176" i="18"/>
  <c r="AI176" i="18"/>
  <c r="AJ176" i="18"/>
  <c r="AK176" i="18"/>
  <c r="AL176" i="18"/>
  <c r="AM176" i="18"/>
  <c r="AN176" i="18"/>
  <c r="AO176" i="18"/>
  <c r="AP176" i="18"/>
  <c r="AQ176" i="18"/>
  <c r="AR176" i="18"/>
  <c r="AS176" i="18"/>
  <c r="AT176" i="18"/>
  <c r="AU176" i="18"/>
  <c r="AV176" i="18"/>
  <c r="AC177" i="18"/>
  <c r="AD177" i="18"/>
  <c r="AE177" i="18"/>
  <c r="AF177" i="18"/>
  <c r="AG177" i="18"/>
  <c r="AH177" i="18"/>
  <c r="AI177" i="18"/>
  <c r="AJ177" i="18"/>
  <c r="AK177" i="18"/>
  <c r="AL177" i="18"/>
  <c r="AM177" i="18"/>
  <c r="AN177" i="18"/>
  <c r="AO177" i="18"/>
  <c r="AP177" i="18"/>
  <c r="AQ177" i="18"/>
  <c r="AR177" i="18"/>
  <c r="AS177" i="18"/>
  <c r="AT177" i="18"/>
  <c r="AU177" i="18"/>
  <c r="AV177" i="18"/>
  <c r="AC178" i="18"/>
  <c r="AD178" i="18"/>
  <c r="AE178" i="18"/>
  <c r="AF178" i="18"/>
  <c r="AG178" i="18"/>
  <c r="AH178" i="18"/>
  <c r="AI178" i="18"/>
  <c r="AJ178" i="18"/>
  <c r="AK178" i="18"/>
  <c r="AL178" i="18"/>
  <c r="AM178" i="18"/>
  <c r="AN178" i="18"/>
  <c r="AO178" i="18"/>
  <c r="AP178" i="18"/>
  <c r="AQ178" i="18"/>
  <c r="AR178" i="18"/>
  <c r="AS178" i="18"/>
  <c r="AT178" i="18"/>
  <c r="AU178" i="18"/>
  <c r="AV178" i="18"/>
  <c r="AC179" i="18"/>
  <c r="AD179" i="18"/>
  <c r="AE179" i="18"/>
  <c r="AF179" i="18"/>
  <c r="AG179" i="18"/>
  <c r="AH179" i="18"/>
  <c r="AI179" i="18"/>
  <c r="AJ179" i="18"/>
  <c r="AK179" i="18"/>
  <c r="AL179" i="18"/>
  <c r="AM179" i="18"/>
  <c r="AN179" i="18"/>
  <c r="AO179" i="18"/>
  <c r="AP179" i="18"/>
  <c r="AQ179" i="18"/>
  <c r="AR179" i="18"/>
  <c r="AS179" i="18"/>
  <c r="AT179" i="18"/>
  <c r="AU179" i="18"/>
  <c r="AV179" i="18"/>
  <c r="AC180" i="18"/>
  <c r="AD180" i="18"/>
  <c r="AE180" i="18"/>
  <c r="AF180" i="18"/>
  <c r="AG180" i="18"/>
  <c r="AH180" i="18"/>
  <c r="AI180" i="18"/>
  <c r="AJ180" i="18"/>
  <c r="AK180" i="18"/>
  <c r="AL180" i="18"/>
  <c r="AM180" i="18"/>
  <c r="AN180" i="18"/>
  <c r="AO180" i="18"/>
  <c r="AP180" i="18"/>
  <c r="AQ180" i="18"/>
  <c r="AR180" i="18"/>
  <c r="AS180" i="18"/>
  <c r="AT180" i="18"/>
  <c r="AU180" i="18"/>
  <c r="AV180" i="18"/>
  <c r="AC181" i="18"/>
  <c r="AD181" i="18"/>
  <c r="AE181" i="18"/>
  <c r="AF181" i="18"/>
  <c r="AG181" i="18"/>
  <c r="AH181" i="18"/>
  <c r="AI181" i="18"/>
  <c r="AJ181" i="18"/>
  <c r="AK181" i="18"/>
  <c r="AL181" i="18"/>
  <c r="AM181" i="18"/>
  <c r="AN181" i="18"/>
  <c r="AO181" i="18"/>
  <c r="AP181" i="18"/>
  <c r="AQ181" i="18"/>
  <c r="AR181" i="18"/>
  <c r="AS181" i="18"/>
  <c r="AT181" i="18"/>
  <c r="AU181" i="18"/>
  <c r="AV181" i="18"/>
  <c r="AC182" i="18"/>
  <c r="AD182" i="18"/>
  <c r="AE182" i="18"/>
  <c r="AF182" i="18"/>
  <c r="AG182" i="18"/>
  <c r="AH182" i="18"/>
  <c r="AI182" i="18"/>
  <c r="AJ182" i="18"/>
  <c r="AK182" i="18"/>
  <c r="AL182" i="18"/>
  <c r="AM182" i="18"/>
  <c r="AN182" i="18"/>
  <c r="AO182" i="18"/>
  <c r="AP182" i="18"/>
  <c r="AQ182" i="18"/>
  <c r="AR182" i="18"/>
  <c r="AS182" i="18"/>
  <c r="AT182" i="18"/>
  <c r="AU182" i="18"/>
  <c r="AV182" i="18"/>
  <c r="AC183" i="18"/>
  <c r="AD183" i="18"/>
  <c r="AE183" i="18"/>
  <c r="AF183" i="18"/>
  <c r="AG183" i="18"/>
  <c r="AH183" i="18"/>
  <c r="AI183" i="18"/>
  <c r="AJ183" i="18"/>
  <c r="AK183" i="18"/>
  <c r="AL183" i="18"/>
  <c r="AM183" i="18"/>
  <c r="AN183" i="18"/>
  <c r="AO183" i="18"/>
  <c r="AP183" i="18"/>
  <c r="AQ183" i="18"/>
  <c r="AR183" i="18"/>
  <c r="AS183" i="18"/>
  <c r="AT183" i="18"/>
  <c r="AU183" i="18"/>
  <c r="AV183" i="18"/>
  <c r="AC184" i="18"/>
  <c r="AD184" i="18"/>
  <c r="AE184" i="18"/>
  <c r="AF184" i="18"/>
  <c r="AG184" i="18"/>
  <c r="AH184" i="18"/>
  <c r="AI184" i="18"/>
  <c r="AJ184" i="18"/>
  <c r="AK184" i="18"/>
  <c r="AL184" i="18"/>
  <c r="AM184" i="18"/>
  <c r="AN184" i="18"/>
  <c r="AO184" i="18"/>
  <c r="AP184" i="18"/>
  <c r="AQ184" i="18"/>
  <c r="AR184" i="18"/>
  <c r="AS184" i="18"/>
  <c r="AT184" i="18"/>
  <c r="AU184" i="18"/>
  <c r="AV184" i="18"/>
  <c r="AC185" i="18"/>
  <c r="AD185" i="18"/>
  <c r="AE185" i="18"/>
  <c r="AF185" i="18"/>
  <c r="AG185" i="18"/>
  <c r="AH185" i="18"/>
  <c r="AI185" i="18"/>
  <c r="AJ185" i="18"/>
  <c r="AK185" i="18"/>
  <c r="AL185" i="18"/>
  <c r="AM185" i="18"/>
  <c r="AN185" i="18"/>
  <c r="AO185" i="18"/>
  <c r="AP185" i="18"/>
  <c r="AQ185" i="18"/>
  <c r="AR185" i="18"/>
  <c r="AS185" i="18"/>
  <c r="AT185" i="18"/>
  <c r="AU185" i="18"/>
  <c r="AV185" i="18"/>
  <c r="AC186" i="18"/>
  <c r="AD186" i="18"/>
  <c r="AE186" i="18"/>
  <c r="AF186" i="18"/>
  <c r="AG186" i="18"/>
  <c r="AH186" i="18"/>
  <c r="AI186" i="18"/>
  <c r="AJ186" i="18"/>
  <c r="AK186" i="18"/>
  <c r="AL186" i="18"/>
  <c r="AM186" i="18"/>
  <c r="AN186" i="18"/>
  <c r="AO186" i="18"/>
  <c r="AP186" i="18"/>
  <c r="AQ186" i="18"/>
  <c r="AR186" i="18"/>
  <c r="AS186" i="18"/>
  <c r="AT186" i="18"/>
  <c r="AU186" i="18"/>
  <c r="AV186" i="18"/>
  <c r="AC187" i="18"/>
  <c r="AD187" i="18"/>
  <c r="AE187" i="18"/>
  <c r="AF187" i="18"/>
  <c r="AG187" i="18"/>
  <c r="AH187" i="18"/>
  <c r="AI187" i="18"/>
  <c r="AJ187" i="18"/>
  <c r="AK187" i="18"/>
  <c r="AL187" i="18"/>
  <c r="AM187" i="18"/>
  <c r="AN187" i="18"/>
  <c r="AO187" i="18"/>
  <c r="AP187" i="18"/>
  <c r="AQ187" i="18"/>
  <c r="AR187" i="18"/>
  <c r="AS187" i="18"/>
  <c r="AT187" i="18"/>
  <c r="AU187" i="18"/>
  <c r="AV187" i="18"/>
  <c r="AC188" i="18"/>
  <c r="AD188" i="18"/>
  <c r="AE188" i="18"/>
  <c r="AF188" i="18"/>
  <c r="AG188" i="18"/>
  <c r="AH188" i="18"/>
  <c r="AI188" i="18"/>
  <c r="AJ188" i="18"/>
  <c r="AK188" i="18"/>
  <c r="AL188" i="18"/>
  <c r="AM188" i="18"/>
  <c r="AN188" i="18"/>
  <c r="AO188" i="18"/>
  <c r="AP188" i="18"/>
  <c r="AQ188" i="18"/>
  <c r="AR188" i="18"/>
  <c r="AS188" i="18"/>
  <c r="AT188" i="18"/>
  <c r="AU188" i="18"/>
  <c r="AV188" i="18"/>
  <c r="AC189" i="18"/>
  <c r="AD189" i="18"/>
  <c r="AE189" i="18"/>
  <c r="AF189" i="18"/>
  <c r="AG189" i="18"/>
  <c r="AH189" i="18"/>
  <c r="AI189" i="18"/>
  <c r="AJ189" i="18"/>
  <c r="AK189" i="18"/>
  <c r="AL189" i="18"/>
  <c r="AM189" i="18"/>
  <c r="AN189" i="18"/>
  <c r="AO189" i="18"/>
  <c r="AP189" i="18"/>
  <c r="AQ189" i="18"/>
  <c r="AR189" i="18"/>
  <c r="AS189" i="18"/>
  <c r="AT189" i="18"/>
  <c r="AU189" i="18"/>
  <c r="AV189" i="18"/>
  <c r="AC190" i="18"/>
  <c r="AD190" i="18"/>
  <c r="AE190" i="18"/>
  <c r="AF190" i="18"/>
  <c r="AG190" i="18"/>
  <c r="AH190" i="18"/>
  <c r="AI190" i="18"/>
  <c r="AJ190" i="18"/>
  <c r="AK190" i="18"/>
  <c r="AL190" i="18"/>
  <c r="AM190" i="18"/>
  <c r="AN190" i="18"/>
  <c r="AO190" i="18"/>
  <c r="AP190" i="18"/>
  <c r="AQ190" i="18"/>
  <c r="AR190" i="18"/>
  <c r="AS190" i="18"/>
  <c r="AT190" i="18"/>
  <c r="AU190" i="18"/>
  <c r="AV190" i="18"/>
  <c r="AC191" i="18"/>
  <c r="AD191" i="18"/>
  <c r="AE191" i="18"/>
  <c r="AF191" i="18"/>
  <c r="AG191" i="18"/>
  <c r="AH191" i="18"/>
  <c r="AI191" i="18"/>
  <c r="AJ191" i="18"/>
  <c r="AK191" i="18"/>
  <c r="AL191" i="18"/>
  <c r="AM191" i="18"/>
  <c r="AN191" i="18"/>
  <c r="AO191" i="18"/>
  <c r="AP191" i="18"/>
  <c r="AQ191" i="18"/>
  <c r="AR191" i="18"/>
  <c r="AS191" i="18"/>
  <c r="AT191" i="18"/>
  <c r="AU191" i="18"/>
  <c r="AV191" i="18"/>
  <c r="AC192" i="18"/>
  <c r="AD192" i="18"/>
  <c r="AE192" i="18"/>
  <c r="AF192" i="18"/>
  <c r="AG192" i="18"/>
  <c r="AH192" i="18"/>
  <c r="AI192" i="18"/>
  <c r="AJ192" i="18"/>
  <c r="AK192" i="18"/>
  <c r="AL192" i="18"/>
  <c r="AM192" i="18"/>
  <c r="AN192" i="18"/>
  <c r="AO192" i="18"/>
  <c r="AP192" i="18"/>
  <c r="AQ192" i="18"/>
  <c r="AR192" i="18"/>
  <c r="AS192" i="18"/>
  <c r="AT192" i="18"/>
  <c r="AU192" i="18"/>
  <c r="AV192" i="18"/>
  <c r="AC193" i="18"/>
  <c r="AD193" i="18"/>
  <c r="AE193" i="18"/>
  <c r="AF193" i="18"/>
  <c r="AG193" i="18"/>
  <c r="AH193" i="18"/>
  <c r="AI193" i="18"/>
  <c r="AJ193" i="18"/>
  <c r="AK193" i="18"/>
  <c r="AL193" i="18"/>
  <c r="AM193" i="18"/>
  <c r="AN193" i="18"/>
  <c r="AO193" i="18"/>
  <c r="AP193" i="18"/>
  <c r="AQ193" i="18"/>
  <c r="AR193" i="18"/>
  <c r="AS193" i="18"/>
  <c r="AT193" i="18"/>
  <c r="AU193" i="18"/>
  <c r="AV193" i="18"/>
  <c r="AC194" i="18"/>
  <c r="AD194" i="18"/>
  <c r="AE194" i="18"/>
  <c r="AF194" i="18"/>
  <c r="AG194" i="18"/>
  <c r="AH194" i="18"/>
  <c r="AI194" i="18"/>
  <c r="AJ194" i="18"/>
  <c r="AK194" i="18"/>
  <c r="AL194" i="18"/>
  <c r="AM194" i="18"/>
  <c r="AN194" i="18"/>
  <c r="AO194" i="18"/>
  <c r="AP194" i="18"/>
  <c r="AQ194" i="18"/>
  <c r="AR194" i="18"/>
  <c r="AS194" i="18"/>
  <c r="AT194" i="18"/>
  <c r="AU194" i="18"/>
  <c r="AV194" i="18"/>
  <c r="AC195" i="18"/>
  <c r="AD195" i="18"/>
  <c r="AE195" i="18"/>
  <c r="AF195" i="18"/>
  <c r="AG195" i="18"/>
  <c r="AH195" i="18"/>
  <c r="AI195" i="18"/>
  <c r="AJ195" i="18"/>
  <c r="AK195" i="18"/>
  <c r="AL195" i="18"/>
  <c r="AM195" i="18"/>
  <c r="AN195" i="18"/>
  <c r="AO195" i="18"/>
  <c r="AP195" i="18"/>
  <c r="AQ195" i="18"/>
  <c r="AR195" i="18"/>
  <c r="AS195" i="18"/>
  <c r="AT195" i="18"/>
  <c r="AU195" i="18"/>
  <c r="AV195" i="18"/>
  <c r="AC196" i="18"/>
  <c r="AD196" i="18"/>
  <c r="AE196" i="18"/>
  <c r="AF196" i="18"/>
  <c r="AG196" i="18"/>
  <c r="AH196" i="18"/>
  <c r="AI196" i="18"/>
  <c r="AJ196" i="18"/>
  <c r="AK196" i="18"/>
  <c r="AL196" i="18"/>
  <c r="AM196" i="18"/>
  <c r="AN196" i="18"/>
  <c r="AO196" i="18"/>
  <c r="AP196" i="18"/>
  <c r="AQ196" i="18"/>
  <c r="AR196" i="18"/>
  <c r="AS196" i="18"/>
  <c r="AT196" i="18"/>
  <c r="AU196" i="18"/>
  <c r="AV196" i="18"/>
  <c r="AC197" i="18"/>
  <c r="AD197" i="18"/>
  <c r="AE197" i="18"/>
  <c r="AF197" i="18"/>
  <c r="AG197" i="18"/>
  <c r="AH197" i="18"/>
  <c r="AI197" i="18"/>
  <c r="AJ197" i="18"/>
  <c r="AK197" i="18"/>
  <c r="AL197" i="18"/>
  <c r="AM197" i="18"/>
  <c r="AN197" i="18"/>
  <c r="AO197" i="18"/>
  <c r="AP197" i="18"/>
  <c r="AQ197" i="18"/>
  <c r="AR197" i="18"/>
  <c r="AS197" i="18"/>
  <c r="AT197" i="18"/>
  <c r="AU197" i="18"/>
  <c r="AV197" i="18"/>
  <c r="AC198" i="18"/>
  <c r="AD198" i="18"/>
  <c r="AE198" i="18"/>
  <c r="AF198" i="18"/>
  <c r="AG198" i="18"/>
  <c r="AH198" i="18"/>
  <c r="AI198" i="18"/>
  <c r="AJ198" i="18"/>
  <c r="AK198" i="18"/>
  <c r="AL198" i="18"/>
  <c r="AM198" i="18"/>
  <c r="AN198" i="18"/>
  <c r="AO198" i="18"/>
  <c r="AP198" i="18"/>
  <c r="AQ198" i="18"/>
  <c r="AR198" i="18"/>
  <c r="AS198" i="18"/>
  <c r="AT198" i="18"/>
  <c r="AU198" i="18"/>
  <c r="AV198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C201" i="18"/>
  <c r="AD201" i="18"/>
  <c r="AE201" i="18"/>
  <c r="AF201" i="18"/>
  <c r="AG201" i="18"/>
  <c r="AH201" i="18"/>
  <c r="AI201" i="18"/>
  <c r="AJ201" i="18"/>
  <c r="AK201" i="18"/>
  <c r="AL201" i="18"/>
  <c r="AM201" i="18"/>
  <c r="AN201" i="18"/>
  <c r="AO201" i="18"/>
  <c r="AP201" i="18"/>
  <c r="AQ201" i="18"/>
  <c r="AR201" i="18"/>
  <c r="AS201" i="18"/>
  <c r="AT201" i="18"/>
  <c r="AU201" i="18"/>
  <c r="AV201" i="18"/>
  <c r="AC202" i="18"/>
  <c r="AD202" i="18"/>
  <c r="AE202" i="18"/>
  <c r="AF202" i="18"/>
  <c r="AG202" i="18"/>
  <c r="AH202" i="18"/>
  <c r="AI202" i="18"/>
  <c r="AJ202" i="18"/>
  <c r="AK202" i="18"/>
  <c r="AL202" i="18"/>
  <c r="AM202" i="18"/>
  <c r="AN202" i="18"/>
  <c r="AO202" i="18"/>
  <c r="AP202" i="18"/>
  <c r="AQ202" i="18"/>
  <c r="AR202" i="18"/>
  <c r="AS202" i="18"/>
  <c r="AT202" i="18"/>
  <c r="AU202" i="18"/>
  <c r="AV202" i="18"/>
  <c r="AC203" i="18"/>
  <c r="AD203" i="18"/>
  <c r="AE203" i="18"/>
  <c r="AF203" i="18"/>
  <c r="AG203" i="18"/>
  <c r="AH203" i="18"/>
  <c r="AI203" i="18"/>
  <c r="AJ203" i="18"/>
  <c r="AK203" i="18"/>
  <c r="AL203" i="18"/>
  <c r="AM203" i="18"/>
  <c r="AN203" i="18"/>
  <c r="AO203" i="18"/>
  <c r="AP203" i="18"/>
  <c r="AQ203" i="18"/>
  <c r="AR203" i="18"/>
  <c r="AS203" i="18"/>
  <c r="AT203" i="18"/>
  <c r="AU203" i="18"/>
  <c r="AV203" i="18"/>
  <c r="AC204" i="18"/>
  <c r="AD204" i="18"/>
  <c r="AE204" i="18"/>
  <c r="AF204" i="18"/>
  <c r="AG204" i="18"/>
  <c r="AH204" i="18"/>
  <c r="AI204" i="18"/>
  <c r="AJ204" i="18"/>
  <c r="AK204" i="18"/>
  <c r="AL204" i="18"/>
  <c r="AM204" i="18"/>
  <c r="AN204" i="18"/>
  <c r="AO204" i="18"/>
  <c r="AP204" i="18"/>
  <c r="AQ204" i="18"/>
  <c r="AR204" i="18"/>
  <c r="AS204" i="18"/>
  <c r="AT204" i="18"/>
  <c r="AU204" i="18"/>
  <c r="AV204" i="18"/>
  <c r="AC205" i="18"/>
  <c r="AD205" i="18"/>
  <c r="AE205" i="18"/>
  <c r="AF205" i="18"/>
  <c r="AG205" i="18"/>
  <c r="AH205" i="18"/>
  <c r="AI205" i="18"/>
  <c r="AJ205" i="18"/>
  <c r="AK205" i="18"/>
  <c r="AL205" i="18"/>
  <c r="AM205" i="18"/>
  <c r="AN205" i="18"/>
  <c r="AO205" i="18"/>
  <c r="AP205" i="18"/>
  <c r="AQ205" i="18"/>
  <c r="AR205" i="18"/>
  <c r="AS205" i="18"/>
  <c r="AT205" i="18"/>
  <c r="AU205" i="18"/>
  <c r="AV205" i="18"/>
  <c r="AC206" i="18"/>
  <c r="AD206" i="18"/>
  <c r="AE206" i="18"/>
  <c r="AF206" i="18"/>
  <c r="AG206" i="18"/>
  <c r="AH206" i="18"/>
  <c r="AI206" i="18"/>
  <c r="AJ206" i="18"/>
  <c r="AK206" i="18"/>
  <c r="AL206" i="18"/>
  <c r="AM206" i="18"/>
  <c r="AN206" i="18"/>
  <c r="AO206" i="18"/>
  <c r="AP206" i="18"/>
  <c r="AQ206" i="18"/>
  <c r="AR206" i="18"/>
  <c r="AS206" i="18"/>
  <c r="AT206" i="18"/>
  <c r="AU206" i="18"/>
  <c r="AV206" i="18"/>
  <c r="AC207" i="18"/>
  <c r="AD207" i="18"/>
  <c r="AE207" i="18"/>
  <c r="AF207" i="18"/>
  <c r="AG207" i="18"/>
  <c r="AH207" i="18"/>
  <c r="AI207" i="18"/>
  <c r="AJ207" i="18"/>
  <c r="AK207" i="18"/>
  <c r="AL207" i="18"/>
  <c r="AM207" i="18"/>
  <c r="AN207" i="18"/>
  <c r="AO207" i="18"/>
  <c r="AP207" i="18"/>
  <c r="AQ207" i="18"/>
  <c r="AR207" i="18"/>
  <c r="AS207" i="18"/>
  <c r="AT207" i="18"/>
  <c r="AU207" i="18"/>
  <c r="AV207" i="18"/>
  <c r="AC208" i="18"/>
  <c r="AD208" i="18"/>
  <c r="AE208" i="18"/>
  <c r="AF208" i="18"/>
  <c r="AG208" i="18"/>
  <c r="AH208" i="18"/>
  <c r="AI208" i="18"/>
  <c r="AJ208" i="18"/>
  <c r="AK208" i="18"/>
  <c r="AL208" i="18"/>
  <c r="AM208" i="18"/>
  <c r="AN208" i="18"/>
  <c r="AO208" i="18"/>
  <c r="AP208" i="18"/>
  <c r="AQ208" i="18"/>
  <c r="AR208" i="18"/>
  <c r="AS208" i="18"/>
  <c r="AT208" i="18"/>
  <c r="AU208" i="18"/>
  <c r="AV208" i="18"/>
  <c r="AC209" i="18"/>
  <c r="AD209" i="18"/>
  <c r="AE209" i="18"/>
  <c r="AF209" i="18"/>
  <c r="AG209" i="18"/>
  <c r="AH209" i="18"/>
  <c r="AI209" i="18"/>
  <c r="AJ209" i="18"/>
  <c r="AK209" i="18"/>
  <c r="AL209" i="18"/>
  <c r="AM209" i="18"/>
  <c r="AN209" i="18"/>
  <c r="AO209" i="18"/>
  <c r="AP209" i="18"/>
  <c r="AQ209" i="18"/>
  <c r="AR209" i="18"/>
  <c r="AS209" i="18"/>
  <c r="AT209" i="18"/>
  <c r="AU209" i="18"/>
  <c r="AV209" i="18"/>
  <c r="AC210" i="18"/>
  <c r="AD210" i="18"/>
  <c r="AE210" i="18"/>
  <c r="AF210" i="18"/>
  <c r="AG210" i="18"/>
  <c r="AH210" i="18"/>
  <c r="AI210" i="18"/>
  <c r="AJ210" i="18"/>
  <c r="AK210" i="18"/>
  <c r="AL210" i="18"/>
  <c r="AM210" i="18"/>
  <c r="AN210" i="18"/>
  <c r="AO210" i="18"/>
  <c r="AP210" i="18"/>
  <c r="AQ210" i="18"/>
  <c r="AR210" i="18"/>
  <c r="AS210" i="18"/>
  <c r="AT210" i="18"/>
  <c r="AU210" i="18"/>
  <c r="AV210" i="18"/>
  <c r="AC211" i="18"/>
  <c r="AD211" i="18"/>
  <c r="AE211" i="18"/>
  <c r="AF211" i="18"/>
  <c r="AG211" i="18"/>
  <c r="AH211" i="18"/>
  <c r="AI211" i="18"/>
  <c r="AJ211" i="18"/>
  <c r="AK211" i="18"/>
  <c r="AL211" i="18"/>
  <c r="AM211" i="18"/>
  <c r="AN211" i="18"/>
  <c r="AO211" i="18"/>
  <c r="AP211" i="18"/>
  <c r="AQ211" i="18"/>
  <c r="AR211" i="18"/>
  <c r="AS211" i="18"/>
  <c r="AT211" i="18"/>
  <c r="AU211" i="18"/>
  <c r="AV211" i="18"/>
  <c r="AC212" i="18"/>
  <c r="AD212" i="18"/>
  <c r="AE212" i="18"/>
  <c r="AF212" i="18"/>
  <c r="AG212" i="18"/>
  <c r="AH212" i="18"/>
  <c r="AI212" i="18"/>
  <c r="AJ212" i="18"/>
  <c r="AK212" i="18"/>
  <c r="AL212" i="18"/>
  <c r="AM212" i="18"/>
  <c r="AN212" i="18"/>
  <c r="AO212" i="18"/>
  <c r="AP212" i="18"/>
  <c r="AQ212" i="18"/>
  <c r="AR212" i="18"/>
  <c r="AS212" i="18"/>
  <c r="AT212" i="18"/>
  <c r="AU212" i="18"/>
  <c r="AV212" i="18"/>
  <c r="AC213" i="18"/>
  <c r="AD213" i="18"/>
  <c r="AE213" i="18"/>
  <c r="AF213" i="18"/>
  <c r="AG213" i="18"/>
  <c r="AH213" i="18"/>
  <c r="AI213" i="18"/>
  <c r="AJ213" i="18"/>
  <c r="AK213" i="18"/>
  <c r="AL213" i="18"/>
  <c r="AM213" i="18"/>
  <c r="AN213" i="18"/>
  <c r="AO213" i="18"/>
  <c r="AP213" i="18"/>
  <c r="AQ213" i="18"/>
  <c r="AR213" i="18"/>
  <c r="AS213" i="18"/>
  <c r="AT213" i="18"/>
  <c r="AU213" i="18"/>
  <c r="AV213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C215" i="18"/>
  <c r="AD215" i="18"/>
  <c r="AE215" i="18"/>
  <c r="AF215" i="18"/>
  <c r="AG215" i="18"/>
  <c r="AH215" i="18"/>
  <c r="AI215" i="18"/>
  <c r="AJ215" i="18"/>
  <c r="AK215" i="18"/>
  <c r="AL215" i="18"/>
  <c r="AM215" i="18"/>
  <c r="AN215" i="18"/>
  <c r="AO215" i="18"/>
  <c r="AP215" i="18"/>
  <c r="AQ215" i="18"/>
  <c r="AR215" i="18"/>
  <c r="AS215" i="18"/>
  <c r="AT215" i="18"/>
  <c r="AU215" i="18"/>
  <c r="AV215" i="18"/>
  <c r="AC216" i="18"/>
  <c r="AD216" i="18"/>
  <c r="AE216" i="18"/>
  <c r="AF216" i="18"/>
  <c r="AG216" i="18"/>
  <c r="AH216" i="18"/>
  <c r="AI216" i="18"/>
  <c r="AJ216" i="18"/>
  <c r="AK216" i="18"/>
  <c r="AL216" i="18"/>
  <c r="AM216" i="18"/>
  <c r="AN216" i="18"/>
  <c r="AO216" i="18"/>
  <c r="AP216" i="18"/>
  <c r="AQ216" i="18"/>
  <c r="AR216" i="18"/>
  <c r="AS216" i="18"/>
  <c r="AT216" i="18"/>
  <c r="AU216" i="18"/>
  <c r="AV216" i="18"/>
  <c r="AC217" i="18"/>
  <c r="AD217" i="18"/>
  <c r="AE217" i="18"/>
  <c r="AF217" i="18"/>
  <c r="AG217" i="18"/>
  <c r="AH217" i="18"/>
  <c r="AI217" i="18"/>
  <c r="AJ217" i="18"/>
  <c r="AK217" i="18"/>
  <c r="AL217" i="18"/>
  <c r="AM217" i="18"/>
  <c r="AN217" i="18"/>
  <c r="AO217" i="18"/>
  <c r="AP217" i="18"/>
  <c r="AQ217" i="18"/>
  <c r="AR217" i="18"/>
  <c r="AS217" i="18"/>
  <c r="AT217" i="18"/>
  <c r="AU217" i="18"/>
  <c r="AV217" i="18"/>
  <c r="AC218" i="18"/>
  <c r="AD218" i="18"/>
  <c r="AE218" i="18"/>
  <c r="AF218" i="18"/>
  <c r="AG218" i="18"/>
  <c r="AH218" i="18"/>
  <c r="AI218" i="18"/>
  <c r="AJ218" i="18"/>
  <c r="AK218" i="18"/>
  <c r="AL218" i="18"/>
  <c r="AM218" i="18"/>
  <c r="AN218" i="18"/>
  <c r="AO218" i="18"/>
  <c r="AP218" i="18"/>
  <c r="AQ218" i="18"/>
  <c r="AR218" i="18"/>
  <c r="AS218" i="18"/>
  <c r="AT218" i="18"/>
  <c r="AU218" i="18"/>
  <c r="AV218" i="18"/>
  <c r="AC219" i="18"/>
  <c r="AD219" i="18"/>
  <c r="AE219" i="18"/>
  <c r="AF219" i="18"/>
  <c r="AG219" i="18"/>
  <c r="AH219" i="18"/>
  <c r="AI219" i="18"/>
  <c r="AJ219" i="18"/>
  <c r="AK219" i="18"/>
  <c r="AL219" i="18"/>
  <c r="AM219" i="18"/>
  <c r="AN219" i="18"/>
  <c r="AO219" i="18"/>
  <c r="AP219" i="18"/>
  <c r="AQ219" i="18"/>
  <c r="AR219" i="18"/>
  <c r="AS219" i="18"/>
  <c r="AT219" i="18"/>
  <c r="AU219" i="18"/>
  <c r="AV219" i="18"/>
  <c r="AC220" i="18"/>
  <c r="AD220" i="18"/>
  <c r="AE220" i="18"/>
  <c r="AF220" i="18"/>
  <c r="AG220" i="18"/>
  <c r="AH220" i="18"/>
  <c r="AI220" i="18"/>
  <c r="AJ220" i="18"/>
  <c r="AK220" i="18"/>
  <c r="AL220" i="18"/>
  <c r="AM220" i="18"/>
  <c r="AN220" i="18"/>
  <c r="AO220" i="18"/>
  <c r="AP220" i="18"/>
  <c r="AQ220" i="18"/>
  <c r="AR220" i="18"/>
  <c r="AS220" i="18"/>
  <c r="AT220" i="18"/>
  <c r="AU220" i="18"/>
  <c r="AV220" i="18"/>
  <c r="AC221" i="18"/>
  <c r="AD221" i="18"/>
  <c r="AE221" i="18"/>
  <c r="AF221" i="18"/>
  <c r="AG221" i="18"/>
  <c r="AH221" i="18"/>
  <c r="AI221" i="18"/>
  <c r="AJ221" i="18"/>
  <c r="AK221" i="18"/>
  <c r="AL221" i="18"/>
  <c r="AM221" i="18"/>
  <c r="AN221" i="18"/>
  <c r="AO221" i="18"/>
  <c r="AP221" i="18"/>
  <c r="AQ221" i="18"/>
  <c r="AR221" i="18"/>
  <c r="AS221" i="18"/>
  <c r="AT221" i="18"/>
  <c r="AU221" i="18"/>
  <c r="AV221" i="18"/>
  <c r="AC222" i="18"/>
  <c r="AD222" i="18"/>
  <c r="AE222" i="18"/>
  <c r="AF222" i="18"/>
  <c r="AG222" i="18"/>
  <c r="AH222" i="18"/>
  <c r="AI222" i="18"/>
  <c r="AJ222" i="18"/>
  <c r="AK222" i="18"/>
  <c r="AL222" i="18"/>
  <c r="AM222" i="18"/>
  <c r="AN222" i="18"/>
  <c r="AO222" i="18"/>
  <c r="AP222" i="18"/>
  <c r="AQ222" i="18"/>
  <c r="AR222" i="18"/>
  <c r="AS222" i="18"/>
  <c r="AT222" i="18"/>
  <c r="AU222" i="18"/>
  <c r="AV222" i="18"/>
  <c r="AC223" i="18"/>
  <c r="AD223" i="18"/>
  <c r="AE223" i="18"/>
  <c r="AF223" i="18"/>
  <c r="AG223" i="18"/>
  <c r="AH223" i="18"/>
  <c r="AI223" i="18"/>
  <c r="AJ223" i="18"/>
  <c r="AK223" i="18"/>
  <c r="AL223" i="18"/>
  <c r="AM223" i="18"/>
  <c r="AN223" i="18"/>
  <c r="AO223" i="18"/>
  <c r="AP223" i="18"/>
  <c r="AQ223" i="18"/>
  <c r="AR223" i="18"/>
  <c r="AS223" i="18"/>
  <c r="AT223" i="18"/>
  <c r="AU223" i="18"/>
  <c r="AV223" i="18"/>
  <c r="AC224" i="18"/>
  <c r="AD224" i="18"/>
  <c r="AE224" i="18"/>
  <c r="AF224" i="18"/>
  <c r="AG224" i="18"/>
  <c r="AH224" i="18"/>
  <c r="AI224" i="18"/>
  <c r="AJ224" i="18"/>
  <c r="AK224" i="18"/>
  <c r="AL224" i="18"/>
  <c r="AM224" i="18"/>
  <c r="AN224" i="18"/>
  <c r="AO224" i="18"/>
  <c r="AP224" i="18"/>
  <c r="AQ224" i="18"/>
  <c r="AR224" i="18"/>
  <c r="AS224" i="18"/>
  <c r="AT224" i="18"/>
  <c r="AU224" i="18"/>
  <c r="AV224" i="18"/>
  <c r="AC225" i="18"/>
  <c r="AD225" i="18"/>
  <c r="AE225" i="18"/>
  <c r="AF225" i="18"/>
  <c r="AG225" i="18"/>
  <c r="AH225" i="18"/>
  <c r="AI225" i="18"/>
  <c r="AJ225" i="18"/>
  <c r="AK225" i="18"/>
  <c r="AL225" i="18"/>
  <c r="AM225" i="18"/>
  <c r="AN225" i="18"/>
  <c r="AO225" i="18"/>
  <c r="AP225" i="18"/>
  <c r="AQ225" i="18"/>
  <c r="AR225" i="18"/>
  <c r="AS225" i="18"/>
  <c r="AT225" i="18"/>
  <c r="AU225" i="18"/>
  <c r="AV225" i="18"/>
  <c r="AC226" i="18"/>
  <c r="AD226" i="18"/>
  <c r="AE226" i="18"/>
  <c r="AF226" i="18"/>
  <c r="AG226" i="18"/>
  <c r="AH226" i="18"/>
  <c r="AI226" i="18"/>
  <c r="AJ226" i="18"/>
  <c r="AK226" i="18"/>
  <c r="AL226" i="18"/>
  <c r="AM226" i="18"/>
  <c r="AN226" i="18"/>
  <c r="AO226" i="18"/>
  <c r="AP226" i="18"/>
  <c r="AQ226" i="18"/>
  <c r="AR226" i="18"/>
  <c r="AS226" i="18"/>
  <c r="AT226" i="18"/>
  <c r="AU226" i="18"/>
  <c r="AV226" i="18"/>
  <c r="AC227" i="18"/>
  <c r="AD227" i="18"/>
  <c r="AE227" i="18"/>
  <c r="AF227" i="18"/>
  <c r="AG227" i="18"/>
  <c r="AH227" i="18"/>
  <c r="AI227" i="18"/>
  <c r="AJ227" i="18"/>
  <c r="AK227" i="18"/>
  <c r="AL227" i="18"/>
  <c r="AM227" i="18"/>
  <c r="AN227" i="18"/>
  <c r="AO227" i="18"/>
  <c r="AP227" i="18"/>
  <c r="AQ227" i="18"/>
  <c r="AR227" i="18"/>
  <c r="AS227" i="18"/>
  <c r="AT227" i="18"/>
  <c r="AU227" i="18"/>
  <c r="AV227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S228" i="18"/>
  <c r="AT228" i="18"/>
  <c r="AU228" i="18"/>
  <c r="AV228" i="18"/>
  <c r="AC229" i="18"/>
  <c r="AD229" i="18"/>
  <c r="AE229" i="18"/>
  <c r="AF229" i="18"/>
  <c r="AG229" i="18"/>
  <c r="AH229" i="18"/>
  <c r="AI229" i="18"/>
  <c r="AJ229" i="18"/>
  <c r="AK229" i="18"/>
  <c r="AL229" i="18"/>
  <c r="AM229" i="18"/>
  <c r="AN229" i="18"/>
  <c r="AO229" i="18"/>
  <c r="AP229" i="18"/>
  <c r="AQ229" i="18"/>
  <c r="AR229" i="18"/>
  <c r="AS229" i="18"/>
  <c r="AT229" i="18"/>
  <c r="AU229" i="18"/>
  <c r="AV229" i="18"/>
  <c r="AC230" i="18"/>
  <c r="AD230" i="18"/>
  <c r="AE230" i="18"/>
  <c r="AF230" i="18"/>
  <c r="AG230" i="18"/>
  <c r="AH230" i="18"/>
  <c r="AI230" i="18"/>
  <c r="AJ230" i="18"/>
  <c r="AK230" i="18"/>
  <c r="AL230" i="18"/>
  <c r="AM230" i="18"/>
  <c r="AN230" i="18"/>
  <c r="AO230" i="18"/>
  <c r="AP230" i="18"/>
  <c r="AQ230" i="18"/>
  <c r="AR230" i="18"/>
  <c r="AS230" i="18"/>
  <c r="AT230" i="18"/>
  <c r="AU230" i="18"/>
  <c r="AV230" i="18"/>
  <c r="AC231" i="18"/>
  <c r="AD231" i="18"/>
  <c r="AE231" i="18"/>
  <c r="AF231" i="18"/>
  <c r="AG231" i="18"/>
  <c r="AH231" i="18"/>
  <c r="AI231" i="18"/>
  <c r="AJ231" i="18"/>
  <c r="AK231" i="18"/>
  <c r="AL231" i="18"/>
  <c r="AM231" i="18"/>
  <c r="AN231" i="18"/>
  <c r="AO231" i="18"/>
  <c r="AP231" i="18"/>
  <c r="AQ231" i="18"/>
  <c r="AR231" i="18"/>
  <c r="AS231" i="18"/>
  <c r="AT231" i="18"/>
  <c r="AU231" i="18"/>
  <c r="AV231" i="18"/>
  <c r="AC232" i="18"/>
  <c r="AD232" i="18"/>
  <c r="AE232" i="18"/>
  <c r="AF232" i="18"/>
  <c r="AG232" i="18"/>
  <c r="AH232" i="18"/>
  <c r="AI232" i="18"/>
  <c r="AJ232" i="18"/>
  <c r="AK232" i="18"/>
  <c r="AL232" i="18"/>
  <c r="AM232" i="18"/>
  <c r="AN232" i="18"/>
  <c r="AO232" i="18"/>
  <c r="AP232" i="18"/>
  <c r="AQ232" i="18"/>
  <c r="AR232" i="18"/>
  <c r="AS232" i="18"/>
  <c r="AT232" i="18"/>
  <c r="AU232" i="18"/>
  <c r="AV232" i="18"/>
  <c r="AC233" i="18"/>
  <c r="AD233" i="18"/>
  <c r="AE233" i="18"/>
  <c r="AF233" i="18"/>
  <c r="AG233" i="18"/>
  <c r="AH233" i="18"/>
  <c r="AI233" i="18"/>
  <c r="AJ233" i="18"/>
  <c r="AK233" i="18"/>
  <c r="AL233" i="18"/>
  <c r="AM233" i="18"/>
  <c r="AN233" i="18"/>
  <c r="AO233" i="18"/>
  <c r="AP233" i="18"/>
  <c r="AQ233" i="18"/>
  <c r="AR233" i="18"/>
  <c r="AS233" i="18"/>
  <c r="AT233" i="18"/>
  <c r="AU233" i="18"/>
  <c r="AV233" i="18"/>
  <c r="AC234" i="18"/>
  <c r="AD234" i="18"/>
  <c r="AE234" i="18"/>
  <c r="AF234" i="18"/>
  <c r="AG234" i="18"/>
  <c r="AH234" i="18"/>
  <c r="AI234" i="18"/>
  <c r="AJ234" i="18"/>
  <c r="AK234" i="18"/>
  <c r="AL234" i="18"/>
  <c r="AM234" i="18"/>
  <c r="AN234" i="18"/>
  <c r="AO234" i="18"/>
  <c r="AP234" i="18"/>
  <c r="AQ234" i="18"/>
  <c r="AR234" i="18"/>
  <c r="AS234" i="18"/>
  <c r="AT234" i="18"/>
  <c r="AU234" i="18"/>
  <c r="AV234" i="18"/>
  <c r="AC235" i="18"/>
  <c r="AD235" i="18"/>
  <c r="AE235" i="18"/>
  <c r="AF235" i="18"/>
  <c r="AG235" i="18"/>
  <c r="AH235" i="18"/>
  <c r="AI235" i="18"/>
  <c r="AJ235" i="18"/>
  <c r="AK235" i="18"/>
  <c r="AL235" i="18"/>
  <c r="AM235" i="18"/>
  <c r="AN235" i="18"/>
  <c r="AO235" i="18"/>
  <c r="AP235" i="18"/>
  <c r="AQ235" i="18"/>
  <c r="AR235" i="18"/>
  <c r="AS235" i="18"/>
  <c r="AT235" i="18"/>
  <c r="AU235" i="18"/>
  <c r="AV235" i="18"/>
  <c r="AC236" i="18"/>
  <c r="AD236" i="18"/>
  <c r="AE236" i="18"/>
  <c r="AF236" i="18"/>
  <c r="AG236" i="18"/>
  <c r="AH236" i="18"/>
  <c r="AI236" i="18"/>
  <c r="AJ236" i="18"/>
  <c r="AK236" i="18"/>
  <c r="AL236" i="18"/>
  <c r="AM236" i="18"/>
  <c r="AN236" i="18"/>
  <c r="AO236" i="18"/>
  <c r="AP236" i="18"/>
  <c r="AQ236" i="18"/>
  <c r="AR236" i="18"/>
  <c r="AS236" i="18"/>
  <c r="AT236" i="18"/>
  <c r="AU236" i="18"/>
  <c r="AV236" i="18"/>
  <c r="AC237" i="18"/>
  <c r="AD237" i="18"/>
  <c r="AE237" i="18"/>
  <c r="AF237" i="18"/>
  <c r="AG237" i="18"/>
  <c r="AH237" i="18"/>
  <c r="AI237" i="18"/>
  <c r="AJ237" i="18"/>
  <c r="AK237" i="18"/>
  <c r="AL237" i="18"/>
  <c r="AM237" i="18"/>
  <c r="AN237" i="18"/>
  <c r="AO237" i="18"/>
  <c r="AP237" i="18"/>
  <c r="AQ237" i="18"/>
  <c r="AR237" i="18"/>
  <c r="AS237" i="18"/>
  <c r="AT237" i="18"/>
  <c r="AU237" i="18"/>
  <c r="AV237" i="18"/>
  <c r="AC238" i="18"/>
  <c r="AD238" i="18"/>
  <c r="AE238" i="18"/>
  <c r="AF238" i="18"/>
  <c r="AG238" i="18"/>
  <c r="AH238" i="18"/>
  <c r="AI238" i="18"/>
  <c r="AJ238" i="18"/>
  <c r="AK238" i="18"/>
  <c r="AL238" i="18"/>
  <c r="AM238" i="18"/>
  <c r="AN238" i="18"/>
  <c r="AO238" i="18"/>
  <c r="AP238" i="18"/>
  <c r="AQ238" i="18"/>
  <c r="AR238" i="18"/>
  <c r="AS238" i="18"/>
  <c r="AT238" i="18"/>
  <c r="AU238" i="18"/>
  <c r="AV238" i="18"/>
  <c r="AC239" i="18"/>
  <c r="AD239" i="18"/>
  <c r="AE239" i="18"/>
  <c r="AF239" i="18"/>
  <c r="AG239" i="18"/>
  <c r="AH239" i="18"/>
  <c r="AI239" i="18"/>
  <c r="AJ239" i="18"/>
  <c r="AK239" i="18"/>
  <c r="AL239" i="18"/>
  <c r="AM239" i="18"/>
  <c r="AN239" i="18"/>
  <c r="AO239" i="18"/>
  <c r="AP239" i="18"/>
  <c r="AQ239" i="18"/>
  <c r="AR239" i="18"/>
  <c r="AS239" i="18"/>
  <c r="AT239" i="18"/>
  <c r="AU239" i="18"/>
  <c r="AV239" i="18"/>
  <c r="AC240" i="18"/>
  <c r="AD240" i="18"/>
  <c r="AE240" i="18"/>
  <c r="AF240" i="18"/>
  <c r="AG240" i="18"/>
  <c r="AH240" i="18"/>
  <c r="AI240" i="18"/>
  <c r="AJ240" i="18"/>
  <c r="AK240" i="18"/>
  <c r="AL240" i="18"/>
  <c r="AM240" i="18"/>
  <c r="AN240" i="18"/>
  <c r="AO240" i="18"/>
  <c r="AP240" i="18"/>
  <c r="AQ240" i="18"/>
  <c r="AR240" i="18"/>
  <c r="AS240" i="18"/>
  <c r="AT240" i="18"/>
  <c r="AU240" i="18"/>
  <c r="AV240" i="18"/>
  <c r="AC241" i="18"/>
  <c r="AD241" i="18"/>
  <c r="AE241" i="18"/>
  <c r="AF241" i="18"/>
  <c r="AG241" i="18"/>
  <c r="AH241" i="18"/>
  <c r="AI241" i="18"/>
  <c r="AJ241" i="18"/>
  <c r="AK241" i="18"/>
  <c r="AL241" i="18"/>
  <c r="AM241" i="18"/>
  <c r="AN241" i="18"/>
  <c r="AO241" i="18"/>
  <c r="AP241" i="18"/>
  <c r="AQ241" i="18"/>
  <c r="AR241" i="18"/>
  <c r="AS241" i="18"/>
  <c r="AT241" i="18"/>
  <c r="AU241" i="18"/>
  <c r="AV241" i="18"/>
  <c r="AC242" i="18"/>
  <c r="AD242" i="18"/>
  <c r="AE242" i="18"/>
  <c r="AF242" i="18"/>
  <c r="AG242" i="18"/>
  <c r="AH242" i="18"/>
  <c r="AI242" i="18"/>
  <c r="AJ242" i="18"/>
  <c r="AK242" i="18"/>
  <c r="AL242" i="18"/>
  <c r="AM242" i="18"/>
  <c r="AN242" i="18"/>
  <c r="AO242" i="18"/>
  <c r="AP242" i="18"/>
  <c r="AQ242" i="18"/>
  <c r="AR242" i="18"/>
  <c r="AS242" i="18"/>
  <c r="AT242" i="18"/>
  <c r="AU242" i="18"/>
  <c r="AV242" i="18"/>
  <c r="AC243" i="18"/>
  <c r="AD243" i="18"/>
  <c r="AE243" i="18"/>
  <c r="AF243" i="18"/>
  <c r="AG243" i="18"/>
  <c r="AH243" i="18"/>
  <c r="AI243" i="18"/>
  <c r="AJ243" i="18"/>
  <c r="AK243" i="18"/>
  <c r="AL243" i="18"/>
  <c r="AM243" i="18"/>
  <c r="AN243" i="18"/>
  <c r="AO243" i="18"/>
  <c r="AP243" i="18"/>
  <c r="AQ243" i="18"/>
  <c r="AR243" i="18"/>
  <c r="AS243" i="18"/>
  <c r="AT243" i="18"/>
  <c r="AU243" i="18"/>
  <c r="AV243" i="18"/>
  <c r="AC244" i="18"/>
  <c r="AD244" i="18"/>
  <c r="AE244" i="18"/>
  <c r="AF244" i="18"/>
  <c r="AG244" i="18"/>
  <c r="AH244" i="18"/>
  <c r="AI244" i="18"/>
  <c r="AJ244" i="18"/>
  <c r="AK244" i="18"/>
  <c r="AL244" i="18"/>
  <c r="AM244" i="18"/>
  <c r="AN244" i="18"/>
  <c r="AO244" i="18"/>
  <c r="AP244" i="18"/>
  <c r="AQ244" i="18"/>
  <c r="AR244" i="18"/>
  <c r="AS244" i="18"/>
  <c r="AT244" i="18"/>
  <c r="AU244" i="18"/>
  <c r="AV244" i="18"/>
  <c r="AC245" i="18"/>
  <c r="AD245" i="18"/>
  <c r="AE245" i="18"/>
  <c r="AF245" i="18"/>
  <c r="AG245" i="18"/>
  <c r="AH245" i="18"/>
  <c r="AI245" i="18"/>
  <c r="AJ245" i="18"/>
  <c r="AK245" i="18"/>
  <c r="AL245" i="18"/>
  <c r="AM245" i="18"/>
  <c r="AN245" i="18"/>
  <c r="AO245" i="18"/>
  <c r="AP245" i="18"/>
  <c r="AQ245" i="18"/>
  <c r="AR245" i="18"/>
  <c r="AS245" i="18"/>
  <c r="AT245" i="18"/>
  <c r="AU245" i="18"/>
  <c r="AV245" i="18"/>
  <c r="AC246" i="18"/>
  <c r="AD246" i="18"/>
  <c r="AE246" i="18"/>
  <c r="AF246" i="18"/>
  <c r="AG246" i="18"/>
  <c r="AH246" i="18"/>
  <c r="AI246" i="18"/>
  <c r="AJ246" i="18"/>
  <c r="AK246" i="18"/>
  <c r="AL246" i="18"/>
  <c r="AM246" i="18"/>
  <c r="AN246" i="18"/>
  <c r="AO246" i="18"/>
  <c r="AP246" i="18"/>
  <c r="AQ246" i="18"/>
  <c r="AR246" i="18"/>
  <c r="AS246" i="18"/>
  <c r="AT246" i="18"/>
  <c r="AU246" i="18"/>
  <c r="AV246" i="18"/>
  <c r="AC247" i="18"/>
  <c r="AD247" i="18"/>
  <c r="AE247" i="18"/>
  <c r="AF247" i="18"/>
  <c r="AG247" i="18"/>
  <c r="AH247" i="18"/>
  <c r="AI247" i="18"/>
  <c r="AJ247" i="18"/>
  <c r="AK247" i="18"/>
  <c r="AL247" i="18"/>
  <c r="AM247" i="18"/>
  <c r="AN247" i="18"/>
  <c r="AO247" i="18"/>
  <c r="AP247" i="18"/>
  <c r="AQ247" i="18"/>
  <c r="AR247" i="18"/>
  <c r="AS247" i="18"/>
  <c r="AT247" i="18"/>
  <c r="AU247" i="18"/>
  <c r="AV247" i="18"/>
  <c r="AC248" i="18"/>
  <c r="AD248" i="18"/>
  <c r="AE248" i="18"/>
  <c r="AF248" i="18"/>
  <c r="AG248" i="18"/>
  <c r="AH248" i="18"/>
  <c r="AI248" i="18"/>
  <c r="AJ248" i="18"/>
  <c r="AK248" i="18"/>
  <c r="AL248" i="18"/>
  <c r="AM248" i="18"/>
  <c r="AN248" i="18"/>
  <c r="AO248" i="18"/>
  <c r="AP248" i="18"/>
  <c r="AQ248" i="18"/>
  <c r="AR248" i="18"/>
  <c r="AS248" i="18"/>
  <c r="AT248" i="18"/>
  <c r="AU248" i="18"/>
  <c r="AV248" i="18"/>
  <c r="AC249" i="18"/>
  <c r="AD249" i="18"/>
  <c r="AE249" i="18"/>
  <c r="AF249" i="18"/>
  <c r="AG249" i="18"/>
  <c r="AH249" i="18"/>
  <c r="AI249" i="18"/>
  <c r="AJ249" i="18"/>
  <c r="AK249" i="18"/>
  <c r="AL249" i="18"/>
  <c r="AM249" i="18"/>
  <c r="AN249" i="18"/>
  <c r="AO249" i="18"/>
  <c r="AP249" i="18"/>
  <c r="AQ249" i="18"/>
  <c r="AR249" i="18"/>
  <c r="AS249" i="18"/>
  <c r="AT249" i="18"/>
  <c r="AU249" i="18"/>
  <c r="AV249" i="18"/>
  <c r="AC250" i="18"/>
  <c r="AD250" i="18"/>
  <c r="AE250" i="18"/>
  <c r="AF250" i="18"/>
  <c r="AG250" i="18"/>
  <c r="AH250" i="18"/>
  <c r="AI250" i="18"/>
  <c r="AJ250" i="18"/>
  <c r="AK250" i="18"/>
  <c r="AL250" i="18"/>
  <c r="AM250" i="18"/>
  <c r="AN250" i="18"/>
  <c r="AO250" i="18"/>
  <c r="AP250" i="18"/>
  <c r="AQ250" i="18"/>
  <c r="AR250" i="18"/>
  <c r="AS250" i="18"/>
  <c r="AT250" i="18"/>
  <c r="AU250" i="18"/>
  <c r="AV250" i="18"/>
  <c r="AC251" i="18"/>
  <c r="AD251" i="18"/>
  <c r="AE251" i="18"/>
  <c r="AF251" i="18"/>
  <c r="AG251" i="18"/>
  <c r="AH251" i="18"/>
  <c r="AI251" i="18"/>
  <c r="AJ251" i="18"/>
  <c r="AK251" i="18"/>
  <c r="AL251" i="18"/>
  <c r="AM251" i="18"/>
  <c r="AN251" i="18"/>
  <c r="AO251" i="18"/>
  <c r="AP251" i="18"/>
  <c r="AQ251" i="18"/>
  <c r="AR251" i="18"/>
  <c r="AS251" i="18"/>
  <c r="AT251" i="18"/>
  <c r="AU251" i="18"/>
  <c r="AV251" i="18"/>
  <c r="AC252" i="18"/>
  <c r="AD252" i="18"/>
  <c r="AE252" i="18"/>
  <c r="AF252" i="18"/>
  <c r="AG252" i="18"/>
  <c r="AH252" i="18"/>
  <c r="AI252" i="18"/>
  <c r="AJ252" i="18"/>
  <c r="AK252" i="18"/>
  <c r="AL252" i="18"/>
  <c r="AM252" i="18"/>
  <c r="AN252" i="18"/>
  <c r="AO252" i="18"/>
  <c r="AP252" i="18"/>
  <c r="AQ252" i="18"/>
  <c r="AR252" i="18"/>
  <c r="AS252" i="18"/>
  <c r="AT252" i="18"/>
  <c r="AU252" i="18"/>
  <c r="AV252" i="18"/>
  <c r="AC253" i="18"/>
  <c r="AD253" i="18"/>
  <c r="AE253" i="18"/>
  <c r="AF253" i="18"/>
  <c r="AG253" i="18"/>
  <c r="AH253" i="18"/>
  <c r="AI253" i="18"/>
  <c r="AJ253" i="18"/>
  <c r="AK253" i="18"/>
  <c r="AL253" i="18"/>
  <c r="AM253" i="18"/>
  <c r="AN253" i="18"/>
  <c r="AO253" i="18"/>
  <c r="AP253" i="18"/>
  <c r="AQ253" i="18"/>
  <c r="AR253" i="18"/>
  <c r="AS253" i="18"/>
  <c r="AT253" i="18"/>
  <c r="AU253" i="18"/>
  <c r="AV253" i="18"/>
  <c r="AC254" i="18"/>
  <c r="AD254" i="18"/>
  <c r="AE254" i="18"/>
  <c r="AF254" i="18"/>
  <c r="AG254" i="18"/>
  <c r="AH254" i="18"/>
  <c r="AI254" i="18"/>
  <c r="AJ254" i="18"/>
  <c r="AK254" i="18"/>
  <c r="AL254" i="18"/>
  <c r="AM254" i="18"/>
  <c r="AN254" i="18"/>
  <c r="AO254" i="18"/>
  <c r="AP254" i="18"/>
  <c r="AQ254" i="18"/>
  <c r="AR254" i="18"/>
  <c r="AS254" i="18"/>
  <c r="AT254" i="18"/>
  <c r="AU254" i="18"/>
  <c r="AV254" i="18"/>
  <c r="AC255" i="18"/>
  <c r="AD255" i="18"/>
  <c r="AE255" i="18"/>
  <c r="AF255" i="18"/>
  <c r="AG255" i="18"/>
  <c r="AH255" i="18"/>
  <c r="AI255" i="18"/>
  <c r="AJ255" i="18"/>
  <c r="AK255" i="18"/>
  <c r="AL255" i="18"/>
  <c r="AM255" i="18"/>
  <c r="AN255" i="18"/>
  <c r="AO255" i="18"/>
  <c r="AP255" i="18"/>
  <c r="AQ255" i="18"/>
  <c r="AR255" i="18"/>
  <c r="AS255" i="18"/>
  <c r="AT255" i="18"/>
  <c r="AU255" i="18"/>
  <c r="AV255" i="18"/>
  <c r="AC256" i="18"/>
  <c r="AD256" i="18"/>
  <c r="AE256" i="18"/>
  <c r="AF256" i="18"/>
  <c r="AG256" i="18"/>
  <c r="AH256" i="18"/>
  <c r="AI256" i="18"/>
  <c r="AJ256" i="18"/>
  <c r="AK256" i="18"/>
  <c r="AL256" i="18"/>
  <c r="AM256" i="18"/>
  <c r="AN256" i="18"/>
  <c r="AO256" i="18"/>
  <c r="AP256" i="18"/>
  <c r="AQ256" i="18"/>
  <c r="AR256" i="18"/>
  <c r="AS256" i="18"/>
  <c r="AT256" i="18"/>
  <c r="AU256" i="18"/>
  <c r="AV256" i="18"/>
  <c r="AC257" i="18"/>
  <c r="AD257" i="18"/>
  <c r="AE257" i="18"/>
  <c r="AF257" i="18"/>
  <c r="AG257" i="18"/>
  <c r="AH257" i="18"/>
  <c r="AI257" i="18"/>
  <c r="AJ257" i="18"/>
  <c r="AK257" i="18"/>
  <c r="AL257" i="18"/>
  <c r="AM257" i="18"/>
  <c r="AN257" i="18"/>
  <c r="AO257" i="18"/>
  <c r="AP257" i="18"/>
  <c r="AQ257" i="18"/>
  <c r="AR257" i="18"/>
  <c r="AS257" i="18"/>
  <c r="AT257" i="18"/>
  <c r="AU257" i="18"/>
  <c r="AV257" i="18"/>
  <c r="AC258" i="18"/>
  <c r="AD258" i="18"/>
  <c r="AE258" i="18"/>
  <c r="AF258" i="18"/>
  <c r="AG258" i="18"/>
  <c r="AH258" i="18"/>
  <c r="AI258" i="18"/>
  <c r="AJ258" i="18"/>
  <c r="AK258" i="18"/>
  <c r="AL258" i="18"/>
  <c r="AM258" i="18"/>
  <c r="AN258" i="18"/>
  <c r="AO258" i="18"/>
  <c r="AP258" i="18"/>
  <c r="AQ258" i="18"/>
  <c r="AR258" i="18"/>
  <c r="AS258" i="18"/>
  <c r="AT258" i="18"/>
  <c r="AU258" i="18"/>
  <c r="AV258" i="18"/>
  <c r="AC259" i="18"/>
  <c r="AD259" i="18"/>
  <c r="AE259" i="18"/>
  <c r="AF259" i="18"/>
  <c r="AG259" i="18"/>
  <c r="AH259" i="18"/>
  <c r="AI259" i="18"/>
  <c r="AJ259" i="18"/>
  <c r="AK259" i="18"/>
  <c r="AL259" i="18"/>
  <c r="AM259" i="18"/>
  <c r="AN259" i="18"/>
  <c r="AO259" i="18"/>
  <c r="AP259" i="18"/>
  <c r="AQ259" i="18"/>
  <c r="AR259" i="18"/>
  <c r="AS259" i="18"/>
  <c r="AT259" i="18"/>
  <c r="AU259" i="18"/>
  <c r="AV259" i="18"/>
  <c r="AC260" i="18"/>
  <c r="AD260" i="18"/>
  <c r="AE260" i="18"/>
  <c r="AF260" i="18"/>
  <c r="AG260" i="18"/>
  <c r="AH260" i="18"/>
  <c r="AI260" i="18"/>
  <c r="AJ260" i="18"/>
  <c r="AK260" i="18"/>
  <c r="AL260" i="18"/>
  <c r="AM260" i="18"/>
  <c r="AN260" i="18"/>
  <c r="AO260" i="18"/>
  <c r="AP260" i="18"/>
  <c r="AQ260" i="18"/>
  <c r="AR260" i="18"/>
  <c r="AS260" i="18"/>
  <c r="AT260" i="18"/>
  <c r="AU260" i="18"/>
  <c r="AV260" i="18"/>
  <c r="AC261" i="18"/>
  <c r="AD261" i="18"/>
  <c r="AE261" i="18"/>
  <c r="AF261" i="18"/>
  <c r="AG261" i="18"/>
  <c r="AH261" i="18"/>
  <c r="AI261" i="18"/>
  <c r="AJ261" i="18"/>
  <c r="AK261" i="18"/>
  <c r="AL261" i="18"/>
  <c r="AM261" i="18"/>
  <c r="AN261" i="18"/>
  <c r="AO261" i="18"/>
  <c r="AP261" i="18"/>
  <c r="AQ261" i="18"/>
  <c r="AR261" i="18"/>
  <c r="AS261" i="18"/>
  <c r="AT261" i="18"/>
  <c r="AU261" i="18"/>
  <c r="AV261" i="18"/>
  <c r="AC262" i="18"/>
  <c r="AD262" i="18"/>
  <c r="AE262" i="18"/>
  <c r="AF262" i="18"/>
  <c r="AG262" i="18"/>
  <c r="AH262" i="18"/>
  <c r="AI262" i="18"/>
  <c r="AJ262" i="18"/>
  <c r="AK262" i="18"/>
  <c r="AL262" i="18"/>
  <c r="AM262" i="18"/>
  <c r="AN262" i="18"/>
  <c r="AO262" i="18"/>
  <c r="AP262" i="18"/>
  <c r="AQ262" i="18"/>
  <c r="AR262" i="18"/>
  <c r="AS262" i="18"/>
  <c r="AT262" i="18"/>
  <c r="AU262" i="18"/>
  <c r="AV262" i="18"/>
  <c r="AC263" i="18"/>
  <c r="AD263" i="18"/>
  <c r="AE263" i="18"/>
  <c r="AF263" i="18"/>
  <c r="AG263" i="18"/>
  <c r="AH263" i="18"/>
  <c r="AI263" i="18"/>
  <c r="AJ263" i="18"/>
  <c r="AK263" i="18"/>
  <c r="AL263" i="18"/>
  <c r="AM263" i="18"/>
  <c r="AN263" i="18"/>
  <c r="AO263" i="18"/>
  <c r="AP263" i="18"/>
  <c r="AQ263" i="18"/>
  <c r="AR263" i="18"/>
  <c r="AS263" i="18"/>
  <c r="AT263" i="18"/>
  <c r="AU263" i="18"/>
  <c r="AV263" i="18"/>
  <c r="AC264" i="18"/>
  <c r="AD264" i="18"/>
  <c r="AE264" i="18"/>
  <c r="AF264" i="18"/>
  <c r="AG264" i="18"/>
  <c r="AH264" i="18"/>
  <c r="AI264" i="18"/>
  <c r="AJ264" i="18"/>
  <c r="AK264" i="18"/>
  <c r="AL264" i="18"/>
  <c r="AM264" i="18"/>
  <c r="AN264" i="18"/>
  <c r="AO264" i="18"/>
  <c r="AP264" i="18"/>
  <c r="AQ264" i="18"/>
  <c r="AR264" i="18"/>
  <c r="AS264" i="18"/>
  <c r="AT264" i="18"/>
  <c r="AU264" i="18"/>
  <c r="AV264" i="18"/>
  <c r="AC265" i="18"/>
  <c r="AD265" i="18"/>
  <c r="AE265" i="18"/>
  <c r="AF265" i="18"/>
  <c r="AG265" i="18"/>
  <c r="AH265" i="18"/>
  <c r="AI265" i="18"/>
  <c r="AJ265" i="18"/>
  <c r="AK265" i="18"/>
  <c r="AL265" i="18"/>
  <c r="AM265" i="18"/>
  <c r="AN265" i="18"/>
  <c r="AO265" i="18"/>
  <c r="AP265" i="18"/>
  <c r="AQ265" i="18"/>
  <c r="AR265" i="18"/>
  <c r="AS265" i="18"/>
  <c r="AT265" i="18"/>
  <c r="AU265" i="18"/>
  <c r="AV265" i="18"/>
  <c r="AC266" i="18"/>
  <c r="AD266" i="18"/>
  <c r="AE266" i="18"/>
  <c r="AF266" i="18"/>
  <c r="AG266" i="18"/>
  <c r="AH266" i="18"/>
  <c r="AI266" i="18"/>
  <c r="AJ266" i="18"/>
  <c r="AK266" i="18"/>
  <c r="AL266" i="18"/>
  <c r="AM266" i="18"/>
  <c r="AN266" i="18"/>
  <c r="AO266" i="18"/>
  <c r="AP266" i="18"/>
  <c r="AQ266" i="18"/>
  <c r="AR266" i="18"/>
  <c r="AS266" i="18"/>
  <c r="AT266" i="18"/>
  <c r="AU266" i="18"/>
  <c r="AV266" i="18"/>
  <c r="AC267" i="18"/>
  <c r="AD267" i="18"/>
  <c r="AE267" i="18"/>
  <c r="AF267" i="18"/>
  <c r="AG267" i="18"/>
  <c r="AH267" i="18"/>
  <c r="AI267" i="18"/>
  <c r="AJ267" i="18"/>
  <c r="AK267" i="18"/>
  <c r="AL267" i="18"/>
  <c r="AM267" i="18"/>
  <c r="AN267" i="18"/>
  <c r="AO267" i="18"/>
  <c r="AP267" i="18"/>
  <c r="AQ267" i="18"/>
  <c r="AR267" i="18"/>
  <c r="AS267" i="18"/>
  <c r="AT267" i="18"/>
  <c r="AU267" i="18"/>
  <c r="AV267" i="18"/>
  <c r="AC268" i="18"/>
  <c r="AD268" i="18"/>
  <c r="AE268" i="18"/>
  <c r="AF268" i="18"/>
  <c r="AG268" i="18"/>
  <c r="AH268" i="18"/>
  <c r="AI268" i="18"/>
  <c r="AJ268" i="18"/>
  <c r="AK268" i="18"/>
  <c r="AL268" i="18"/>
  <c r="AM268" i="18"/>
  <c r="AN268" i="18"/>
  <c r="AO268" i="18"/>
  <c r="AP268" i="18"/>
  <c r="AQ268" i="18"/>
  <c r="AR268" i="18"/>
  <c r="AS268" i="18"/>
  <c r="AT268" i="18"/>
  <c r="AU268" i="18"/>
  <c r="AV268" i="18"/>
  <c r="AC269" i="18"/>
  <c r="AD269" i="18"/>
  <c r="AE269" i="18"/>
  <c r="AF269" i="18"/>
  <c r="AG269" i="18"/>
  <c r="AH269" i="18"/>
  <c r="AI269" i="18"/>
  <c r="AJ269" i="18"/>
  <c r="AK269" i="18"/>
  <c r="AL269" i="18"/>
  <c r="AM269" i="18"/>
  <c r="AN269" i="18"/>
  <c r="AO269" i="18"/>
  <c r="AP269" i="18"/>
  <c r="AQ269" i="18"/>
  <c r="AR269" i="18"/>
  <c r="AS269" i="18"/>
  <c r="AT269" i="18"/>
  <c r="AU269" i="18"/>
  <c r="AV269" i="18"/>
  <c r="AC270" i="18"/>
  <c r="AD270" i="18"/>
  <c r="AE270" i="18"/>
  <c r="AF270" i="18"/>
  <c r="AG270" i="18"/>
  <c r="AH270" i="18"/>
  <c r="AI270" i="18"/>
  <c r="AJ270" i="18"/>
  <c r="AK270" i="18"/>
  <c r="AL270" i="18"/>
  <c r="AM270" i="18"/>
  <c r="AN270" i="18"/>
  <c r="AO270" i="18"/>
  <c r="AP270" i="18"/>
  <c r="AQ270" i="18"/>
  <c r="AR270" i="18"/>
  <c r="AS270" i="18"/>
  <c r="AT270" i="18"/>
  <c r="AU270" i="18"/>
  <c r="AV270" i="18"/>
  <c r="AC271" i="18"/>
  <c r="AD271" i="18"/>
  <c r="AE271" i="18"/>
  <c r="AF271" i="18"/>
  <c r="AG271" i="18"/>
  <c r="AH271" i="18"/>
  <c r="AI271" i="18"/>
  <c r="AJ271" i="18"/>
  <c r="AK271" i="18"/>
  <c r="AL271" i="18"/>
  <c r="AM271" i="18"/>
  <c r="AN271" i="18"/>
  <c r="AO271" i="18"/>
  <c r="AP271" i="18"/>
  <c r="AQ271" i="18"/>
  <c r="AR271" i="18"/>
  <c r="AS271" i="18"/>
  <c r="AT271" i="18"/>
  <c r="AU271" i="18"/>
  <c r="AV271" i="18"/>
  <c r="AC272" i="18"/>
  <c r="AD272" i="18"/>
  <c r="AE272" i="18"/>
  <c r="AF272" i="18"/>
  <c r="AG272" i="18"/>
  <c r="AH272" i="18"/>
  <c r="AI272" i="18"/>
  <c r="AJ272" i="18"/>
  <c r="AK272" i="18"/>
  <c r="AL272" i="18"/>
  <c r="AM272" i="18"/>
  <c r="AN272" i="18"/>
  <c r="AO272" i="18"/>
  <c r="AP272" i="18"/>
  <c r="AQ272" i="18"/>
  <c r="AR272" i="18"/>
  <c r="AS272" i="18"/>
  <c r="AT272" i="18"/>
  <c r="AU272" i="18"/>
  <c r="AV272" i="18"/>
  <c r="AC273" i="18"/>
  <c r="AD273" i="18"/>
  <c r="AE273" i="18"/>
  <c r="AF273" i="18"/>
  <c r="AG273" i="18"/>
  <c r="AH273" i="18"/>
  <c r="AI273" i="18"/>
  <c r="AJ273" i="18"/>
  <c r="AK273" i="18"/>
  <c r="AL273" i="18"/>
  <c r="AM273" i="18"/>
  <c r="AN273" i="18"/>
  <c r="AO273" i="18"/>
  <c r="AP273" i="18"/>
  <c r="AQ273" i="18"/>
  <c r="AR273" i="18"/>
  <c r="AS273" i="18"/>
  <c r="AT273" i="18"/>
  <c r="AU273" i="18"/>
  <c r="AV273" i="18"/>
  <c r="AC274" i="18"/>
  <c r="AD274" i="18"/>
  <c r="AE274" i="18"/>
  <c r="AF274" i="18"/>
  <c r="AG274" i="18"/>
  <c r="AH274" i="18"/>
  <c r="AI274" i="18"/>
  <c r="AJ274" i="18"/>
  <c r="AK274" i="18"/>
  <c r="AL274" i="18"/>
  <c r="AM274" i="18"/>
  <c r="AN274" i="18"/>
  <c r="AO274" i="18"/>
  <c r="AP274" i="18"/>
  <c r="AQ274" i="18"/>
  <c r="AR274" i="18"/>
  <c r="AS274" i="18"/>
  <c r="AT274" i="18"/>
  <c r="AU274" i="18"/>
  <c r="AV274" i="18"/>
  <c r="AC275" i="18"/>
  <c r="AD275" i="18"/>
  <c r="AE275" i="18"/>
  <c r="AF275" i="18"/>
  <c r="AG275" i="18"/>
  <c r="AH275" i="18"/>
  <c r="AI275" i="18"/>
  <c r="AJ275" i="18"/>
  <c r="AK275" i="18"/>
  <c r="AL275" i="18"/>
  <c r="AM275" i="18"/>
  <c r="AN275" i="18"/>
  <c r="AO275" i="18"/>
  <c r="AP275" i="18"/>
  <c r="AQ275" i="18"/>
  <c r="AR275" i="18"/>
  <c r="AS275" i="18"/>
  <c r="AT275" i="18"/>
  <c r="AU275" i="18"/>
  <c r="AV275" i="18"/>
  <c r="AC276" i="18"/>
  <c r="AD276" i="18"/>
  <c r="AE276" i="18"/>
  <c r="AF276" i="18"/>
  <c r="AG276" i="18"/>
  <c r="AH276" i="18"/>
  <c r="AI276" i="18"/>
  <c r="AJ276" i="18"/>
  <c r="AK276" i="18"/>
  <c r="AL276" i="18"/>
  <c r="AM276" i="18"/>
  <c r="AN276" i="18"/>
  <c r="AO276" i="18"/>
  <c r="AP276" i="18"/>
  <c r="AQ276" i="18"/>
  <c r="AR276" i="18"/>
  <c r="AS276" i="18"/>
  <c r="AT276" i="18"/>
  <c r="AU276" i="18"/>
  <c r="AV276" i="18"/>
  <c r="AC277" i="18"/>
  <c r="AD277" i="18"/>
  <c r="AE277" i="18"/>
  <c r="AF277" i="18"/>
  <c r="AG277" i="18"/>
  <c r="AH277" i="18"/>
  <c r="AI277" i="18"/>
  <c r="AJ277" i="18"/>
  <c r="AK277" i="18"/>
  <c r="AL277" i="18"/>
  <c r="AM277" i="18"/>
  <c r="AN277" i="18"/>
  <c r="AO277" i="18"/>
  <c r="AP277" i="18"/>
  <c r="AQ277" i="18"/>
  <c r="AR277" i="18"/>
  <c r="AS277" i="18"/>
  <c r="AT277" i="18"/>
  <c r="AU277" i="18"/>
  <c r="AV277" i="18"/>
  <c r="AC278" i="18"/>
  <c r="AD278" i="18"/>
  <c r="AE278" i="18"/>
  <c r="AF278" i="18"/>
  <c r="AG278" i="18"/>
  <c r="AH278" i="18"/>
  <c r="AI278" i="18"/>
  <c r="AJ278" i="18"/>
  <c r="AK278" i="18"/>
  <c r="AL278" i="18"/>
  <c r="AM278" i="18"/>
  <c r="AN278" i="18"/>
  <c r="AO278" i="18"/>
  <c r="AP278" i="18"/>
  <c r="AQ278" i="18"/>
  <c r="AR278" i="18"/>
  <c r="AS278" i="18"/>
  <c r="AT278" i="18"/>
  <c r="AU278" i="18"/>
  <c r="AV278" i="18"/>
  <c r="AC279" i="18"/>
  <c r="AD279" i="18"/>
  <c r="AE279" i="18"/>
  <c r="AF279" i="18"/>
  <c r="AG279" i="18"/>
  <c r="AH279" i="18"/>
  <c r="AI279" i="18"/>
  <c r="AJ279" i="18"/>
  <c r="AK279" i="18"/>
  <c r="AL279" i="18"/>
  <c r="AM279" i="18"/>
  <c r="AN279" i="18"/>
  <c r="AO279" i="18"/>
  <c r="AP279" i="18"/>
  <c r="AQ279" i="18"/>
  <c r="AR279" i="18"/>
  <c r="AS279" i="18"/>
  <c r="AT279" i="18"/>
  <c r="AU279" i="18"/>
  <c r="AV279" i="18"/>
  <c r="AC280" i="18"/>
  <c r="AD280" i="18"/>
  <c r="AE280" i="18"/>
  <c r="AF280" i="18"/>
  <c r="AG280" i="18"/>
  <c r="AH280" i="18"/>
  <c r="AI280" i="18"/>
  <c r="AJ280" i="18"/>
  <c r="AK280" i="18"/>
  <c r="AL280" i="18"/>
  <c r="AM280" i="18"/>
  <c r="AN280" i="18"/>
  <c r="AO280" i="18"/>
  <c r="AP280" i="18"/>
  <c r="AQ280" i="18"/>
  <c r="AR280" i="18"/>
  <c r="AS280" i="18"/>
  <c r="AT280" i="18"/>
  <c r="AU280" i="18"/>
  <c r="AV280" i="18"/>
  <c r="AC281" i="18"/>
  <c r="AD281" i="18"/>
  <c r="AE281" i="18"/>
  <c r="AF281" i="18"/>
  <c r="AG281" i="18"/>
  <c r="AH281" i="18"/>
  <c r="AI281" i="18"/>
  <c r="AJ281" i="18"/>
  <c r="AK281" i="18"/>
  <c r="AL281" i="18"/>
  <c r="AM281" i="18"/>
  <c r="AN281" i="18"/>
  <c r="AO281" i="18"/>
  <c r="AP281" i="18"/>
  <c r="AQ281" i="18"/>
  <c r="AR281" i="18"/>
  <c r="AS281" i="18"/>
  <c r="AT281" i="18"/>
  <c r="AU281" i="18"/>
  <c r="AV281" i="18"/>
  <c r="AC282" i="18"/>
  <c r="AD282" i="18"/>
  <c r="AE282" i="18"/>
  <c r="AF282" i="18"/>
  <c r="AG282" i="18"/>
  <c r="AH282" i="18"/>
  <c r="AI282" i="18"/>
  <c r="AJ282" i="18"/>
  <c r="AK282" i="18"/>
  <c r="AL282" i="18"/>
  <c r="AM282" i="18"/>
  <c r="AN282" i="18"/>
  <c r="AO282" i="18"/>
  <c r="AP282" i="18"/>
  <c r="AQ282" i="18"/>
  <c r="AR282" i="18"/>
  <c r="AS282" i="18"/>
  <c r="AT282" i="18"/>
  <c r="AU282" i="18"/>
  <c r="AV282" i="18"/>
  <c r="AC283" i="18"/>
  <c r="AD283" i="18"/>
  <c r="AE283" i="18"/>
  <c r="AF283" i="18"/>
  <c r="AG283" i="18"/>
  <c r="AH283" i="18"/>
  <c r="AI283" i="18"/>
  <c r="AJ283" i="18"/>
  <c r="AK283" i="18"/>
  <c r="AL283" i="18"/>
  <c r="AM283" i="18"/>
  <c r="AN283" i="18"/>
  <c r="AO283" i="18"/>
  <c r="AP283" i="18"/>
  <c r="AQ283" i="18"/>
  <c r="AR283" i="18"/>
  <c r="AS283" i="18"/>
  <c r="AT283" i="18"/>
  <c r="AU283" i="18"/>
  <c r="AV283" i="18"/>
  <c r="AC284" i="18"/>
  <c r="AD284" i="18"/>
  <c r="AE284" i="18"/>
  <c r="AF284" i="18"/>
  <c r="AG284" i="18"/>
  <c r="AH284" i="18"/>
  <c r="AI284" i="18"/>
  <c r="AJ284" i="18"/>
  <c r="AK284" i="18"/>
  <c r="AL284" i="18"/>
  <c r="AM284" i="18"/>
  <c r="AN284" i="18"/>
  <c r="AO284" i="18"/>
  <c r="AP284" i="18"/>
  <c r="AQ284" i="18"/>
  <c r="AR284" i="18"/>
  <c r="AS284" i="18"/>
  <c r="AT284" i="18"/>
  <c r="AU284" i="18"/>
  <c r="AV284" i="18"/>
  <c r="AC285" i="18"/>
  <c r="AD285" i="18"/>
  <c r="AE285" i="18"/>
  <c r="AF285" i="18"/>
  <c r="AG285" i="18"/>
  <c r="AH285" i="18"/>
  <c r="AI285" i="18"/>
  <c r="AJ285" i="18"/>
  <c r="AK285" i="18"/>
  <c r="AL285" i="18"/>
  <c r="AM285" i="18"/>
  <c r="AN285" i="18"/>
  <c r="AO285" i="18"/>
  <c r="AP285" i="18"/>
  <c r="AQ285" i="18"/>
  <c r="AR285" i="18"/>
  <c r="AS285" i="18"/>
  <c r="AT285" i="18"/>
  <c r="AU285" i="18"/>
  <c r="AV285" i="18"/>
  <c r="AC286" i="18"/>
  <c r="AD286" i="18"/>
  <c r="AE286" i="18"/>
  <c r="AF286" i="18"/>
  <c r="AG286" i="18"/>
  <c r="AH286" i="18"/>
  <c r="AI286" i="18"/>
  <c r="AJ286" i="18"/>
  <c r="AK286" i="18"/>
  <c r="AL286" i="18"/>
  <c r="AM286" i="18"/>
  <c r="AN286" i="18"/>
  <c r="AO286" i="18"/>
  <c r="AP286" i="18"/>
  <c r="AQ286" i="18"/>
  <c r="AR286" i="18"/>
  <c r="AS286" i="18"/>
  <c r="AT286" i="18"/>
  <c r="AU286" i="18"/>
  <c r="AV286" i="18"/>
  <c r="AC287" i="18"/>
  <c r="AD287" i="18"/>
  <c r="AE287" i="18"/>
  <c r="AF287" i="18"/>
  <c r="AG287" i="18"/>
  <c r="AH287" i="18"/>
  <c r="AI287" i="18"/>
  <c r="AJ287" i="18"/>
  <c r="AK287" i="18"/>
  <c r="AL287" i="18"/>
  <c r="AM287" i="18"/>
  <c r="AN287" i="18"/>
  <c r="AO287" i="18"/>
  <c r="AP287" i="18"/>
  <c r="AQ287" i="18"/>
  <c r="AR287" i="18"/>
  <c r="AS287" i="18"/>
  <c r="AT287" i="18"/>
  <c r="AU287" i="18"/>
  <c r="AV287" i="18"/>
  <c r="AC288" i="18"/>
  <c r="AD288" i="18"/>
  <c r="AE288" i="18"/>
  <c r="AF288" i="18"/>
  <c r="AG288" i="18"/>
  <c r="AH288" i="18"/>
  <c r="AI288" i="18"/>
  <c r="AJ288" i="18"/>
  <c r="AK288" i="18"/>
  <c r="AL288" i="18"/>
  <c r="AM288" i="18"/>
  <c r="AN288" i="18"/>
  <c r="AO288" i="18"/>
  <c r="AP288" i="18"/>
  <c r="AQ288" i="18"/>
  <c r="AR288" i="18"/>
  <c r="AS288" i="18"/>
  <c r="AT288" i="18"/>
  <c r="AU288" i="18"/>
  <c r="AV288" i="18"/>
  <c r="AC289" i="18"/>
  <c r="AD289" i="18"/>
  <c r="AE289" i="18"/>
  <c r="AF289" i="18"/>
  <c r="AG289" i="18"/>
  <c r="AH289" i="18"/>
  <c r="AI289" i="18"/>
  <c r="AJ289" i="18"/>
  <c r="AK289" i="18"/>
  <c r="AL289" i="18"/>
  <c r="AM289" i="18"/>
  <c r="AN289" i="18"/>
  <c r="AO289" i="18"/>
  <c r="AP289" i="18"/>
  <c r="AQ289" i="18"/>
  <c r="AR289" i="18"/>
  <c r="AS289" i="18"/>
  <c r="AT289" i="18"/>
  <c r="AU289" i="18"/>
  <c r="AV289" i="18"/>
  <c r="AC290" i="18"/>
  <c r="AD290" i="18"/>
  <c r="AE290" i="18"/>
  <c r="AF290" i="18"/>
  <c r="AG290" i="18"/>
  <c r="AH290" i="18"/>
  <c r="AI290" i="18"/>
  <c r="AJ290" i="18"/>
  <c r="AK290" i="18"/>
  <c r="AL290" i="18"/>
  <c r="AM290" i="18"/>
  <c r="AN290" i="18"/>
  <c r="AO290" i="18"/>
  <c r="AP290" i="18"/>
  <c r="AQ290" i="18"/>
  <c r="AR290" i="18"/>
  <c r="AS290" i="18"/>
  <c r="AT290" i="18"/>
  <c r="AU290" i="18"/>
  <c r="AV290" i="18"/>
  <c r="AC291" i="18"/>
  <c r="AD291" i="18"/>
  <c r="AE291" i="18"/>
  <c r="AF291" i="18"/>
  <c r="AG291" i="18"/>
  <c r="AH291" i="18"/>
  <c r="AI291" i="18"/>
  <c r="AJ291" i="18"/>
  <c r="AK291" i="18"/>
  <c r="AL291" i="18"/>
  <c r="AM291" i="18"/>
  <c r="AN291" i="18"/>
  <c r="AO291" i="18"/>
  <c r="AP291" i="18"/>
  <c r="AQ291" i="18"/>
  <c r="AR291" i="18"/>
  <c r="AS291" i="18"/>
  <c r="AT291" i="18"/>
  <c r="AU291" i="18"/>
  <c r="AV291" i="18"/>
  <c r="AC292" i="18"/>
  <c r="AD292" i="18"/>
  <c r="AE292" i="18"/>
  <c r="AF292" i="18"/>
  <c r="AG292" i="18"/>
  <c r="AH292" i="18"/>
  <c r="AI292" i="18"/>
  <c r="AJ292" i="18"/>
  <c r="AK292" i="18"/>
  <c r="AL292" i="18"/>
  <c r="AM292" i="18"/>
  <c r="AN292" i="18"/>
  <c r="AO292" i="18"/>
  <c r="AP292" i="18"/>
  <c r="AQ292" i="18"/>
  <c r="AR292" i="18"/>
  <c r="AS292" i="18"/>
  <c r="AT292" i="18"/>
  <c r="AU292" i="18"/>
  <c r="AV292" i="18"/>
  <c r="AC293" i="18"/>
  <c r="AD293" i="18"/>
  <c r="AE293" i="18"/>
  <c r="AF293" i="18"/>
  <c r="AG293" i="18"/>
  <c r="AH293" i="18"/>
  <c r="AI293" i="18"/>
  <c r="AJ293" i="18"/>
  <c r="AK293" i="18"/>
  <c r="AL293" i="18"/>
  <c r="AM293" i="18"/>
  <c r="AN293" i="18"/>
  <c r="AO293" i="18"/>
  <c r="AP293" i="18"/>
  <c r="AQ293" i="18"/>
  <c r="AR293" i="18"/>
  <c r="AS293" i="18"/>
  <c r="AT293" i="18"/>
  <c r="AU293" i="18"/>
  <c r="AV293" i="18"/>
  <c r="AC294" i="18"/>
  <c r="AD294" i="18"/>
  <c r="AE294" i="18"/>
  <c r="AF294" i="18"/>
  <c r="AG294" i="18"/>
  <c r="AH294" i="18"/>
  <c r="AI294" i="18"/>
  <c r="AJ294" i="18"/>
  <c r="AK294" i="18"/>
  <c r="AL294" i="18"/>
  <c r="AM294" i="18"/>
  <c r="AN294" i="18"/>
  <c r="AO294" i="18"/>
  <c r="AP294" i="18"/>
  <c r="AQ294" i="18"/>
  <c r="AR294" i="18"/>
  <c r="AS294" i="18"/>
  <c r="AT294" i="18"/>
  <c r="AU294" i="18"/>
  <c r="AV294" i="18"/>
  <c r="AC295" i="18"/>
  <c r="AD295" i="18"/>
  <c r="AE295" i="18"/>
  <c r="AF295" i="18"/>
  <c r="AG295" i="18"/>
  <c r="AH295" i="18"/>
  <c r="AI295" i="18"/>
  <c r="AJ295" i="18"/>
  <c r="AK295" i="18"/>
  <c r="AL295" i="18"/>
  <c r="AM295" i="18"/>
  <c r="AN295" i="18"/>
  <c r="AO295" i="18"/>
  <c r="AP295" i="18"/>
  <c r="AQ295" i="18"/>
  <c r="AR295" i="18"/>
  <c r="AS295" i="18"/>
  <c r="AT295" i="18"/>
  <c r="AU295" i="18"/>
  <c r="AV295" i="18"/>
  <c r="AC296" i="18"/>
  <c r="AD296" i="18"/>
  <c r="AE296" i="18"/>
  <c r="AF296" i="18"/>
  <c r="AG296" i="18"/>
  <c r="AH296" i="18"/>
  <c r="AI296" i="18"/>
  <c r="AJ296" i="18"/>
  <c r="AK296" i="18"/>
  <c r="AL296" i="18"/>
  <c r="AM296" i="18"/>
  <c r="AN296" i="18"/>
  <c r="AO296" i="18"/>
  <c r="AP296" i="18"/>
  <c r="AQ296" i="18"/>
  <c r="AR296" i="18"/>
  <c r="AS296" i="18"/>
  <c r="AT296" i="18"/>
  <c r="AU296" i="18"/>
  <c r="AV296" i="18"/>
  <c r="AC297" i="18"/>
  <c r="AD297" i="18"/>
  <c r="AE297" i="18"/>
  <c r="AF297" i="18"/>
  <c r="AG297" i="18"/>
  <c r="AH297" i="18"/>
  <c r="AI297" i="18"/>
  <c r="AJ297" i="18"/>
  <c r="AK297" i="18"/>
  <c r="AL297" i="18"/>
  <c r="AM297" i="18"/>
  <c r="AN297" i="18"/>
  <c r="AO297" i="18"/>
  <c r="AP297" i="18"/>
  <c r="AQ297" i="18"/>
  <c r="AR297" i="18"/>
  <c r="AS297" i="18"/>
  <c r="AT297" i="18"/>
  <c r="AU297" i="18"/>
  <c r="AV297" i="18"/>
  <c r="AC298" i="18"/>
  <c r="AD298" i="18"/>
  <c r="AE298" i="18"/>
  <c r="AF298" i="18"/>
  <c r="AG298" i="18"/>
  <c r="AH298" i="18"/>
  <c r="AI298" i="18"/>
  <c r="AJ298" i="18"/>
  <c r="AK298" i="18"/>
  <c r="AL298" i="18"/>
  <c r="AM298" i="18"/>
  <c r="AN298" i="18"/>
  <c r="AO298" i="18"/>
  <c r="AP298" i="18"/>
  <c r="AQ298" i="18"/>
  <c r="AR298" i="18"/>
  <c r="AS298" i="18"/>
  <c r="AT298" i="18"/>
  <c r="AU298" i="18"/>
  <c r="AV298" i="18"/>
  <c r="AC299" i="18"/>
  <c r="AD299" i="18"/>
  <c r="AE299" i="18"/>
  <c r="AF299" i="18"/>
  <c r="AG299" i="18"/>
  <c r="AH299" i="18"/>
  <c r="AI299" i="18"/>
  <c r="AJ299" i="18"/>
  <c r="AK299" i="18"/>
  <c r="AL299" i="18"/>
  <c r="AM299" i="18"/>
  <c r="AN299" i="18"/>
  <c r="AO299" i="18"/>
  <c r="AP299" i="18"/>
  <c r="AQ299" i="18"/>
  <c r="AR299" i="18"/>
  <c r="AS299" i="18"/>
  <c r="AT299" i="18"/>
  <c r="AU299" i="18"/>
  <c r="AV299" i="18"/>
  <c r="AC300" i="18"/>
  <c r="AD300" i="18"/>
  <c r="AE300" i="18"/>
  <c r="AF300" i="18"/>
  <c r="AG300" i="18"/>
  <c r="AH300" i="18"/>
  <c r="AI300" i="18"/>
  <c r="AJ300" i="18"/>
  <c r="AK300" i="18"/>
  <c r="AL300" i="18"/>
  <c r="AM300" i="18"/>
  <c r="AN300" i="18"/>
  <c r="AO300" i="18"/>
  <c r="AP300" i="18"/>
  <c r="AQ300" i="18"/>
  <c r="AR300" i="18"/>
  <c r="AS300" i="18"/>
  <c r="AT300" i="18"/>
  <c r="AU300" i="18"/>
  <c r="AV300" i="18"/>
  <c r="AC301" i="18"/>
  <c r="AD301" i="18"/>
  <c r="AE301" i="18"/>
  <c r="AF301" i="18"/>
  <c r="AG301" i="18"/>
  <c r="AH301" i="18"/>
  <c r="AI301" i="18"/>
  <c r="AJ301" i="18"/>
  <c r="AK301" i="18"/>
  <c r="AL301" i="18"/>
  <c r="AM301" i="18"/>
  <c r="AN301" i="18"/>
  <c r="AO301" i="18"/>
  <c r="AP301" i="18"/>
  <c r="AQ301" i="18"/>
  <c r="AR301" i="18"/>
  <c r="AS301" i="18"/>
  <c r="AT301" i="18"/>
  <c r="AU301" i="18"/>
  <c r="AV301" i="18"/>
  <c r="AC302" i="18"/>
  <c r="AD302" i="18"/>
  <c r="AE302" i="18"/>
  <c r="AF302" i="18"/>
  <c r="AG302" i="18"/>
  <c r="AH302" i="18"/>
  <c r="AI302" i="18"/>
  <c r="AJ302" i="18"/>
  <c r="AK302" i="18"/>
  <c r="AL302" i="18"/>
  <c r="AM302" i="18"/>
  <c r="AN302" i="18"/>
  <c r="AO302" i="18"/>
  <c r="AP302" i="18"/>
  <c r="AQ302" i="18"/>
  <c r="AR302" i="18"/>
  <c r="AS302" i="18"/>
  <c r="AT302" i="18"/>
  <c r="AU302" i="18"/>
  <c r="AV302" i="18"/>
  <c r="AC303" i="18"/>
  <c r="AD303" i="18"/>
  <c r="AE303" i="18"/>
  <c r="AF303" i="18"/>
  <c r="AG303" i="18"/>
  <c r="AH303" i="18"/>
  <c r="AI303" i="18"/>
  <c r="AJ303" i="18"/>
  <c r="AK303" i="18"/>
  <c r="AL303" i="18"/>
  <c r="AM303" i="18"/>
  <c r="AN303" i="18"/>
  <c r="AO303" i="18"/>
  <c r="AP303" i="18"/>
  <c r="AQ303" i="18"/>
  <c r="AR303" i="18"/>
  <c r="AS303" i="18"/>
  <c r="AT303" i="18"/>
  <c r="AU303" i="18"/>
  <c r="AV303" i="18"/>
  <c r="AC304" i="18"/>
  <c r="AD304" i="18"/>
  <c r="AE304" i="18"/>
  <c r="AF304" i="18"/>
  <c r="AG304" i="18"/>
  <c r="AH304" i="18"/>
  <c r="AI304" i="18"/>
  <c r="AJ304" i="18"/>
  <c r="AK304" i="18"/>
  <c r="AL304" i="18"/>
  <c r="AM304" i="18"/>
  <c r="AN304" i="18"/>
  <c r="AO304" i="18"/>
  <c r="AP304" i="18"/>
  <c r="AQ304" i="18"/>
  <c r="AR304" i="18"/>
  <c r="AS304" i="18"/>
  <c r="AT304" i="18"/>
  <c r="AU304" i="18"/>
  <c r="AV304" i="18"/>
  <c r="AC305" i="18"/>
  <c r="AD305" i="18"/>
  <c r="AE305" i="18"/>
  <c r="AF305" i="18"/>
  <c r="AG305" i="18"/>
  <c r="AH305" i="18"/>
  <c r="AI305" i="18"/>
  <c r="AJ305" i="18"/>
  <c r="AK305" i="18"/>
  <c r="AL305" i="18"/>
  <c r="AM305" i="18"/>
  <c r="AN305" i="18"/>
  <c r="AO305" i="18"/>
  <c r="AP305" i="18"/>
  <c r="AQ305" i="18"/>
  <c r="AR305" i="18"/>
  <c r="AS305" i="18"/>
  <c r="AT305" i="18"/>
  <c r="AU305" i="18"/>
  <c r="AV305" i="18"/>
  <c r="AC306" i="18"/>
  <c r="AD306" i="18"/>
  <c r="AE306" i="18"/>
  <c r="AF306" i="18"/>
  <c r="AG306" i="18"/>
  <c r="AH306" i="18"/>
  <c r="AI306" i="18"/>
  <c r="AJ306" i="18"/>
  <c r="AK306" i="18"/>
  <c r="AL306" i="18"/>
  <c r="AM306" i="18"/>
  <c r="AN306" i="18"/>
  <c r="AO306" i="18"/>
  <c r="AP306" i="18"/>
  <c r="AQ306" i="18"/>
  <c r="AR306" i="18"/>
  <c r="AS306" i="18"/>
  <c r="AT306" i="18"/>
  <c r="AU306" i="18"/>
  <c r="AV306" i="18"/>
  <c r="AC307" i="18"/>
  <c r="AD307" i="18"/>
  <c r="AE307" i="18"/>
  <c r="AF307" i="18"/>
  <c r="AG307" i="18"/>
  <c r="AH307" i="18"/>
  <c r="AI307" i="18"/>
  <c r="AJ307" i="18"/>
  <c r="AK307" i="18"/>
  <c r="AL307" i="18"/>
  <c r="AM307" i="18"/>
  <c r="AN307" i="18"/>
  <c r="AO307" i="18"/>
  <c r="AP307" i="18"/>
  <c r="AQ307" i="18"/>
  <c r="AR307" i="18"/>
  <c r="AS307" i="18"/>
  <c r="AT307" i="18"/>
  <c r="AU307" i="18"/>
  <c r="AV307" i="18"/>
  <c r="AC308" i="18"/>
  <c r="AD308" i="18"/>
  <c r="AE308" i="18"/>
  <c r="AF308" i="18"/>
  <c r="AG308" i="18"/>
  <c r="AH308" i="18"/>
  <c r="AI308" i="18"/>
  <c r="AJ308" i="18"/>
  <c r="AK308" i="18"/>
  <c r="AL308" i="18"/>
  <c r="AM308" i="18"/>
  <c r="AN308" i="18"/>
  <c r="AO308" i="18"/>
  <c r="AP308" i="18"/>
  <c r="AQ308" i="18"/>
  <c r="AR308" i="18"/>
  <c r="AS308" i="18"/>
  <c r="AT308" i="18"/>
  <c r="AU308" i="18"/>
  <c r="AV308" i="18"/>
  <c r="AC309" i="18"/>
  <c r="AD309" i="18"/>
  <c r="AE309" i="18"/>
  <c r="AF309" i="18"/>
  <c r="AG309" i="18"/>
  <c r="AH309" i="18"/>
  <c r="AI309" i="18"/>
  <c r="AJ309" i="18"/>
  <c r="AK309" i="18"/>
  <c r="AL309" i="18"/>
  <c r="AM309" i="18"/>
  <c r="AN309" i="18"/>
  <c r="AO309" i="18"/>
  <c r="AP309" i="18"/>
  <c r="AQ309" i="18"/>
  <c r="AR309" i="18"/>
  <c r="AS309" i="18"/>
  <c r="AT309" i="18"/>
  <c r="AU309" i="18"/>
  <c r="AV309" i="18"/>
  <c r="AC310" i="18"/>
  <c r="AD310" i="18"/>
  <c r="AE310" i="18"/>
  <c r="AF310" i="18"/>
  <c r="AG310" i="18"/>
  <c r="AH310" i="18"/>
  <c r="AI310" i="18"/>
  <c r="AJ310" i="18"/>
  <c r="AK310" i="18"/>
  <c r="AL310" i="18"/>
  <c r="AM310" i="18"/>
  <c r="AN310" i="18"/>
  <c r="AO310" i="18"/>
  <c r="AP310" i="18"/>
  <c r="AQ310" i="18"/>
  <c r="AR310" i="18"/>
  <c r="AS310" i="18"/>
  <c r="AT310" i="18"/>
  <c r="AU310" i="18"/>
  <c r="AV310" i="18"/>
  <c r="AC311" i="18"/>
  <c r="AD311" i="18"/>
  <c r="AE311" i="18"/>
  <c r="AF311" i="18"/>
  <c r="AG311" i="18"/>
  <c r="AH311" i="18"/>
  <c r="AI311" i="18"/>
  <c r="AJ311" i="18"/>
  <c r="AK311" i="18"/>
  <c r="AL311" i="18"/>
  <c r="AM311" i="18"/>
  <c r="AN311" i="18"/>
  <c r="AO311" i="18"/>
  <c r="AP311" i="18"/>
  <c r="AQ311" i="18"/>
  <c r="AR311" i="18"/>
  <c r="AS311" i="18"/>
  <c r="AT311" i="18"/>
  <c r="AU311" i="18"/>
  <c r="AV311" i="18"/>
  <c r="AC312" i="18"/>
  <c r="AD312" i="18"/>
  <c r="AE312" i="18"/>
  <c r="AF312" i="18"/>
  <c r="AG312" i="18"/>
  <c r="AH312" i="18"/>
  <c r="AI312" i="18"/>
  <c r="AJ312" i="18"/>
  <c r="AK312" i="18"/>
  <c r="AL312" i="18"/>
  <c r="AM312" i="18"/>
  <c r="AN312" i="18"/>
  <c r="AO312" i="18"/>
  <c r="AP312" i="18"/>
  <c r="AQ312" i="18"/>
  <c r="AR312" i="18"/>
  <c r="AS312" i="18"/>
  <c r="AT312" i="18"/>
  <c r="AU312" i="18"/>
  <c r="AV312" i="18"/>
  <c r="AC313" i="18"/>
  <c r="AD313" i="18"/>
  <c r="AE313" i="18"/>
  <c r="AF313" i="18"/>
  <c r="AG313" i="18"/>
  <c r="AH313" i="18"/>
  <c r="AI313" i="18"/>
  <c r="AJ313" i="18"/>
  <c r="AK313" i="18"/>
  <c r="AL313" i="18"/>
  <c r="AM313" i="18"/>
  <c r="AN313" i="18"/>
  <c r="AO313" i="18"/>
  <c r="AP313" i="18"/>
  <c r="AQ313" i="18"/>
  <c r="AR313" i="18"/>
  <c r="AS313" i="18"/>
  <c r="AT313" i="18"/>
  <c r="AU313" i="18"/>
  <c r="AV313" i="18"/>
  <c r="AC314" i="18"/>
  <c r="AD314" i="18"/>
  <c r="AE314" i="18"/>
  <c r="AF314" i="18"/>
  <c r="AG314" i="18"/>
  <c r="AH314" i="18"/>
  <c r="AI314" i="18"/>
  <c r="AJ314" i="18"/>
  <c r="AK314" i="18"/>
  <c r="AL314" i="18"/>
  <c r="AM314" i="18"/>
  <c r="AN314" i="18"/>
  <c r="AO314" i="18"/>
  <c r="AP314" i="18"/>
  <c r="AQ314" i="18"/>
  <c r="AR314" i="18"/>
  <c r="AS314" i="18"/>
  <c r="AT314" i="18"/>
  <c r="AU314" i="18"/>
  <c r="AV314" i="18"/>
  <c r="AC315" i="18"/>
  <c r="AD315" i="18"/>
  <c r="AE315" i="18"/>
  <c r="AF315" i="18"/>
  <c r="AG315" i="18"/>
  <c r="AH315" i="18"/>
  <c r="AI315" i="18"/>
  <c r="AJ315" i="18"/>
  <c r="AK315" i="18"/>
  <c r="AL315" i="18"/>
  <c r="AM315" i="18"/>
  <c r="AN315" i="18"/>
  <c r="AO315" i="18"/>
  <c r="AP315" i="18"/>
  <c r="AQ315" i="18"/>
  <c r="AR315" i="18"/>
  <c r="AS315" i="18"/>
  <c r="AT315" i="18"/>
  <c r="AU315" i="18"/>
  <c r="AV315" i="18"/>
  <c r="AC316" i="18"/>
  <c r="AD316" i="18"/>
  <c r="AE316" i="18"/>
  <c r="AF316" i="18"/>
  <c r="AG316" i="18"/>
  <c r="AH316" i="18"/>
  <c r="AI316" i="18"/>
  <c r="AJ316" i="18"/>
  <c r="AK316" i="18"/>
  <c r="AL316" i="18"/>
  <c r="AM316" i="18"/>
  <c r="AN316" i="18"/>
  <c r="AO316" i="18"/>
  <c r="AP316" i="18"/>
  <c r="AQ316" i="18"/>
  <c r="AR316" i="18"/>
  <c r="AS316" i="18"/>
  <c r="AT316" i="18"/>
  <c r="AU316" i="18"/>
  <c r="AV316" i="18"/>
  <c r="AC317" i="18"/>
  <c r="AD317" i="18"/>
  <c r="AE317" i="18"/>
  <c r="AF317" i="18"/>
  <c r="AG317" i="18"/>
  <c r="AH317" i="18"/>
  <c r="AI317" i="18"/>
  <c r="AJ317" i="18"/>
  <c r="AK317" i="18"/>
  <c r="AL317" i="18"/>
  <c r="AM317" i="18"/>
  <c r="AN317" i="18"/>
  <c r="AO317" i="18"/>
  <c r="AP317" i="18"/>
  <c r="AQ317" i="18"/>
  <c r="AR317" i="18"/>
  <c r="AS317" i="18"/>
  <c r="AT317" i="18"/>
  <c r="AU317" i="18"/>
  <c r="AV317" i="18"/>
  <c r="AC318" i="18"/>
  <c r="AD318" i="18"/>
  <c r="AE318" i="18"/>
  <c r="AF318" i="18"/>
  <c r="AG318" i="18"/>
  <c r="AH318" i="18"/>
  <c r="AI318" i="18"/>
  <c r="AJ318" i="18"/>
  <c r="AK318" i="18"/>
  <c r="AL318" i="18"/>
  <c r="AM318" i="18"/>
  <c r="AN318" i="18"/>
  <c r="AO318" i="18"/>
  <c r="AP318" i="18"/>
  <c r="AQ318" i="18"/>
  <c r="AR318" i="18"/>
  <c r="AS318" i="18"/>
  <c r="AT318" i="18"/>
  <c r="AU318" i="18"/>
  <c r="AV318" i="18"/>
  <c r="AC319" i="18"/>
  <c r="AD319" i="18"/>
  <c r="AE319" i="18"/>
  <c r="AF319" i="18"/>
  <c r="AG319" i="18"/>
  <c r="AH319" i="18"/>
  <c r="AI319" i="18"/>
  <c r="AJ319" i="18"/>
  <c r="AK319" i="18"/>
  <c r="AL319" i="18"/>
  <c r="AM319" i="18"/>
  <c r="AN319" i="18"/>
  <c r="AO319" i="18"/>
  <c r="AP319" i="18"/>
  <c r="AQ319" i="18"/>
  <c r="AR319" i="18"/>
  <c r="AS319" i="18"/>
  <c r="AT319" i="18"/>
  <c r="AU319" i="18"/>
  <c r="AV319" i="18"/>
  <c r="AC320" i="18"/>
  <c r="AD320" i="18"/>
  <c r="AE320" i="18"/>
  <c r="AF320" i="18"/>
  <c r="AG320" i="18"/>
  <c r="AH320" i="18"/>
  <c r="AI320" i="18"/>
  <c r="AJ320" i="18"/>
  <c r="AK320" i="18"/>
  <c r="AL320" i="18"/>
  <c r="AM320" i="18"/>
  <c r="AN320" i="18"/>
  <c r="AO320" i="18"/>
  <c r="AP320" i="18"/>
  <c r="AQ320" i="18"/>
  <c r="AR320" i="18"/>
  <c r="AS320" i="18"/>
  <c r="AT320" i="18"/>
  <c r="AU320" i="18"/>
  <c r="AV320" i="18"/>
  <c r="AC321" i="18"/>
  <c r="AD321" i="18"/>
  <c r="AE321" i="18"/>
  <c r="AF321" i="18"/>
  <c r="AG321" i="18"/>
  <c r="AH321" i="18"/>
  <c r="AI321" i="18"/>
  <c r="AJ321" i="18"/>
  <c r="AK321" i="18"/>
  <c r="AL321" i="18"/>
  <c r="AM321" i="18"/>
  <c r="AN321" i="18"/>
  <c r="AO321" i="18"/>
  <c r="AP321" i="18"/>
  <c r="AQ321" i="18"/>
  <c r="AR321" i="18"/>
  <c r="AS321" i="18"/>
  <c r="AT321" i="18"/>
  <c r="AU321" i="18"/>
  <c r="AV321" i="18"/>
  <c r="AC322" i="18"/>
  <c r="AD322" i="18"/>
  <c r="AE322" i="18"/>
  <c r="AF322" i="18"/>
  <c r="AG322" i="18"/>
  <c r="AH322" i="18"/>
  <c r="AI322" i="18"/>
  <c r="AJ322" i="18"/>
  <c r="AK322" i="18"/>
  <c r="AL322" i="18"/>
  <c r="AM322" i="18"/>
  <c r="AN322" i="18"/>
  <c r="AO322" i="18"/>
  <c r="AP322" i="18"/>
  <c r="AQ322" i="18"/>
  <c r="AR322" i="18"/>
  <c r="AS322" i="18"/>
  <c r="AT322" i="18"/>
  <c r="AU322" i="18"/>
  <c r="AV322" i="18"/>
  <c r="AC323" i="18"/>
  <c r="AD323" i="18"/>
  <c r="AE323" i="18"/>
  <c r="AF323" i="18"/>
  <c r="AG323" i="18"/>
  <c r="AH323" i="18"/>
  <c r="AI323" i="18"/>
  <c r="AJ323" i="18"/>
  <c r="AK323" i="18"/>
  <c r="AL323" i="18"/>
  <c r="AM323" i="18"/>
  <c r="AN323" i="18"/>
  <c r="AO323" i="18"/>
  <c r="AP323" i="18"/>
  <c r="AQ323" i="18"/>
  <c r="AR323" i="18"/>
  <c r="AS323" i="18"/>
  <c r="AT323" i="18"/>
  <c r="AU323" i="18"/>
  <c r="AV323" i="18"/>
  <c r="AC324" i="18"/>
  <c r="AD324" i="18"/>
  <c r="AE324" i="18"/>
  <c r="AF324" i="18"/>
  <c r="AG324" i="18"/>
  <c r="AH324" i="18"/>
  <c r="AI324" i="18"/>
  <c r="AJ324" i="18"/>
  <c r="AK324" i="18"/>
  <c r="AL324" i="18"/>
  <c r="AM324" i="18"/>
  <c r="AN324" i="18"/>
  <c r="AO324" i="18"/>
  <c r="AP324" i="18"/>
  <c r="AQ324" i="18"/>
  <c r="AR324" i="18"/>
  <c r="AS324" i="18"/>
  <c r="AT324" i="18"/>
  <c r="AU324" i="18"/>
  <c r="AV324" i="18"/>
  <c r="AC325" i="18"/>
  <c r="AD325" i="18"/>
  <c r="AE325" i="18"/>
  <c r="AF325" i="18"/>
  <c r="AG325" i="18"/>
  <c r="AH325" i="18"/>
  <c r="AI325" i="18"/>
  <c r="AJ325" i="18"/>
  <c r="AK325" i="18"/>
  <c r="AL325" i="18"/>
  <c r="AM325" i="18"/>
  <c r="AN325" i="18"/>
  <c r="AO325" i="18"/>
  <c r="AP325" i="18"/>
  <c r="AQ325" i="18"/>
  <c r="AR325" i="18"/>
  <c r="AS325" i="18"/>
  <c r="AT325" i="18"/>
  <c r="AU325" i="18"/>
  <c r="AV325" i="18"/>
  <c r="AC326" i="18"/>
  <c r="AD326" i="18"/>
  <c r="AE326" i="18"/>
  <c r="AF326" i="18"/>
  <c r="AG326" i="18"/>
  <c r="AH326" i="18"/>
  <c r="AI326" i="18"/>
  <c r="AJ326" i="18"/>
  <c r="AK326" i="18"/>
  <c r="AL326" i="18"/>
  <c r="AM326" i="18"/>
  <c r="AN326" i="18"/>
  <c r="AO326" i="18"/>
  <c r="AP326" i="18"/>
  <c r="AQ326" i="18"/>
  <c r="AR326" i="18"/>
  <c r="AS326" i="18"/>
  <c r="AT326" i="18"/>
  <c r="AU326" i="18"/>
  <c r="AV326" i="18"/>
  <c r="AC327" i="18"/>
  <c r="AD327" i="18"/>
  <c r="AE327" i="18"/>
  <c r="AF327" i="18"/>
  <c r="AG327" i="18"/>
  <c r="AH327" i="18"/>
  <c r="AI327" i="18"/>
  <c r="AJ327" i="18"/>
  <c r="AK327" i="18"/>
  <c r="AL327" i="18"/>
  <c r="AM327" i="18"/>
  <c r="AN327" i="18"/>
  <c r="AO327" i="18"/>
  <c r="AP327" i="18"/>
  <c r="AQ327" i="18"/>
  <c r="AR327" i="18"/>
  <c r="AS327" i="18"/>
  <c r="AT327" i="18"/>
  <c r="AU327" i="18"/>
  <c r="AV327" i="18"/>
  <c r="AC328" i="18"/>
  <c r="AD328" i="18"/>
  <c r="AE328" i="18"/>
  <c r="AF328" i="18"/>
  <c r="AG328" i="18"/>
  <c r="AH328" i="18"/>
  <c r="AI328" i="18"/>
  <c r="AJ328" i="18"/>
  <c r="AK328" i="18"/>
  <c r="AL328" i="18"/>
  <c r="AM328" i="18"/>
  <c r="AN328" i="18"/>
  <c r="AO328" i="18"/>
  <c r="AP328" i="18"/>
  <c r="AQ328" i="18"/>
  <c r="AR328" i="18"/>
  <c r="AS328" i="18"/>
  <c r="AT328" i="18"/>
  <c r="AU328" i="18"/>
  <c r="AV328" i="18"/>
  <c r="AC329" i="18"/>
  <c r="AD329" i="18"/>
  <c r="AE329" i="18"/>
  <c r="AF329" i="18"/>
  <c r="AG329" i="18"/>
  <c r="AH329" i="18"/>
  <c r="AI329" i="18"/>
  <c r="AJ329" i="18"/>
  <c r="AK329" i="18"/>
  <c r="AL329" i="18"/>
  <c r="AM329" i="18"/>
  <c r="AN329" i="18"/>
  <c r="AO329" i="18"/>
  <c r="AP329" i="18"/>
  <c r="AQ329" i="18"/>
  <c r="AR329" i="18"/>
  <c r="AS329" i="18"/>
  <c r="AT329" i="18"/>
  <c r="AU329" i="18"/>
  <c r="AV329" i="18"/>
  <c r="AC330" i="18"/>
  <c r="AD330" i="18"/>
  <c r="AE330" i="18"/>
  <c r="AF330" i="18"/>
  <c r="AG330" i="18"/>
  <c r="AH330" i="18"/>
  <c r="AI330" i="18"/>
  <c r="AJ330" i="18"/>
  <c r="AK330" i="18"/>
  <c r="AL330" i="18"/>
  <c r="AM330" i="18"/>
  <c r="AN330" i="18"/>
  <c r="AO330" i="18"/>
  <c r="AP330" i="18"/>
  <c r="AQ330" i="18"/>
  <c r="AR330" i="18"/>
  <c r="AS330" i="18"/>
  <c r="AT330" i="18"/>
  <c r="AU330" i="18"/>
  <c r="AV330" i="18"/>
  <c r="AC331" i="18"/>
  <c r="AD331" i="18"/>
  <c r="AE331" i="18"/>
  <c r="AF331" i="18"/>
  <c r="AG331" i="18"/>
  <c r="AH331" i="18"/>
  <c r="AI331" i="18"/>
  <c r="AJ331" i="18"/>
  <c r="AK331" i="18"/>
  <c r="AL331" i="18"/>
  <c r="AM331" i="18"/>
  <c r="AN331" i="18"/>
  <c r="AO331" i="18"/>
  <c r="AP331" i="18"/>
  <c r="AQ331" i="18"/>
  <c r="AR331" i="18"/>
  <c r="AS331" i="18"/>
  <c r="AT331" i="18"/>
  <c r="AU331" i="18"/>
  <c r="AV331" i="18"/>
  <c r="AC332" i="18"/>
  <c r="AD332" i="18"/>
  <c r="AE332" i="18"/>
  <c r="AF332" i="18"/>
  <c r="AG332" i="18"/>
  <c r="AH332" i="18"/>
  <c r="AI332" i="18"/>
  <c r="AJ332" i="18"/>
  <c r="AK332" i="18"/>
  <c r="AL332" i="18"/>
  <c r="AM332" i="18"/>
  <c r="AN332" i="18"/>
  <c r="AO332" i="18"/>
  <c r="AP332" i="18"/>
  <c r="AQ332" i="18"/>
  <c r="AR332" i="18"/>
  <c r="AS332" i="18"/>
  <c r="AT332" i="18"/>
  <c r="AU332" i="18"/>
  <c r="AV332" i="18"/>
  <c r="AC333" i="18"/>
  <c r="AD333" i="18"/>
  <c r="AE333" i="18"/>
  <c r="AF333" i="18"/>
  <c r="AG333" i="18"/>
  <c r="AH333" i="18"/>
  <c r="AI333" i="18"/>
  <c r="AJ333" i="18"/>
  <c r="AK333" i="18"/>
  <c r="AL333" i="18"/>
  <c r="AM333" i="18"/>
  <c r="AN333" i="18"/>
  <c r="AO333" i="18"/>
  <c r="AP333" i="18"/>
  <c r="AQ333" i="18"/>
  <c r="AR333" i="18"/>
  <c r="AS333" i="18"/>
  <c r="AT333" i="18"/>
  <c r="AU333" i="18"/>
  <c r="AV33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S3" i="18"/>
  <c r="AT3" i="18"/>
  <c r="AU3" i="18"/>
  <c r="AV3" i="18"/>
  <c r="AC4" i="18"/>
  <c r="AD4" i="18"/>
  <c r="AE4" i="18"/>
  <c r="AF4" i="18"/>
  <c r="AG4" i="18"/>
  <c r="AH4" i="18"/>
  <c r="AI4" i="18"/>
  <c r="AJ4" i="18"/>
  <c r="AK4" i="18"/>
  <c r="AL4" i="18"/>
  <c r="AM4" i="18"/>
  <c r="AN4" i="18"/>
  <c r="AO4" i="18"/>
  <c r="AP4" i="18"/>
  <c r="AQ4" i="18"/>
  <c r="AR4" i="18"/>
  <c r="AS4" i="18"/>
  <c r="AT4" i="18"/>
  <c r="AU4" i="18"/>
  <c r="AV4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S6" i="18"/>
  <c r="AT6" i="18"/>
  <c r="AU6" i="18"/>
  <c r="AV6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C9" i="18"/>
  <c r="AD9" i="18"/>
  <c r="AE9" i="18"/>
  <c r="AF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S9" i="18"/>
  <c r="AT9" i="18"/>
  <c r="AU9" i="18"/>
  <c r="AV9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C27" i="18"/>
  <c r="AD27" i="18"/>
  <c r="AE27" i="18"/>
  <c r="AF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S27" i="18"/>
  <c r="AT27" i="18"/>
  <c r="AU27" i="18"/>
  <c r="AV27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C86" i="18"/>
  <c r="AD86" i="18"/>
  <c r="AE86" i="18"/>
  <c r="AF86" i="18"/>
  <c r="AG86" i="18"/>
  <c r="AH86" i="18"/>
  <c r="AI86" i="18"/>
  <c r="AJ86" i="18"/>
  <c r="AK86" i="18"/>
  <c r="AL86" i="18"/>
  <c r="AM86" i="18"/>
  <c r="AN86" i="18"/>
  <c r="AO86" i="18"/>
  <c r="AP86" i="18"/>
  <c r="AQ86" i="18"/>
  <c r="AR86" i="18"/>
  <c r="AS86" i="18"/>
  <c r="AT86" i="18"/>
  <c r="AU86" i="18"/>
  <c r="AV86" i="18"/>
  <c r="AC87" i="18"/>
  <c r="AD87" i="18"/>
  <c r="AE87" i="18"/>
  <c r="AF87" i="18"/>
  <c r="AG87" i="18"/>
  <c r="AH87" i="18"/>
  <c r="AI87" i="18"/>
  <c r="AJ87" i="18"/>
  <c r="AK87" i="18"/>
  <c r="AL87" i="18"/>
  <c r="AM87" i="18"/>
  <c r="AN87" i="18"/>
  <c r="AO87" i="18"/>
  <c r="AP87" i="18"/>
  <c r="AQ87" i="18"/>
  <c r="AR87" i="18"/>
  <c r="AS87" i="18"/>
  <c r="AT87" i="18"/>
  <c r="AU87" i="18"/>
  <c r="AV87" i="18"/>
  <c r="AC88" i="18"/>
  <c r="AD88" i="18"/>
  <c r="AE88" i="18"/>
  <c r="AF88" i="18"/>
  <c r="AG88" i="18"/>
  <c r="AH88" i="18"/>
  <c r="AI88" i="18"/>
  <c r="AJ88" i="18"/>
  <c r="AK88" i="18"/>
  <c r="AL88" i="18"/>
  <c r="AM88" i="18"/>
  <c r="AN88" i="18"/>
  <c r="AO88" i="18"/>
  <c r="AP88" i="18"/>
  <c r="AQ88" i="18"/>
  <c r="AR88" i="18"/>
  <c r="AS88" i="18"/>
  <c r="AT88" i="18"/>
  <c r="AU88" i="18"/>
  <c r="AV88" i="18"/>
  <c r="AC89" i="18"/>
  <c r="AD89" i="18"/>
  <c r="AE89" i="18"/>
  <c r="AF89" i="18"/>
  <c r="AG89" i="18"/>
  <c r="AH89" i="18"/>
  <c r="AI89" i="18"/>
  <c r="AJ89" i="18"/>
  <c r="AK89" i="18"/>
  <c r="AL89" i="18"/>
  <c r="AM89" i="18"/>
  <c r="AN89" i="18"/>
  <c r="AO89" i="18"/>
  <c r="AP89" i="18"/>
  <c r="AQ89" i="18"/>
  <c r="AR89" i="18"/>
  <c r="AS89" i="18"/>
  <c r="AT89" i="18"/>
  <c r="AU89" i="18"/>
  <c r="AV89" i="18"/>
  <c r="AC90" i="18"/>
  <c r="AD90" i="18"/>
  <c r="AE90" i="18"/>
  <c r="AF90" i="18"/>
  <c r="AG90" i="18"/>
  <c r="AH90" i="18"/>
  <c r="AI90" i="18"/>
  <c r="AJ90" i="18"/>
  <c r="AK90" i="18"/>
  <c r="AL90" i="18"/>
  <c r="AM90" i="18"/>
  <c r="AN90" i="18"/>
  <c r="AO90" i="18"/>
  <c r="AP90" i="18"/>
  <c r="AQ90" i="18"/>
  <c r="AR90" i="18"/>
  <c r="AS90" i="18"/>
  <c r="AT90" i="18"/>
  <c r="AU90" i="18"/>
  <c r="AV90" i="18"/>
  <c r="AC91" i="18"/>
  <c r="AD91" i="18"/>
  <c r="AE91" i="18"/>
  <c r="AF91" i="18"/>
  <c r="AG91" i="18"/>
  <c r="AH91" i="18"/>
  <c r="AI91" i="18"/>
  <c r="AJ91" i="18"/>
  <c r="AK91" i="18"/>
  <c r="AL91" i="18"/>
  <c r="AM91" i="18"/>
  <c r="AN91" i="18"/>
  <c r="AO91" i="18"/>
  <c r="AP91" i="18"/>
  <c r="AQ91" i="18"/>
  <c r="AR91" i="18"/>
  <c r="AS91" i="18"/>
  <c r="AT91" i="18"/>
  <c r="AU91" i="18"/>
  <c r="AV91" i="18"/>
  <c r="AC92" i="18"/>
  <c r="AD92" i="18"/>
  <c r="AE92" i="18"/>
  <c r="AF92" i="18"/>
  <c r="AG92" i="18"/>
  <c r="AH92" i="18"/>
  <c r="AI92" i="18"/>
  <c r="AJ92" i="18"/>
  <c r="AK92" i="18"/>
  <c r="AL92" i="18"/>
  <c r="AM92" i="18"/>
  <c r="AN92" i="18"/>
  <c r="AO92" i="18"/>
  <c r="AP92" i="18"/>
  <c r="AQ92" i="18"/>
  <c r="AR92" i="18"/>
  <c r="AS92" i="18"/>
  <c r="AT92" i="18"/>
  <c r="AU92" i="18"/>
  <c r="AV92" i="18"/>
  <c r="AC93" i="18"/>
  <c r="AD93" i="18"/>
  <c r="AE93" i="18"/>
  <c r="AF93" i="18"/>
  <c r="AG93" i="18"/>
  <c r="AH93" i="18"/>
  <c r="AI93" i="18"/>
  <c r="AJ93" i="18"/>
  <c r="AK93" i="18"/>
  <c r="AL93" i="18"/>
  <c r="AM93" i="18"/>
  <c r="AN93" i="18"/>
  <c r="AO93" i="18"/>
  <c r="AP93" i="18"/>
  <c r="AQ93" i="18"/>
  <c r="AR93" i="18"/>
  <c r="AS93" i="18"/>
  <c r="AT93" i="18"/>
  <c r="AU93" i="18"/>
  <c r="AV93" i="18"/>
  <c r="AC94" i="18"/>
  <c r="AD94" i="18"/>
  <c r="AE94" i="18"/>
  <c r="AF94" i="18"/>
  <c r="AG94" i="18"/>
  <c r="AH94" i="18"/>
  <c r="AI94" i="18"/>
  <c r="AJ94" i="18"/>
  <c r="AK94" i="18"/>
  <c r="AL94" i="18"/>
  <c r="AM94" i="18"/>
  <c r="AN94" i="18"/>
  <c r="AO94" i="18"/>
  <c r="AP94" i="18"/>
  <c r="AQ94" i="18"/>
  <c r="AR94" i="18"/>
  <c r="AS94" i="18"/>
  <c r="AT94" i="18"/>
  <c r="AU94" i="18"/>
  <c r="AV94" i="18"/>
  <c r="AC95" i="18"/>
  <c r="AD95" i="18"/>
  <c r="AE95" i="18"/>
  <c r="AF95" i="18"/>
  <c r="AG95" i="18"/>
  <c r="AH95" i="18"/>
  <c r="AI95" i="18"/>
  <c r="AJ95" i="18"/>
  <c r="AK95" i="18"/>
  <c r="AL95" i="18"/>
  <c r="AM95" i="18"/>
  <c r="AN95" i="18"/>
  <c r="AO95" i="18"/>
  <c r="AP95" i="18"/>
  <c r="AQ95" i="18"/>
  <c r="AR95" i="18"/>
  <c r="AS95" i="18"/>
  <c r="AT95" i="18"/>
  <c r="AU95" i="18"/>
  <c r="AV95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AR96" i="18"/>
  <c r="AS96" i="18"/>
  <c r="AT96" i="18"/>
  <c r="AU96" i="18"/>
  <c r="AV96" i="18"/>
  <c r="AC97" i="18"/>
  <c r="AD97" i="18"/>
  <c r="AE97" i="18"/>
  <c r="AF97" i="18"/>
  <c r="AG97" i="18"/>
  <c r="AH97" i="18"/>
  <c r="AI97" i="18"/>
  <c r="AJ97" i="18"/>
  <c r="AK97" i="18"/>
  <c r="AL97" i="18"/>
  <c r="AM97" i="18"/>
  <c r="AN97" i="18"/>
  <c r="AO97" i="18"/>
  <c r="AP97" i="18"/>
  <c r="AQ97" i="18"/>
  <c r="AR97" i="18"/>
  <c r="AS97" i="18"/>
  <c r="AT97" i="18"/>
  <c r="AU97" i="18"/>
  <c r="AV97" i="18"/>
  <c r="AC98" i="18"/>
  <c r="AD98" i="18"/>
  <c r="AE98" i="18"/>
  <c r="AF98" i="18"/>
  <c r="AG98" i="18"/>
  <c r="AH98" i="18"/>
  <c r="AI98" i="18"/>
  <c r="AJ98" i="18"/>
  <c r="AK98" i="18"/>
  <c r="AL98" i="18"/>
  <c r="AM98" i="18"/>
  <c r="AN98" i="18"/>
  <c r="AO98" i="18"/>
  <c r="AP98" i="18"/>
  <c r="AQ98" i="18"/>
  <c r="AR98" i="18"/>
  <c r="AS98" i="18"/>
  <c r="AT98" i="18"/>
  <c r="AU98" i="18"/>
  <c r="AV98" i="18"/>
  <c r="AC99" i="18"/>
  <c r="AD99" i="18"/>
  <c r="AE99" i="18"/>
  <c r="AF99" i="18"/>
  <c r="AG99" i="18"/>
  <c r="AH99" i="18"/>
  <c r="AI99" i="18"/>
  <c r="AJ99" i="18"/>
  <c r="AK99" i="18"/>
  <c r="AL99" i="18"/>
  <c r="AM99" i="18"/>
  <c r="AN99" i="18"/>
  <c r="AO99" i="18"/>
  <c r="AP99" i="18"/>
  <c r="AQ99" i="18"/>
  <c r="AR99" i="18"/>
  <c r="AS99" i="18"/>
  <c r="AT99" i="18"/>
  <c r="AU99" i="18"/>
  <c r="AV99" i="18"/>
  <c r="AC100" i="18"/>
  <c r="AD100" i="18"/>
  <c r="AE100" i="18"/>
  <c r="AF100" i="18"/>
  <c r="AG100" i="18"/>
  <c r="AH100" i="18"/>
  <c r="AI100" i="18"/>
  <c r="AJ100" i="18"/>
  <c r="AK100" i="18"/>
  <c r="AL100" i="18"/>
  <c r="AM100" i="18"/>
  <c r="AN100" i="18"/>
  <c r="AO100" i="18"/>
  <c r="AP100" i="18"/>
  <c r="AQ100" i="18"/>
  <c r="AR100" i="18"/>
  <c r="AS100" i="18"/>
  <c r="AT100" i="18"/>
  <c r="AU100" i="18"/>
  <c r="AV100" i="18"/>
  <c r="AC101" i="18"/>
  <c r="AD101" i="18"/>
  <c r="AE101" i="18"/>
  <c r="AF101" i="18"/>
  <c r="AG101" i="18"/>
  <c r="AH101" i="18"/>
  <c r="AI101" i="18"/>
  <c r="AJ101" i="18"/>
  <c r="AK101" i="18"/>
  <c r="AL101" i="18"/>
  <c r="AM101" i="18"/>
  <c r="AN101" i="18"/>
  <c r="AO101" i="18"/>
  <c r="AP101" i="18"/>
  <c r="AQ101" i="18"/>
  <c r="AR101" i="18"/>
  <c r="AS101" i="18"/>
  <c r="AT101" i="18"/>
  <c r="AU101" i="18"/>
  <c r="AV101" i="18"/>
  <c r="AC102" i="18"/>
  <c r="AD102" i="18"/>
  <c r="AE102" i="18"/>
  <c r="AF102" i="18"/>
  <c r="AG102" i="18"/>
  <c r="AH102" i="18"/>
  <c r="AI102" i="18"/>
  <c r="AJ102" i="18"/>
  <c r="AK102" i="18"/>
  <c r="AL102" i="18"/>
  <c r="AM102" i="18"/>
  <c r="AN102" i="18"/>
  <c r="AO102" i="18"/>
  <c r="AP102" i="18"/>
  <c r="AQ102" i="18"/>
  <c r="AR102" i="18"/>
  <c r="AS102" i="18"/>
  <c r="AT102" i="18"/>
  <c r="AU102" i="18"/>
  <c r="AV102" i="18"/>
  <c r="AC103" i="18"/>
  <c r="AD103" i="18"/>
  <c r="AE103" i="18"/>
  <c r="AF103" i="18"/>
  <c r="AG103" i="18"/>
  <c r="AH103" i="18"/>
  <c r="AI103" i="18"/>
  <c r="AJ103" i="18"/>
  <c r="AK103" i="18"/>
  <c r="AL103" i="18"/>
  <c r="AM103" i="18"/>
  <c r="AN103" i="18"/>
  <c r="AO103" i="18"/>
  <c r="AP103" i="18"/>
  <c r="AQ103" i="18"/>
  <c r="AR103" i="18"/>
  <c r="AS103" i="18"/>
  <c r="AT103" i="18"/>
  <c r="AU103" i="18"/>
  <c r="AV103" i="18"/>
  <c r="AC104" i="18"/>
  <c r="AD104" i="18"/>
  <c r="AE104" i="18"/>
  <c r="AF104" i="18"/>
  <c r="AG104" i="18"/>
  <c r="AH104" i="18"/>
  <c r="AI104" i="18"/>
  <c r="AJ104" i="18"/>
  <c r="AK104" i="18"/>
  <c r="AL104" i="18"/>
  <c r="AM104" i="18"/>
  <c r="AN104" i="18"/>
  <c r="AO104" i="18"/>
  <c r="AP104" i="18"/>
  <c r="AQ104" i="18"/>
  <c r="AR104" i="18"/>
  <c r="AS104" i="18"/>
  <c r="AT104" i="18"/>
  <c r="AU104" i="18"/>
  <c r="AV104" i="18"/>
  <c r="AC105" i="18"/>
  <c r="AD105" i="18"/>
  <c r="AE105" i="18"/>
  <c r="AF105" i="18"/>
  <c r="AG105" i="18"/>
  <c r="AH105" i="18"/>
  <c r="AI105" i="18"/>
  <c r="AJ105" i="18"/>
  <c r="AK105" i="18"/>
  <c r="AL105" i="18"/>
  <c r="AM105" i="18"/>
  <c r="AN105" i="18"/>
  <c r="AO105" i="18"/>
  <c r="AP105" i="18"/>
  <c r="AQ105" i="18"/>
  <c r="AR105" i="18"/>
  <c r="AS105" i="18"/>
  <c r="AT105" i="18"/>
  <c r="AU105" i="18"/>
  <c r="AV105" i="18"/>
  <c r="AC106" i="18"/>
  <c r="AD106" i="18"/>
  <c r="AE106" i="18"/>
  <c r="AF106" i="18"/>
  <c r="AG106" i="18"/>
  <c r="AH106" i="18"/>
  <c r="AI106" i="18"/>
  <c r="AJ106" i="18"/>
  <c r="AK106" i="18"/>
  <c r="AL106" i="18"/>
  <c r="AM106" i="18"/>
  <c r="AN106" i="18"/>
  <c r="AO106" i="18"/>
  <c r="AP106" i="18"/>
  <c r="AQ106" i="18"/>
  <c r="AR106" i="18"/>
  <c r="AS106" i="18"/>
  <c r="AT106" i="18"/>
  <c r="AU106" i="18"/>
  <c r="AV106" i="18"/>
  <c r="AC107" i="18"/>
  <c r="AD107" i="18"/>
  <c r="AE107" i="18"/>
  <c r="AF107" i="18"/>
  <c r="AG107" i="18"/>
  <c r="AH107" i="18"/>
  <c r="AI107" i="18"/>
  <c r="AJ107" i="18"/>
  <c r="AK107" i="18"/>
  <c r="AL107" i="18"/>
  <c r="AM107" i="18"/>
  <c r="AN107" i="18"/>
  <c r="AO107" i="18"/>
  <c r="AP107" i="18"/>
  <c r="AQ107" i="18"/>
  <c r="AR107" i="18"/>
  <c r="AS107" i="18"/>
  <c r="AT107" i="18"/>
  <c r="AU107" i="18"/>
  <c r="AV107" i="18"/>
  <c r="AC108" i="18"/>
  <c r="AD108" i="18"/>
  <c r="AE108" i="18"/>
  <c r="AF108" i="18"/>
  <c r="AG108" i="18"/>
  <c r="AH108" i="18"/>
  <c r="AI108" i="18"/>
  <c r="AJ108" i="18"/>
  <c r="AK108" i="18"/>
  <c r="AL108" i="18"/>
  <c r="AM108" i="18"/>
  <c r="AN108" i="18"/>
  <c r="AO108" i="18"/>
  <c r="AP108" i="18"/>
  <c r="AQ108" i="18"/>
  <c r="AR108" i="18"/>
  <c r="AS108" i="18"/>
  <c r="AT108" i="18"/>
  <c r="AU108" i="18"/>
  <c r="AV108" i="18"/>
  <c r="AC109" i="18"/>
  <c r="AD109" i="18"/>
  <c r="AE109" i="18"/>
  <c r="AF109" i="18"/>
  <c r="AG109" i="18"/>
  <c r="AH109" i="18"/>
  <c r="AI109" i="18"/>
  <c r="AJ109" i="18"/>
  <c r="AK109" i="18"/>
  <c r="AL109" i="18"/>
  <c r="AM109" i="18"/>
  <c r="AN109" i="18"/>
  <c r="AO109" i="18"/>
  <c r="AP109" i="18"/>
  <c r="AQ109" i="18"/>
  <c r="AR109" i="18"/>
  <c r="AS109" i="18"/>
  <c r="AT109" i="18"/>
  <c r="AU109" i="18"/>
  <c r="AV109" i="18"/>
  <c r="AC110" i="18"/>
  <c r="AD110" i="18"/>
  <c r="AE110" i="18"/>
  <c r="AF110" i="18"/>
  <c r="AG110" i="18"/>
  <c r="AH110" i="18"/>
  <c r="AI110" i="18"/>
  <c r="AJ110" i="18"/>
  <c r="AK110" i="18"/>
  <c r="AL110" i="18"/>
  <c r="AM110" i="18"/>
  <c r="AN110" i="18"/>
  <c r="AO110" i="18"/>
  <c r="AP110" i="18"/>
  <c r="AQ110" i="18"/>
  <c r="AR110" i="18"/>
  <c r="AS110" i="18"/>
  <c r="AT110" i="18"/>
  <c r="AU110" i="18"/>
  <c r="AV110" i="18"/>
  <c r="AC111" i="18"/>
  <c r="AD111" i="18"/>
  <c r="AE111" i="18"/>
  <c r="AF111" i="18"/>
  <c r="AG111" i="18"/>
  <c r="AH111" i="18"/>
  <c r="AI111" i="18"/>
  <c r="AJ111" i="18"/>
  <c r="AK111" i="18"/>
  <c r="AL111" i="18"/>
  <c r="AM111" i="18"/>
  <c r="AN111" i="18"/>
  <c r="AO111" i="18"/>
  <c r="AP111" i="18"/>
  <c r="AQ111" i="18"/>
  <c r="AR111" i="18"/>
  <c r="AS111" i="18"/>
  <c r="AT111" i="18"/>
  <c r="AU111" i="18"/>
  <c r="AV111" i="18"/>
  <c r="AC112" i="18"/>
  <c r="AD112" i="18"/>
  <c r="AE112" i="18"/>
  <c r="AF112" i="18"/>
  <c r="AG112" i="18"/>
  <c r="AH112" i="18"/>
  <c r="AI112" i="18"/>
  <c r="AJ112" i="18"/>
  <c r="AK112" i="18"/>
  <c r="AL112" i="18"/>
  <c r="AM112" i="18"/>
  <c r="AN112" i="18"/>
  <c r="AO112" i="18"/>
  <c r="AP112" i="18"/>
  <c r="AQ112" i="18"/>
  <c r="AR112" i="18"/>
  <c r="AS112" i="18"/>
  <c r="AT112" i="18"/>
  <c r="AU112" i="18"/>
  <c r="AV112" i="18"/>
  <c r="AC113" i="18"/>
  <c r="AD113" i="18"/>
  <c r="AE113" i="18"/>
  <c r="AF113" i="18"/>
  <c r="AG113" i="18"/>
  <c r="AH113" i="18"/>
  <c r="AI113" i="18"/>
  <c r="AJ113" i="18"/>
  <c r="AK113" i="18"/>
  <c r="AL113" i="18"/>
  <c r="AM113" i="18"/>
  <c r="AN113" i="18"/>
  <c r="AO113" i="18"/>
  <c r="AP113" i="18"/>
  <c r="AQ113" i="18"/>
  <c r="AR113" i="18"/>
  <c r="AS113" i="18"/>
  <c r="AT113" i="18"/>
  <c r="AU113" i="18"/>
  <c r="AV113" i="18"/>
  <c r="AC114" i="18"/>
  <c r="AD114" i="18"/>
  <c r="AE114" i="18"/>
  <c r="AF114" i="18"/>
  <c r="AG114" i="18"/>
  <c r="AH114" i="18"/>
  <c r="AI114" i="18"/>
  <c r="AJ114" i="18"/>
  <c r="AK114" i="18"/>
  <c r="AL114" i="18"/>
  <c r="AM114" i="18"/>
  <c r="AN114" i="18"/>
  <c r="AO114" i="18"/>
  <c r="AP114" i="18"/>
  <c r="AQ114" i="18"/>
  <c r="AR114" i="18"/>
  <c r="AS114" i="18"/>
  <c r="AT114" i="18"/>
  <c r="AU114" i="18"/>
  <c r="AV114" i="18"/>
  <c r="AC115" i="18"/>
  <c r="AD115" i="18"/>
  <c r="AE115" i="18"/>
  <c r="AF115" i="18"/>
  <c r="AG115" i="18"/>
  <c r="AH115" i="18"/>
  <c r="AI115" i="18"/>
  <c r="AJ115" i="18"/>
  <c r="AK115" i="18"/>
  <c r="AL115" i="18"/>
  <c r="AM115" i="18"/>
  <c r="AN115" i="18"/>
  <c r="AO115" i="18"/>
  <c r="AP115" i="18"/>
  <c r="AQ115" i="18"/>
  <c r="AR115" i="18"/>
  <c r="AS115" i="18"/>
  <c r="AT115" i="18"/>
  <c r="AU115" i="18"/>
  <c r="AV115" i="18"/>
  <c r="AC116" i="18"/>
  <c r="AD116" i="18"/>
  <c r="AE116" i="18"/>
  <c r="AF116" i="18"/>
  <c r="AG116" i="18"/>
  <c r="AH116" i="18"/>
  <c r="AI116" i="18"/>
  <c r="AJ116" i="18"/>
  <c r="AK116" i="18"/>
  <c r="AL116" i="18"/>
  <c r="AM116" i="18"/>
  <c r="AN116" i="18"/>
  <c r="AO116" i="18"/>
  <c r="AP116" i="18"/>
  <c r="AQ116" i="18"/>
  <c r="AR116" i="18"/>
  <c r="AS116" i="18"/>
  <c r="AT116" i="18"/>
  <c r="AU116" i="18"/>
  <c r="AV116" i="18"/>
  <c r="AC117" i="18"/>
  <c r="AD117" i="18"/>
  <c r="AE117" i="18"/>
  <c r="AF117" i="18"/>
  <c r="AG117" i="18"/>
  <c r="AH117" i="18"/>
  <c r="AI117" i="18"/>
  <c r="AJ117" i="18"/>
  <c r="AK117" i="18"/>
  <c r="AL117" i="18"/>
  <c r="AM117" i="18"/>
  <c r="AN117" i="18"/>
  <c r="AO117" i="18"/>
  <c r="AP117" i="18"/>
  <c r="AQ117" i="18"/>
  <c r="AR117" i="18"/>
  <c r="AS117" i="18"/>
  <c r="AT117" i="18"/>
  <c r="AU117" i="18"/>
  <c r="AV117" i="18"/>
  <c r="AC118" i="18"/>
  <c r="AD118" i="18"/>
  <c r="AE118" i="18"/>
  <c r="AF118" i="18"/>
  <c r="AG118" i="18"/>
  <c r="AH118" i="18"/>
  <c r="AI118" i="18"/>
  <c r="AJ118" i="18"/>
  <c r="AK118" i="18"/>
  <c r="AL118" i="18"/>
  <c r="AM118" i="18"/>
  <c r="AN118" i="18"/>
  <c r="AO118" i="18"/>
  <c r="AP118" i="18"/>
  <c r="AQ118" i="18"/>
  <c r="AR118" i="18"/>
  <c r="AS118" i="18"/>
  <c r="AT118" i="18"/>
  <c r="AU118" i="18"/>
  <c r="AV118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C120" i="18"/>
  <c r="AD120" i="18"/>
  <c r="AE120" i="18"/>
  <c r="AF120" i="18"/>
  <c r="AG120" i="18"/>
  <c r="AH120" i="18"/>
  <c r="AI120" i="18"/>
  <c r="AJ120" i="18"/>
  <c r="AK120" i="18"/>
  <c r="AL120" i="18"/>
  <c r="AM120" i="18"/>
  <c r="AN120" i="18"/>
  <c r="AO120" i="18"/>
  <c r="AP120" i="18"/>
  <c r="AQ120" i="18"/>
  <c r="AR120" i="18"/>
  <c r="AS120" i="18"/>
  <c r="AT120" i="18"/>
  <c r="AU120" i="18"/>
  <c r="AV120" i="18"/>
  <c r="AC121" i="18"/>
  <c r="AD121" i="18"/>
  <c r="AE121" i="18"/>
  <c r="AF121" i="18"/>
  <c r="AG121" i="18"/>
  <c r="AH121" i="18"/>
  <c r="AI121" i="18"/>
  <c r="AJ121" i="18"/>
  <c r="AK121" i="18"/>
  <c r="AL121" i="18"/>
  <c r="AM121" i="18"/>
  <c r="AN121" i="18"/>
  <c r="AO121" i="18"/>
  <c r="AP121" i="18"/>
  <c r="AQ121" i="18"/>
  <c r="AR121" i="18"/>
  <c r="AS121" i="18"/>
  <c r="AT121" i="18"/>
  <c r="AU121" i="18"/>
  <c r="AV121" i="18"/>
  <c r="AC122" i="18"/>
  <c r="AD122" i="18"/>
  <c r="AE122" i="18"/>
  <c r="AF122" i="18"/>
  <c r="AG122" i="18"/>
  <c r="AH122" i="18"/>
  <c r="AI122" i="18"/>
  <c r="AJ122" i="18"/>
  <c r="AK122" i="18"/>
  <c r="AL122" i="18"/>
  <c r="AM122" i="18"/>
  <c r="AN122" i="18"/>
  <c r="AO122" i="18"/>
  <c r="AP122" i="18"/>
  <c r="AQ122" i="18"/>
  <c r="AR122" i="18"/>
  <c r="AS122" i="18"/>
  <c r="AT122" i="18"/>
  <c r="AU122" i="18"/>
  <c r="AV122" i="18"/>
  <c r="AC123" i="18"/>
  <c r="AD123" i="18"/>
  <c r="AE123" i="18"/>
  <c r="AF123" i="18"/>
  <c r="AG123" i="18"/>
  <c r="AH123" i="18"/>
  <c r="AI123" i="18"/>
  <c r="AJ123" i="18"/>
  <c r="AK123" i="18"/>
  <c r="AL123" i="18"/>
  <c r="AM123" i="18"/>
  <c r="AN123" i="18"/>
  <c r="AO123" i="18"/>
  <c r="AP123" i="18"/>
  <c r="AQ123" i="18"/>
  <c r="AR123" i="18"/>
  <c r="AS123" i="18"/>
  <c r="AT123" i="18"/>
  <c r="AU123" i="18"/>
  <c r="AV123" i="18"/>
  <c r="AC124" i="18"/>
  <c r="AD124" i="18"/>
  <c r="AE124" i="18"/>
  <c r="AF124" i="18"/>
  <c r="AG124" i="18"/>
  <c r="AH124" i="18"/>
  <c r="AI124" i="18"/>
  <c r="AJ124" i="18"/>
  <c r="AK124" i="18"/>
  <c r="AL124" i="18"/>
  <c r="AM124" i="18"/>
  <c r="AN124" i="18"/>
  <c r="AO124" i="18"/>
  <c r="AP124" i="18"/>
  <c r="AQ124" i="18"/>
  <c r="AR124" i="18"/>
  <c r="AS124" i="18"/>
  <c r="AT124" i="18"/>
  <c r="AU124" i="18"/>
  <c r="AV124" i="18"/>
  <c r="AC125" i="18"/>
  <c r="AD125" i="18"/>
  <c r="AE125" i="18"/>
  <c r="AF125" i="18"/>
  <c r="AG125" i="18"/>
  <c r="AH125" i="18"/>
  <c r="AI125" i="18"/>
  <c r="AJ125" i="18"/>
  <c r="AK125" i="18"/>
  <c r="AL125" i="18"/>
  <c r="AM125" i="18"/>
  <c r="AN125" i="18"/>
  <c r="AO125" i="18"/>
  <c r="AP125" i="18"/>
  <c r="AQ125" i="18"/>
  <c r="AR125" i="18"/>
  <c r="AS125" i="18"/>
  <c r="AT125" i="18"/>
  <c r="AU125" i="18"/>
  <c r="AV125" i="18"/>
  <c r="AC126" i="18"/>
  <c r="AD126" i="18"/>
  <c r="AE126" i="18"/>
  <c r="AF126" i="18"/>
  <c r="AG126" i="18"/>
  <c r="AH126" i="18"/>
  <c r="AI126" i="18"/>
  <c r="AJ126" i="18"/>
  <c r="AK126" i="18"/>
  <c r="AL126" i="18"/>
  <c r="AM126" i="18"/>
  <c r="AN126" i="18"/>
  <c r="AO126" i="18"/>
  <c r="AP126" i="18"/>
  <c r="AQ126" i="18"/>
  <c r="AR126" i="18"/>
  <c r="AS126" i="18"/>
  <c r="AT126" i="18"/>
  <c r="AU126" i="18"/>
  <c r="AV126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C128" i="18"/>
  <c r="AD128" i="18"/>
  <c r="AE128" i="18"/>
  <c r="AF128" i="18"/>
  <c r="AG128" i="18"/>
  <c r="AH128" i="18"/>
  <c r="AI128" i="18"/>
  <c r="AJ128" i="18"/>
  <c r="AK128" i="18"/>
  <c r="AL128" i="18"/>
  <c r="AM128" i="18"/>
  <c r="AN128" i="18"/>
  <c r="AO128" i="18"/>
  <c r="AP128" i="18"/>
  <c r="AQ128" i="18"/>
  <c r="AR128" i="18"/>
  <c r="AS128" i="18"/>
  <c r="AT128" i="18"/>
  <c r="AU128" i="18"/>
  <c r="AV128" i="18"/>
  <c r="AC129" i="18"/>
  <c r="AD129" i="18"/>
  <c r="AE129" i="18"/>
  <c r="AF129" i="18"/>
  <c r="AG129" i="18"/>
  <c r="AH129" i="18"/>
  <c r="AI129" i="18"/>
  <c r="AJ129" i="18"/>
  <c r="AK129" i="18"/>
  <c r="AL129" i="18"/>
  <c r="AM129" i="18"/>
  <c r="AN129" i="18"/>
  <c r="AO129" i="18"/>
  <c r="AP129" i="18"/>
  <c r="AQ129" i="18"/>
  <c r="AR129" i="18"/>
  <c r="AS129" i="18"/>
  <c r="AT129" i="18"/>
  <c r="AU129" i="18"/>
  <c r="AV129" i="18"/>
  <c r="AC130" i="18"/>
  <c r="AD130" i="18"/>
  <c r="AE130" i="18"/>
  <c r="AF130" i="18"/>
  <c r="AG130" i="18"/>
  <c r="AH130" i="18"/>
  <c r="AI130" i="18"/>
  <c r="AJ130" i="18"/>
  <c r="AK130" i="18"/>
  <c r="AL130" i="18"/>
  <c r="AM130" i="18"/>
  <c r="AN130" i="18"/>
  <c r="AO130" i="18"/>
  <c r="AP130" i="18"/>
  <c r="AQ130" i="18"/>
  <c r="AR130" i="18"/>
  <c r="AS130" i="18"/>
  <c r="AT130" i="18"/>
  <c r="AU130" i="18"/>
  <c r="AV130" i="18"/>
  <c r="AC131" i="18"/>
  <c r="AD131" i="18"/>
  <c r="AE131" i="18"/>
  <c r="AF131" i="18"/>
  <c r="AG131" i="18"/>
  <c r="AH131" i="18"/>
  <c r="AI131" i="18"/>
  <c r="AJ131" i="18"/>
  <c r="AK131" i="18"/>
  <c r="AL131" i="18"/>
  <c r="AM131" i="18"/>
  <c r="AN131" i="18"/>
  <c r="AO131" i="18"/>
  <c r="AP131" i="18"/>
  <c r="AQ131" i="18"/>
  <c r="AR131" i="18"/>
  <c r="AS131" i="18"/>
  <c r="AT131" i="18"/>
  <c r="AU131" i="18"/>
  <c r="AV131" i="18"/>
  <c r="AC132" i="18"/>
  <c r="AD132" i="18"/>
  <c r="AE132" i="18"/>
  <c r="AF132" i="18"/>
  <c r="AG132" i="18"/>
  <c r="AH132" i="18"/>
  <c r="AI132" i="18"/>
  <c r="AJ132" i="18"/>
  <c r="AK132" i="18"/>
  <c r="AL132" i="18"/>
  <c r="AM132" i="18"/>
  <c r="AN132" i="18"/>
  <c r="AO132" i="18"/>
  <c r="AP132" i="18"/>
  <c r="AQ132" i="18"/>
  <c r="AR132" i="18"/>
  <c r="AS132" i="18"/>
  <c r="AT132" i="18"/>
  <c r="AU132" i="18"/>
  <c r="AV132" i="18"/>
  <c r="AC133" i="18"/>
  <c r="AD133" i="18"/>
  <c r="AE133" i="18"/>
  <c r="AF133" i="18"/>
  <c r="AG133" i="18"/>
  <c r="AH133" i="18"/>
  <c r="AI133" i="18"/>
  <c r="AJ133" i="18"/>
  <c r="AK133" i="18"/>
  <c r="AL133" i="18"/>
  <c r="AM133" i="18"/>
  <c r="AN133" i="18"/>
  <c r="AO133" i="18"/>
  <c r="AP133" i="18"/>
  <c r="AQ133" i="18"/>
  <c r="AR133" i="18"/>
  <c r="AS133" i="18"/>
  <c r="AT133" i="18"/>
  <c r="AU133" i="18"/>
  <c r="AV133" i="18"/>
  <c r="AC134" i="18"/>
  <c r="AD134" i="18"/>
  <c r="AE134" i="18"/>
  <c r="AF134" i="18"/>
  <c r="AG134" i="18"/>
  <c r="AH134" i="18"/>
  <c r="AI134" i="18"/>
  <c r="AJ134" i="18"/>
  <c r="AK134" i="18"/>
  <c r="AL134" i="18"/>
  <c r="AM134" i="18"/>
  <c r="AN134" i="18"/>
  <c r="AO134" i="18"/>
  <c r="AP134" i="18"/>
  <c r="AQ134" i="18"/>
  <c r="AR134" i="18"/>
  <c r="AS134" i="18"/>
  <c r="AT134" i="18"/>
  <c r="AU134" i="18"/>
  <c r="AV134" i="18"/>
  <c r="AC135" i="18"/>
  <c r="AD135" i="18"/>
  <c r="AE135" i="18"/>
  <c r="AF135" i="18"/>
  <c r="AG135" i="18"/>
  <c r="AH135" i="18"/>
  <c r="AI135" i="18"/>
  <c r="AJ135" i="18"/>
  <c r="AK135" i="18"/>
  <c r="AL135" i="18"/>
  <c r="AM135" i="18"/>
  <c r="AN135" i="18"/>
  <c r="AO135" i="18"/>
  <c r="AP135" i="18"/>
  <c r="AQ135" i="18"/>
  <c r="AR135" i="18"/>
  <c r="AS135" i="18"/>
  <c r="AT135" i="18"/>
  <c r="AU135" i="18"/>
  <c r="AV135" i="18"/>
  <c r="AC136" i="18"/>
  <c r="AD136" i="18"/>
  <c r="AE136" i="18"/>
  <c r="AF136" i="18"/>
  <c r="AG136" i="18"/>
  <c r="AH136" i="18"/>
  <c r="AI136" i="18"/>
  <c r="AJ136" i="18"/>
  <c r="AK136" i="18"/>
  <c r="AL136" i="18"/>
  <c r="AM136" i="18"/>
  <c r="AN136" i="18"/>
  <c r="AO136" i="18"/>
  <c r="AP136" i="18"/>
  <c r="AQ136" i="18"/>
  <c r="AR136" i="18"/>
  <c r="AS136" i="18"/>
  <c r="AT136" i="18"/>
  <c r="AU136" i="18"/>
  <c r="AV136" i="18"/>
  <c r="AC137" i="18"/>
  <c r="AD137" i="18"/>
  <c r="AE137" i="18"/>
  <c r="AF137" i="18"/>
  <c r="AG137" i="18"/>
  <c r="AH137" i="18"/>
  <c r="AI137" i="18"/>
  <c r="AJ137" i="18"/>
  <c r="AK137" i="18"/>
  <c r="AL137" i="18"/>
  <c r="AM137" i="18"/>
  <c r="AN137" i="18"/>
  <c r="AO137" i="18"/>
  <c r="AP137" i="18"/>
  <c r="AQ137" i="18"/>
  <c r="AR137" i="18"/>
  <c r="AS137" i="18"/>
  <c r="AT137" i="18"/>
  <c r="AU137" i="18"/>
  <c r="AV137" i="18"/>
  <c r="AC138" i="18"/>
  <c r="AD138" i="18"/>
  <c r="AE138" i="18"/>
  <c r="AF138" i="18"/>
  <c r="AG138" i="18"/>
  <c r="AH138" i="18"/>
  <c r="AI138" i="18"/>
  <c r="AJ138" i="18"/>
  <c r="AK138" i="18"/>
  <c r="AL138" i="18"/>
  <c r="AM138" i="18"/>
  <c r="AN138" i="18"/>
  <c r="AO138" i="18"/>
  <c r="AP138" i="18"/>
  <c r="AQ138" i="18"/>
  <c r="AR138" i="18"/>
  <c r="AS138" i="18"/>
  <c r="AT138" i="18"/>
  <c r="AU138" i="18"/>
  <c r="AV138" i="18"/>
  <c r="AC139" i="18"/>
  <c r="AD139" i="18"/>
  <c r="AE139" i="18"/>
  <c r="AF139" i="18"/>
  <c r="AG139" i="18"/>
  <c r="AH139" i="18"/>
  <c r="AI139" i="18"/>
  <c r="AJ139" i="18"/>
  <c r="AK139" i="18"/>
  <c r="AL139" i="18"/>
  <c r="AM139" i="18"/>
  <c r="AN139" i="18"/>
  <c r="AO139" i="18"/>
  <c r="AP139" i="18"/>
  <c r="AQ139" i="18"/>
  <c r="AR139" i="18"/>
  <c r="AS139" i="18"/>
  <c r="AT139" i="18"/>
  <c r="AU139" i="18"/>
  <c r="AV139" i="18"/>
  <c r="AC140" i="18"/>
  <c r="AD140" i="18"/>
  <c r="AE140" i="18"/>
  <c r="AF140" i="18"/>
  <c r="AG140" i="18"/>
  <c r="AH140" i="18"/>
  <c r="AI140" i="18"/>
  <c r="AJ140" i="18"/>
  <c r="AK140" i="18"/>
  <c r="AL140" i="18"/>
  <c r="AM140" i="18"/>
  <c r="AN140" i="18"/>
  <c r="AO140" i="18"/>
  <c r="AP140" i="18"/>
  <c r="AQ140" i="18"/>
  <c r="AR140" i="18"/>
  <c r="AS140" i="18"/>
  <c r="AT140" i="18"/>
  <c r="AU140" i="18"/>
  <c r="AV140" i="18"/>
  <c r="AC141" i="18"/>
  <c r="AD141" i="18"/>
  <c r="AE141" i="18"/>
  <c r="AF141" i="18"/>
  <c r="AG141" i="18"/>
  <c r="AH141" i="18"/>
  <c r="AI141" i="18"/>
  <c r="AJ141" i="18"/>
  <c r="AK141" i="18"/>
  <c r="AL141" i="18"/>
  <c r="AM141" i="18"/>
  <c r="AN141" i="18"/>
  <c r="AO141" i="18"/>
  <c r="AP141" i="18"/>
  <c r="AQ141" i="18"/>
  <c r="AR141" i="18"/>
  <c r="AS141" i="18"/>
  <c r="AT141" i="18"/>
  <c r="AU141" i="18"/>
  <c r="AV141" i="18"/>
  <c r="AC142" i="18"/>
  <c r="AD142" i="18"/>
  <c r="AE142" i="18"/>
  <c r="AF142" i="18"/>
  <c r="AG142" i="18"/>
  <c r="AH142" i="18"/>
  <c r="AI142" i="18"/>
  <c r="AJ142" i="18"/>
  <c r="AK142" i="18"/>
  <c r="AL142" i="18"/>
  <c r="AM142" i="18"/>
  <c r="AN142" i="18"/>
  <c r="AO142" i="18"/>
  <c r="AP142" i="18"/>
  <c r="AQ142" i="18"/>
  <c r="AR142" i="18"/>
  <c r="AS142" i="18"/>
  <c r="AT142" i="18"/>
  <c r="AU142" i="18"/>
  <c r="AV142" i="18"/>
  <c r="AC143" i="18"/>
  <c r="AD143" i="18"/>
  <c r="AE143" i="18"/>
  <c r="AF143" i="18"/>
  <c r="AG143" i="18"/>
  <c r="AH143" i="18"/>
  <c r="AI143" i="18"/>
  <c r="AJ143" i="18"/>
  <c r="AK143" i="18"/>
  <c r="AL143" i="18"/>
  <c r="AM143" i="18"/>
  <c r="AN143" i="18"/>
  <c r="AO143" i="18"/>
  <c r="AP143" i="18"/>
  <c r="AQ143" i="18"/>
  <c r="AR143" i="18"/>
  <c r="AS143" i="18"/>
  <c r="AT143" i="18"/>
  <c r="AU143" i="18"/>
  <c r="AV143" i="18"/>
  <c r="AC144" i="18"/>
  <c r="AD144" i="18"/>
  <c r="AE144" i="18"/>
  <c r="AF144" i="18"/>
  <c r="AG144" i="18"/>
  <c r="AH144" i="18"/>
  <c r="AI144" i="18"/>
  <c r="AJ144" i="18"/>
  <c r="AK144" i="18"/>
  <c r="AL144" i="18"/>
  <c r="AM144" i="18"/>
  <c r="AN144" i="18"/>
  <c r="AO144" i="18"/>
  <c r="AP144" i="18"/>
  <c r="AQ144" i="18"/>
  <c r="AR144" i="18"/>
  <c r="AS144" i="18"/>
  <c r="AT144" i="18"/>
  <c r="AU144" i="18"/>
  <c r="AV144" i="18"/>
  <c r="AC145" i="18"/>
  <c r="AD145" i="18"/>
  <c r="AE145" i="18"/>
  <c r="AF145" i="18"/>
  <c r="AG145" i="18"/>
  <c r="AH145" i="18"/>
  <c r="AI145" i="18"/>
  <c r="AJ145" i="18"/>
  <c r="AK145" i="18"/>
  <c r="AL145" i="18"/>
  <c r="AM145" i="18"/>
  <c r="AN145" i="18"/>
  <c r="AO145" i="18"/>
  <c r="AP145" i="18"/>
  <c r="AQ145" i="18"/>
  <c r="AR145" i="18"/>
  <c r="AS145" i="18"/>
  <c r="AT145" i="18"/>
  <c r="AU145" i="18"/>
  <c r="AV145" i="18"/>
  <c r="AC146" i="18"/>
  <c r="AD146" i="18"/>
  <c r="AE146" i="18"/>
  <c r="AF146" i="18"/>
  <c r="AG146" i="18"/>
  <c r="AH146" i="18"/>
  <c r="AI146" i="18"/>
  <c r="AJ146" i="18"/>
  <c r="AK146" i="18"/>
  <c r="AL146" i="18"/>
  <c r="AM146" i="18"/>
  <c r="AN146" i="18"/>
  <c r="AO146" i="18"/>
  <c r="AP146" i="18"/>
  <c r="AQ146" i="18"/>
  <c r="AR146" i="18"/>
  <c r="AS146" i="18"/>
  <c r="AT146" i="18"/>
  <c r="AU146" i="18"/>
  <c r="AV146" i="18"/>
  <c r="AC147" i="18"/>
  <c r="AD147" i="18"/>
  <c r="AE147" i="18"/>
  <c r="AF147" i="18"/>
  <c r="AG147" i="18"/>
  <c r="AH147" i="18"/>
  <c r="AI147" i="18"/>
  <c r="AJ147" i="18"/>
  <c r="AK147" i="18"/>
  <c r="AL147" i="18"/>
  <c r="AM147" i="18"/>
  <c r="AN147" i="18"/>
  <c r="AO147" i="18"/>
  <c r="AP147" i="18"/>
  <c r="AQ147" i="18"/>
  <c r="AR147" i="18"/>
  <c r="AS147" i="18"/>
  <c r="AT147" i="18"/>
  <c r="AU147" i="18"/>
  <c r="AV147" i="18"/>
  <c r="AC148" i="18"/>
  <c r="AD148" i="18"/>
  <c r="AE148" i="18"/>
  <c r="AF148" i="18"/>
  <c r="AG148" i="18"/>
  <c r="AH148" i="18"/>
  <c r="AI148" i="18"/>
  <c r="AJ148" i="18"/>
  <c r="AK148" i="18"/>
  <c r="AL148" i="18"/>
  <c r="AM148" i="18"/>
  <c r="AN148" i="18"/>
  <c r="AO148" i="18"/>
  <c r="AP148" i="18"/>
  <c r="AQ148" i="18"/>
  <c r="AR148" i="18"/>
  <c r="AS148" i="18"/>
  <c r="AT148" i="18"/>
  <c r="AU148" i="18"/>
  <c r="AV148" i="18"/>
  <c r="AC149" i="18"/>
  <c r="AD149" i="18"/>
  <c r="AE149" i="18"/>
  <c r="AF149" i="18"/>
  <c r="AG149" i="18"/>
  <c r="AH149" i="18"/>
  <c r="AI149" i="18"/>
  <c r="AJ149" i="18"/>
  <c r="AK149" i="18"/>
  <c r="AL149" i="18"/>
  <c r="AM149" i="18"/>
  <c r="AN149" i="18"/>
  <c r="AO149" i="18"/>
  <c r="AP149" i="18"/>
  <c r="AQ149" i="18"/>
  <c r="AR149" i="18"/>
  <c r="AS149" i="18"/>
  <c r="AT149" i="18"/>
  <c r="AU149" i="18"/>
  <c r="AV149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AP2" i="18"/>
  <c r="AQ2" i="18"/>
  <c r="AR2" i="18"/>
  <c r="AS2" i="18"/>
  <c r="AT2" i="18"/>
  <c r="AU2" i="18"/>
  <c r="AV2" i="18"/>
  <c r="AC2" i="18"/>
  <c r="B10" i="16" l="1"/>
  <c r="Q8" i="16"/>
  <c r="P8" i="16"/>
  <c r="R7" i="16"/>
  <c r="X7" i="16" s="1"/>
  <c r="K9" i="16"/>
  <c r="M9" i="16" s="1"/>
  <c r="AW273" i="18"/>
  <c r="W273" i="18" s="1"/>
  <c r="AY118" i="18"/>
  <c r="Y118" i="18" s="1"/>
  <c r="AW18" i="18"/>
  <c r="W18" i="18" s="1"/>
  <c r="AY163" i="18"/>
  <c r="Y163" i="18" s="1"/>
  <c r="AX87" i="18"/>
  <c r="X87" i="18" s="1"/>
  <c r="AX79" i="18"/>
  <c r="X79" i="18" s="1"/>
  <c r="AX71" i="18"/>
  <c r="X71" i="18" s="1"/>
  <c r="AY60" i="18"/>
  <c r="Y60" i="18" s="1"/>
  <c r="AX314" i="18"/>
  <c r="X314" i="18" s="1"/>
  <c r="AW140" i="18"/>
  <c r="W140" i="18" s="1"/>
  <c r="AX3" i="18"/>
  <c r="X3" i="18" s="1"/>
  <c r="AW332" i="18"/>
  <c r="W332" i="18" s="1"/>
  <c r="AY324" i="18"/>
  <c r="Y324" i="18" s="1"/>
  <c r="AX294" i="18"/>
  <c r="X294" i="18" s="1"/>
  <c r="AX222" i="18"/>
  <c r="X222" i="18" s="1"/>
  <c r="AW148" i="18"/>
  <c r="W148" i="18" s="1"/>
  <c r="AX145" i="18"/>
  <c r="X145" i="18" s="1"/>
  <c r="AX39" i="18"/>
  <c r="X39" i="18" s="1"/>
  <c r="AX23" i="18"/>
  <c r="X23" i="18" s="1"/>
  <c r="AW252" i="18"/>
  <c r="W252" i="18" s="1"/>
  <c r="AW193" i="18"/>
  <c r="W193" i="18" s="1"/>
  <c r="AX278" i="18"/>
  <c r="X278" i="18" s="1"/>
  <c r="AW245" i="18"/>
  <c r="W245" i="18" s="1"/>
  <c r="AX238" i="18"/>
  <c r="X238" i="18" s="1"/>
  <c r="AY231" i="18"/>
  <c r="Y231" i="18" s="1"/>
  <c r="AW126" i="18"/>
  <c r="W126" i="18" s="1"/>
  <c r="AW124" i="18"/>
  <c r="W124" i="18" s="1"/>
  <c r="AX55" i="18"/>
  <c r="X55" i="18" s="1"/>
  <c r="AW50" i="18"/>
  <c r="W50" i="18" s="1"/>
  <c r="AY3" i="18"/>
  <c r="Y3" i="18" s="1"/>
  <c r="AX310" i="18"/>
  <c r="X310" i="18" s="1"/>
  <c r="AY303" i="18"/>
  <c r="Y303" i="18" s="1"/>
  <c r="AX258" i="18"/>
  <c r="X258" i="18" s="1"/>
  <c r="AY215" i="18"/>
  <c r="Y215" i="18" s="1"/>
  <c r="AW209" i="18"/>
  <c r="W209" i="18" s="1"/>
  <c r="AW201" i="18"/>
  <c r="W201" i="18" s="1"/>
  <c r="AY134" i="18"/>
  <c r="Y134" i="18" s="1"/>
  <c r="AW133" i="18"/>
  <c r="W133" i="18" s="1"/>
  <c r="AX129" i="18"/>
  <c r="X129" i="18" s="1"/>
  <c r="AY100" i="18"/>
  <c r="Y100" i="18" s="1"/>
  <c r="AX95" i="18"/>
  <c r="X95" i="18" s="1"/>
  <c r="AW66" i="18"/>
  <c r="W66" i="18" s="1"/>
  <c r="AW34" i="18"/>
  <c r="W34" i="18" s="1"/>
  <c r="AY28" i="18"/>
  <c r="Y28" i="18" s="1"/>
  <c r="AW321" i="18"/>
  <c r="W321" i="18" s="1"/>
  <c r="AW289" i="18"/>
  <c r="W289" i="18" s="1"/>
  <c r="AY283" i="18"/>
  <c r="Y283" i="18" s="1"/>
  <c r="AW185" i="18"/>
  <c r="W185" i="18" s="1"/>
  <c r="AX178" i="18"/>
  <c r="X178" i="18" s="1"/>
  <c r="AX170" i="18"/>
  <c r="X170" i="18" s="1"/>
  <c r="AX140" i="18"/>
  <c r="X140" i="18" s="1"/>
  <c r="AX111" i="18"/>
  <c r="X111" i="18" s="1"/>
  <c r="AW110" i="18"/>
  <c r="W110" i="18" s="1"/>
  <c r="AX103" i="18"/>
  <c r="X103" i="18" s="1"/>
  <c r="AY44" i="18"/>
  <c r="Y44" i="18" s="1"/>
  <c r="AY12" i="18"/>
  <c r="Y12" i="18" s="1"/>
  <c r="AY8" i="18"/>
  <c r="Y8" i="18" s="1"/>
  <c r="AY299" i="18"/>
  <c r="Y299" i="18" s="1"/>
  <c r="AY267" i="18"/>
  <c r="Y267" i="18" s="1"/>
  <c r="AX262" i="18"/>
  <c r="X262" i="18" s="1"/>
  <c r="AW161" i="18"/>
  <c r="W161" i="18" s="1"/>
  <c r="AY151" i="18"/>
  <c r="Y151" i="18" s="1"/>
  <c r="AY334" i="18"/>
  <c r="Y334" i="18" s="1"/>
  <c r="AW142" i="18"/>
  <c r="W142" i="18" s="1"/>
  <c r="AW136" i="18"/>
  <c r="W136" i="18" s="1"/>
  <c r="AX134" i="18"/>
  <c r="X134" i="18" s="1"/>
  <c r="AW128" i="18"/>
  <c r="W128" i="18" s="1"/>
  <c r="AX121" i="18"/>
  <c r="X121" i="18" s="1"/>
  <c r="AY146" i="18"/>
  <c r="Y146" i="18" s="1"/>
  <c r="AY145" i="18"/>
  <c r="Y145" i="18" s="1"/>
  <c r="AY138" i="18"/>
  <c r="Y138" i="18" s="1"/>
  <c r="AW132" i="18"/>
  <c r="W132" i="18" s="1"/>
  <c r="AX125" i="18"/>
  <c r="X125" i="18" s="1"/>
  <c r="AW106" i="18"/>
  <c r="W106" i="18" s="1"/>
  <c r="AW105" i="18"/>
  <c r="W105" i="18" s="1"/>
  <c r="AW98" i="18"/>
  <c r="W98" i="18" s="1"/>
  <c r="AW86" i="18"/>
  <c r="W86" i="18" s="1"/>
  <c r="AW74" i="18"/>
  <c r="W74" i="18" s="1"/>
  <c r="AX67" i="18"/>
  <c r="X67" i="18" s="1"/>
  <c r="AX66" i="18"/>
  <c r="X66" i="18" s="1"/>
  <c r="AW59" i="18"/>
  <c r="W59" i="18" s="1"/>
  <c r="AW46" i="18"/>
  <c r="W46" i="18" s="1"/>
  <c r="AW38" i="18"/>
  <c r="W38" i="18" s="1"/>
  <c r="AX31" i="18"/>
  <c r="X31" i="18" s="1"/>
  <c r="AY24" i="18"/>
  <c r="Y24" i="18" s="1"/>
  <c r="AY291" i="18"/>
  <c r="Y291" i="18" s="1"/>
  <c r="AW285" i="18"/>
  <c r="W285" i="18" s="1"/>
  <c r="AY271" i="18"/>
  <c r="Y271" i="18" s="1"/>
  <c r="AX270" i="18"/>
  <c r="X270" i="18" s="1"/>
  <c r="AY263" i="18"/>
  <c r="Y263" i="18" s="1"/>
  <c r="AY258" i="18"/>
  <c r="Y258" i="18" s="1"/>
  <c r="AX250" i="18"/>
  <c r="X250" i="18" s="1"/>
  <c r="AW249" i="18"/>
  <c r="W249" i="18" s="1"/>
  <c r="AW241" i="18"/>
  <c r="W241" i="18" s="1"/>
  <c r="AW221" i="18"/>
  <c r="W221" i="18" s="1"/>
  <c r="AX218" i="18"/>
  <c r="X218" i="18" s="1"/>
  <c r="AX210" i="18"/>
  <c r="X210" i="18" s="1"/>
  <c r="AX190" i="18"/>
  <c r="X190" i="18" s="1"/>
  <c r="AW189" i="18"/>
  <c r="W189" i="18" s="1"/>
  <c r="AX154" i="18"/>
  <c r="X154" i="18" s="1"/>
  <c r="AW335" i="18"/>
  <c r="W335" i="18" s="1"/>
  <c r="AX141" i="18"/>
  <c r="X141" i="18" s="1"/>
  <c r="AW78" i="18"/>
  <c r="W78" i="18" s="1"/>
  <c r="AX68" i="18"/>
  <c r="X68" i="18" s="1"/>
  <c r="AW62" i="18"/>
  <c r="W62" i="18" s="1"/>
  <c r="AW54" i="18"/>
  <c r="W54" i="18" s="1"/>
  <c r="AX47" i="18"/>
  <c r="X47" i="18" s="1"/>
  <c r="AY40" i="18"/>
  <c r="Y40" i="18" s="1"/>
  <c r="AW26" i="18"/>
  <c r="W26" i="18" s="1"/>
  <c r="AX19" i="18"/>
  <c r="X19" i="18" s="1"/>
  <c r="AY315" i="18"/>
  <c r="Y315" i="18" s="1"/>
  <c r="AW309" i="18"/>
  <c r="W309" i="18" s="1"/>
  <c r="AY287" i="18"/>
  <c r="Y287" i="18" s="1"/>
  <c r="AX286" i="18"/>
  <c r="X286" i="18" s="1"/>
  <c r="AY279" i="18"/>
  <c r="Y279" i="18" s="1"/>
  <c r="AW265" i="18"/>
  <c r="W265" i="18" s="1"/>
  <c r="AX260" i="18"/>
  <c r="X260" i="18" s="1"/>
  <c r="AY243" i="18"/>
  <c r="Y243" i="18" s="1"/>
  <c r="AX242" i="18"/>
  <c r="X242" i="18" s="1"/>
  <c r="AW233" i="18"/>
  <c r="W233" i="18" s="1"/>
  <c r="AW213" i="18"/>
  <c r="W213" i="18" s="1"/>
  <c r="AY211" i="18"/>
  <c r="Y211" i="18" s="1"/>
  <c r="AX202" i="18"/>
  <c r="X202" i="18" s="1"/>
  <c r="AY195" i="18"/>
  <c r="Y195" i="18" s="1"/>
  <c r="AY183" i="18"/>
  <c r="Y183" i="18" s="1"/>
  <c r="AW181" i="18"/>
  <c r="W181" i="18" s="1"/>
  <c r="AW173" i="18"/>
  <c r="W173" i="18" s="1"/>
  <c r="AX158" i="18"/>
  <c r="X158" i="18" s="1"/>
  <c r="AW114" i="18"/>
  <c r="W114" i="18" s="1"/>
  <c r="AY111" i="18"/>
  <c r="Y111" i="18" s="1"/>
  <c r="AW102" i="18"/>
  <c r="W102" i="18" s="1"/>
  <c r="AW90" i="18"/>
  <c r="W90" i="18" s="1"/>
  <c r="AW82" i="18"/>
  <c r="W82" i="18" s="1"/>
  <c r="AW70" i="18"/>
  <c r="W70" i="18" s="1"/>
  <c r="AX63" i="18"/>
  <c r="X63" i="18" s="1"/>
  <c r="AY56" i="18"/>
  <c r="Y56" i="18" s="1"/>
  <c r="AW42" i="18"/>
  <c r="W42" i="18" s="1"/>
  <c r="AX35" i="18"/>
  <c r="X35" i="18" s="1"/>
  <c r="AW14" i="18"/>
  <c r="W14" i="18" s="1"/>
  <c r="AW281" i="18"/>
  <c r="W281" i="18" s="1"/>
  <c r="AX274" i="18"/>
  <c r="X274" i="18" s="1"/>
  <c r="AW260" i="18"/>
  <c r="W260" i="18" s="1"/>
  <c r="AW253" i="18"/>
  <c r="W253" i="18" s="1"/>
  <c r="AW237" i="18"/>
  <c r="W237" i="18" s="1"/>
  <c r="AX234" i="18"/>
  <c r="X234" i="18" s="1"/>
  <c r="AW225" i="18"/>
  <c r="W225" i="18" s="1"/>
  <c r="AX206" i="18"/>
  <c r="X206" i="18" s="1"/>
  <c r="AW205" i="18"/>
  <c r="W205" i="18" s="1"/>
  <c r="AW177" i="18"/>
  <c r="W177" i="18" s="1"/>
  <c r="AX174" i="18"/>
  <c r="X174" i="18" s="1"/>
  <c r="AW165" i="18"/>
  <c r="W165" i="18" s="1"/>
  <c r="AX336" i="18"/>
  <c r="X336" i="18" s="1"/>
  <c r="AW120" i="18"/>
  <c r="W120" i="18" s="1"/>
  <c r="AY88" i="18"/>
  <c r="Y88" i="18" s="1"/>
  <c r="AW149" i="18"/>
  <c r="W149" i="18" s="1"/>
  <c r="AW144" i="18"/>
  <c r="W144" i="18" s="1"/>
  <c r="AW143" i="18"/>
  <c r="W143" i="18" s="1"/>
  <c r="AX137" i="18"/>
  <c r="X137" i="18" s="1"/>
  <c r="AY130" i="18"/>
  <c r="Y130" i="18" s="1"/>
  <c r="AY129" i="18"/>
  <c r="Y129" i="18" s="1"/>
  <c r="AY122" i="18"/>
  <c r="Y122" i="18" s="1"/>
  <c r="AX115" i="18"/>
  <c r="X115" i="18" s="1"/>
  <c r="AY104" i="18"/>
  <c r="Y104" i="18" s="1"/>
  <c r="AY103" i="18"/>
  <c r="Y103" i="18" s="1"/>
  <c r="AW94" i="18"/>
  <c r="W94" i="18" s="1"/>
  <c r="AY84" i="18"/>
  <c r="Y84" i="18" s="1"/>
  <c r="AY72" i="18"/>
  <c r="Y72" i="18" s="1"/>
  <c r="AY64" i="18"/>
  <c r="Y64" i="18" s="1"/>
  <c r="AW58" i="18"/>
  <c r="W58" i="18" s="1"/>
  <c r="AX51" i="18"/>
  <c r="X51" i="18" s="1"/>
  <c r="AW30" i="18"/>
  <c r="W30" i="18" s="1"/>
  <c r="AW22" i="18"/>
  <c r="W22" i="18" s="1"/>
  <c r="AX15" i="18"/>
  <c r="X15" i="18" s="1"/>
  <c r="AX326" i="18"/>
  <c r="X326" i="18" s="1"/>
  <c r="AY320" i="18"/>
  <c r="Y320" i="18" s="1"/>
  <c r="AW305" i="18"/>
  <c r="W305" i="18" s="1"/>
  <c r="AW297" i="18"/>
  <c r="W297" i="18" s="1"/>
  <c r="AX290" i="18"/>
  <c r="X290" i="18" s="1"/>
  <c r="AW277" i="18"/>
  <c r="W277" i="18" s="1"/>
  <c r="AY275" i="18"/>
  <c r="Y275" i="18" s="1"/>
  <c r="AW269" i="18"/>
  <c r="W269" i="18" s="1"/>
  <c r="AX257" i="18"/>
  <c r="X257" i="18" s="1"/>
  <c r="AY254" i="18"/>
  <c r="Y254" i="18" s="1"/>
  <c r="AY247" i="18"/>
  <c r="Y247" i="18" s="1"/>
  <c r="AW229" i="18"/>
  <c r="W229" i="18" s="1"/>
  <c r="AY227" i="18"/>
  <c r="Y227" i="18" s="1"/>
  <c r="AW217" i="18"/>
  <c r="W217" i="18" s="1"/>
  <c r="AY199" i="18"/>
  <c r="Y199" i="18" s="1"/>
  <c r="AW197" i="18"/>
  <c r="W197" i="18" s="1"/>
  <c r="AX186" i="18"/>
  <c r="X186" i="18" s="1"/>
  <c r="AY179" i="18"/>
  <c r="Y179" i="18" s="1"/>
  <c r="AW169" i="18"/>
  <c r="W169" i="18" s="1"/>
  <c r="AY167" i="18"/>
  <c r="Y167" i="18" s="1"/>
  <c r="AW153" i="18"/>
  <c r="W153" i="18" s="1"/>
  <c r="AX135" i="18"/>
  <c r="X135" i="18" s="1"/>
  <c r="AW127" i="18"/>
  <c r="W127" i="18" s="1"/>
  <c r="AX124" i="18"/>
  <c r="X124" i="18" s="1"/>
  <c r="AX119" i="18"/>
  <c r="X119" i="18" s="1"/>
  <c r="AX118" i="18"/>
  <c r="X118" i="18" s="1"/>
  <c r="AW117" i="18"/>
  <c r="W117" i="18" s="1"/>
  <c r="AY61" i="18"/>
  <c r="Y61" i="18" s="1"/>
  <c r="AX52" i="18"/>
  <c r="X52" i="18" s="1"/>
  <c r="AX50" i="18"/>
  <c r="X50" i="18" s="1"/>
  <c r="AX49" i="18"/>
  <c r="X49" i="18" s="1"/>
  <c r="AW48" i="18"/>
  <c r="W48" i="18" s="1"/>
  <c r="AY45" i="18"/>
  <c r="Y45" i="18" s="1"/>
  <c r="AW43" i="18"/>
  <c r="W43" i="18" s="1"/>
  <c r="AW41" i="18"/>
  <c r="W41" i="18" s="1"/>
  <c r="AX36" i="18"/>
  <c r="X36" i="18" s="1"/>
  <c r="AX34" i="18"/>
  <c r="X34" i="18" s="1"/>
  <c r="AW32" i="18"/>
  <c r="W32" i="18" s="1"/>
  <c r="AY29" i="18"/>
  <c r="Y29" i="18" s="1"/>
  <c r="AW27" i="18"/>
  <c r="W27" i="18" s="1"/>
  <c r="AW25" i="18"/>
  <c r="W25" i="18" s="1"/>
  <c r="AY23" i="18"/>
  <c r="Y23" i="18" s="1"/>
  <c r="AX20" i="18"/>
  <c r="X20" i="18" s="1"/>
  <c r="AX18" i="18"/>
  <c r="X18" i="18" s="1"/>
  <c r="AX17" i="18"/>
  <c r="X17" i="18" s="1"/>
  <c r="AY9" i="18"/>
  <c r="Y9" i="18" s="1"/>
  <c r="AW7" i="18"/>
  <c r="W7" i="18" s="1"/>
  <c r="AW6" i="18"/>
  <c r="W6" i="18" s="1"/>
  <c r="AX332" i="18"/>
  <c r="X332" i="18" s="1"/>
  <c r="AW330" i="18"/>
  <c r="W330" i="18" s="1"/>
  <c r="AW329" i="18"/>
  <c r="W329" i="18" s="1"/>
  <c r="AX329" i="18"/>
  <c r="X329" i="18" s="1"/>
  <c r="AW318" i="18"/>
  <c r="W318" i="18" s="1"/>
  <c r="AX318" i="18"/>
  <c r="X318" i="18" s="1"/>
  <c r="AX307" i="18"/>
  <c r="X307" i="18" s="1"/>
  <c r="AY307" i="18"/>
  <c r="Y307" i="18" s="1"/>
  <c r="AY300" i="18"/>
  <c r="Y300" i="18" s="1"/>
  <c r="AW293" i="18"/>
  <c r="W293" i="18" s="1"/>
  <c r="AX73" i="18"/>
  <c r="X73" i="18" s="1"/>
  <c r="AW57" i="18"/>
  <c r="W57" i="18" s="1"/>
  <c r="AX149" i="18"/>
  <c r="X149" i="18" s="1"/>
  <c r="AY149" i="18"/>
  <c r="Y149" i="18" s="1"/>
  <c r="AW147" i="18"/>
  <c r="W147" i="18" s="1"/>
  <c r="AW146" i="18"/>
  <c r="W146" i="18" s="1"/>
  <c r="AX144" i="18"/>
  <c r="X144" i="18" s="1"/>
  <c r="AX139" i="18"/>
  <c r="X139" i="18" s="1"/>
  <c r="AX138" i="18"/>
  <c r="X138" i="18" s="1"/>
  <c r="AW137" i="18"/>
  <c r="W137" i="18" s="1"/>
  <c r="AX133" i="18"/>
  <c r="X133" i="18" s="1"/>
  <c r="AY133" i="18"/>
  <c r="Y133" i="18" s="1"/>
  <c r="AW131" i="18"/>
  <c r="W131" i="18" s="1"/>
  <c r="AW130" i="18"/>
  <c r="W130" i="18" s="1"/>
  <c r="AX128" i="18"/>
  <c r="X128" i="18" s="1"/>
  <c r="AX123" i="18"/>
  <c r="X123" i="18" s="1"/>
  <c r="AX122" i="18"/>
  <c r="X122" i="18" s="1"/>
  <c r="AW121" i="18"/>
  <c r="W121" i="18" s="1"/>
  <c r="AX117" i="18"/>
  <c r="X117" i="18" s="1"/>
  <c r="AY117" i="18"/>
  <c r="Y117" i="18" s="1"/>
  <c r="AW115" i="18"/>
  <c r="W115" i="18" s="1"/>
  <c r="AW113" i="18"/>
  <c r="W113" i="18" s="1"/>
  <c r="AW97" i="18"/>
  <c r="W97" i="18" s="1"/>
  <c r="AX83" i="18"/>
  <c r="X83" i="18" s="1"/>
  <c r="AX70" i="18"/>
  <c r="X70" i="18" s="1"/>
  <c r="AY65" i="18"/>
  <c r="Y65" i="18" s="1"/>
  <c r="AW63" i="18"/>
  <c r="W63" i="18" s="1"/>
  <c r="AW61" i="18"/>
  <c r="W61" i="18" s="1"/>
  <c r="AX59" i="18"/>
  <c r="X59" i="18" s="1"/>
  <c r="AX56" i="18"/>
  <c r="X56" i="18" s="1"/>
  <c r="AX54" i="18"/>
  <c r="X54" i="18" s="1"/>
  <c r="AY49" i="18"/>
  <c r="Y49" i="18" s="1"/>
  <c r="AY48" i="18"/>
  <c r="Y48" i="18" s="1"/>
  <c r="AW47" i="18"/>
  <c r="W47" i="18" s="1"/>
  <c r="AW45" i="18"/>
  <c r="W45" i="18" s="1"/>
  <c r="AX43" i="18"/>
  <c r="X43" i="18" s="1"/>
  <c r="AX40" i="18"/>
  <c r="X40" i="18" s="1"/>
  <c r="AX38" i="18"/>
  <c r="X38" i="18" s="1"/>
  <c r="AW36" i="18"/>
  <c r="W36" i="18" s="1"/>
  <c r="AY33" i="18"/>
  <c r="Y33" i="18" s="1"/>
  <c r="AY32" i="18"/>
  <c r="Y32" i="18" s="1"/>
  <c r="AW31" i="18"/>
  <c r="W31" i="18" s="1"/>
  <c r="AW29" i="18"/>
  <c r="W29" i="18" s="1"/>
  <c r="AX27" i="18"/>
  <c r="X27" i="18" s="1"/>
  <c r="AX24" i="18"/>
  <c r="X24" i="18" s="1"/>
  <c r="AX12" i="18"/>
  <c r="X12" i="18" s="1"/>
  <c r="AW10" i="18"/>
  <c r="W10" i="18" s="1"/>
  <c r="AX7" i="18"/>
  <c r="X7" i="18" s="1"/>
  <c r="AX333" i="18"/>
  <c r="X333" i="18" s="1"/>
  <c r="AY331" i="18"/>
  <c r="Y331" i="18" s="1"/>
  <c r="AY330" i="18"/>
  <c r="Y330" i="18" s="1"/>
  <c r="AY323" i="18"/>
  <c r="Y323" i="18" s="1"/>
  <c r="AX322" i="18"/>
  <c r="X322" i="18" s="1"/>
  <c r="AY322" i="18"/>
  <c r="Y322" i="18" s="1"/>
  <c r="AX320" i="18"/>
  <c r="X320" i="18" s="1"/>
  <c r="AY312" i="18"/>
  <c r="Y312" i="18" s="1"/>
  <c r="AY311" i="18"/>
  <c r="Y311" i="18" s="1"/>
  <c r="AW301" i="18"/>
  <c r="W301" i="18" s="1"/>
  <c r="AX148" i="18"/>
  <c r="X148" i="18" s="1"/>
  <c r="AX143" i="18"/>
  <c r="X143" i="18" s="1"/>
  <c r="AY142" i="18"/>
  <c r="Y142" i="18" s="1"/>
  <c r="AX142" i="18"/>
  <c r="X142" i="18" s="1"/>
  <c r="AW141" i="18"/>
  <c r="W141" i="18" s="1"/>
  <c r="AY137" i="18"/>
  <c r="Y137" i="18" s="1"/>
  <c r="AW135" i="18"/>
  <c r="W135" i="18" s="1"/>
  <c r="AW134" i="18"/>
  <c r="W134" i="18" s="1"/>
  <c r="AX132" i="18"/>
  <c r="X132" i="18" s="1"/>
  <c r="AX127" i="18"/>
  <c r="X127" i="18" s="1"/>
  <c r="AY126" i="18"/>
  <c r="Y126" i="18" s="1"/>
  <c r="AX126" i="18"/>
  <c r="X126" i="18" s="1"/>
  <c r="AW125" i="18"/>
  <c r="W125" i="18" s="1"/>
  <c r="AY121" i="18"/>
  <c r="Y121" i="18" s="1"/>
  <c r="AW119" i="18"/>
  <c r="W119" i="18" s="1"/>
  <c r="AW118" i="18"/>
  <c r="W118" i="18" s="1"/>
  <c r="AY116" i="18"/>
  <c r="Y116" i="18" s="1"/>
  <c r="AW112" i="18"/>
  <c r="W112" i="18" s="1"/>
  <c r="AW104" i="18"/>
  <c r="W104" i="18" s="1"/>
  <c r="AW96" i="18"/>
  <c r="W96" i="18" s="1"/>
  <c r="AX89" i="18"/>
  <c r="X89" i="18" s="1"/>
  <c r="AW88" i="18"/>
  <c r="W88" i="18" s="1"/>
  <c r="AW80" i="18"/>
  <c r="W80" i="18" s="1"/>
  <c r="AY69" i="18"/>
  <c r="Y69" i="18" s="1"/>
  <c r="AY68" i="18"/>
  <c r="Y68" i="18" s="1"/>
  <c r="AW67" i="18"/>
  <c r="W67" i="18" s="1"/>
  <c r="AX65" i="18"/>
  <c r="X65" i="18" s="1"/>
  <c r="AX60" i="18"/>
  <c r="X60" i="18" s="1"/>
  <c r="AX58" i="18"/>
  <c r="X58" i="18" s="1"/>
  <c r="AW56" i="18"/>
  <c r="W56" i="18" s="1"/>
  <c r="AY53" i="18"/>
  <c r="Y53" i="18" s="1"/>
  <c r="AY52" i="18"/>
  <c r="Y52" i="18" s="1"/>
  <c r="AW51" i="18"/>
  <c r="W51" i="18" s="1"/>
  <c r="AX44" i="18"/>
  <c r="X44" i="18" s="1"/>
  <c r="AX42" i="18"/>
  <c r="X42" i="18" s="1"/>
  <c r="AW40" i="18"/>
  <c r="W40" i="18" s="1"/>
  <c r="AY37" i="18"/>
  <c r="Y37" i="18" s="1"/>
  <c r="AY36" i="18"/>
  <c r="Y36" i="18" s="1"/>
  <c r="AW35" i="18"/>
  <c r="W35" i="18" s="1"/>
  <c r="AW33" i="18"/>
  <c r="W33" i="18" s="1"/>
  <c r="AX28" i="18"/>
  <c r="X28" i="18" s="1"/>
  <c r="AX26" i="18"/>
  <c r="X26" i="18" s="1"/>
  <c r="AW24" i="18"/>
  <c r="W24" i="18" s="1"/>
  <c r="AY21" i="18"/>
  <c r="Y21" i="18" s="1"/>
  <c r="AY20" i="18"/>
  <c r="Y20" i="18" s="1"/>
  <c r="AW19" i="18"/>
  <c r="W19" i="18" s="1"/>
  <c r="AX16" i="18"/>
  <c r="X16" i="18" s="1"/>
  <c r="AX14" i="18"/>
  <c r="X14" i="18" s="1"/>
  <c r="AX13" i="18"/>
  <c r="X13" i="18" s="1"/>
  <c r="AW12" i="18"/>
  <c r="W12" i="18" s="1"/>
  <c r="AW11" i="18"/>
  <c r="W11" i="18" s="1"/>
  <c r="AX11" i="18"/>
  <c r="X11" i="18" s="1"/>
  <c r="AW3" i="18"/>
  <c r="W3" i="18" s="1"/>
  <c r="AY326" i="18"/>
  <c r="Y326" i="18" s="1"/>
  <c r="AW324" i="18"/>
  <c r="W324" i="18" s="1"/>
  <c r="AY316" i="18"/>
  <c r="Y316" i="18" s="1"/>
  <c r="AW314" i="18"/>
  <c r="W314" i="18" s="1"/>
  <c r="AW313" i="18"/>
  <c r="W313" i="18" s="1"/>
  <c r="AW302" i="18"/>
  <c r="W302" i="18" s="1"/>
  <c r="AX302" i="18"/>
  <c r="X302" i="18" s="1"/>
  <c r="AY296" i="18"/>
  <c r="Y296" i="18" s="1"/>
  <c r="AY295" i="18"/>
  <c r="Y295" i="18" s="1"/>
  <c r="AX147" i="18"/>
  <c r="X147" i="18" s="1"/>
  <c r="AX146" i="18"/>
  <c r="X146" i="18" s="1"/>
  <c r="AW145" i="18"/>
  <c r="W145" i="18" s="1"/>
  <c r="AY141" i="18"/>
  <c r="Y141" i="18" s="1"/>
  <c r="AW139" i="18"/>
  <c r="W139" i="18" s="1"/>
  <c r="AW138" i="18"/>
  <c r="W138" i="18" s="1"/>
  <c r="AX136" i="18"/>
  <c r="X136" i="18" s="1"/>
  <c r="AX131" i="18"/>
  <c r="X131" i="18" s="1"/>
  <c r="AX130" i="18"/>
  <c r="X130" i="18" s="1"/>
  <c r="AW129" i="18"/>
  <c r="W129" i="18" s="1"/>
  <c r="AY125" i="18"/>
  <c r="Y125" i="18" s="1"/>
  <c r="AW123" i="18"/>
  <c r="W123" i="18" s="1"/>
  <c r="AW122" i="18"/>
  <c r="W122" i="18" s="1"/>
  <c r="AX120" i="18"/>
  <c r="X120" i="18" s="1"/>
  <c r="AX92" i="18"/>
  <c r="X92" i="18" s="1"/>
  <c r="AX81" i="18"/>
  <c r="X81" i="18" s="1"/>
  <c r="AX76" i="18"/>
  <c r="X76" i="18" s="1"/>
  <c r="AW71" i="18"/>
  <c r="W71" i="18" s="1"/>
  <c r="AX64" i="18"/>
  <c r="X64" i="18" s="1"/>
  <c r="AX62" i="18"/>
  <c r="X62" i="18" s="1"/>
  <c r="AW60" i="18"/>
  <c r="W60" i="18" s="1"/>
  <c r="AY57" i="18"/>
  <c r="Y57" i="18" s="1"/>
  <c r="AW55" i="18"/>
  <c r="W55" i="18" s="1"/>
  <c r="AX48" i="18"/>
  <c r="X48" i="18" s="1"/>
  <c r="AX46" i="18"/>
  <c r="X46" i="18" s="1"/>
  <c r="AX45" i="18"/>
  <c r="X45" i="18" s="1"/>
  <c r="AW44" i="18"/>
  <c r="W44" i="18" s="1"/>
  <c r="AY41" i="18"/>
  <c r="Y41" i="18" s="1"/>
  <c r="AW39" i="18"/>
  <c r="W39" i="18" s="1"/>
  <c r="AW37" i="18"/>
  <c r="W37" i="18" s="1"/>
  <c r="AX32" i="18"/>
  <c r="X32" i="18" s="1"/>
  <c r="AX30" i="18"/>
  <c r="X30" i="18" s="1"/>
  <c r="AW28" i="18"/>
  <c r="W28" i="18" s="1"/>
  <c r="AY25" i="18"/>
  <c r="Y25" i="18" s="1"/>
  <c r="AW23" i="18"/>
  <c r="W23" i="18" s="1"/>
  <c r="AW16" i="18"/>
  <c r="W16" i="18" s="1"/>
  <c r="AY16" i="18"/>
  <c r="Y16" i="18" s="1"/>
  <c r="AY13" i="18"/>
  <c r="Y13" i="18" s="1"/>
  <c r="AX5" i="18"/>
  <c r="X5" i="18" s="1"/>
  <c r="AX4" i="18"/>
  <c r="X4" i="18" s="1"/>
  <c r="AY4" i="18"/>
  <c r="Y4" i="18" s="1"/>
  <c r="AW328" i="18"/>
  <c r="W328" i="18" s="1"/>
  <c r="AY327" i="18"/>
  <c r="Y327" i="18" s="1"/>
  <c r="AX325" i="18"/>
  <c r="X325" i="18" s="1"/>
  <c r="AW317" i="18"/>
  <c r="W317" i="18" s="1"/>
  <c r="AX306" i="18"/>
  <c r="X306" i="18" s="1"/>
  <c r="AW298" i="18"/>
  <c r="W298" i="18" s="1"/>
  <c r="AX298" i="18"/>
  <c r="X298" i="18" s="1"/>
  <c r="AX22" i="18"/>
  <c r="X22" i="18" s="1"/>
  <c r="AY17" i="18"/>
  <c r="Y17" i="18" s="1"/>
  <c r="AW15" i="18"/>
  <c r="W15" i="18" s="1"/>
  <c r="AX8" i="18"/>
  <c r="X8" i="18" s="1"/>
  <c r="AX6" i="18"/>
  <c r="X6" i="18" s="1"/>
  <c r="AW4" i="18"/>
  <c r="W4" i="18" s="1"/>
  <c r="AW333" i="18"/>
  <c r="W333" i="18" s="1"/>
  <c r="AX331" i="18"/>
  <c r="X331" i="18" s="1"/>
  <c r="AY329" i="18"/>
  <c r="Y329" i="18" s="1"/>
  <c r="AX324" i="18"/>
  <c r="X324" i="18" s="1"/>
  <c r="AW322" i="18"/>
  <c r="W322" i="18" s="1"/>
  <c r="AY308" i="18"/>
  <c r="Y308" i="18" s="1"/>
  <c r="AW306" i="18"/>
  <c r="W306" i="18" s="1"/>
  <c r="AY304" i="18"/>
  <c r="Y304" i="18" s="1"/>
  <c r="AY292" i="18"/>
  <c r="Y292" i="18" s="1"/>
  <c r="AW290" i="18"/>
  <c r="W290" i="18" s="1"/>
  <c r="AY288" i="18"/>
  <c r="Y288" i="18" s="1"/>
  <c r="AY276" i="18"/>
  <c r="Y276" i="18" s="1"/>
  <c r="AW274" i="18"/>
  <c r="W274" i="18" s="1"/>
  <c r="AY272" i="18"/>
  <c r="Y272" i="18" s="1"/>
  <c r="AY261" i="18"/>
  <c r="Y261" i="18" s="1"/>
  <c r="AY255" i="18"/>
  <c r="Y255" i="18" s="1"/>
  <c r="AY240" i="18"/>
  <c r="Y240" i="18" s="1"/>
  <c r="AX228" i="18"/>
  <c r="X228" i="18" s="1"/>
  <c r="AX227" i="18"/>
  <c r="X227" i="18" s="1"/>
  <c r="AY224" i="18"/>
  <c r="Y224" i="18" s="1"/>
  <c r="AX211" i="18"/>
  <c r="X211" i="18" s="1"/>
  <c r="AY172" i="18"/>
  <c r="Y172" i="18" s="1"/>
  <c r="AX167" i="18"/>
  <c r="X167" i="18" s="1"/>
  <c r="AW157" i="18"/>
  <c r="W157" i="18" s="1"/>
  <c r="AX10" i="18"/>
  <c r="X10" i="18" s="1"/>
  <c r="AX9" i="18"/>
  <c r="X9" i="18" s="1"/>
  <c r="AW8" i="18"/>
  <c r="W8" i="18" s="1"/>
  <c r="AY5" i="18"/>
  <c r="Y5" i="18" s="1"/>
  <c r="AY333" i="18"/>
  <c r="Y333" i="18" s="1"/>
  <c r="AW331" i="18"/>
  <c r="W331" i="18" s="1"/>
  <c r="AX330" i="18"/>
  <c r="X330" i="18" s="1"/>
  <c r="AX328" i="18"/>
  <c r="X328" i="18" s="1"/>
  <c r="AW326" i="18"/>
  <c r="W326" i="18" s="1"/>
  <c r="AW325" i="18"/>
  <c r="W325" i="18" s="1"/>
  <c r="AY319" i="18"/>
  <c r="Y319" i="18" s="1"/>
  <c r="AW310" i="18"/>
  <c r="W310" i="18" s="1"/>
  <c r="AX299" i="18"/>
  <c r="X299" i="18" s="1"/>
  <c r="AW294" i="18"/>
  <c r="W294" i="18" s="1"/>
  <c r="AX283" i="18"/>
  <c r="X283" i="18" s="1"/>
  <c r="AW278" i="18"/>
  <c r="W278" i="18" s="1"/>
  <c r="AX267" i="18"/>
  <c r="X267" i="18" s="1"/>
  <c r="AX247" i="18"/>
  <c r="X247" i="18" s="1"/>
  <c r="AY208" i="18"/>
  <c r="Y208" i="18" s="1"/>
  <c r="AX195" i="18"/>
  <c r="X195" i="18" s="1"/>
  <c r="AY192" i="18"/>
  <c r="Y192" i="18" s="1"/>
  <c r="AX179" i="18"/>
  <c r="X179" i="18" s="1"/>
  <c r="AX162" i="18"/>
  <c r="X162" i="18" s="1"/>
  <c r="AX335" i="18"/>
  <c r="X335" i="18" s="1"/>
  <c r="AY284" i="18"/>
  <c r="Y284" i="18" s="1"/>
  <c r="AW282" i="18"/>
  <c r="W282" i="18" s="1"/>
  <c r="AY280" i="18"/>
  <c r="Y280" i="18" s="1"/>
  <c r="AY268" i="18"/>
  <c r="Y268" i="18" s="1"/>
  <c r="AW266" i="18"/>
  <c r="W266" i="18" s="1"/>
  <c r="AY264" i="18"/>
  <c r="Y264" i="18" s="1"/>
  <c r="AY236" i="18"/>
  <c r="Y236" i="18" s="1"/>
  <c r="AX231" i="18"/>
  <c r="X231" i="18" s="1"/>
  <c r="AY220" i="18"/>
  <c r="Y220" i="18" s="1"/>
  <c r="AX215" i="18"/>
  <c r="X215" i="18" s="1"/>
  <c r="AY176" i="18"/>
  <c r="Y176" i="18" s="1"/>
  <c r="AX163" i="18"/>
  <c r="X163" i="18" s="1"/>
  <c r="AY160" i="18"/>
  <c r="Y160" i="18" s="1"/>
  <c r="AX334" i="18"/>
  <c r="X334" i="18" s="1"/>
  <c r="AX291" i="18"/>
  <c r="X291" i="18" s="1"/>
  <c r="AW286" i="18"/>
  <c r="W286" i="18" s="1"/>
  <c r="AX282" i="18"/>
  <c r="X282" i="18" s="1"/>
  <c r="AX275" i="18"/>
  <c r="X275" i="18" s="1"/>
  <c r="AW270" i="18"/>
  <c r="W270" i="18" s="1"/>
  <c r="AX266" i="18"/>
  <c r="X266" i="18" s="1"/>
  <c r="AX243" i="18"/>
  <c r="X243" i="18" s="1"/>
  <c r="AX226" i="18"/>
  <c r="X226" i="18" s="1"/>
  <c r="AY204" i="18"/>
  <c r="Y204" i="18" s="1"/>
  <c r="AX200" i="18"/>
  <c r="X200" i="18" s="1"/>
  <c r="AX199" i="18"/>
  <c r="X199" i="18" s="1"/>
  <c r="AY188" i="18"/>
  <c r="Y188" i="18" s="1"/>
  <c r="AX183" i="18"/>
  <c r="X183" i="18" s="1"/>
  <c r="AY156" i="18"/>
  <c r="Y156" i="18" s="1"/>
  <c r="AX151" i="18"/>
  <c r="X151" i="18" s="1"/>
  <c r="AW336" i="18"/>
  <c r="W336" i="18" s="1"/>
  <c r="AW334" i="18"/>
  <c r="W334" i="18" s="1"/>
  <c r="AY336" i="18"/>
  <c r="Y336" i="18" s="1"/>
  <c r="AY335" i="18"/>
  <c r="Y335" i="18" s="1"/>
  <c r="AW315" i="18"/>
  <c r="W315" i="18" s="1"/>
  <c r="AY305" i="18"/>
  <c r="Y305" i="18" s="1"/>
  <c r="AX305" i="18"/>
  <c r="X305" i="18" s="1"/>
  <c r="AX251" i="18"/>
  <c r="X251" i="18" s="1"/>
  <c r="AW251" i="18"/>
  <c r="W251" i="18" s="1"/>
  <c r="AY251" i="18"/>
  <c r="Y251" i="18" s="1"/>
  <c r="AW246" i="18"/>
  <c r="W246" i="18" s="1"/>
  <c r="AY246" i="18"/>
  <c r="Y246" i="18" s="1"/>
  <c r="AX246" i="18"/>
  <c r="X246" i="18" s="1"/>
  <c r="AY318" i="18"/>
  <c r="Y318" i="18" s="1"/>
  <c r="AW316" i="18"/>
  <c r="W316" i="18" s="1"/>
  <c r="AX315" i="18"/>
  <c r="X315" i="18" s="1"/>
  <c r="AX312" i="18"/>
  <c r="X312" i="18" s="1"/>
  <c r="AY310" i="18"/>
  <c r="Y310" i="18" s="1"/>
  <c r="AW308" i="18"/>
  <c r="W308" i="18" s="1"/>
  <c r="AX304" i="18"/>
  <c r="X304" i="18" s="1"/>
  <c r="AY302" i="18"/>
  <c r="Y302" i="18" s="1"/>
  <c r="AW300" i="18"/>
  <c r="W300" i="18" s="1"/>
  <c r="AX296" i="18"/>
  <c r="X296" i="18" s="1"/>
  <c r="AY294" i="18"/>
  <c r="Y294" i="18" s="1"/>
  <c r="AW292" i="18"/>
  <c r="W292" i="18" s="1"/>
  <c r="AX288" i="18"/>
  <c r="X288" i="18" s="1"/>
  <c r="AY286" i="18"/>
  <c r="Y286" i="18" s="1"/>
  <c r="AW284" i="18"/>
  <c r="W284" i="18" s="1"/>
  <c r="AX280" i="18"/>
  <c r="X280" i="18" s="1"/>
  <c r="AY278" i="18"/>
  <c r="Y278" i="18" s="1"/>
  <c r="AW276" i="18"/>
  <c r="W276" i="18" s="1"/>
  <c r="AX272" i="18"/>
  <c r="X272" i="18" s="1"/>
  <c r="AY270" i="18"/>
  <c r="Y270" i="18" s="1"/>
  <c r="AW268" i="18"/>
  <c r="W268" i="18" s="1"/>
  <c r="AX264" i="18"/>
  <c r="X264" i="18" s="1"/>
  <c r="AY262" i="18"/>
  <c r="Y262" i="18" s="1"/>
  <c r="AX261" i="18"/>
  <c r="X261" i="18" s="1"/>
  <c r="AW259" i="18"/>
  <c r="W259" i="18" s="1"/>
  <c r="AY259" i="18"/>
  <c r="Y259" i="18" s="1"/>
  <c r="AW257" i="18"/>
  <c r="W257" i="18" s="1"/>
  <c r="AY253" i="18"/>
  <c r="Y253" i="18" s="1"/>
  <c r="AX253" i="18"/>
  <c r="X253" i="18" s="1"/>
  <c r="AY252" i="18"/>
  <c r="Y252" i="18" s="1"/>
  <c r="AY248" i="18"/>
  <c r="Y248" i="18" s="1"/>
  <c r="AX248" i="18"/>
  <c r="X248" i="18" s="1"/>
  <c r="AW235" i="18"/>
  <c r="W235" i="18" s="1"/>
  <c r="AY235" i="18"/>
  <c r="Y235" i="18" s="1"/>
  <c r="AX233" i="18"/>
  <c r="X233" i="18" s="1"/>
  <c r="AY233" i="18"/>
  <c r="Y233" i="18" s="1"/>
  <c r="AW230" i="18"/>
  <c r="W230" i="18" s="1"/>
  <c r="AY230" i="18"/>
  <c r="Y230" i="18" s="1"/>
  <c r="AX230" i="18"/>
  <c r="X230" i="18" s="1"/>
  <c r="AX212" i="18"/>
  <c r="X212" i="18" s="1"/>
  <c r="AW210" i="18"/>
  <c r="W210" i="18" s="1"/>
  <c r="AY210" i="18"/>
  <c r="Y210" i="18" s="1"/>
  <c r="AW207" i="18"/>
  <c r="W207" i="18" s="1"/>
  <c r="AY207" i="18"/>
  <c r="Y207" i="18" s="1"/>
  <c r="AX205" i="18"/>
  <c r="X205" i="18" s="1"/>
  <c r="AY205" i="18"/>
  <c r="Y205" i="18" s="1"/>
  <c r="AX184" i="18"/>
  <c r="X184" i="18" s="1"/>
  <c r="AW171" i="18"/>
  <c r="W171" i="18" s="1"/>
  <c r="AY171" i="18"/>
  <c r="Y171" i="18" s="1"/>
  <c r="AX169" i="18"/>
  <c r="X169" i="18" s="1"/>
  <c r="AY169" i="18"/>
  <c r="Y169" i="18" s="1"/>
  <c r="AW166" i="18"/>
  <c r="W166" i="18" s="1"/>
  <c r="AY166" i="18"/>
  <c r="Y166" i="18" s="1"/>
  <c r="AX166" i="18"/>
  <c r="X166" i="18" s="1"/>
  <c r="AY321" i="18"/>
  <c r="Y321" i="18" s="1"/>
  <c r="AW307" i="18"/>
  <c r="W307" i="18" s="1"/>
  <c r="AY297" i="18"/>
  <c r="Y297" i="18" s="1"/>
  <c r="AX297" i="18"/>
  <c r="X297" i="18" s="1"/>
  <c r="AW283" i="18"/>
  <c r="W283" i="18" s="1"/>
  <c r="AY281" i="18"/>
  <c r="Y281" i="18" s="1"/>
  <c r="AX281" i="18"/>
  <c r="X281" i="18" s="1"/>
  <c r="AW267" i="18"/>
  <c r="W267" i="18" s="1"/>
  <c r="AY265" i="18"/>
  <c r="Y265" i="18" s="1"/>
  <c r="AX265" i="18"/>
  <c r="X265" i="18" s="1"/>
  <c r="AX249" i="18"/>
  <c r="X249" i="18" s="1"/>
  <c r="AY249" i="18"/>
  <c r="Y249" i="18" s="1"/>
  <c r="AW226" i="18"/>
  <c r="W226" i="18" s="1"/>
  <c r="AY226" i="18"/>
  <c r="Y226" i="18" s="1"/>
  <c r="AW223" i="18"/>
  <c r="W223" i="18" s="1"/>
  <c r="AY223" i="18"/>
  <c r="Y223" i="18" s="1"/>
  <c r="AW187" i="18"/>
  <c r="W187" i="18" s="1"/>
  <c r="AY187" i="18"/>
  <c r="Y187" i="18" s="1"/>
  <c r="AX185" i="18"/>
  <c r="X185" i="18" s="1"/>
  <c r="AY185" i="18"/>
  <c r="Y185" i="18" s="1"/>
  <c r="AW182" i="18"/>
  <c r="W182" i="18" s="1"/>
  <c r="AY182" i="18"/>
  <c r="Y182" i="18" s="1"/>
  <c r="AX182" i="18"/>
  <c r="X182" i="18" s="1"/>
  <c r="AX164" i="18"/>
  <c r="X164" i="18" s="1"/>
  <c r="AW162" i="18"/>
  <c r="W162" i="18" s="1"/>
  <c r="AY162" i="18"/>
  <c r="Y162" i="18" s="1"/>
  <c r="AW159" i="18"/>
  <c r="W159" i="18" s="1"/>
  <c r="AY159" i="18"/>
  <c r="Y159" i="18" s="1"/>
  <c r="AX157" i="18"/>
  <c r="X157" i="18" s="1"/>
  <c r="AY157" i="18"/>
  <c r="Y157" i="18" s="1"/>
  <c r="AW327" i="18"/>
  <c r="W327" i="18" s="1"/>
  <c r="AY328" i="18"/>
  <c r="Y328" i="18" s="1"/>
  <c r="AX327" i="18"/>
  <c r="X327" i="18" s="1"/>
  <c r="AW323" i="18"/>
  <c r="W323" i="18" s="1"/>
  <c r="AW319" i="18"/>
  <c r="W319" i="18" s="1"/>
  <c r="AY317" i="18"/>
  <c r="Y317" i="18" s="1"/>
  <c r="AX317" i="18"/>
  <c r="X317" i="18" s="1"/>
  <c r="AW311" i="18"/>
  <c r="W311" i="18" s="1"/>
  <c r="AY309" i="18"/>
  <c r="Y309" i="18" s="1"/>
  <c r="AX309" i="18"/>
  <c r="X309" i="18" s="1"/>
  <c r="AW303" i="18"/>
  <c r="W303" i="18" s="1"/>
  <c r="AY301" i="18"/>
  <c r="Y301" i="18" s="1"/>
  <c r="AX301" i="18"/>
  <c r="X301" i="18" s="1"/>
  <c r="AW295" i="18"/>
  <c r="W295" i="18" s="1"/>
  <c r="AY293" i="18"/>
  <c r="Y293" i="18" s="1"/>
  <c r="AX293" i="18"/>
  <c r="X293" i="18" s="1"/>
  <c r="AW287" i="18"/>
  <c r="W287" i="18" s="1"/>
  <c r="AY285" i="18"/>
  <c r="Y285" i="18" s="1"/>
  <c r="AX285" i="18"/>
  <c r="X285" i="18" s="1"/>
  <c r="AW279" i="18"/>
  <c r="W279" i="18" s="1"/>
  <c r="AY277" i="18"/>
  <c r="Y277" i="18" s="1"/>
  <c r="AX277" i="18"/>
  <c r="X277" i="18" s="1"/>
  <c r="AW271" i="18"/>
  <c r="W271" i="18" s="1"/>
  <c r="AY269" i="18"/>
  <c r="Y269" i="18" s="1"/>
  <c r="AX269" i="18"/>
  <c r="X269" i="18" s="1"/>
  <c r="AW263" i="18"/>
  <c r="W263" i="18" s="1"/>
  <c r="AX232" i="18"/>
  <c r="X232" i="18" s="1"/>
  <c r="AW219" i="18"/>
  <c r="W219" i="18" s="1"/>
  <c r="AY219" i="18"/>
  <c r="Y219" i="18" s="1"/>
  <c r="AX217" i="18"/>
  <c r="X217" i="18" s="1"/>
  <c r="AY217" i="18"/>
  <c r="Y217" i="18" s="1"/>
  <c r="AW214" i="18"/>
  <c r="W214" i="18" s="1"/>
  <c r="AY214" i="18"/>
  <c r="Y214" i="18" s="1"/>
  <c r="AX214" i="18"/>
  <c r="X214" i="18" s="1"/>
  <c r="AX196" i="18"/>
  <c r="X196" i="18" s="1"/>
  <c r="AW194" i="18"/>
  <c r="W194" i="18" s="1"/>
  <c r="AY194" i="18"/>
  <c r="Y194" i="18" s="1"/>
  <c r="AW191" i="18"/>
  <c r="W191" i="18" s="1"/>
  <c r="AY191" i="18"/>
  <c r="Y191" i="18" s="1"/>
  <c r="AX189" i="18"/>
  <c r="X189" i="18" s="1"/>
  <c r="AY189" i="18"/>
  <c r="Y189" i="18" s="1"/>
  <c r="AX168" i="18"/>
  <c r="X168" i="18" s="1"/>
  <c r="AW155" i="18"/>
  <c r="W155" i="18" s="1"/>
  <c r="AY155" i="18"/>
  <c r="Y155" i="18" s="1"/>
  <c r="AX153" i="18"/>
  <c r="X153" i="18" s="1"/>
  <c r="AY153" i="18"/>
  <c r="Y153" i="18" s="1"/>
  <c r="AX150" i="18"/>
  <c r="X150" i="18" s="1"/>
  <c r="AW150" i="18"/>
  <c r="W150" i="18" s="1"/>
  <c r="AY313" i="18"/>
  <c r="Y313" i="18" s="1"/>
  <c r="AX313" i="18"/>
  <c r="X313" i="18" s="1"/>
  <c r="AW299" i="18"/>
  <c r="W299" i="18" s="1"/>
  <c r="AW291" i="18"/>
  <c r="W291" i="18" s="1"/>
  <c r="AY289" i="18"/>
  <c r="Y289" i="18" s="1"/>
  <c r="AX289" i="18"/>
  <c r="X289" i="18" s="1"/>
  <c r="AW275" i="18"/>
  <c r="W275" i="18" s="1"/>
  <c r="AY273" i="18"/>
  <c r="Y273" i="18" s="1"/>
  <c r="AX273" i="18"/>
  <c r="X273" i="18" s="1"/>
  <c r="AX221" i="18"/>
  <c r="X221" i="18" s="1"/>
  <c r="AY221" i="18"/>
  <c r="Y221" i="18" s="1"/>
  <c r="AY332" i="18"/>
  <c r="Y332" i="18" s="1"/>
  <c r="AY325" i="18"/>
  <c r="Y325" i="18" s="1"/>
  <c r="AX323" i="18"/>
  <c r="X323" i="18" s="1"/>
  <c r="AX321" i="18"/>
  <c r="X321" i="18" s="1"/>
  <c r="AW320" i="18"/>
  <c r="W320" i="18" s="1"/>
  <c r="AX319" i="18"/>
  <c r="X319" i="18" s="1"/>
  <c r="AX316" i="18"/>
  <c r="X316" i="18" s="1"/>
  <c r="AY314" i="18"/>
  <c r="Y314" i="18" s="1"/>
  <c r="AW312" i="18"/>
  <c r="W312" i="18" s="1"/>
  <c r="AX311" i="18"/>
  <c r="X311" i="18" s="1"/>
  <c r="AX308" i="18"/>
  <c r="X308" i="18" s="1"/>
  <c r="AY306" i="18"/>
  <c r="Y306" i="18" s="1"/>
  <c r="AW304" i="18"/>
  <c r="W304" i="18" s="1"/>
  <c r="AX303" i="18"/>
  <c r="X303" i="18" s="1"/>
  <c r="AX300" i="18"/>
  <c r="X300" i="18" s="1"/>
  <c r="AY298" i="18"/>
  <c r="Y298" i="18" s="1"/>
  <c r="AW296" i="18"/>
  <c r="W296" i="18" s="1"/>
  <c r="AX295" i="18"/>
  <c r="X295" i="18" s="1"/>
  <c r="AX292" i="18"/>
  <c r="X292" i="18" s="1"/>
  <c r="AY290" i="18"/>
  <c r="Y290" i="18" s="1"/>
  <c r="AW288" i="18"/>
  <c r="W288" i="18" s="1"/>
  <c r="AX287" i="18"/>
  <c r="X287" i="18" s="1"/>
  <c r="AX284" i="18"/>
  <c r="X284" i="18" s="1"/>
  <c r="AY282" i="18"/>
  <c r="Y282" i="18" s="1"/>
  <c r="AW280" i="18"/>
  <c r="W280" i="18" s="1"/>
  <c r="AX279" i="18"/>
  <c r="X279" i="18" s="1"/>
  <c r="AX276" i="18"/>
  <c r="X276" i="18" s="1"/>
  <c r="AY274" i="18"/>
  <c r="Y274" i="18" s="1"/>
  <c r="AW272" i="18"/>
  <c r="W272" i="18" s="1"/>
  <c r="AX271" i="18"/>
  <c r="X271" i="18" s="1"/>
  <c r="AX268" i="18"/>
  <c r="X268" i="18" s="1"/>
  <c r="AY266" i="18"/>
  <c r="Y266" i="18" s="1"/>
  <c r="AW264" i="18"/>
  <c r="W264" i="18" s="1"/>
  <c r="AX263" i="18"/>
  <c r="X263" i="18" s="1"/>
  <c r="AW261" i="18"/>
  <c r="W261" i="18" s="1"/>
  <c r="AY260" i="18"/>
  <c r="Y260" i="18" s="1"/>
  <c r="AW256" i="18"/>
  <c r="W256" i="18" s="1"/>
  <c r="AX255" i="18"/>
  <c r="X255" i="18" s="1"/>
  <c r="AW254" i="18"/>
  <c r="W254" i="18" s="1"/>
  <c r="AX254" i="18"/>
  <c r="X254" i="18" s="1"/>
  <c r="AY244" i="18"/>
  <c r="Y244" i="18" s="1"/>
  <c r="AX244" i="18"/>
  <c r="X244" i="18" s="1"/>
  <c r="AW242" i="18"/>
  <c r="W242" i="18" s="1"/>
  <c r="AY242" i="18"/>
  <c r="Y242" i="18" s="1"/>
  <c r="AW239" i="18"/>
  <c r="W239" i="18" s="1"/>
  <c r="AY239" i="18"/>
  <c r="Y239" i="18" s="1"/>
  <c r="AX237" i="18"/>
  <c r="X237" i="18" s="1"/>
  <c r="AY237" i="18"/>
  <c r="Y237" i="18" s="1"/>
  <c r="AX216" i="18"/>
  <c r="X216" i="18" s="1"/>
  <c r="AW203" i="18"/>
  <c r="W203" i="18" s="1"/>
  <c r="AY203" i="18"/>
  <c r="Y203" i="18" s="1"/>
  <c r="AX201" i="18"/>
  <c r="X201" i="18" s="1"/>
  <c r="AY201" i="18"/>
  <c r="Y201" i="18" s="1"/>
  <c r="AW198" i="18"/>
  <c r="W198" i="18" s="1"/>
  <c r="AY198" i="18"/>
  <c r="Y198" i="18" s="1"/>
  <c r="AX198" i="18"/>
  <c r="X198" i="18" s="1"/>
  <c r="AX194" i="18"/>
  <c r="X194" i="18" s="1"/>
  <c r="AX180" i="18"/>
  <c r="X180" i="18" s="1"/>
  <c r="AW178" i="18"/>
  <c r="W178" i="18" s="1"/>
  <c r="AY178" i="18"/>
  <c r="Y178" i="18" s="1"/>
  <c r="AW175" i="18"/>
  <c r="W175" i="18" s="1"/>
  <c r="AY175" i="18"/>
  <c r="Y175" i="18" s="1"/>
  <c r="AX173" i="18"/>
  <c r="X173" i="18" s="1"/>
  <c r="AY173" i="18"/>
  <c r="Y173" i="18" s="1"/>
  <c r="AX152" i="18"/>
  <c r="X152" i="18" s="1"/>
  <c r="AW262" i="18"/>
  <c r="W262" i="18" s="1"/>
  <c r="AW258" i="18"/>
  <c r="W258" i="18" s="1"/>
  <c r="AY256" i="18"/>
  <c r="Y256" i="18" s="1"/>
  <c r="AX256" i="18"/>
  <c r="X256" i="18" s="1"/>
  <c r="AW248" i="18"/>
  <c r="W248" i="18" s="1"/>
  <c r="AW247" i="18"/>
  <c r="W247" i="18" s="1"/>
  <c r="AX245" i="18"/>
  <c r="X245" i="18" s="1"/>
  <c r="AY245" i="18"/>
  <c r="Y245" i="18" s="1"/>
  <c r="AX240" i="18"/>
  <c r="X240" i="18" s="1"/>
  <c r="AX239" i="18"/>
  <c r="X239" i="18" s="1"/>
  <c r="AW238" i="18"/>
  <c r="W238" i="18" s="1"/>
  <c r="AY238" i="18"/>
  <c r="Y238" i="18" s="1"/>
  <c r="AY232" i="18"/>
  <c r="Y232" i="18" s="1"/>
  <c r="AW231" i="18"/>
  <c r="W231" i="18" s="1"/>
  <c r="AX229" i="18"/>
  <c r="X229" i="18" s="1"/>
  <c r="AY229" i="18"/>
  <c r="Y229" i="18" s="1"/>
  <c r="AX224" i="18"/>
  <c r="X224" i="18" s="1"/>
  <c r="AX223" i="18"/>
  <c r="X223" i="18" s="1"/>
  <c r="AW222" i="18"/>
  <c r="W222" i="18" s="1"/>
  <c r="AY222" i="18"/>
  <c r="Y222" i="18" s="1"/>
  <c r="AY216" i="18"/>
  <c r="Y216" i="18" s="1"/>
  <c r="AW215" i="18"/>
  <c r="W215" i="18" s="1"/>
  <c r="AX213" i="18"/>
  <c r="X213" i="18" s="1"/>
  <c r="AY213" i="18"/>
  <c r="Y213" i="18" s="1"/>
  <c r="AX208" i="18"/>
  <c r="X208" i="18" s="1"/>
  <c r="AX207" i="18"/>
  <c r="X207" i="18" s="1"/>
  <c r="AW206" i="18"/>
  <c r="W206" i="18" s="1"/>
  <c r="AY206" i="18"/>
  <c r="Y206" i="18" s="1"/>
  <c r="AY200" i="18"/>
  <c r="Y200" i="18" s="1"/>
  <c r="AW199" i="18"/>
  <c r="W199" i="18" s="1"/>
  <c r="AX197" i="18"/>
  <c r="X197" i="18" s="1"/>
  <c r="AY197" i="18"/>
  <c r="Y197" i="18" s="1"/>
  <c r="AX192" i="18"/>
  <c r="X192" i="18" s="1"/>
  <c r="AX191" i="18"/>
  <c r="X191" i="18" s="1"/>
  <c r="AW190" i="18"/>
  <c r="W190" i="18" s="1"/>
  <c r="AY190" i="18"/>
  <c r="Y190" i="18" s="1"/>
  <c r="AY184" i="18"/>
  <c r="Y184" i="18" s="1"/>
  <c r="AW183" i="18"/>
  <c r="W183" i="18" s="1"/>
  <c r="AX181" i="18"/>
  <c r="X181" i="18" s="1"/>
  <c r="AY181" i="18"/>
  <c r="Y181" i="18" s="1"/>
  <c r="AX176" i="18"/>
  <c r="X176" i="18" s="1"/>
  <c r="AX175" i="18"/>
  <c r="X175" i="18" s="1"/>
  <c r="AW174" i="18"/>
  <c r="W174" i="18" s="1"/>
  <c r="AY174" i="18"/>
  <c r="Y174" i="18" s="1"/>
  <c r="AY168" i="18"/>
  <c r="Y168" i="18" s="1"/>
  <c r="AW167" i="18"/>
  <c r="W167" i="18" s="1"/>
  <c r="AX165" i="18"/>
  <c r="X165" i="18" s="1"/>
  <c r="AY165" i="18"/>
  <c r="Y165" i="18" s="1"/>
  <c r="AX160" i="18"/>
  <c r="X160" i="18" s="1"/>
  <c r="AX159" i="18"/>
  <c r="X159" i="18" s="1"/>
  <c r="AW158" i="18"/>
  <c r="W158" i="18" s="1"/>
  <c r="AY158" i="18"/>
  <c r="Y158" i="18" s="1"/>
  <c r="AY152" i="18"/>
  <c r="Y152" i="18" s="1"/>
  <c r="AW151" i="18"/>
  <c r="W151" i="18" s="1"/>
  <c r="AX259" i="18"/>
  <c r="X259" i="18" s="1"/>
  <c r="AY257" i="18"/>
  <c r="Y257" i="18" s="1"/>
  <c r="AW255" i="18"/>
  <c r="W255" i="18" s="1"/>
  <c r="AX252" i="18"/>
  <c r="X252" i="18" s="1"/>
  <c r="AW250" i="18"/>
  <c r="W250" i="18" s="1"/>
  <c r="AY250" i="18"/>
  <c r="Y250" i="18" s="1"/>
  <c r="AW244" i="18"/>
  <c r="W244" i="18" s="1"/>
  <c r="AW243" i="18"/>
  <c r="W243" i="18" s="1"/>
  <c r="AX241" i="18"/>
  <c r="X241" i="18" s="1"/>
  <c r="AY241" i="18"/>
  <c r="Y241" i="18" s="1"/>
  <c r="AX236" i="18"/>
  <c r="X236" i="18" s="1"/>
  <c r="AX235" i="18"/>
  <c r="X235" i="18" s="1"/>
  <c r="AW234" i="18"/>
  <c r="W234" i="18" s="1"/>
  <c r="AY234" i="18"/>
  <c r="Y234" i="18" s="1"/>
  <c r="AY228" i="18"/>
  <c r="Y228" i="18" s="1"/>
  <c r="AW227" i="18"/>
  <c r="W227" i="18" s="1"/>
  <c r="AX225" i="18"/>
  <c r="X225" i="18" s="1"/>
  <c r="AY225" i="18"/>
  <c r="Y225" i="18" s="1"/>
  <c r="AX220" i="18"/>
  <c r="X220" i="18" s="1"/>
  <c r="AX219" i="18"/>
  <c r="X219" i="18" s="1"/>
  <c r="AW218" i="18"/>
  <c r="W218" i="18" s="1"/>
  <c r="H4" i="16" s="1"/>
  <c r="AY218" i="18"/>
  <c r="Y218" i="18" s="1"/>
  <c r="AY212" i="18"/>
  <c r="Y212" i="18" s="1"/>
  <c r="AW211" i="18"/>
  <c r="W211" i="18" s="1"/>
  <c r="AX209" i="18"/>
  <c r="X209" i="18" s="1"/>
  <c r="AY209" i="18"/>
  <c r="Y209" i="18" s="1"/>
  <c r="AX204" i="18"/>
  <c r="X204" i="18" s="1"/>
  <c r="AX203" i="18"/>
  <c r="X203" i="18" s="1"/>
  <c r="AW202" i="18"/>
  <c r="W202" i="18" s="1"/>
  <c r="AY202" i="18"/>
  <c r="Y202" i="18" s="1"/>
  <c r="AY196" i="18"/>
  <c r="Y196" i="18" s="1"/>
  <c r="AW195" i="18"/>
  <c r="W195" i="18" s="1"/>
  <c r="AX193" i="18"/>
  <c r="X193" i="18" s="1"/>
  <c r="AY193" i="18"/>
  <c r="Y193" i="18" s="1"/>
  <c r="AX188" i="18"/>
  <c r="X188" i="18" s="1"/>
  <c r="AX187" i="18"/>
  <c r="X187" i="18" s="1"/>
  <c r="AW186" i="18"/>
  <c r="W186" i="18" s="1"/>
  <c r="AY186" i="18"/>
  <c r="Y186" i="18" s="1"/>
  <c r="AY180" i="18"/>
  <c r="Y180" i="18" s="1"/>
  <c r="AW179" i="18"/>
  <c r="W179" i="18" s="1"/>
  <c r="AX177" i="18"/>
  <c r="X177" i="18" s="1"/>
  <c r="AY177" i="18"/>
  <c r="Y177" i="18" s="1"/>
  <c r="AX172" i="18"/>
  <c r="X172" i="18" s="1"/>
  <c r="AX171" i="18"/>
  <c r="X171" i="18" s="1"/>
  <c r="AW170" i="18"/>
  <c r="W170" i="18" s="1"/>
  <c r="AY170" i="18"/>
  <c r="Y170" i="18" s="1"/>
  <c r="AY164" i="18"/>
  <c r="Y164" i="18" s="1"/>
  <c r="AW163" i="18"/>
  <c r="W163" i="18" s="1"/>
  <c r="AX161" i="18"/>
  <c r="X161" i="18" s="1"/>
  <c r="AY161" i="18"/>
  <c r="Y161" i="18" s="1"/>
  <c r="AX156" i="18"/>
  <c r="X156" i="18" s="1"/>
  <c r="AX155" i="18"/>
  <c r="X155" i="18" s="1"/>
  <c r="AW154" i="18"/>
  <c r="W154" i="18" s="1"/>
  <c r="AY154" i="18"/>
  <c r="Y154" i="18" s="1"/>
  <c r="AW240" i="18"/>
  <c r="W240" i="18" s="1"/>
  <c r="AW236" i="18"/>
  <c r="W236" i="18" s="1"/>
  <c r="AW232" i="18"/>
  <c r="W232" i="18" s="1"/>
  <c r="H6" i="16" s="1"/>
  <c r="AW228" i="18"/>
  <c r="W228" i="18" s="1"/>
  <c r="AW224" i="18"/>
  <c r="W224" i="18" s="1"/>
  <c r="AW220" i="18"/>
  <c r="W220" i="18" s="1"/>
  <c r="AW216" i="18"/>
  <c r="W216" i="18" s="1"/>
  <c r="AW212" i="18"/>
  <c r="W212" i="18" s="1"/>
  <c r="AW208" i="18"/>
  <c r="W208" i="18" s="1"/>
  <c r="AW204" i="18"/>
  <c r="W204" i="18" s="1"/>
  <c r="AW200" i="18"/>
  <c r="W200" i="18" s="1"/>
  <c r="AW196" i="18"/>
  <c r="W196" i="18" s="1"/>
  <c r="AW192" i="18"/>
  <c r="W192" i="18" s="1"/>
  <c r="AW188" i="18"/>
  <c r="W188" i="18" s="1"/>
  <c r="AW184" i="18"/>
  <c r="W184" i="18" s="1"/>
  <c r="AW180" i="18"/>
  <c r="W180" i="18" s="1"/>
  <c r="AW176" i="18"/>
  <c r="W176" i="18" s="1"/>
  <c r="AW172" i="18"/>
  <c r="W172" i="18" s="1"/>
  <c r="AW168" i="18"/>
  <c r="W168" i="18" s="1"/>
  <c r="AW164" i="18"/>
  <c r="W164" i="18" s="1"/>
  <c r="AW160" i="18"/>
  <c r="W160" i="18" s="1"/>
  <c r="AW156" i="18"/>
  <c r="W156" i="18" s="1"/>
  <c r="AW152" i="18"/>
  <c r="W152" i="18" s="1"/>
  <c r="AY150" i="18"/>
  <c r="Y150" i="18" s="1"/>
  <c r="AX106" i="18"/>
  <c r="X106" i="18" s="1"/>
  <c r="AY106" i="18"/>
  <c r="Y106" i="18" s="1"/>
  <c r="AW99" i="18"/>
  <c r="W99" i="18" s="1"/>
  <c r="AY99" i="18"/>
  <c r="Y99" i="18" s="1"/>
  <c r="AY85" i="18"/>
  <c r="Y85" i="18" s="1"/>
  <c r="AW85" i="18"/>
  <c r="W85" i="18" s="1"/>
  <c r="AX74" i="18"/>
  <c r="X74" i="18" s="1"/>
  <c r="AY74" i="18"/>
  <c r="Y74" i="18" s="1"/>
  <c r="AY147" i="18"/>
  <c r="Y147" i="18" s="1"/>
  <c r="AY143" i="18"/>
  <c r="Y143" i="18" s="1"/>
  <c r="AY139" i="18"/>
  <c r="Y139" i="18" s="1"/>
  <c r="AY135" i="18"/>
  <c r="Y135" i="18" s="1"/>
  <c r="AY131" i="18"/>
  <c r="Y131" i="18" s="1"/>
  <c r="AY127" i="18"/>
  <c r="Y127" i="18" s="1"/>
  <c r="AY123" i="18"/>
  <c r="Y123" i="18" s="1"/>
  <c r="AY119" i="18"/>
  <c r="Y119" i="18" s="1"/>
  <c r="AY115" i="18"/>
  <c r="Y115" i="18" s="1"/>
  <c r="AX112" i="18"/>
  <c r="X112" i="18" s="1"/>
  <c r="AX110" i="18"/>
  <c r="X110" i="18" s="1"/>
  <c r="AY110" i="18"/>
  <c r="Y110" i="18" s="1"/>
  <c r="AW108" i="18"/>
  <c r="W108" i="18" s="1"/>
  <c r="AY105" i="18"/>
  <c r="Y105" i="18" s="1"/>
  <c r="AW103" i="18"/>
  <c r="W103" i="18" s="1"/>
  <c r="AX101" i="18"/>
  <c r="X101" i="18" s="1"/>
  <c r="AX99" i="18"/>
  <c r="X99" i="18" s="1"/>
  <c r="AX96" i="18"/>
  <c r="X96" i="18" s="1"/>
  <c r="AX94" i="18"/>
  <c r="X94" i="18" s="1"/>
  <c r="AY94" i="18"/>
  <c r="Y94" i="18" s="1"/>
  <c r="AX93" i="18"/>
  <c r="X93" i="18" s="1"/>
  <c r="AW92" i="18"/>
  <c r="W92" i="18" s="1"/>
  <c r="AY89" i="18"/>
  <c r="Y89" i="18" s="1"/>
  <c r="AW89" i="18"/>
  <c r="W89" i="18" s="1"/>
  <c r="AW87" i="18"/>
  <c r="W87" i="18" s="1"/>
  <c r="AY87" i="18"/>
  <c r="Y87" i="18" s="1"/>
  <c r="AX85" i="18"/>
  <c r="X85" i="18" s="1"/>
  <c r="AX80" i="18"/>
  <c r="X80" i="18" s="1"/>
  <c r="AX78" i="18"/>
  <c r="X78" i="18" s="1"/>
  <c r="AY78" i="18"/>
  <c r="Y78" i="18" s="1"/>
  <c r="AW76" i="18"/>
  <c r="W76" i="18" s="1"/>
  <c r="AY73" i="18"/>
  <c r="Y73" i="18" s="1"/>
  <c r="AW73" i="18"/>
  <c r="W73" i="18" s="1"/>
  <c r="AX108" i="18"/>
  <c r="X108" i="18" s="1"/>
  <c r="AY101" i="18"/>
  <c r="Y101" i="18" s="1"/>
  <c r="AX90" i="18"/>
  <c r="X90" i="18" s="1"/>
  <c r="AY90" i="18"/>
  <c r="Y90" i="18" s="1"/>
  <c r="AW83" i="18"/>
  <c r="W83" i="18" s="1"/>
  <c r="AY83" i="18"/>
  <c r="Y83" i="18" s="1"/>
  <c r="AY144" i="18"/>
  <c r="Y144" i="18" s="1"/>
  <c r="AY136" i="18"/>
  <c r="Y136" i="18" s="1"/>
  <c r="AY120" i="18"/>
  <c r="Y120" i="18" s="1"/>
  <c r="AW116" i="18"/>
  <c r="W116" i="18" s="1"/>
  <c r="AX114" i="18"/>
  <c r="X114" i="18" s="1"/>
  <c r="AY114" i="18"/>
  <c r="Y114" i="18" s="1"/>
  <c r="AY109" i="18"/>
  <c r="Y109" i="18" s="1"/>
  <c r="AY108" i="18"/>
  <c r="Y108" i="18" s="1"/>
  <c r="AW107" i="18"/>
  <c r="W107" i="18" s="1"/>
  <c r="AW101" i="18"/>
  <c r="W101" i="18" s="1"/>
  <c r="AX100" i="18"/>
  <c r="X100" i="18" s="1"/>
  <c r="AX98" i="18"/>
  <c r="X98" i="18" s="1"/>
  <c r="AY98" i="18"/>
  <c r="Y98" i="18" s="1"/>
  <c r="AY93" i="18"/>
  <c r="Y93" i="18" s="1"/>
  <c r="AY92" i="18"/>
  <c r="Y92" i="18" s="1"/>
  <c r="AW91" i="18"/>
  <c r="W91" i="18" s="1"/>
  <c r="AY91" i="18"/>
  <c r="Y91" i="18" s="1"/>
  <c r="AX84" i="18"/>
  <c r="X84" i="18" s="1"/>
  <c r="AX82" i="18"/>
  <c r="X82" i="18" s="1"/>
  <c r="AY82" i="18"/>
  <c r="Y82" i="18" s="1"/>
  <c r="AY77" i="18"/>
  <c r="Y77" i="18" s="1"/>
  <c r="AW77" i="18"/>
  <c r="W77" i="18" s="1"/>
  <c r="AY76" i="18"/>
  <c r="Y76" i="18" s="1"/>
  <c r="AW75" i="18"/>
  <c r="W75" i="18" s="1"/>
  <c r="AY75" i="18"/>
  <c r="Y75" i="18" s="1"/>
  <c r="AY148" i="18"/>
  <c r="Y148" i="18" s="1"/>
  <c r="AY140" i="18"/>
  <c r="Y140" i="18" s="1"/>
  <c r="AY132" i="18"/>
  <c r="Y132" i="18" s="1"/>
  <c r="AY128" i="18"/>
  <c r="Y128" i="18" s="1"/>
  <c r="AY124" i="18"/>
  <c r="Y124" i="18" s="1"/>
  <c r="AX116" i="18"/>
  <c r="X116" i="18" s="1"/>
  <c r="AY113" i="18"/>
  <c r="Y113" i="18" s="1"/>
  <c r="AY112" i="18"/>
  <c r="Y112" i="18" s="1"/>
  <c r="AW111" i="18"/>
  <c r="W111" i="18" s="1"/>
  <c r="AW109" i="18"/>
  <c r="W109" i="18" s="1"/>
  <c r="AX107" i="18"/>
  <c r="X107" i="18" s="1"/>
  <c r="AY107" i="18"/>
  <c r="Y107" i="18" s="1"/>
  <c r="AX104" i="18"/>
  <c r="X104" i="18" s="1"/>
  <c r="AX102" i="18"/>
  <c r="X102" i="18" s="1"/>
  <c r="AY102" i="18"/>
  <c r="Y102" i="18" s="1"/>
  <c r="AW100" i="18"/>
  <c r="W100" i="18" s="1"/>
  <c r="AY97" i="18"/>
  <c r="Y97" i="18" s="1"/>
  <c r="AX97" i="18"/>
  <c r="X97" i="18" s="1"/>
  <c r="AY96" i="18"/>
  <c r="Y96" i="18" s="1"/>
  <c r="AW95" i="18"/>
  <c r="W95" i="18" s="1"/>
  <c r="AY95" i="18"/>
  <c r="Y95" i="18" s="1"/>
  <c r="AW93" i="18"/>
  <c r="W93" i="18" s="1"/>
  <c r="AX91" i="18"/>
  <c r="X91" i="18" s="1"/>
  <c r="AX88" i="18"/>
  <c r="X88" i="18" s="1"/>
  <c r="AX86" i="18"/>
  <c r="X86" i="18" s="1"/>
  <c r="AY86" i="18"/>
  <c r="Y86" i="18" s="1"/>
  <c r="AW84" i="18"/>
  <c r="W84" i="18" s="1"/>
  <c r="AY81" i="18"/>
  <c r="Y81" i="18" s="1"/>
  <c r="AW81" i="18"/>
  <c r="W81" i="18" s="1"/>
  <c r="AY80" i="18"/>
  <c r="Y80" i="18" s="1"/>
  <c r="AW79" i="18"/>
  <c r="W79" i="18" s="1"/>
  <c r="AY79" i="18"/>
  <c r="Y79" i="18" s="1"/>
  <c r="AX77" i="18"/>
  <c r="X77" i="18" s="1"/>
  <c r="AX75" i="18"/>
  <c r="X75" i="18" s="1"/>
  <c r="AX72" i="18"/>
  <c r="X72" i="18" s="1"/>
  <c r="AX113" i="18"/>
  <c r="X113" i="18" s="1"/>
  <c r="AX109" i="18"/>
  <c r="X109" i="18" s="1"/>
  <c r="AX105" i="18"/>
  <c r="X105" i="18" s="1"/>
  <c r="AW72" i="18"/>
  <c r="W72" i="18" s="1"/>
  <c r="AY70" i="18"/>
  <c r="Y70" i="18" s="1"/>
  <c r="AX69" i="18"/>
  <c r="X69" i="18" s="1"/>
  <c r="AW68" i="18"/>
  <c r="W68" i="18" s="1"/>
  <c r="AY66" i="18"/>
  <c r="Y66" i="18" s="1"/>
  <c r="AW64" i="18"/>
  <c r="W64" i="18" s="1"/>
  <c r="AY62" i="18"/>
  <c r="Y62" i="18" s="1"/>
  <c r="AX61" i="18"/>
  <c r="X61" i="18" s="1"/>
  <c r="AY58" i="18"/>
  <c r="Y58" i="18" s="1"/>
  <c r="AX57" i="18"/>
  <c r="X57" i="18" s="1"/>
  <c r="AY54" i="18"/>
  <c r="Y54" i="18" s="1"/>
  <c r="AX53" i="18"/>
  <c r="X53" i="18" s="1"/>
  <c r="AW52" i="18"/>
  <c r="W52" i="18" s="1"/>
  <c r="AY50" i="18"/>
  <c r="Y50" i="18" s="1"/>
  <c r="AY46" i="18"/>
  <c r="Y46" i="18" s="1"/>
  <c r="AY42" i="18"/>
  <c r="Y42" i="18" s="1"/>
  <c r="AX41" i="18"/>
  <c r="X41" i="18" s="1"/>
  <c r="AY38" i="18"/>
  <c r="Y38" i="18" s="1"/>
  <c r="AX37" i="18"/>
  <c r="X37" i="18" s="1"/>
  <c r="AY34" i="18"/>
  <c r="Y34" i="18" s="1"/>
  <c r="AX33" i="18"/>
  <c r="X33" i="18" s="1"/>
  <c r="AY30" i="18"/>
  <c r="Y30" i="18" s="1"/>
  <c r="AX29" i="18"/>
  <c r="X29" i="18" s="1"/>
  <c r="AY26" i="18"/>
  <c r="Y26" i="18" s="1"/>
  <c r="AX25" i="18"/>
  <c r="X25" i="18" s="1"/>
  <c r="AY22" i="18"/>
  <c r="Y22" i="18" s="1"/>
  <c r="AX21" i="18"/>
  <c r="X21" i="18" s="1"/>
  <c r="AW20" i="18"/>
  <c r="W20" i="18" s="1"/>
  <c r="AY18" i="18"/>
  <c r="Y18" i="18" s="1"/>
  <c r="AY14" i="18"/>
  <c r="Y14" i="18" s="1"/>
  <c r="AY10" i="18"/>
  <c r="Y10" i="18" s="1"/>
  <c r="AY6" i="18"/>
  <c r="Y6" i="18" s="1"/>
  <c r="AY71" i="18"/>
  <c r="Y71" i="18" s="1"/>
  <c r="AW69" i="18"/>
  <c r="W69" i="18" s="1"/>
  <c r="AY67" i="18"/>
  <c r="Y67" i="18" s="1"/>
  <c r="AW65" i="18"/>
  <c r="W65" i="18" s="1"/>
  <c r="AY63" i="18"/>
  <c r="Y63" i="18" s="1"/>
  <c r="AY59" i="18"/>
  <c r="Y59" i="18" s="1"/>
  <c r="AY55" i="18"/>
  <c r="Y55" i="18" s="1"/>
  <c r="AW53" i="18"/>
  <c r="W53" i="18" s="1"/>
  <c r="AY51" i="18"/>
  <c r="Y51" i="18" s="1"/>
  <c r="AW49" i="18"/>
  <c r="W49" i="18" s="1"/>
  <c r="AY47" i="18"/>
  <c r="Y47" i="18" s="1"/>
  <c r="AY43" i="18"/>
  <c r="Y43" i="18" s="1"/>
  <c r="AY39" i="18"/>
  <c r="Y39" i="18" s="1"/>
  <c r="AY35" i="18"/>
  <c r="Y35" i="18" s="1"/>
  <c r="AY31" i="18"/>
  <c r="Y31" i="18" s="1"/>
  <c r="AY27" i="18"/>
  <c r="Y27" i="18" s="1"/>
  <c r="AW21" i="18"/>
  <c r="W21" i="18" s="1"/>
  <c r="AY19" i="18"/>
  <c r="Y19" i="18" s="1"/>
  <c r="AW17" i="18"/>
  <c r="W17" i="18" s="1"/>
  <c r="AY15" i="18"/>
  <c r="Y15" i="18" s="1"/>
  <c r="AW13" i="18"/>
  <c r="W13" i="18" s="1"/>
  <c r="AY11" i="18"/>
  <c r="Y11" i="18" s="1"/>
  <c r="AW9" i="18"/>
  <c r="W9" i="18" s="1"/>
  <c r="AY7" i="18"/>
  <c r="Y7" i="18" s="1"/>
  <c r="AW5" i="18"/>
  <c r="W5" i="18" s="1"/>
  <c r="AY2" i="18"/>
  <c r="Y2" i="18" s="1"/>
  <c r="AX2" i="18"/>
  <c r="X2" i="18" s="1"/>
  <c r="AW2" i="18"/>
  <c r="W2" i="18" s="1"/>
  <c r="B11" i="16" l="1"/>
  <c r="H7" i="16"/>
  <c r="H9" i="16"/>
  <c r="H5" i="16"/>
  <c r="H10" i="16"/>
  <c r="H2" i="16"/>
  <c r="H3" i="16"/>
  <c r="H8" i="16"/>
  <c r="R8" i="16"/>
  <c r="X8" i="16" s="1"/>
  <c r="Q9" i="16"/>
  <c r="P9" i="16"/>
  <c r="K10" i="16"/>
  <c r="M10" i="16" s="1"/>
  <c r="BB7" i="18"/>
  <c r="BB11" i="18"/>
  <c r="BB8" i="18"/>
  <c r="C4" i="19"/>
  <c r="BB4" i="18"/>
  <c r="C10" i="19"/>
  <c r="BB10" i="18"/>
  <c r="C13" i="19"/>
  <c r="BB13" i="18"/>
  <c r="C3" i="19"/>
  <c r="BB3" i="18"/>
  <c r="BB2" i="18"/>
  <c r="AZ35" i="10" s="1"/>
  <c r="BB9" i="18"/>
  <c r="BB12" i="18"/>
  <c r="BB6" i="18"/>
  <c r="BB5" i="18"/>
  <c r="C7" i="19"/>
  <c r="C11" i="19"/>
  <c r="C8" i="19"/>
  <c r="C2" i="19"/>
  <c r="C9" i="19"/>
  <c r="C12" i="19"/>
  <c r="C6" i="19"/>
  <c r="C5" i="19"/>
  <c r="BS130" i="13"/>
  <c r="BS165" i="13"/>
  <c r="BS186" i="13"/>
  <c r="BS214" i="13"/>
  <c r="BS239" i="13"/>
  <c r="BS246" i="13"/>
  <c r="BS284" i="13"/>
  <c r="BS285" i="13"/>
  <c r="BS330" i="13"/>
  <c r="BS357" i="13"/>
  <c r="B12" i="16" l="1"/>
  <c r="AZ41" i="10"/>
  <c r="AZ38" i="10"/>
  <c r="R9" i="16"/>
  <c r="X9" i="16" s="1"/>
  <c r="P10" i="16"/>
  <c r="Q10" i="16"/>
  <c r="K11" i="16"/>
  <c r="M11" i="16" s="1"/>
  <c r="AZ37" i="10"/>
  <c r="AZ36" i="10"/>
  <c r="AZ40" i="10"/>
  <c r="AZ43" i="10"/>
  <c r="AZ39" i="10"/>
  <c r="AZ42" i="10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94" i="13"/>
  <c r="AB95" i="13"/>
  <c r="AB96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1" i="13"/>
  <c r="AB122" i="13"/>
  <c r="AB123" i="13"/>
  <c r="AB124" i="13"/>
  <c r="AB125" i="13"/>
  <c r="AB126" i="13"/>
  <c r="AB127" i="13"/>
  <c r="AB128" i="13"/>
  <c r="AB129" i="13"/>
  <c r="AB130" i="13"/>
  <c r="AB131" i="13"/>
  <c r="AB132" i="13"/>
  <c r="AB133" i="13"/>
  <c r="AB134" i="13"/>
  <c r="AB135" i="13"/>
  <c r="AB136" i="13"/>
  <c r="AB137" i="13"/>
  <c r="AB138" i="13"/>
  <c r="AB139" i="13"/>
  <c r="AB140" i="13"/>
  <c r="AB141" i="13"/>
  <c r="AB142" i="13"/>
  <c r="AB143" i="13"/>
  <c r="AB144" i="13"/>
  <c r="AB145" i="13"/>
  <c r="AB146" i="13"/>
  <c r="AB147" i="13"/>
  <c r="AB148" i="13"/>
  <c r="AB149" i="13"/>
  <c r="AB150" i="13"/>
  <c r="AB151" i="13"/>
  <c r="AB152" i="13"/>
  <c r="AB153" i="13"/>
  <c r="AB154" i="13"/>
  <c r="AB155" i="13"/>
  <c r="AB156" i="13"/>
  <c r="AB157" i="13"/>
  <c r="AB158" i="13"/>
  <c r="AB159" i="13"/>
  <c r="AB160" i="13"/>
  <c r="AB161" i="13"/>
  <c r="AB162" i="13"/>
  <c r="AB163" i="13"/>
  <c r="AB164" i="13"/>
  <c r="AB165" i="13"/>
  <c r="AB166" i="13"/>
  <c r="AB167" i="13"/>
  <c r="AB168" i="13"/>
  <c r="AB169" i="13"/>
  <c r="AB170" i="13"/>
  <c r="AB171" i="13"/>
  <c r="AB172" i="13"/>
  <c r="AB173" i="13"/>
  <c r="AB174" i="13"/>
  <c r="AB175" i="13"/>
  <c r="AB176" i="13"/>
  <c r="AB177" i="13"/>
  <c r="AB178" i="13"/>
  <c r="AB179" i="13"/>
  <c r="AB180" i="13"/>
  <c r="AB181" i="13"/>
  <c r="AB182" i="13"/>
  <c r="AB183" i="13"/>
  <c r="AB184" i="13"/>
  <c r="AB185" i="13"/>
  <c r="AB186" i="13"/>
  <c r="AB187" i="13"/>
  <c r="AB188" i="13"/>
  <c r="AB189" i="13"/>
  <c r="AB190" i="13"/>
  <c r="AB191" i="13"/>
  <c r="AB192" i="13"/>
  <c r="AB193" i="13"/>
  <c r="AB194" i="13"/>
  <c r="AB195" i="13"/>
  <c r="AB196" i="13"/>
  <c r="AB197" i="13"/>
  <c r="AB198" i="13"/>
  <c r="AB199" i="13"/>
  <c r="AB200" i="13"/>
  <c r="AB201" i="13"/>
  <c r="AB202" i="13"/>
  <c r="AB203" i="13"/>
  <c r="AB204" i="13"/>
  <c r="AB205" i="13"/>
  <c r="AB206" i="13"/>
  <c r="AB207" i="13"/>
  <c r="AB208" i="13"/>
  <c r="AB209" i="13"/>
  <c r="AB210" i="13"/>
  <c r="AB211" i="13"/>
  <c r="AB212" i="13"/>
  <c r="AB213" i="13"/>
  <c r="AB214" i="13"/>
  <c r="AB215" i="13"/>
  <c r="AB216" i="13"/>
  <c r="AB217" i="13"/>
  <c r="AB218" i="13"/>
  <c r="AB219" i="13"/>
  <c r="AB220" i="13"/>
  <c r="AB221" i="13"/>
  <c r="AB222" i="13"/>
  <c r="AB223" i="13"/>
  <c r="AB224" i="13"/>
  <c r="AB225" i="13"/>
  <c r="AB226" i="13"/>
  <c r="AB227" i="13"/>
  <c r="AB228" i="13"/>
  <c r="AB229" i="13"/>
  <c r="AB230" i="13"/>
  <c r="AB231" i="13"/>
  <c r="AB232" i="13"/>
  <c r="AB233" i="13"/>
  <c r="AB234" i="13"/>
  <c r="AB235" i="13"/>
  <c r="AB236" i="13"/>
  <c r="AB237" i="13"/>
  <c r="AB238" i="13"/>
  <c r="AB239" i="13"/>
  <c r="AB240" i="13"/>
  <c r="AB241" i="13"/>
  <c r="AB242" i="13"/>
  <c r="AB243" i="13"/>
  <c r="AB244" i="13"/>
  <c r="AB245" i="13"/>
  <c r="AB246" i="13"/>
  <c r="AB247" i="13"/>
  <c r="AB248" i="13"/>
  <c r="AB249" i="13"/>
  <c r="AB250" i="13"/>
  <c r="AB251" i="13"/>
  <c r="AB252" i="13"/>
  <c r="AB253" i="13"/>
  <c r="AB254" i="13"/>
  <c r="AB255" i="13"/>
  <c r="AB256" i="13"/>
  <c r="AB257" i="13"/>
  <c r="AB258" i="13"/>
  <c r="AB259" i="13"/>
  <c r="AB260" i="13"/>
  <c r="AB261" i="13"/>
  <c r="AB262" i="13"/>
  <c r="AB263" i="13"/>
  <c r="AB264" i="13"/>
  <c r="AB265" i="13"/>
  <c r="AB266" i="13"/>
  <c r="AB267" i="13"/>
  <c r="AB268" i="13"/>
  <c r="AB269" i="13"/>
  <c r="AB270" i="13"/>
  <c r="AB271" i="13"/>
  <c r="AB272" i="13"/>
  <c r="AB273" i="13"/>
  <c r="AB274" i="13"/>
  <c r="AB275" i="13"/>
  <c r="AB276" i="13"/>
  <c r="AB277" i="13"/>
  <c r="AB278" i="13"/>
  <c r="AB279" i="13"/>
  <c r="AB280" i="13"/>
  <c r="AB281" i="13"/>
  <c r="AB282" i="13"/>
  <c r="AB283" i="13"/>
  <c r="AB284" i="13"/>
  <c r="AB285" i="13"/>
  <c r="AB286" i="13"/>
  <c r="AB287" i="13"/>
  <c r="AB288" i="13"/>
  <c r="AB289" i="13"/>
  <c r="AB290" i="13"/>
  <c r="AB291" i="13"/>
  <c r="AB292" i="13"/>
  <c r="AB293" i="13"/>
  <c r="AB294" i="13"/>
  <c r="AB295" i="13"/>
  <c r="AB296" i="13"/>
  <c r="AB297" i="13"/>
  <c r="AB298" i="13"/>
  <c r="AB299" i="13"/>
  <c r="AB300" i="13"/>
  <c r="AB301" i="13"/>
  <c r="AB302" i="13"/>
  <c r="AB303" i="13"/>
  <c r="AB304" i="13"/>
  <c r="AB305" i="13"/>
  <c r="AB306" i="13"/>
  <c r="AB307" i="13"/>
  <c r="AB308" i="13"/>
  <c r="AB309" i="13"/>
  <c r="AB310" i="13"/>
  <c r="AB311" i="13"/>
  <c r="AB312" i="13"/>
  <c r="AB313" i="13"/>
  <c r="AB314" i="13"/>
  <c r="AB315" i="13"/>
  <c r="AB316" i="13"/>
  <c r="AB317" i="13"/>
  <c r="AB318" i="13"/>
  <c r="AB319" i="13"/>
  <c r="AB320" i="13"/>
  <c r="AB321" i="13"/>
  <c r="AB322" i="13"/>
  <c r="AB323" i="13"/>
  <c r="AB324" i="13"/>
  <c r="AB325" i="13"/>
  <c r="AB326" i="13"/>
  <c r="AB327" i="13"/>
  <c r="AB328" i="13"/>
  <c r="AB329" i="13"/>
  <c r="AB330" i="13"/>
  <c r="AB331" i="13"/>
  <c r="AB332" i="13"/>
  <c r="AB333" i="13"/>
  <c r="AB334" i="13"/>
  <c r="AB335" i="13"/>
  <c r="AB336" i="13"/>
  <c r="AB337" i="13"/>
  <c r="AB338" i="13"/>
  <c r="AB339" i="13"/>
  <c r="AB340" i="13"/>
  <c r="AB341" i="13"/>
  <c r="AB342" i="13"/>
  <c r="AB343" i="13"/>
  <c r="AB344" i="13"/>
  <c r="AB345" i="13"/>
  <c r="AB346" i="13"/>
  <c r="AB347" i="13"/>
  <c r="AB348" i="13"/>
  <c r="AB349" i="13"/>
  <c r="AB350" i="13"/>
  <c r="AB351" i="13"/>
  <c r="AB352" i="13"/>
  <c r="AB353" i="13"/>
  <c r="AB354" i="13"/>
  <c r="AB355" i="13"/>
  <c r="AB356" i="13"/>
  <c r="AB357" i="13"/>
  <c r="AB358" i="13"/>
  <c r="AB359" i="13"/>
  <c r="AB360" i="13"/>
  <c r="AB361" i="13"/>
  <c r="AB362" i="13"/>
  <c r="AB363" i="13"/>
  <c r="AB364" i="13"/>
  <c r="AB365" i="13"/>
  <c r="AB366" i="13"/>
  <c r="AB367" i="13"/>
  <c r="AB368" i="13"/>
  <c r="AB369" i="13"/>
  <c r="AB370" i="13"/>
  <c r="AB371" i="13"/>
  <c r="AB372" i="13"/>
  <c r="AB373" i="13"/>
  <c r="AB374" i="13"/>
  <c r="AB375" i="13"/>
  <c r="AB376" i="13"/>
  <c r="AB377" i="13"/>
  <c r="AB378" i="13"/>
  <c r="AB379" i="13"/>
  <c r="AB380" i="13"/>
  <c r="AB381" i="13"/>
  <c r="AB382" i="13"/>
  <c r="AB383" i="13"/>
  <c r="AB384" i="13"/>
  <c r="AB385" i="13"/>
  <c r="AB386" i="13"/>
  <c r="AB387" i="13"/>
  <c r="AB388" i="13"/>
  <c r="AB389" i="13"/>
  <c r="AB390" i="13"/>
  <c r="AB391" i="13"/>
  <c r="AB392" i="13"/>
  <c r="AB393" i="13"/>
  <c r="AB394" i="13"/>
  <c r="AB395" i="13"/>
  <c r="AB396" i="13"/>
  <c r="AB397" i="13"/>
  <c r="AB398" i="13"/>
  <c r="AB399" i="13"/>
  <c r="AB400" i="13"/>
  <c r="AB401" i="13"/>
  <c r="AB402" i="13"/>
  <c r="AB403" i="13"/>
  <c r="AB404" i="13"/>
  <c r="AB405" i="13"/>
  <c r="AB406" i="13"/>
  <c r="AB407" i="13"/>
  <c r="AB408" i="13"/>
  <c r="AB409" i="13"/>
  <c r="AB410" i="13"/>
  <c r="AB411" i="13"/>
  <c r="AB412" i="13"/>
  <c r="AB413" i="13"/>
  <c r="AB414" i="13"/>
  <c r="AB415" i="13"/>
  <c r="AB416" i="13"/>
  <c r="AB417" i="13"/>
  <c r="AB418" i="13"/>
  <c r="AB419" i="13"/>
  <c r="AB420" i="13"/>
  <c r="AB421" i="13"/>
  <c r="AB422" i="13"/>
  <c r="AB423" i="13"/>
  <c r="AB424" i="13"/>
  <c r="AB425" i="13"/>
  <c r="AB426" i="13"/>
  <c r="AB427" i="13"/>
  <c r="AB428" i="13"/>
  <c r="AB429" i="13"/>
  <c r="AB430" i="13"/>
  <c r="AB431" i="13"/>
  <c r="AB432" i="13"/>
  <c r="AB433" i="13"/>
  <c r="AB434" i="13"/>
  <c r="AB435" i="13"/>
  <c r="AB436" i="13"/>
  <c r="AB437" i="13"/>
  <c r="AB438" i="13"/>
  <c r="AB439" i="13"/>
  <c r="AB440" i="13"/>
  <c r="AB441" i="13"/>
  <c r="AB442" i="13"/>
  <c r="AB443" i="13"/>
  <c r="AB444" i="13"/>
  <c r="AB445" i="13"/>
  <c r="AB446" i="13"/>
  <c r="AB447" i="13"/>
  <c r="AB448" i="13"/>
  <c r="AB449" i="13"/>
  <c r="AB450" i="13"/>
  <c r="AB451" i="13"/>
  <c r="AB452" i="13"/>
  <c r="AB453" i="13"/>
  <c r="AB454" i="13"/>
  <c r="AB455" i="13"/>
  <c r="AB456" i="13"/>
  <c r="AB457" i="13"/>
  <c r="AB458" i="13"/>
  <c r="AB459" i="13"/>
  <c r="AB460" i="13"/>
  <c r="AB461" i="13"/>
  <c r="AB462" i="13"/>
  <c r="AB463" i="13"/>
  <c r="AB464" i="13"/>
  <c r="AB465" i="13"/>
  <c r="AB466" i="13"/>
  <c r="AB467" i="13"/>
  <c r="AB468" i="13"/>
  <c r="AB469" i="13"/>
  <c r="AB470" i="13"/>
  <c r="AB471" i="13"/>
  <c r="AB472" i="13"/>
  <c r="AB473" i="13"/>
  <c r="AB474" i="13"/>
  <c r="AB475" i="13"/>
  <c r="AB476" i="13"/>
  <c r="AB477" i="13"/>
  <c r="AB478" i="13"/>
  <c r="AB479" i="13"/>
  <c r="AB480" i="13"/>
  <c r="AB481" i="13"/>
  <c r="AB482" i="13"/>
  <c r="AB483" i="13"/>
  <c r="AB484" i="13"/>
  <c r="AB485" i="13"/>
  <c r="AB486" i="13"/>
  <c r="AB487" i="13"/>
  <c r="AB488" i="13"/>
  <c r="AB489" i="13"/>
  <c r="AB490" i="13"/>
  <c r="AB491" i="13"/>
  <c r="AB492" i="13"/>
  <c r="AB493" i="13"/>
  <c r="AB494" i="13"/>
  <c r="AB495" i="13"/>
  <c r="AB496" i="13"/>
  <c r="AB497" i="13"/>
  <c r="AB498" i="13"/>
  <c r="AB499" i="13"/>
  <c r="AB500" i="13"/>
  <c r="AB501" i="13"/>
  <c r="AB502" i="13"/>
  <c r="AB503" i="13"/>
  <c r="AB504" i="13"/>
  <c r="AB505" i="13"/>
  <c r="AB506" i="13"/>
  <c r="AB507" i="13"/>
  <c r="AB508" i="13"/>
  <c r="AB509" i="13"/>
  <c r="AB510" i="13"/>
  <c r="AB511" i="13"/>
  <c r="AB512" i="13"/>
  <c r="AB513" i="13"/>
  <c r="AB514" i="13"/>
  <c r="AB515" i="13"/>
  <c r="AB516" i="13"/>
  <c r="AB517" i="13"/>
  <c r="AB518" i="13"/>
  <c r="AB519" i="13"/>
  <c r="AB520" i="13"/>
  <c r="AB521" i="13"/>
  <c r="AB522" i="13"/>
  <c r="AB523" i="13"/>
  <c r="AB524" i="13"/>
  <c r="AB525" i="13"/>
  <c r="AB526" i="13"/>
  <c r="AB527" i="13"/>
  <c r="AB528" i="13"/>
  <c r="AB529" i="13"/>
  <c r="AB530" i="13"/>
  <c r="AB531" i="13"/>
  <c r="AB532" i="13"/>
  <c r="AB533" i="13"/>
  <c r="AB534" i="13"/>
  <c r="AB535" i="13"/>
  <c r="AB536" i="13"/>
  <c r="AB537" i="13"/>
  <c r="AB538" i="13"/>
  <c r="AB539" i="13"/>
  <c r="AB540" i="13"/>
  <c r="AB541" i="13"/>
  <c r="AB542" i="13"/>
  <c r="AB543" i="13"/>
  <c r="AB544" i="13"/>
  <c r="AB545" i="13"/>
  <c r="AB546" i="13"/>
  <c r="AB547" i="13"/>
  <c r="AB548" i="13"/>
  <c r="AB549" i="13"/>
  <c r="AB550" i="13"/>
  <c r="AB551" i="13"/>
  <c r="AB552" i="13"/>
  <c r="AB553" i="13"/>
  <c r="AB554" i="13"/>
  <c r="AB555" i="13"/>
  <c r="AB556" i="13"/>
  <c r="AB557" i="13"/>
  <c r="AB558" i="13"/>
  <c r="AB559" i="13"/>
  <c r="AB560" i="13"/>
  <c r="AB561" i="13"/>
  <c r="AB562" i="13"/>
  <c r="AB563" i="13"/>
  <c r="AB564" i="13"/>
  <c r="AB565" i="13"/>
  <c r="AB566" i="13"/>
  <c r="AB567" i="13"/>
  <c r="AB568" i="13"/>
  <c r="AB569" i="13"/>
  <c r="AB570" i="13"/>
  <c r="AB571" i="13"/>
  <c r="AB572" i="13"/>
  <c r="AB573" i="13"/>
  <c r="AB574" i="13"/>
  <c r="AB575" i="13"/>
  <c r="AB576" i="13"/>
  <c r="AB577" i="13"/>
  <c r="AB578" i="13"/>
  <c r="AB579" i="13"/>
  <c r="AB580" i="13"/>
  <c r="AB581" i="13"/>
  <c r="AB582" i="13"/>
  <c r="AB583" i="13"/>
  <c r="AB584" i="13"/>
  <c r="AB585" i="13"/>
  <c r="AB586" i="13"/>
  <c r="AB587" i="13"/>
  <c r="AB588" i="13"/>
  <c r="AB589" i="13"/>
  <c r="AB590" i="13"/>
  <c r="AB591" i="13"/>
  <c r="AB592" i="13"/>
  <c r="AB593" i="13"/>
  <c r="AB594" i="13"/>
  <c r="AB595" i="13"/>
  <c r="AB596" i="13"/>
  <c r="AB597" i="13"/>
  <c r="AB598" i="13"/>
  <c r="AB599" i="13"/>
  <c r="AB600" i="13"/>
  <c r="AB601" i="13"/>
  <c r="AB602" i="13"/>
  <c r="AB603" i="13"/>
  <c r="AB604" i="13"/>
  <c r="AB605" i="13"/>
  <c r="AB606" i="13"/>
  <c r="AB607" i="13"/>
  <c r="AB608" i="13"/>
  <c r="AB609" i="13"/>
  <c r="AB610" i="13"/>
  <c r="AB611" i="13"/>
  <c r="AB612" i="13"/>
  <c r="AB613" i="13"/>
  <c r="AB614" i="13"/>
  <c r="AB615" i="13"/>
  <c r="AB616" i="13"/>
  <c r="AB617" i="13"/>
  <c r="AB618" i="13"/>
  <c r="AB619" i="13"/>
  <c r="AB620" i="13"/>
  <c r="AB621" i="13"/>
  <c r="AB622" i="13"/>
  <c r="AB623" i="13"/>
  <c r="AB624" i="13"/>
  <c r="AB625" i="13"/>
  <c r="AB626" i="13"/>
  <c r="AB627" i="13"/>
  <c r="AB628" i="13"/>
  <c r="AB629" i="13"/>
  <c r="AB630" i="13"/>
  <c r="AB631" i="13"/>
  <c r="AB632" i="13"/>
  <c r="AB633" i="13"/>
  <c r="AB634" i="13"/>
  <c r="AB635" i="13"/>
  <c r="AB636" i="13"/>
  <c r="AB637" i="13"/>
  <c r="AB638" i="13"/>
  <c r="AB639" i="13"/>
  <c r="AB640" i="13"/>
  <c r="AB641" i="13"/>
  <c r="AB642" i="13"/>
  <c r="AB643" i="13"/>
  <c r="AB644" i="13"/>
  <c r="AB645" i="13"/>
  <c r="AB646" i="13"/>
  <c r="AB647" i="13"/>
  <c r="AB648" i="13"/>
  <c r="AB649" i="13"/>
  <c r="AB650" i="13"/>
  <c r="AB651" i="13"/>
  <c r="AB652" i="13"/>
  <c r="AB653" i="13"/>
  <c r="AB654" i="13"/>
  <c r="AB655" i="13"/>
  <c r="AB656" i="13"/>
  <c r="AB657" i="13"/>
  <c r="AB658" i="13"/>
  <c r="AB659" i="13"/>
  <c r="AB660" i="13"/>
  <c r="AB661" i="13"/>
  <c r="AB662" i="13"/>
  <c r="AB663" i="13"/>
  <c r="AB664" i="13"/>
  <c r="AB665" i="13"/>
  <c r="AB666" i="13"/>
  <c r="AB667" i="13"/>
  <c r="AB668" i="13"/>
  <c r="AB669" i="13"/>
  <c r="AB670" i="13"/>
  <c r="AB671" i="13"/>
  <c r="AB672" i="13"/>
  <c r="AB673" i="13"/>
  <c r="AB674" i="13"/>
  <c r="AB675" i="13"/>
  <c r="AB676" i="13"/>
  <c r="AB677" i="13"/>
  <c r="AB678" i="13"/>
  <c r="AB679" i="13"/>
  <c r="AB680" i="13"/>
  <c r="AB681" i="13"/>
  <c r="AB682" i="13"/>
  <c r="AB683" i="13"/>
  <c r="AB684" i="13"/>
  <c r="AB685" i="13"/>
  <c r="AB686" i="13"/>
  <c r="AB687" i="13"/>
  <c r="AB688" i="13"/>
  <c r="AB689" i="13"/>
  <c r="AB690" i="13"/>
  <c r="AB691" i="13"/>
  <c r="AB692" i="13"/>
  <c r="AB693" i="13"/>
  <c r="AB694" i="13"/>
  <c r="AB695" i="13"/>
  <c r="AB696" i="13"/>
  <c r="AB697" i="13"/>
  <c r="AB698" i="13"/>
  <c r="AB699" i="13"/>
  <c r="AB700" i="13"/>
  <c r="AB701" i="13"/>
  <c r="AB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Y135" i="13"/>
  <c r="Y136" i="13"/>
  <c r="Y137" i="13"/>
  <c r="Y138" i="13"/>
  <c r="Y139" i="13"/>
  <c r="Y140" i="13"/>
  <c r="Y141" i="13"/>
  <c r="Y142" i="13"/>
  <c r="Y143" i="13"/>
  <c r="Y144" i="13"/>
  <c r="Y145" i="13"/>
  <c r="Y146" i="13"/>
  <c r="Y147" i="13"/>
  <c r="Y148" i="13"/>
  <c r="Y149" i="13"/>
  <c r="Y150" i="13"/>
  <c r="Y151" i="13"/>
  <c r="Y152" i="13"/>
  <c r="Y153" i="13"/>
  <c r="Y154" i="13"/>
  <c r="Y155" i="13"/>
  <c r="Y156" i="13"/>
  <c r="Y157" i="13"/>
  <c r="Y158" i="13"/>
  <c r="Y159" i="13"/>
  <c r="Y160" i="13"/>
  <c r="Y161" i="13"/>
  <c r="Y162" i="13"/>
  <c r="Y163" i="13"/>
  <c r="Y164" i="13"/>
  <c r="Y165" i="13"/>
  <c r="Y166" i="13"/>
  <c r="Y167" i="13"/>
  <c r="Y168" i="13"/>
  <c r="Y169" i="13"/>
  <c r="Y170" i="13"/>
  <c r="Y171" i="13"/>
  <c r="Y172" i="13"/>
  <c r="Y173" i="13"/>
  <c r="Y174" i="13"/>
  <c r="Y175" i="13"/>
  <c r="Y176" i="13"/>
  <c r="Y177" i="13"/>
  <c r="Y178" i="13"/>
  <c r="Y179" i="13"/>
  <c r="Y180" i="13"/>
  <c r="Y181" i="13"/>
  <c r="Y182" i="13"/>
  <c r="Y183" i="13"/>
  <c r="Y184" i="13"/>
  <c r="Y185" i="13"/>
  <c r="Y186" i="13"/>
  <c r="Y187" i="13"/>
  <c r="Y188" i="13"/>
  <c r="Y189" i="13"/>
  <c r="Y190" i="13"/>
  <c r="Y191" i="13"/>
  <c r="Y192" i="13"/>
  <c r="Y193" i="13"/>
  <c r="Y194" i="13"/>
  <c r="Y195" i="13"/>
  <c r="Y196" i="13"/>
  <c r="Y197" i="13"/>
  <c r="Y198" i="13"/>
  <c r="Y199" i="13"/>
  <c r="Y200" i="13"/>
  <c r="Y201" i="13"/>
  <c r="Y202" i="13"/>
  <c r="Y203" i="13"/>
  <c r="Y204" i="13"/>
  <c r="Y205" i="13"/>
  <c r="Y206" i="13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Y235" i="13"/>
  <c r="Y236" i="13"/>
  <c r="Y237" i="13"/>
  <c r="Y238" i="13"/>
  <c r="Y239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Y269" i="13"/>
  <c r="Y270" i="13"/>
  <c r="Y271" i="13"/>
  <c r="Y272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Y301" i="13"/>
  <c r="Y302" i="13"/>
  <c r="Y303" i="13"/>
  <c r="Y304" i="13"/>
  <c r="Y305" i="13"/>
  <c r="Y306" i="13"/>
  <c r="Y307" i="13"/>
  <c r="Y308" i="13"/>
  <c r="Y309" i="13"/>
  <c r="Y310" i="13"/>
  <c r="Y311" i="13"/>
  <c r="Y312" i="13"/>
  <c r="Y313" i="13"/>
  <c r="Y314" i="13"/>
  <c r="Y315" i="13"/>
  <c r="Y316" i="13"/>
  <c r="Y317" i="13"/>
  <c r="Y318" i="13"/>
  <c r="Y319" i="13"/>
  <c r="Y320" i="13"/>
  <c r="Y321" i="13"/>
  <c r="Y322" i="13"/>
  <c r="Y323" i="13"/>
  <c r="Y324" i="13"/>
  <c r="Y325" i="13"/>
  <c r="Y326" i="13"/>
  <c r="Y327" i="13"/>
  <c r="Y328" i="13"/>
  <c r="Y329" i="13"/>
  <c r="Y330" i="13"/>
  <c r="Y331" i="13"/>
  <c r="Y332" i="13"/>
  <c r="Y333" i="13"/>
  <c r="Y334" i="13"/>
  <c r="Y335" i="13"/>
  <c r="Y336" i="13"/>
  <c r="Y337" i="13"/>
  <c r="Y338" i="13"/>
  <c r="Y339" i="13"/>
  <c r="Y340" i="13"/>
  <c r="Y341" i="13"/>
  <c r="Y342" i="13"/>
  <c r="Y343" i="13"/>
  <c r="Y344" i="13"/>
  <c r="Y345" i="13"/>
  <c r="Y346" i="13"/>
  <c r="Y347" i="13"/>
  <c r="Y348" i="13"/>
  <c r="Y349" i="13"/>
  <c r="Y350" i="13"/>
  <c r="Y351" i="13"/>
  <c r="Y352" i="13"/>
  <c r="Y353" i="13"/>
  <c r="Y354" i="13"/>
  <c r="Y355" i="13"/>
  <c r="Y356" i="13"/>
  <c r="Y357" i="13"/>
  <c r="Y358" i="13"/>
  <c r="Y359" i="13"/>
  <c r="Y360" i="13"/>
  <c r="Y361" i="13"/>
  <c r="Y362" i="13"/>
  <c r="Y363" i="13"/>
  <c r="Y364" i="13"/>
  <c r="Y365" i="13"/>
  <c r="Y366" i="13"/>
  <c r="Y367" i="13"/>
  <c r="Y368" i="13"/>
  <c r="Y369" i="13"/>
  <c r="Y370" i="13"/>
  <c r="Y371" i="13"/>
  <c r="Y372" i="13"/>
  <c r="Y373" i="13"/>
  <c r="Y374" i="13"/>
  <c r="Y375" i="13"/>
  <c r="Y376" i="13"/>
  <c r="Y377" i="13"/>
  <c r="Y378" i="13"/>
  <c r="Y379" i="13"/>
  <c r="Y380" i="13"/>
  <c r="Y381" i="13"/>
  <c r="Y382" i="13"/>
  <c r="Y383" i="13"/>
  <c r="Y384" i="13"/>
  <c r="Y385" i="13"/>
  <c r="Y386" i="13"/>
  <c r="Y387" i="13"/>
  <c r="Y388" i="13"/>
  <c r="Y389" i="13"/>
  <c r="Y390" i="13"/>
  <c r="Y391" i="13"/>
  <c r="Y392" i="13"/>
  <c r="Y393" i="13"/>
  <c r="Y394" i="13"/>
  <c r="Y395" i="13"/>
  <c r="Y396" i="13"/>
  <c r="Y397" i="13"/>
  <c r="Y398" i="13"/>
  <c r="Y399" i="13"/>
  <c r="Y400" i="13"/>
  <c r="Y401" i="13"/>
  <c r="Y402" i="13"/>
  <c r="Y403" i="13"/>
  <c r="Y404" i="13"/>
  <c r="Y405" i="13"/>
  <c r="Y406" i="13"/>
  <c r="Y407" i="13"/>
  <c r="Y408" i="13"/>
  <c r="Y409" i="13"/>
  <c r="Y410" i="13"/>
  <c r="Y411" i="13"/>
  <c r="Y412" i="13"/>
  <c r="Y413" i="13"/>
  <c r="Y414" i="13"/>
  <c r="Y415" i="13"/>
  <c r="Y416" i="13"/>
  <c r="Y417" i="13"/>
  <c r="Y418" i="13"/>
  <c r="Y419" i="13"/>
  <c r="Y420" i="13"/>
  <c r="Y421" i="13"/>
  <c r="Y422" i="13"/>
  <c r="Y423" i="13"/>
  <c r="Y424" i="13"/>
  <c r="Y425" i="13"/>
  <c r="Y426" i="13"/>
  <c r="Y427" i="13"/>
  <c r="Y428" i="13"/>
  <c r="Y429" i="13"/>
  <c r="Y430" i="13"/>
  <c r="Y431" i="13"/>
  <c r="Y432" i="13"/>
  <c r="Y433" i="13"/>
  <c r="Y434" i="13"/>
  <c r="Y435" i="13"/>
  <c r="Y436" i="13"/>
  <c r="Y437" i="13"/>
  <c r="Y438" i="13"/>
  <c r="Y439" i="13"/>
  <c r="Y440" i="13"/>
  <c r="Y441" i="13"/>
  <c r="Y442" i="13"/>
  <c r="Y443" i="13"/>
  <c r="Y444" i="13"/>
  <c r="Y445" i="13"/>
  <c r="Y446" i="13"/>
  <c r="Y447" i="13"/>
  <c r="Y448" i="13"/>
  <c r="Y449" i="13"/>
  <c r="Y450" i="13"/>
  <c r="Y451" i="13"/>
  <c r="Y452" i="13"/>
  <c r="Y453" i="13"/>
  <c r="Y454" i="13"/>
  <c r="Y455" i="13"/>
  <c r="Y456" i="13"/>
  <c r="Y457" i="13"/>
  <c r="Y458" i="13"/>
  <c r="Y459" i="13"/>
  <c r="Y460" i="13"/>
  <c r="Y461" i="13"/>
  <c r="Y462" i="13"/>
  <c r="Y463" i="13"/>
  <c r="Y464" i="13"/>
  <c r="Y465" i="13"/>
  <c r="Y466" i="13"/>
  <c r="Y467" i="13"/>
  <c r="Y468" i="13"/>
  <c r="Y469" i="13"/>
  <c r="Y470" i="13"/>
  <c r="Y471" i="13"/>
  <c r="Y472" i="13"/>
  <c r="Y473" i="13"/>
  <c r="Y474" i="13"/>
  <c r="Y475" i="13"/>
  <c r="Y476" i="13"/>
  <c r="Y477" i="13"/>
  <c r="Y478" i="13"/>
  <c r="Y479" i="13"/>
  <c r="Y480" i="13"/>
  <c r="Y481" i="13"/>
  <c r="Y482" i="13"/>
  <c r="Y483" i="13"/>
  <c r="Y484" i="13"/>
  <c r="Y485" i="13"/>
  <c r="Y486" i="13"/>
  <c r="Y487" i="13"/>
  <c r="Y488" i="13"/>
  <c r="Y489" i="13"/>
  <c r="Y490" i="13"/>
  <c r="Y491" i="13"/>
  <c r="Y492" i="13"/>
  <c r="Y493" i="13"/>
  <c r="Y494" i="13"/>
  <c r="Y495" i="13"/>
  <c r="Y496" i="13"/>
  <c r="Y497" i="13"/>
  <c r="Y498" i="13"/>
  <c r="Y499" i="13"/>
  <c r="Y500" i="13"/>
  <c r="Y501" i="13"/>
  <c r="Y502" i="13"/>
  <c r="Y503" i="13"/>
  <c r="Y504" i="13"/>
  <c r="Y505" i="13"/>
  <c r="Y506" i="13"/>
  <c r="Y507" i="13"/>
  <c r="Y508" i="13"/>
  <c r="Y509" i="13"/>
  <c r="Y510" i="13"/>
  <c r="Y511" i="13"/>
  <c r="Y512" i="13"/>
  <c r="Y513" i="13"/>
  <c r="Y514" i="13"/>
  <c r="Y515" i="13"/>
  <c r="Y516" i="13"/>
  <c r="Y517" i="13"/>
  <c r="Y518" i="13"/>
  <c r="Y519" i="13"/>
  <c r="Y520" i="13"/>
  <c r="Y521" i="13"/>
  <c r="Y522" i="13"/>
  <c r="Y523" i="13"/>
  <c r="Y524" i="13"/>
  <c r="Y525" i="13"/>
  <c r="Y526" i="13"/>
  <c r="Y527" i="13"/>
  <c r="Y528" i="13"/>
  <c r="Y529" i="13"/>
  <c r="Y530" i="13"/>
  <c r="Y531" i="13"/>
  <c r="Y532" i="13"/>
  <c r="Y533" i="13"/>
  <c r="Y534" i="13"/>
  <c r="Y535" i="13"/>
  <c r="Y536" i="13"/>
  <c r="Y537" i="13"/>
  <c r="Y538" i="13"/>
  <c r="Y539" i="13"/>
  <c r="Y540" i="13"/>
  <c r="Y541" i="13"/>
  <c r="Y542" i="13"/>
  <c r="Y543" i="13"/>
  <c r="Y544" i="13"/>
  <c r="Y545" i="13"/>
  <c r="Y546" i="13"/>
  <c r="Y547" i="13"/>
  <c r="Y548" i="13"/>
  <c r="Y549" i="13"/>
  <c r="Y550" i="13"/>
  <c r="Y551" i="13"/>
  <c r="Y552" i="13"/>
  <c r="Y553" i="13"/>
  <c r="Y554" i="13"/>
  <c r="Y555" i="13"/>
  <c r="Y556" i="13"/>
  <c r="Y557" i="13"/>
  <c r="Y558" i="13"/>
  <c r="Y559" i="13"/>
  <c r="Y560" i="13"/>
  <c r="Y561" i="13"/>
  <c r="Y562" i="13"/>
  <c r="Y563" i="13"/>
  <c r="Y564" i="13"/>
  <c r="Y565" i="13"/>
  <c r="Y566" i="13"/>
  <c r="Y567" i="13"/>
  <c r="Y568" i="13"/>
  <c r="Y569" i="13"/>
  <c r="Y570" i="13"/>
  <c r="Y571" i="13"/>
  <c r="Y572" i="13"/>
  <c r="Y573" i="13"/>
  <c r="Y574" i="13"/>
  <c r="Y575" i="13"/>
  <c r="Y576" i="13"/>
  <c r="Y577" i="13"/>
  <c r="Y578" i="13"/>
  <c r="Y579" i="13"/>
  <c r="Y580" i="13"/>
  <c r="Y581" i="13"/>
  <c r="Y582" i="13"/>
  <c r="Y583" i="13"/>
  <c r="Y584" i="13"/>
  <c r="Y585" i="13"/>
  <c r="Y586" i="13"/>
  <c r="Y587" i="13"/>
  <c r="Y588" i="13"/>
  <c r="Y589" i="13"/>
  <c r="Y590" i="13"/>
  <c r="Y591" i="13"/>
  <c r="Y592" i="13"/>
  <c r="Y593" i="13"/>
  <c r="Y594" i="13"/>
  <c r="Y595" i="13"/>
  <c r="Y596" i="13"/>
  <c r="Y597" i="13"/>
  <c r="Y598" i="13"/>
  <c r="Y599" i="13"/>
  <c r="Y600" i="13"/>
  <c r="Y601" i="13"/>
  <c r="Y602" i="13"/>
  <c r="Y603" i="13"/>
  <c r="Y604" i="13"/>
  <c r="Y605" i="13"/>
  <c r="Y606" i="13"/>
  <c r="Y607" i="13"/>
  <c r="Y608" i="13"/>
  <c r="Y609" i="13"/>
  <c r="Y610" i="13"/>
  <c r="Y611" i="13"/>
  <c r="Y612" i="13"/>
  <c r="Y613" i="13"/>
  <c r="Y614" i="13"/>
  <c r="Y615" i="13"/>
  <c r="Y616" i="13"/>
  <c r="Y617" i="13"/>
  <c r="Y618" i="13"/>
  <c r="Y619" i="13"/>
  <c r="Y620" i="13"/>
  <c r="Y621" i="13"/>
  <c r="Y622" i="13"/>
  <c r="Y623" i="13"/>
  <c r="Y624" i="13"/>
  <c r="Y625" i="13"/>
  <c r="Y626" i="13"/>
  <c r="Y627" i="13"/>
  <c r="Y628" i="13"/>
  <c r="Y629" i="13"/>
  <c r="Y630" i="13"/>
  <c r="Y631" i="13"/>
  <c r="Y632" i="13"/>
  <c r="Y633" i="13"/>
  <c r="Y634" i="13"/>
  <c r="Y635" i="13"/>
  <c r="Y636" i="13"/>
  <c r="Y637" i="13"/>
  <c r="Y638" i="13"/>
  <c r="Y639" i="13"/>
  <c r="Y640" i="13"/>
  <c r="Y641" i="13"/>
  <c r="Y642" i="13"/>
  <c r="Y643" i="13"/>
  <c r="Y644" i="13"/>
  <c r="Y645" i="13"/>
  <c r="Y646" i="13"/>
  <c r="Y647" i="13"/>
  <c r="Y648" i="13"/>
  <c r="Y649" i="13"/>
  <c r="Y650" i="13"/>
  <c r="Y651" i="13"/>
  <c r="Y652" i="13"/>
  <c r="Y653" i="13"/>
  <c r="Y654" i="13"/>
  <c r="Y655" i="13"/>
  <c r="Y656" i="13"/>
  <c r="Y657" i="13"/>
  <c r="Y658" i="13"/>
  <c r="Y659" i="13"/>
  <c r="Y660" i="13"/>
  <c r="Y661" i="13"/>
  <c r="Y662" i="13"/>
  <c r="Y663" i="13"/>
  <c r="Y664" i="13"/>
  <c r="Y665" i="13"/>
  <c r="Y666" i="13"/>
  <c r="Y667" i="13"/>
  <c r="Y668" i="13"/>
  <c r="Y669" i="13"/>
  <c r="Y670" i="13"/>
  <c r="Y671" i="13"/>
  <c r="Y672" i="13"/>
  <c r="Y673" i="13"/>
  <c r="Y674" i="13"/>
  <c r="Y675" i="13"/>
  <c r="Y676" i="13"/>
  <c r="Y677" i="13"/>
  <c r="Y678" i="13"/>
  <c r="Y679" i="13"/>
  <c r="Y680" i="13"/>
  <c r="Y681" i="13"/>
  <c r="Y682" i="13"/>
  <c r="Y683" i="13"/>
  <c r="Y684" i="13"/>
  <c r="Y685" i="13"/>
  <c r="Y686" i="13"/>
  <c r="Y687" i="13"/>
  <c r="Y688" i="13"/>
  <c r="Y689" i="13"/>
  <c r="Y690" i="13"/>
  <c r="Y691" i="13"/>
  <c r="Y692" i="13"/>
  <c r="Y693" i="13"/>
  <c r="Y694" i="13"/>
  <c r="Y695" i="13"/>
  <c r="Y696" i="13"/>
  <c r="Y697" i="13"/>
  <c r="Y698" i="13"/>
  <c r="Y699" i="13"/>
  <c r="Y700" i="13"/>
  <c r="Y701" i="13"/>
  <c r="Y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94" i="13"/>
  <c r="Z95" i="13"/>
  <c r="Z96" i="13"/>
  <c r="Z97" i="13"/>
  <c r="Z98" i="13"/>
  <c r="Z99" i="13"/>
  <c r="Z100" i="13"/>
  <c r="Z101" i="13"/>
  <c r="Z102" i="13"/>
  <c r="Z103" i="13"/>
  <c r="Z104" i="13"/>
  <c r="Z105" i="13"/>
  <c r="Z106" i="13"/>
  <c r="Z107" i="13"/>
  <c r="Z108" i="13"/>
  <c r="Z109" i="13"/>
  <c r="Z110" i="13"/>
  <c r="Z111" i="13"/>
  <c r="Z112" i="13"/>
  <c r="Z113" i="13"/>
  <c r="Z114" i="13"/>
  <c r="Z115" i="13"/>
  <c r="Z116" i="13"/>
  <c r="Z117" i="13"/>
  <c r="Z118" i="13"/>
  <c r="Z119" i="13"/>
  <c r="Z120" i="13"/>
  <c r="Z121" i="13"/>
  <c r="Z122" i="13"/>
  <c r="Z123" i="13"/>
  <c r="Z124" i="13"/>
  <c r="Z125" i="13"/>
  <c r="Z126" i="13"/>
  <c r="Z127" i="13"/>
  <c r="Z128" i="13"/>
  <c r="Z129" i="13"/>
  <c r="Z130" i="13"/>
  <c r="Z131" i="13"/>
  <c r="Z132" i="13"/>
  <c r="Z133" i="13"/>
  <c r="Z134" i="13"/>
  <c r="Z135" i="13"/>
  <c r="Z136" i="13"/>
  <c r="Z137" i="13"/>
  <c r="Z138" i="13"/>
  <c r="Z139" i="13"/>
  <c r="Z140" i="13"/>
  <c r="Z141" i="13"/>
  <c r="Z142" i="13"/>
  <c r="Z143" i="13"/>
  <c r="Z144" i="13"/>
  <c r="Z145" i="13"/>
  <c r="Z146" i="13"/>
  <c r="Z147" i="13"/>
  <c r="Z148" i="13"/>
  <c r="Z149" i="13"/>
  <c r="Z150" i="13"/>
  <c r="Z151" i="13"/>
  <c r="Z152" i="13"/>
  <c r="Z153" i="13"/>
  <c r="Z154" i="13"/>
  <c r="Z155" i="13"/>
  <c r="Z156" i="13"/>
  <c r="Z157" i="13"/>
  <c r="Z158" i="13"/>
  <c r="Z159" i="13"/>
  <c r="Z160" i="13"/>
  <c r="Z161" i="13"/>
  <c r="Z162" i="13"/>
  <c r="Z163" i="13"/>
  <c r="Z164" i="13"/>
  <c r="Z165" i="13"/>
  <c r="Z166" i="13"/>
  <c r="Z167" i="13"/>
  <c r="Z168" i="13"/>
  <c r="Z169" i="13"/>
  <c r="Z170" i="13"/>
  <c r="Z171" i="13"/>
  <c r="Z172" i="13"/>
  <c r="Z173" i="13"/>
  <c r="Z174" i="13"/>
  <c r="Z175" i="13"/>
  <c r="Z176" i="13"/>
  <c r="Z177" i="13"/>
  <c r="Z178" i="13"/>
  <c r="Z179" i="13"/>
  <c r="Z180" i="13"/>
  <c r="Z181" i="13"/>
  <c r="Z182" i="13"/>
  <c r="Z183" i="13"/>
  <c r="Z184" i="13"/>
  <c r="Z185" i="13"/>
  <c r="Z186" i="13"/>
  <c r="Z187" i="13"/>
  <c r="Z188" i="13"/>
  <c r="Z189" i="13"/>
  <c r="Z190" i="13"/>
  <c r="Z191" i="13"/>
  <c r="Z192" i="13"/>
  <c r="Z193" i="13"/>
  <c r="Z194" i="13"/>
  <c r="Z195" i="13"/>
  <c r="Z196" i="13"/>
  <c r="Z197" i="13"/>
  <c r="Z198" i="13"/>
  <c r="Z199" i="13"/>
  <c r="Z200" i="13"/>
  <c r="Z201" i="13"/>
  <c r="Z202" i="13"/>
  <c r="Z203" i="13"/>
  <c r="Z204" i="13"/>
  <c r="Z205" i="13"/>
  <c r="Z206" i="13"/>
  <c r="Z207" i="13"/>
  <c r="Z208" i="13"/>
  <c r="Z209" i="13"/>
  <c r="Z210" i="13"/>
  <c r="Z211" i="13"/>
  <c r="Z212" i="13"/>
  <c r="Z213" i="13"/>
  <c r="Z214" i="13"/>
  <c r="Z215" i="13"/>
  <c r="Z216" i="13"/>
  <c r="Z217" i="13"/>
  <c r="Z218" i="13"/>
  <c r="Z219" i="13"/>
  <c r="Z220" i="13"/>
  <c r="Z221" i="13"/>
  <c r="Z222" i="13"/>
  <c r="Z223" i="13"/>
  <c r="Z224" i="13"/>
  <c r="Z225" i="13"/>
  <c r="Z226" i="13"/>
  <c r="Z227" i="13"/>
  <c r="Z228" i="13"/>
  <c r="Z229" i="13"/>
  <c r="Z230" i="13"/>
  <c r="Z231" i="13"/>
  <c r="Z232" i="13"/>
  <c r="Z233" i="13"/>
  <c r="Z234" i="13"/>
  <c r="Z235" i="13"/>
  <c r="Z236" i="13"/>
  <c r="Z237" i="13"/>
  <c r="Z238" i="13"/>
  <c r="Z239" i="13"/>
  <c r="Z240" i="13"/>
  <c r="Z241" i="13"/>
  <c r="Z242" i="13"/>
  <c r="Z243" i="13"/>
  <c r="Z244" i="13"/>
  <c r="Z245" i="13"/>
  <c r="Z246" i="13"/>
  <c r="Z247" i="13"/>
  <c r="Z248" i="13"/>
  <c r="Z249" i="13"/>
  <c r="Z250" i="13"/>
  <c r="Z251" i="13"/>
  <c r="Z252" i="13"/>
  <c r="Z253" i="13"/>
  <c r="Z254" i="13"/>
  <c r="Z255" i="13"/>
  <c r="Z256" i="13"/>
  <c r="Z257" i="13"/>
  <c r="Z258" i="13"/>
  <c r="Z259" i="13"/>
  <c r="Z260" i="13"/>
  <c r="Z261" i="13"/>
  <c r="Z262" i="13"/>
  <c r="Z263" i="13"/>
  <c r="Z264" i="13"/>
  <c r="Z265" i="13"/>
  <c r="Z266" i="13"/>
  <c r="Z267" i="13"/>
  <c r="Z268" i="13"/>
  <c r="Z269" i="13"/>
  <c r="Z270" i="13"/>
  <c r="Z271" i="13"/>
  <c r="Z272" i="13"/>
  <c r="Z273" i="13"/>
  <c r="Z274" i="13"/>
  <c r="Z275" i="13"/>
  <c r="Z276" i="13"/>
  <c r="Z277" i="13"/>
  <c r="Z278" i="13"/>
  <c r="Z279" i="13"/>
  <c r="Z280" i="13"/>
  <c r="Z281" i="13"/>
  <c r="Z282" i="13"/>
  <c r="Z283" i="13"/>
  <c r="Z284" i="13"/>
  <c r="Z285" i="13"/>
  <c r="Z286" i="13"/>
  <c r="Z287" i="13"/>
  <c r="Z288" i="13"/>
  <c r="Z289" i="13"/>
  <c r="Z290" i="13"/>
  <c r="Z291" i="13"/>
  <c r="Z292" i="13"/>
  <c r="Z293" i="13"/>
  <c r="Z294" i="13"/>
  <c r="Z295" i="13"/>
  <c r="Z296" i="13"/>
  <c r="Z297" i="13"/>
  <c r="Z298" i="13"/>
  <c r="Z299" i="13"/>
  <c r="Z300" i="13"/>
  <c r="Z301" i="13"/>
  <c r="Z302" i="13"/>
  <c r="Z303" i="13"/>
  <c r="Z304" i="13"/>
  <c r="Z305" i="13"/>
  <c r="Z306" i="13"/>
  <c r="Z307" i="13"/>
  <c r="Z308" i="13"/>
  <c r="Z309" i="13"/>
  <c r="Z310" i="13"/>
  <c r="Z311" i="13"/>
  <c r="Z312" i="13"/>
  <c r="Z313" i="13"/>
  <c r="Z314" i="13"/>
  <c r="Z315" i="13"/>
  <c r="Z316" i="13"/>
  <c r="Z317" i="13"/>
  <c r="Z318" i="13"/>
  <c r="Z319" i="13"/>
  <c r="Z320" i="13"/>
  <c r="Z321" i="13"/>
  <c r="Z322" i="13"/>
  <c r="Z323" i="13"/>
  <c r="Z324" i="13"/>
  <c r="Z325" i="13"/>
  <c r="Z326" i="13"/>
  <c r="Z327" i="13"/>
  <c r="Z328" i="13"/>
  <c r="Z329" i="13"/>
  <c r="Z330" i="13"/>
  <c r="Z331" i="13"/>
  <c r="Z332" i="13"/>
  <c r="Z333" i="13"/>
  <c r="Z334" i="13"/>
  <c r="Z335" i="13"/>
  <c r="Z336" i="13"/>
  <c r="Z337" i="13"/>
  <c r="Z338" i="13"/>
  <c r="Z339" i="13"/>
  <c r="Z340" i="13"/>
  <c r="Z341" i="13"/>
  <c r="Z342" i="13"/>
  <c r="Z343" i="13"/>
  <c r="Z344" i="13"/>
  <c r="Z345" i="13"/>
  <c r="Z346" i="13"/>
  <c r="Z347" i="13"/>
  <c r="Z348" i="13"/>
  <c r="Z349" i="13"/>
  <c r="Z350" i="13"/>
  <c r="Z351" i="13"/>
  <c r="Z352" i="13"/>
  <c r="Z353" i="13"/>
  <c r="Z354" i="13"/>
  <c r="Z355" i="13"/>
  <c r="Z356" i="13"/>
  <c r="Z357" i="13"/>
  <c r="Z358" i="13"/>
  <c r="Z359" i="13"/>
  <c r="Z360" i="13"/>
  <c r="Z361" i="13"/>
  <c r="Z362" i="13"/>
  <c r="Z363" i="13"/>
  <c r="Z364" i="13"/>
  <c r="Z365" i="13"/>
  <c r="Z366" i="13"/>
  <c r="Z367" i="13"/>
  <c r="Z368" i="13"/>
  <c r="Z369" i="13"/>
  <c r="Z370" i="13"/>
  <c r="Z371" i="13"/>
  <c r="Z372" i="13"/>
  <c r="Z373" i="13"/>
  <c r="Z374" i="13"/>
  <c r="Z375" i="13"/>
  <c r="Z376" i="13"/>
  <c r="Z377" i="13"/>
  <c r="Z378" i="13"/>
  <c r="Z379" i="13"/>
  <c r="Z380" i="13"/>
  <c r="Z381" i="13"/>
  <c r="Z382" i="13"/>
  <c r="Z383" i="13"/>
  <c r="Z384" i="13"/>
  <c r="Z385" i="13"/>
  <c r="Z386" i="13"/>
  <c r="Z387" i="13"/>
  <c r="Z388" i="13"/>
  <c r="Z389" i="13"/>
  <c r="Z390" i="13"/>
  <c r="Z391" i="13"/>
  <c r="Z392" i="13"/>
  <c r="Z393" i="13"/>
  <c r="Z394" i="13"/>
  <c r="Z395" i="13"/>
  <c r="Z396" i="13"/>
  <c r="Z397" i="13"/>
  <c r="Z398" i="13"/>
  <c r="Z399" i="13"/>
  <c r="Z400" i="13"/>
  <c r="Z401" i="13"/>
  <c r="Z402" i="13"/>
  <c r="Z403" i="13"/>
  <c r="Z404" i="13"/>
  <c r="Z405" i="13"/>
  <c r="Z406" i="13"/>
  <c r="Z407" i="13"/>
  <c r="Z408" i="13"/>
  <c r="Z409" i="13"/>
  <c r="Z410" i="13"/>
  <c r="Z411" i="13"/>
  <c r="Z412" i="13"/>
  <c r="Z413" i="13"/>
  <c r="Z414" i="13"/>
  <c r="Z415" i="13"/>
  <c r="Z416" i="13"/>
  <c r="Z417" i="13"/>
  <c r="Z418" i="13"/>
  <c r="Z419" i="13"/>
  <c r="Z420" i="13"/>
  <c r="Z421" i="13"/>
  <c r="Z422" i="13"/>
  <c r="Z423" i="13"/>
  <c r="Z424" i="13"/>
  <c r="Z425" i="13"/>
  <c r="Z426" i="13"/>
  <c r="Z427" i="13"/>
  <c r="Z428" i="13"/>
  <c r="Z429" i="13"/>
  <c r="Z430" i="13"/>
  <c r="Z431" i="13"/>
  <c r="Z432" i="13"/>
  <c r="Z433" i="13"/>
  <c r="Z434" i="13"/>
  <c r="Z435" i="13"/>
  <c r="Z436" i="13"/>
  <c r="Z437" i="13"/>
  <c r="Z438" i="13"/>
  <c r="Z439" i="13"/>
  <c r="Z440" i="13"/>
  <c r="Z441" i="13"/>
  <c r="Z442" i="13"/>
  <c r="Z443" i="13"/>
  <c r="Z444" i="13"/>
  <c r="Z445" i="13"/>
  <c r="Z446" i="13"/>
  <c r="Z447" i="13"/>
  <c r="Z448" i="13"/>
  <c r="Z449" i="13"/>
  <c r="Z450" i="13"/>
  <c r="Z451" i="13"/>
  <c r="Z452" i="13"/>
  <c r="Z453" i="13"/>
  <c r="Z454" i="13"/>
  <c r="Z455" i="13"/>
  <c r="Z456" i="13"/>
  <c r="Z457" i="13"/>
  <c r="Z458" i="13"/>
  <c r="Z459" i="13"/>
  <c r="Z460" i="13"/>
  <c r="Z461" i="13"/>
  <c r="Z462" i="13"/>
  <c r="Z463" i="13"/>
  <c r="Z464" i="13"/>
  <c r="Z465" i="13"/>
  <c r="Z466" i="13"/>
  <c r="Z467" i="13"/>
  <c r="Z468" i="13"/>
  <c r="Z469" i="13"/>
  <c r="Z470" i="13"/>
  <c r="Z471" i="13"/>
  <c r="Z472" i="13"/>
  <c r="Z473" i="13"/>
  <c r="Z474" i="13"/>
  <c r="Z475" i="13"/>
  <c r="Z476" i="13"/>
  <c r="Z477" i="13"/>
  <c r="Z478" i="13"/>
  <c r="Z479" i="13"/>
  <c r="Z480" i="13"/>
  <c r="Z481" i="13"/>
  <c r="Z482" i="13"/>
  <c r="Z483" i="13"/>
  <c r="Z484" i="13"/>
  <c r="Z485" i="13"/>
  <c r="Z486" i="13"/>
  <c r="Z487" i="13"/>
  <c r="Z488" i="13"/>
  <c r="Z489" i="13"/>
  <c r="Z490" i="13"/>
  <c r="Z491" i="13"/>
  <c r="Z492" i="13"/>
  <c r="Z493" i="13"/>
  <c r="Z494" i="13"/>
  <c r="Z495" i="13"/>
  <c r="Z496" i="13"/>
  <c r="Z497" i="13"/>
  <c r="Z498" i="13"/>
  <c r="Z499" i="13"/>
  <c r="Z500" i="13"/>
  <c r="Z501" i="13"/>
  <c r="Z502" i="13"/>
  <c r="Z503" i="13"/>
  <c r="Z504" i="13"/>
  <c r="Z505" i="13"/>
  <c r="Z506" i="13"/>
  <c r="Z507" i="13"/>
  <c r="Z508" i="13"/>
  <c r="Z509" i="13"/>
  <c r="Z510" i="13"/>
  <c r="Z511" i="13"/>
  <c r="Z512" i="13"/>
  <c r="Z513" i="13"/>
  <c r="Z514" i="13"/>
  <c r="Z515" i="13"/>
  <c r="Z516" i="13"/>
  <c r="Z517" i="13"/>
  <c r="Z518" i="13"/>
  <c r="Z519" i="13"/>
  <c r="Z520" i="13"/>
  <c r="Z521" i="13"/>
  <c r="Z522" i="13"/>
  <c r="Z523" i="13"/>
  <c r="Z524" i="13"/>
  <c r="Z525" i="13"/>
  <c r="Z526" i="13"/>
  <c r="Z527" i="13"/>
  <c r="Z528" i="13"/>
  <c r="Z529" i="13"/>
  <c r="Z530" i="13"/>
  <c r="Z531" i="13"/>
  <c r="Z532" i="13"/>
  <c r="Z533" i="13"/>
  <c r="Z534" i="13"/>
  <c r="Z535" i="13"/>
  <c r="Z536" i="13"/>
  <c r="Z537" i="13"/>
  <c r="Z538" i="13"/>
  <c r="Z539" i="13"/>
  <c r="Z540" i="13"/>
  <c r="Z541" i="13"/>
  <c r="Z542" i="13"/>
  <c r="Z543" i="13"/>
  <c r="Z544" i="13"/>
  <c r="Z545" i="13"/>
  <c r="Z546" i="13"/>
  <c r="Z547" i="13"/>
  <c r="Z548" i="13"/>
  <c r="Z549" i="13"/>
  <c r="Z550" i="13"/>
  <c r="Z551" i="13"/>
  <c r="Z552" i="13"/>
  <c r="Z553" i="13"/>
  <c r="Z554" i="13"/>
  <c r="Z555" i="13"/>
  <c r="Z556" i="13"/>
  <c r="Z557" i="13"/>
  <c r="Z558" i="13"/>
  <c r="Z559" i="13"/>
  <c r="Z560" i="13"/>
  <c r="Z561" i="13"/>
  <c r="Z562" i="13"/>
  <c r="Z563" i="13"/>
  <c r="Z564" i="13"/>
  <c r="Z565" i="13"/>
  <c r="Z566" i="13"/>
  <c r="Z567" i="13"/>
  <c r="Z568" i="13"/>
  <c r="Z569" i="13"/>
  <c r="Z570" i="13"/>
  <c r="Z571" i="13"/>
  <c r="Z572" i="13"/>
  <c r="Z573" i="13"/>
  <c r="Z574" i="13"/>
  <c r="Z575" i="13"/>
  <c r="Z576" i="13"/>
  <c r="Z577" i="13"/>
  <c r="Z578" i="13"/>
  <c r="Z579" i="13"/>
  <c r="Z580" i="13"/>
  <c r="Z581" i="13"/>
  <c r="Z582" i="13"/>
  <c r="Z583" i="13"/>
  <c r="Z584" i="13"/>
  <c r="Z585" i="13"/>
  <c r="Z586" i="13"/>
  <c r="Z587" i="13"/>
  <c r="Z588" i="13"/>
  <c r="Z589" i="13"/>
  <c r="Z590" i="13"/>
  <c r="Z591" i="13"/>
  <c r="Z592" i="13"/>
  <c r="Z593" i="13"/>
  <c r="Z594" i="13"/>
  <c r="Z595" i="13"/>
  <c r="Z596" i="13"/>
  <c r="Z597" i="13"/>
  <c r="Z598" i="13"/>
  <c r="Z599" i="13"/>
  <c r="Z600" i="13"/>
  <c r="Z601" i="13"/>
  <c r="Z602" i="13"/>
  <c r="Z603" i="13"/>
  <c r="Z604" i="13"/>
  <c r="Z605" i="13"/>
  <c r="Z606" i="13"/>
  <c r="Z607" i="13"/>
  <c r="Z608" i="13"/>
  <c r="Z609" i="13"/>
  <c r="Z610" i="13"/>
  <c r="Z611" i="13"/>
  <c r="Z612" i="13"/>
  <c r="Z613" i="13"/>
  <c r="Z614" i="13"/>
  <c r="Z615" i="13"/>
  <c r="Z616" i="13"/>
  <c r="Z617" i="13"/>
  <c r="Z618" i="13"/>
  <c r="Z619" i="13"/>
  <c r="Z620" i="13"/>
  <c r="Z621" i="13"/>
  <c r="Z622" i="13"/>
  <c r="Z623" i="13"/>
  <c r="Z624" i="13"/>
  <c r="Z625" i="13"/>
  <c r="Z626" i="13"/>
  <c r="Z627" i="13"/>
  <c r="Z628" i="13"/>
  <c r="Z629" i="13"/>
  <c r="Z630" i="13"/>
  <c r="Z631" i="13"/>
  <c r="Z632" i="13"/>
  <c r="Z633" i="13"/>
  <c r="Z634" i="13"/>
  <c r="Z635" i="13"/>
  <c r="Z636" i="13"/>
  <c r="Z637" i="13"/>
  <c r="Z638" i="13"/>
  <c r="Z639" i="13"/>
  <c r="Z640" i="13"/>
  <c r="Z641" i="13"/>
  <c r="Z642" i="13"/>
  <c r="Z643" i="13"/>
  <c r="Z644" i="13"/>
  <c r="Z645" i="13"/>
  <c r="Z646" i="13"/>
  <c r="Z647" i="13"/>
  <c r="Z648" i="13"/>
  <c r="Z649" i="13"/>
  <c r="Z650" i="13"/>
  <c r="Z651" i="13"/>
  <c r="Z652" i="13"/>
  <c r="Z653" i="13"/>
  <c r="Z654" i="13"/>
  <c r="Z655" i="13"/>
  <c r="Z656" i="13"/>
  <c r="Z657" i="13"/>
  <c r="Z658" i="13"/>
  <c r="Z659" i="13"/>
  <c r="Z660" i="13"/>
  <c r="Z661" i="13"/>
  <c r="Z662" i="13"/>
  <c r="Z663" i="13"/>
  <c r="Z664" i="13"/>
  <c r="Z665" i="13"/>
  <c r="Z666" i="13"/>
  <c r="Z667" i="13"/>
  <c r="Z668" i="13"/>
  <c r="Z669" i="13"/>
  <c r="Z670" i="13"/>
  <c r="Z671" i="13"/>
  <c r="Z672" i="13"/>
  <c r="Z673" i="13"/>
  <c r="Z674" i="13"/>
  <c r="Z675" i="13"/>
  <c r="Z676" i="13"/>
  <c r="Z677" i="13"/>
  <c r="Z678" i="13"/>
  <c r="Z679" i="13"/>
  <c r="Z680" i="13"/>
  <c r="Z681" i="13"/>
  <c r="Z682" i="13"/>
  <c r="Z683" i="13"/>
  <c r="Z684" i="13"/>
  <c r="Z685" i="13"/>
  <c r="Z686" i="13"/>
  <c r="Z687" i="13"/>
  <c r="Z688" i="13"/>
  <c r="Z689" i="13"/>
  <c r="Z690" i="13"/>
  <c r="Z691" i="13"/>
  <c r="Z692" i="13"/>
  <c r="Z693" i="13"/>
  <c r="Z694" i="13"/>
  <c r="Z695" i="13"/>
  <c r="Z696" i="13"/>
  <c r="Z697" i="13"/>
  <c r="Z698" i="13"/>
  <c r="Z699" i="13"/>
  <c r="Z700" i="13"/>
  <c r="Z701" i="13"/>
  <c r="Z2" i="13"/>
  <c r="AA321" i="13"/>
  <c r="AA322" i="13"/>
  <c r="AA323" i="13"/>
  <c r="AA324" i="13"/>
  <c r="AA325" i="13"/>
  <c r="AA326" i="13"/>
  <c r="AA327" i="13"/>
  <c r="AA328" i="13"/>
  <c r="AA329" i="13"/>
  <c r="AA330" i="13"/>
  <c r="AA331" i="13"/>
  <c r="AA332" i="13"/>
  <c r="AA333" i="13"/>
  <c r="AA334" i="13"/>
  <c r="AA335" i="13"/>
  <c r="AA336" i="13"/>
  <c r="AA337" i="13"/>
  <c r="AA338" i="13"/>
  <c r="AA339" i="13"/>
  <c r="AA340" i="13"/>
  <c r="AA341" i="13"/>
  <c r="AA342" i="13"/>
  <c r="AA343" i="13"/>
  <c r="AA344" i="13"/>
  <c r="AA345" i="13"/>
  <c r="AA346" i="13"/>
  <c r="AA347" i="13"/>
  <c r="AA348" i="13"/>
  <c r="AA349" i="13"/>
  <c r="AA350" i="13"/>
  <c r="AA351" i="13"/>
  <c r="AA352" i="13"/>
  <c r="AA353" i="13"/>
  <c r="AA354" i="13"/>
  <c r="AA355" i="13"/>
  <c r="AA356" i="13"/>
  <c r="AA357" i="13"/>
  <c r="AA358" i="13"/>
  <c r="AA359" i="13"/>
  <c r="AA360" i="13"/>
  <c r="AA361" i="13"/>
  <c r="AA362" i="13"/>
  <c r="AA363" i="13"/>
  <c r="AA364" i="13"/>
  <c r="AA365" i="13"/>
  <c r="AA366" i="13"/>
  <c r="AA367" i="13"/>
  <c r="AA368" i="13"/>
  <c r="AA369" i="13"/>
  <c r="AA370" i="13"/>
  <c r="AA371" i="13"/>
  <c r="AA372" i="13"/>
  <c r="AA373" i="13"/>
  <c r="AA374" i="13"/>
  <c r="AA375" i="13"/>
  <c r="AA376" i="13"/>
  <c r="AA377" i="13"/>
  <c r="AA378" i="13"/>
  <c r="AA379" i="13"/>
  <c r="AA380" i="13"/>
  <c r="AA381" i="13"/>
  <c r="AA382" i="13"/>
  <c r="AA383" i="13"/>
  <c r="AA384" i="13"/>
  <c r="AA385" i="13"/>
  <c r="AA386" i="13"/>
  <c r="AA387" i="13"/>
  <c r="AA388" i="13"/>
  <c r="AA389" i="13"/>
  <c r="AA390" i="13"/>
  <c r="AA391" i="13"/>
  <c r="AA392" i="13"/>
  <c r="AA393" i="13"/>
  <c r="AA394" i="13"/>
  <c r="AA395" i="13"/>
  <c r="AA396" i="13"/>
  <c r="AA397" i="13"/>
  <c r="AA398" i="13"/>
  <c r="AA399" i="13"/>
  <c r="AA400" i="13"/>
  <c r="AA401" i="13"/>
  <c r="AA402" i="13"/>
  <c r="AA403" i="13"/>
  <c r="AA404" i="13"/>
  <c r="AA405" i="13"/>
  <c r="AA406" i="13"/>
  <c r="AA407" i="13"/>
  <c r="AA408" i="13"/>
  <c r="AA409" i="13"/>
  <c r="AA410" i="13"/>
  <c r="AA411" i="13"/>
  <c r="AA412" i="13"/>
  <c r="AA413" i="13"/>
  <c r="AA414" i="13"/>
  <c r="AA415" i="13"/>
  <c r="AA416" i="13"/>
  <c r="AA417" i="13"/>
  <c r="AA418" i="13"/>
  <c r="AA419" i="13"/>
  <c r="AA420" i="13"/>
  <c r="AA421" i="13"/>
  <c r="AA422" i="13"/>
  <c r="AA423" i="13"/>
  <c r="AA424" i="13"/>
  <c r="AA425" i="13"/>
  <c r="AA426" i="13"/>
  <c r="AA427" i="13"/>
  <c r="AA428" i="13"/>
  <c r="AA429" i="13"/>
  <c r="AA430" i="13"/>
  <c r="AA431" i="13"/>
  <c r="AA432" i="13"/>
  <c r="AA433" i="13"/>
  <c r="AA434" i="13"/>
  <c r="AA435" i="13"/>
  <c r="AA436" i="13"/>
  <c r="AA437" i="13"/>
  <c r="AA438" i="13"/>
  <c r="AA439" i="13"/>
  <c r="AA440" i="13"/>
  <c r="AA441" i="13"/>
  <c r="AA442" i="13"/>
  <c r="AA443" i="13"/>
  <c r="AA444" i="13"/>
  <c r="AA445" i="13"/>
  <c r="AA446" i="13"/>
  <c r="AA447" i="13"/>
  <c r="AA448" i="13"/>
  <c r="AA449" i="13"/>
  <c r="AA450" i="13"/>
  <c r="AA451" i="13"/>
  <c r="AA452" i="13"/>
  <c r="AA453" i="13"/>
  <c r="AA454" i="13"/>
  <c r="AA455" i="13"/>
  <c r="AA456" i="13"/>
  <c r="AA457" i="13"/>
  <c r="AA458" i="13"/>
  <c r="AA459" i="13"/>
  <c r="AA460" i="13"/>
  <c r="AA461" i="13"/>
  <c r="AA462" i="13"/>
  <c r="AA463" i="13"/>
  <c r="AA464" i="13"/>
  <c r="AA465" i="13"/>
  <c r="AA466" i="13"/>
  <c r="AA467" i="13"/>
  <c r="AA468" i="13"/>
  <c r="AA469" i="13"/>
  <c r="AA470" i="13"/>
  <c r="AA471" i="13"/>
  <c r="AA472" i="13"/>
  <c r="AA473" i="13"/>
  <c r="AA474" i="13"/>
  <c r="AA475" i="13"/>
  <c r="AA476" i="13"/>
  <c r="AA477" i="13"/>
  <c r="AA478" i="13"/>
  <c r="AA479" i="13"/>
  <c r="AA480" i="13"/>
  <c r="AA481" i="13"/>
  <c r="AA482" i="13"/>
  <c r="AA483" i="13"/>
  <c r="AA484" i="13"/>
  <c r="AA485" i="13"/>
  <c r="AA486" i="13"/>
  <c r="AA487" i="13"/>
  <c r="AA488" i="13"/>
  <c r="AA489" i="13"/>
  <c r="AA490" i="13"/>
  <c r="AA491" i="13"/>
  <c r="AA492" i="13"/>
  <c r="AA493" i="13"/>
  <c r="AA494" i="13"/>
  <c r="AA495" i="13"/>
  <c r="AA496" i="13"/>
  <c r="AA497" i="13"/>
  <c r="AA498" i="13"/>
  <c r="AA499" i="13"/>
  <c r="AA500" i="13"/>
  <c r="AA501" i="13"/>
  <c r="AA502" i="13"/>
  <c r="AA503" i="13"/>
  <c r="AA504" i="13"/>
  <c r="AA505" i="13"/>
  <c r="AA506" i="13"/>
  <c r="AA507" i="13"/>
  <c r="AA508" i="13"/>
  <c r="AA509" i="13"/>
  <c r="AA510" i="13"/>
  <c r="AA511" i="13"/>
  <c r="AA512" i="13"/>
  <c r="AA513" i="13"/>
  <c r="AA514" i="13"/>
  <c r="AA515" i="13"/>
  <c r="AA516" i="13"/>
  <c r="AA517" i="13"/>
  <c r="AA518" i="13"/>
  <c r="AA519" i="13"/>
  <c r="AA520" i="13"/>
  <c r="AA521" i="13"/>
  <c r="AA522" i="13"/>
  <c r="AA523" i="13"/>
  <c r="AA524" i="13"/>
  <c r="AA525" i="13"/>
  <c r="AA526" i="13"/>
  <c r="AA527" i="13"/>
  <c r="AA528" i="13"/>
  <c r="AA529" i="13"/>
  <c r="AA530" i="13"/>
  <c r="AA531" i="13"/>
  <c r="AA532" i="13"/>
  <c r="AA533" i="13"/>
  <c r="AA534" i="13"/>
  <c r="AA535" i="13"/>
  <c r="AA536" i="13"/>
  <c r="AA537" i="13"/>
  <c r="AA538" i="13"/>
  <c r="AA539" i="13"/>
  <c r="AA540" i="13"/>
  <c r="AA541" i="13"/>
  <c r="AA542" i="13"/>
  <c r="AA543" i="13"/>
  <c r="AA544" i="13"/>
  <c r="AA545" i="13"/>
  <c r="AA546" i="13"/>
  <c r="AA547" i="13"/>
  <c r="AA548" i="13"/>
  <c r="AA549" i="13"/>
  <c r="AA550" i="13"/>
  <c r="AA551" i="13"/>
  <c r="AA552" i="13"/>
  <c r="AA553" i="13"/>
  <c r="AA554" i="13"/>
  <c r="AA555" i="13"/>
  <c r="AA556" i="13"/>
  <c r="AA557" i="13"/>
  <c r="AA558" i="13"/>
  <c r="AA559" i="13"/>
  <c r="AA560" i="13"/>
  <c r="AA561" i="13"/>
  <c r="AA562" i="13"/>
  <c r="AA563" i="13"/>
  <c r="AA564" i="13"/>
  <c r="AA565" i="13"/>
  <c r="AA566" i="13"/>
  <c r="AA567" i="13"/>
  <c r="AA568" i="13"/>
  <c r="AA569" i="13"/>
  <c r="AA570" i="13"/>
  <c r="AA571" i="13"/>
  <c r="AA572" i="13"/>
  <c r="AA573" i="13"/>
  <c r="AA574" i="13"/>
  <c r="AA575" i="13"/>
  <c r="AA576" i="13"/>
  <c r="AA577" i="13"/>
  <c r="AA578" i="13"/>
  <c r="AA579" i="13"/>
  <c r="AA580" i="13"/>
  <c r="AA581" i="13"/>
  <c r="AA582" i="13"/>
  <c r="AA583" i="13"/>
  <c r="AA584" i="13"/>
  <c r="AA585" i="13"/>
  <c r="AA586" i="13"/>
  <c r="AA587" i="13"/>
  <c r="AA588" i="13"/>
  <c r="AA589" i="13"/>
  <c r="AA590" i="13"/>
  <c r="AA591" i="13"/>
  <c r="AA592" i="13"/>
  <c r="AA593" i="13"/>
  <c r="AA594" i="13"/>
  <c r="AA595" i="13"/>
  <c r="AA596" i="13"/>
  <c r="AA597" i="13"/>
  <c r="AA598" i="13"/>
  <c r="AA599" i="13"/>
  <c r="AA600" i="13"/>
  <c r="AA601" i="13"/>
  <c r="AA602" i="13"/>
  <c r="AA603" i="13"/>
  <c r="AA604" i="13"/>
  <c r="AA605" i="13"/>
  <c r="AA606" i="13"/>
  <c r="AA607" i="13"/>
  <c r="AA608" i="13"/>
  <c r="AA609" i="13"/>
  <c r="AA610" i="13"/>
  <c r="AA611" i="13"/>
  <c r="AA612" i="13"/>
  <c r="AA613" i="13"/>
  <c r="AA614" i="13"/>
  <c r="AA615" i="13"/>
  <c r="AA616" i="13"/>
  <c r="AA617" i="13"/>
  <c r="AA618" i="13"/>
  <c r="AA619" i="13"/>
  <c r="AA620" i="13"/>
  <c r="AA621" i="13"/>
  <c r="AA622" i="13"/>
  <c r="AA623" i="13"/>
  <c r="AA624" i="13"/>
  <c r="AA625" i="13"/>
  <c r="AA626" i="13"/>
  <c r="AA627" i="13"/>
  <c r="AA628" i="13"/>
  <c r="AA629" i="13"/>
  <c r="AA630" i="13"/>
  <c r="AA631" i="13"/>
  <c r="AA632" i="13"/>
  <c r="AA633" i="13"/>
  <c r="AA634" i="13"/>
  <c r="AA635" i="13"/>
  <c r="AA636" i="13"/>
  <c r="AA637" i="13"/>
  <c r="AA638" i="13"/>
  <c r="AA639" i="13"/>
  <c r="AA640" i="13"/>
  <c r="AA641" i="13"/>
  <c r="AA642" i="13"/>
  <c r="AA643" i="13"/>
  <c r="AA644" i="13"/>
  <c r="AA645" i="13"/>
  <c r="AA646" i="13"/>
  <c r="AA647" i="13"/>
  <c r="AA648" i="13"/>
  <c r="AA649" i="13"/>
  <c r="AA650" i="13"/>
  <c r="AA651" i="13"/>
  <c r="AA652" i="13"/>
  <c r="AA653" i="13"/>
  <c r="AA654" i="13"/>
  <c r="AA655" i="13"/>
  <c r="AA656" i="13"/>
  <c r="AA657" i="13"/>
  <c r="AA658" i="13"/>
  <c r="AA659" i="13"/>
  <c r="AA660" i="13"/>
  <c r="AA661" i="13"/>
  <c r="AA662" i="13"/>
  <c r="AA663" i="13"/>
  <c r="AA664" i="13"/>
  <c r="AA665" i="13"/>
  <c r="AA666" i="13"/>
  <c r="AA667" i="13"/>
  <c r="AA668" i="13"/>
  <c r="AA669" i="13"/>
  <c r="AA670" i="13"/>
  <c r="AA671" i="13"/>
  <c r="AA672" i="13"/>
  <c r="AA673" i="13"/>
  <c r="AA674" i="13"/>
  <c r="AA675" i="13"/>
  <c r="AA676" i="13"/>
  <c r="AA677" i="13"/>
  <c r="AA678" i="13"/>
  <c r="AA679" i="13"/>
  <c r="AA680" i="13"/>
  <c r="AA681" i="13"/>
  <c r="AA682" i="13"/>
  <c r="AA683" i="13"/>
  <c r="AA684" i="13"/>
  <c r="AA685" i="13"/>
  <c r="AA686" i="13"/>
  <c r="AA687" i="13"/>
  <c r="AA688" i="13"/>
  <c r="AA689" i="13"/>
  <c r="AA690" i="13"/>
  <c r="AA691" i="13"/>
  <c r="AA692" i="13"/>
  <c r="AA693" i="13"/>
  <c r="AA694" i="13"/>
  <c r="AA695" i="13"/>
  <c r="AA696" i="13"/>
  <c r="AA697" i="13"/>
  <c r="AA698" i="13"/>
  <c r="AA699" i="13"/>
  <c r="AA700" i="13"/>
  <c r="AA701" i="13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317" i="13"/>
  <c r="AA318" i="13"/>
  <c r="AA319" i="13"/>
  <c r="AA320" i="13"/>
  <c r="B13" i="16" l="1"/>
  <c r="H12" i="16"/>
  <c r="H11" i="16"/>
  <c r="Q11" i="16"/>
  <c r="P11" i="16"/>
  <c r="R10" i="16"/>
  <c r="X10" i="16" s="1"/>
  <c r="K12" i="16"/>
  <c r="M12" i="16" s="1"/>
  <c r="BB7" i="17"/>
  <c r="BB8" i="17"/>
  <c r="BB9" i="17"/>
  <c r="BB10" i="17"/>
  <c r="BB12" i="17"/>
  <c r="BB13" i="17"/>
  <c r="BB14" i="17"/>
  <c r="BB11" i="17"/>
  <c r="BB15" i="17"/>
  <c r="B14" i="16" l="1"/>
  <c r="H13" i="16"/>
  <c r="R11" i="16"/>
  <c r="X11" i="16" s="1"/>
  <c r="Q12" i="16"/>
  <c r="P12" i="16"/>
  <c r="K13" i="16"/>
  <c r="M13" i="16" s="1"/>
  <c r="BC7" i="17"/>
  <c r="BC8" i="17"/>
  <c r="BC9" i="17"/>
  <c r="BC10" i="17"/>
  <c r="BC11" i="17"/>
  <c r="BC12" i="17"/>
  <c r="BC13" i="17"/>
  <c r="BC14" i="17"/>
  <c r="BC15" i="17"/>
  <c r="L4" i="17"/>
  <c r="L5" i="17" s="1"/>
  <c r="BA7" i="17"/>
  <c r="BA8" i="17"/>
  <c r="BA9" i="17"/>
  <c r="BA10" i="17"/>
  <c r="BA11" i="17"/>
  <c r="BA12" i="17"/>
  <c r="BA13" i="17"/>
  <c r="BA14" i="17"/>
  <c r="BA15" i="17"/>
  <c r="B15" i="16" l="1"/>
  <c r="H14" i="16"/>
  <c r="R12" i="16"/>
  <c r="X12" i="16" s="1"/>
  <c r="Q13" i="16"/>
  <c r="P13" i="16"/>
  <c r="K14" i="16"/>
  <c r="M14" i="16" s="1"/>
  <c r="L6" i="17"/>
  <c r="BB5" i="17"/>
  <c r="BA5" i="17"/>
  <c r="BC5" i="17"/>
  <c r="BA4" i="17"/>
  <c r="AY5" i="17"/>
  <c r="AY6" i="17"/>
  <c r="AY7" i="17"/>
  <c r="AY8" i="17"/>
  <c r="AY9" i="17"/>
  <c r="AY10" i="17"/>
  <c r="AY11" i="17"/>
  <c r="AY12" i="17"/>
  <c r="AY13" i="17"/>
  <c r="AY14" i="17"/>
  <c r="AY15" i="17"/>
  <c r="AY4" i="17"/>
  <c r="B16" i="16" l="1"/>
  <c r="H15" i="16"/>
  <c r="R13" i="16"/>
  <c r="X13" i="16" s="1"/>
  <c r="P14" i="16"/>
  <c r="Q14" i="16"/>
  <c r="K15" i="16"/>
  <c r="M15" i="16" s="1"/>
  <c r="BA6" i="17"/>
  <c r="BB6" i="17"/>
  <c r="BC6" i="17"/>
  <c r="A3" i="11"/>
  <c r="Z3" i="11" s="1"/>
  <c r="A4" i="11"/>
  <c r="Z4" i="11" s="1"/>
  <c r="A5" i="11"/>
  <c r="Z5" i="11" s="1"/>
  <c r="A6" i="11"/>
  <c r="Z6" i="11" s="1"/>
  <c r="A7" i="11"/>
  <c r="Z7" i="11" s="1"/>
  <c r="A8" i="11"/>
  <c r="Z8" i="11" s="1"/>
  <c r="A9" i="11"/>
  <c r="Z9" i="11" s="1"/>
  <c r="A10" i="11"/>
  <c r="Z10" i="11" s="1"/>
  <c r="A11" i="11"/>
  <c r="Z11" i="11" s="1"/>
  <c r="A12" i="11"/>
  <c r="Z12" i="11" s="1"/>
  <c r="A13" i="11"/>
  <c r="Z13" i="11" s="1"/>
  <c r="A14" i="11"/>
  <c r="Z14" i="11" s="1"/>
  <c r="A15" i="11"/>
  <c r="Z15" i="11" s="1"/>
  <c r="A16" i="11"/>
  <c r="Z16" i="11" s="1"/>
  <c r="A17" i="11"/>
  <c r="Z17" i="11" s="1"/>
  <c r="A18" i="11"/>
  <c r="Z18" i="11" s="1"/>
  <c r="A19" i="11"/>
  <c r="Z19" i="11" s="1"/>
  <c r="A20" i="11"/>
  <c r="Z20" i="11" s="1"/>
  <c r="A21" i="11"/>
  <c r="Z21" i="11" s="1"/>
  <c r="A22" i="11"/>
  <c r="Z22" i="11" s="1"/>
  <c r="A23" i="11"/>
  <c r="Z23" i="11" s="1"/>
  <c r="A24" i="11"/>
  <c r="Z24" i="11" s="1"/>
  <c r="A25" i="11"/>
  <c r="Z25" i="11" s="1"/>
  <c r="A26" i="11"/>
  <c r="Z26" i="11" s="1"/>
  <c r="A27" i="11"/>
  <c r="Z27" i="11" s="1"/>
  <c r="A28" i="11"/>
  <c r="Z28" i="11" s="1"/>
  <c r="A29" i="11"/>
  <c r="Z29" i="11" s="1"/>
  <c r="A30" i="11"/>
  <c r="Z30" i="11" s="1"/>
  <c r="A31" i="11"/>
  <c r="Z31" i="11" s="1"/>
  <c r="A32" i="11"/>
  <c r="Z32" i="11" s="1"/>
  <c r="A33" i="11"/>
  <c r="Z33" i="11" s="1"/>
  <c r="A34" i="11"/>
  <c r="Z34" i="11" s="1"/>
  <c r="A35" i="11"/>
  <c r="Z35" i="11" s="1"/>
  <c r="A36" i="11"/>
  <c r="Z36" i="11" s="1"/>
  <c r="A37" i="11"/>
  <c r="Z37" i="11" s="1"/>
  <c r="A38" i="11"/>
  <c r="Z38" i="11" s="1"/>
  <c r="A39" i="11"/>
  <c r="Z39" i="11" s="1"/>
  <c r="A40" i="11"/>
  <c r="Z40" i="11" s="1"/>
  <c r="A41" i="11"/>
  <c r="Z41" i="11" s="1"/>
  <c r="A42" i="11"/>
  <c r="Z42" i="11" s="1"/>
  <c r="A43" i="11"/>
  <c r="Z43" i="11" s="1"/>
  <c r="A44" i="11"/>
  <c r="Z44" i="11" s="1"/>
  <c r="A45" i="11"/>
  <c r="Z45" i="11" s="1"/>
  <c r="A46" i="11"/>
  <c r="Z46" i="11" s="1"/>
  <c r="A47" i="11"/>
  <c r="Z47" i="11" s="1"/>
  <c r="A48" i="11"/>
  <c r="Z48" i="11" s="1"/>
  <c r="A49" i="11"/>
  <c r="Z49" i="11" s="1"/>
  <c r="A50" i="11"/>
  <c r="Z50" i="11" s="1"/>
  <c r="A51" i="11"/>
  <c r="Z51" i="11" s="1"/>
  <c r="A52" i="11"/>
  <c r="Z52" i="11" s="1"/>
  <c r="A53" i="11"/>
  <c r="Z53" i="11" s="1"/>
  <c r="A54" i="11"/>
  <c r="Z54" i="11" s="1"/>
  <c r="A55" i="11"/>
  <c r="Z55" i="11" s="1"/>
  <c r="A56" i="11"/>
  <c r="Z56" i="11" s="1"/>
  <c r="A57" i="11"/>
  <c r="Z57" i="11" s="1"/>
  <c r="A58" i="11"/>
  <c r="Z58" i="11" s="1"/>
  <c r="A59" i="11"/>
  <c r="Z59" i="11" s="1"/>
  <c r="A60" i="11"/>
  <c r="Z60" i="11" s="1"/>
  <c r="A61" i="11"/>
  <c r="Z61" i="11" s="1"/>
  <c r="A62" i="11"/>
  <c r="Z62" i="11" s="1"/>
  <c r="A63" i="11"/>
  <c r="Z63" i="11" s="1"/>
  <c r="A64" i="11"/>
  <c r="Z64" i="11" s="1"/>
  <c r="A65" i="11"/>
  <c r="Z65" i="11" s="1"/>
  <c r="A66" i="11"/>
  <c r="Z66" i="11" s="1"/>
  <c r="A67" i="11"/>
  <c r="Z67" i="11" s="1"/>
  <c r="A68" i="11"/>
  <c r="Z68" i="11" s="1"/>
  <c r="A69" i="11"/>
  <c r="Z69" i="11" s="1"/>
  <c r="A70" i="11"/>
  <c r="Z70" i="11" s="1"/>
  <c r="A71" i="11"/>
  <c r="Z71" i="11" s="1"/>
  <c r="A72" i="11"/>
  <c r="Z72" i="11" s="1"/>
  <c r="A73" i="11"/>
  <c r="Z73" i="11" s="1"/>
  <c r="A74" i="11"/>
  <c r="Z74" i="11" s="1"/>
  <c r="A75" i="11"/>
  <c r="Z75" i="11" s="1"/>
  <c r="A76" i="11"/>
  <c r="Z76" i="11" s="1"/>
  <c r="A77" i="11"/>
  <c r="Z77" i="11" s="1"/>
  <c r="A78" i="11"/>
  <c r="Z78" i="11" s="1"/>
  <c r="A79" i="11"/>
  <c r="Z79" i="11" s="1"/>
  <c r="A80" i="11"/>
  <c r="Z80" i="11" s="1"/>
  <c r="A81" i="11"/>
  <c r="Z81" i="11" s="1"/>
  <c r="A82" i="11"/>
  <c r="Z82" i="11" s="1"/>
  <c r="A83" i="11"/>
  <c r="Z83" i="11" s="1"/>
  <c r="A84" i="11"/>
  <c r="Z84" i="11" s="1"/>
  <c r="A85" i="11"/>
  <c r="Z85" i="11" s="1"/>
  <c r="A86" i="11"/>
  <c r="Z86" i="11" s="1"/>
  <c r="A87" i="11"/>
  <c r="Z87" i="11" s="1"/>
  <c r="A88" i="11"/>
  <c r="Z88" i="11" s="1"/>
  <c r="A89" i="11"/>
  <c r="Z89" i="11" s="1"/>
  <c r="A90" i="11"/>
  <c r="Z90" i="11" s="1"/>
  <c r="A91" i="11"/>
  <c r="Z91" i="11" s="1"/>
  <c r="A92" i="11"/>
  <c r="Z92" i="11" s="1"/>
  <c r="A93" i="11"/>
  <c r="Z93" i="11" s="1"/>
  <c r="A94" i="11"/>
  <c r="Z94" i="11" s="1"/>
  <c r="A95" i="11"/>
  <c r="Z95" i="11" s="1"/>
  <c r="A96" i="11"/>
  <c r="Z96" i="11" s="1"/>
  <c r="A97" i="11"/>
  <c r="Z97" i="11" s="1"/>
  <c r="A98" i="11"/>
  <c r="Z98" i="11" s="1"/>
  <c r="A99" i="11"/>
  <c r="Z99" i="11" s="1"/>
  <c r="A100" i="11"/>
  <c r="Z100" i="11" s="1"/>
  <c r="A101" i="11"/>
  <c r="Z101" i="11" s="1"/>
  <c r="A102" i="11"/>
  <c r="Z102" i="11" s="1"/>
  <c r="A103" i="11"/>
  <c r="Z103" i="11" s="1"/>
  <c r="A104" i="11"/>
  <c r="Z104" i="11" s="1"/>
  <c r="A105" i="11"/>
  <c r="Z105" i="11" s="1"/>
  <c r="A106" i="11"/>
  <c r="Z106" i="11" s="1"/>
  <c r="A107" i="11"/>
  <c r="Z107" i="11" s="1"/>
  <c r="A108" i="11"/>
  <c r="Z108" i="11" s="1"/>
  <c r="A109" i="11"/>
  <c r="Z109" i="11" s="1"/>
  <c r="A110" i="11"/>
  <c r="Z110" i="11" s="1"/>
  <c r="A111" i="11"/>
  <c r="Z111" i="11" s="1"/>
  <c r="A112" i="11"/>
  <c r="Z112" i="11" s="1"/>
  <c r="A113" i="11"/>
  <c r="Z113" i="11" s="1"/>
  <c r="A114" i="11"/>
  <c r="Z114" i="11" s="1"/>
  <c r="A115" i="11"/>
  <c r="Z115" i="11" s="1"/>
  <c r="A116" i="11"/>
  <c r="Z116" i="11" s="1"/>
  <c r="A117" i="11"/>
  <c r="Z117" i="11" s="1"/>
  <c r="A118" i="11"/>
  <c r="Z118" i="11" s="1"/>
  <c r="A119" i="11"/>
  <c r="Z119" i="11" s="1"/>
  <c r="A120" i="11"/>
  <c r="Z120" i="11" s="1"/>
  <c r="A121" i="11"/>
  <c r="Z121" i="11" s="1"/>
  <c r="A122" i="11"/>
  <c r="Z122" i="11" s="1"/>
  <c r="A123" i="11"/>
  <c r="Z123" i="11" s="1"/>
  <c r="A124" i="11"/>
  <c r="Z124" i="11" s="1"/>
  <c r="A125" i="11"/>
  <c r="Z125" i="11" s="1"/>
  <c r="A126" i="11"/>
  <c r="Z126" i="11" s="1"/>
  <c r="A127" i="11"/>
  <c r="Z127" i="11" s="1"/>
  <c r="A128" i="11"/>
  <c r="Z128" i="11" s="1"/>
  <c r="A129" i="11"/>
  <c r="Z129" i="11" s="1"/>
  <c r="A130" i="11"/>
  <c r="Z130" i="11" s="1"/>
  <c r="A131" i="11"/>
  <c r="Z131" i="11" s="1"/>
  <c r="A132" i="11"/>
  <c r="Z132" i="11" s="1"/>
  <c r="A133" i="11"/>
  <c r="Z133" i="11" s="1"/>
  <c r="A134" i="11"/>
  <c r="Z134" i="11" s="1"/>
  <c r="A135" i="11"/>
  <c r="Z135" i="11" s="1"/>
  <c r="A136" i="11"/>
  <c r="Z136" i="11" s="1"/>
  <c r="A137" i="11"/>
  <c r="Z137" i="11" s="1"/>
  <c r="A138" i="11"/>
  <c r="Z138" i="11" s="1"/>
  <c r="A139" i="11"/>
  <c r="Z139" i="11" s="1"/>
  <c r="A140" i="11"/>
  <c r="Z140" i="11" s="1"/>
  <c r="A141" i="11"/>
  <c r="Z141" i="11" s="1"/>
  <c r="A142" i="11"/>
  <c r="Z142" i="11" s="1"/>
  <c r="A143" i="11"/>
  <c r="Z143" i="11" s="1"/>
  <c r="A144" i="11"/>
  <c r="Z144" i="11" s="1"/>
  <c r="A145" i="11"/>
  <c r="Z145" i="11" s="1"/>
  <c r="A146" i="11"/>
  <c r="Z146" i="11" s="1"/>
  <c r="A147" i="11"/>
  <c r="Z147" i="11" s="1"/>
  <c r="A148" i="11"/>
  <c r="Z148" i="11" s="1"/>
  <c r="A149" i="11"/>
  <c r="Z149" i="11" s="1"/>
  <c r="A150" i="11"/>
  <c r="Z150" i="11" s="1"/>
  <c r="A151" i="11"/>
  <c r="Z151" i="11" s="1"/>
  <c r="A152" i="11"/>
  <c r="Z152" i="11" s="1"/>
  <c r="A153" i="11"/>
  <c r="Z153" i="11" s="1"/>
  <c r="A154" i="11"/>
  <c r="Z154" i="11" s="1"/>
  <c r="A155" i="11"/>
  <c r="Z155" i="11" s="1"/>
  <c r="A156" i="11"/>
  <c r="Z156" i="11" s="1"/>
  <c r="A157" i="11"/>
  <c r="Z157" i="11" s="1"/>
  <c r="A158" i="11"/>
  <c r="Z158" i="11" s="1"/>
  <c r="A159" i="11"/>
  <c r="Z159" i="11" s="1"/>
  <c r="A160" i="11"/>
  <c r="Z160" i="11" s="1"/>
  <c r="A161" i="11"/>
  <c r="Z161" i="11" s="1"/>
  <c r="A162" i="11"/>
  <c r="Z162" i="11" s="1"/>
  <c r="A163" i="11"/>
  <c r="Z163" i="11" s="1"/>
  <c r="A164" i="11"/>
  <c r="Z164" i="11" s="1"/>
  <c r="A165" i="11"/>
  <c r="Z165" i="11" s="1"/>
  <c r="A166" i="11"/>
  <c r="Z166" i="11" s="1"/>
  <c r="A167" i="11"/>
  <c r="Z167" i="11" s="1"/>
  <c r="A168" i="11"/>
  <c r="Z168" i="11" s="1"/>
  <c r="A169" i="11"/>
  <c r="Z169" i="11" s="1"/>
  <c r="A170" i="11"/>
  <c r="Z170" i="11" s="1"/>
  <c r="A171" i="11"/>
  <c r="Z171" i="11" s="1"/>
  <c r="A172" i="11"/>
  <c r="Z172" i="11" s="1"/>
  <c r="A173" i="11"/>
  <c r="Z173" i="11" s="1"/>
  <c r="A174" i="11"/>
  <c r="Z174" i="11" s="1"/>
  <c r="A175" i="11"/>
  <c r="Z175" i="11" s="1"/>
  <c r="A176" i="11"/>
  <c r="Z176" i="11" s="1"/>
  <c r="A177" i="11"/>
  <c r="Z177" i="11" s="1"/>
  <c r="A178" i="11"/>
  <c r="Z178" i="11" s="1"/>
  <c r="A179" i="11"/>
  <c r="Z179" i="11" s="1"/>
  <c r="A180" i="11"/>
  <c r="Z180" i="11" s="1"/>
  <c r="A181" i="11"/>
  <c r="Z181" i="11" s="1"/>
  <c r="A182" i="11"/>
  <c r="Z182" i="11" s="1"/>
  <c r="A183" i="11"/>
  <c r="Z183" i="11" s="1"/>
  <c r="A184" i="11"/>
  <c r="Z184" i="11" s="1"/>
  <c r="A185" i="11"/>
  <c r="Z185" i="11" s="1"/>
  <c r="A186" i="11"/>
  <c r="Z186" i="11" s="1"/>
  <c r="A187" i="11"/>
  <c r="Z187" i="11" s="1"/>
  <c r="A188" i="11"/>
  <c r="Z188" i="11" s="1"/>
  <c r="A189" i="11"/>
  <c r="Z189" i="11" s="1"/>
  <c r="A190" i="11"/>
  <c r="Z190" i="11" s="1"/>
  <c r="A191" i="11"/>
  <c r="Z191" i="11" s="1"/>
  <c r="A192" i="11"/>
  <c r="Z192" i="11" s="1"/>
  <c r="A193" i="11"/>
  <c r="Z193" i="11" s="1"/>
  <c r="A194" i="11"/>
  <c r="Z194" i="11" s="1"/>
  <c r="A195" i="11"/>
  <c r="Z195" i="11" s="1"/>
  <c r="A196" i="11"/>
  <c r="Z196" i="11" s="1"/>
  <c r="A197" i="11"/>
  <c r="Z197" i="11" s="1"/>
  <c r="A198" i="11"/>
  <c r="Z198" i="11" s="1"/>
  <c r="A199" i="11"/>
  <c r="Z199" i="11" s="1"/>
  <c r="A200" i="11"/>
  <c r="Z200" i="11" s="1"/>
  <c r="A201" i="11"/>
  <c r="Z201" i="11" s="1"/>
  <c r="A202" i="11"/>
  <c r="Z202" i="11" s="1"/>
  <c r="A203" i="11"/>
  <c r="Z203" i="11" s="1"/>
  <c r="A204" i="11"/>
  <c r="Z204" i="11" s="1"/>
  <c r="A205" i="11"/>
  <c r="Z205" i="11" s="1"/>
  <c r="A206" i="11"/>
  <c r="Z206" i="11" s="1"/>
  <c r="A207" i="11"/>
  <c r="Z207" i="11" s="1"/>
  <c r="A208" i="11"/>
  <c r="Z208" i="11" s="1"/>
  <c r="A209" i="11"/>
  <c r="Z209" i="11" s="1"/>
  <c r="A210" i="11"/>
  <c r="Z210" i="11" s="1"/>
  <c r="A211" i="11"/>
  <c r="Z211" i="11" s="1"/>
  <c r="A212" i="11"/>
  <c r="Z212" i="11" s="1"/>
  <c r="A213" i="11"/>
  <c r="Z213" i="11" s="1"/>
  <c r="A214" i="11"/>
  <c r="Z214" i="11" s="1"/>
  <c r="A215" i="11"/>
  <c r="Z215" i="11" s="1"/>
  <c r="A216" i="11"/>
  <c r="Z216" i="11" s="1"/>
  <c r="A217" i="11"/>
  <c r="Z217" i="11" s="1"/>
  <c r="A218" i="11"/>
  <c r="Z218" i="11" s="1"/>
  <c r="A219" i="11"/>
  <c r="Z219" i="11" s="1"/>
  <c r="A220" i="11"/>
  <c r="Z220" i="11" s="1"/>
  <c r="A221" i="11"/>
  <c r="Z221" i="11" s="1"/>
  <c r="A222" i="11"/>
  <c r="Z222" i="11" s="1"/>
  <c r="A223" i="11"/>
  <c r="Z223" i="11" s="1"/>
  <c r="A224" i="11"/>
  <c r="Z224" i="11" s="1"/>
  <c r="A225" i="11"/>
  <c r="Z225" i="11" s="1"/>
  <c r="A226" i="11"/>
  <c r="Z226" i="11" s="1"/>
  <c r="A227" i="11"/>
  <c r="Z227" i="11" s="1"/>
  <c r="A228" i="11"/>
  <c r="Z228" i="11" s="1"/>
  <c r="A229" i="11"/>
  <c r="Z229" i="11" s="1"/>
  <c r="A230" i="11"/>
  <c r="Z230" i="11" s="1"/>
  <c r="A231" i="11"/>
  <c r="Z231" i="11" s="1"/>
  <c r="A232" i="11"/>
  <c r="Z232" i="11" s="1"/>
  <c r="A233" i="11"/>
  <c r="Z233" i="11" s="1"/>
  <c r="A234" i="11"/>
  <c r="Z234" i="11" s="1"/>
  <c r="A235" i="11"/>
  <c r="Z235" i="11" s="1"/>
  <c r="A236" i="11"/>
  <c r="Z236" i="11" s="1"/>
  <c r="A237" i="11"/>
  <c r="Z237" i="11" s="1"/>
  <c r="A238" i="11"/>
  <c r="Z238" i="11" s="1"/>
  <c r="A239" i="11"/>
  <c r="Z239" i="11" s="1"/>
  <c r="A240" i="11"/>
  <c r="Z240" i="11" s="1"/>
  <c r="A241" i="11"/>
  <c r="Z241" i="11" s="1"/>
  <c r="A242" i="11"/>
  <c r="Z242" i="11" s="1"/>
  <c r="A243" i="11"/>
  <c r="Z243" i="11" s="1"/>
  <c r="A244" i="11"/>
  <c r="Z244" i="11" s="1"/>
  <c r="A245" i="11"/>
  <c r="Z245" i="11" s="1"/>
  <c r="A246" i="11"/>
  <c r="Z246" i="11" s="1"/>
  <c r="A247" i="11"/>
  <c r="Z247" i="11" s="1"/>
  <c r="A248" i="11"/>
  <c r="Z248" i="11" s="1"/>
  <c r="A249" i="11"/>
  <c r="Z249" i="11" s="1"/>
  <c r="A250" i="11"/>
  <c r="Z250" i="11" s="1"/>
  <c r="A251" i="11"/>
  <c r="Z251" i="11" s="1"/>
  <c r="A252" i="11"/>
  <c r="Z252" i="11" s="1"/>
  <c r="A253" i="11"/>
  <c r="Z253" i="11" s="1"/>
  <c r="A254" i="11"/>
  <c r="Z254" i="11" s="1"/>
  <c r="A255" i="11"/>
  <c r="Z255" i="11" s="1"/>
  <c r="A256" i="11"/>
  <c r="Z256" i="11" s="1"/>
  <c r="A257" i="11"/>
  <c r="Z257" i="11" s="1"/>
  <c r="A258" i="11"/>
  <c r="Z258" i="11" s="1"/>
  <c r="A259" i="11"/>
  <c r="Z259" i="11" s="1"/>
  <c r="A260" i="11"/>
  <c r="Z260" i="11" s="1"/>
  <c r="A261" i="11"/>
  <c r="Z261" i="11" s="1"/>
  <c r="A262" i="11"/>
  <c r="Z262" i="11" s="1"/>
  <c r="A263" i="11"/>
  <c r="Z263" i="11" s="1"/>
  <c r="A264" i="11"/>
  <c r="Z264" i="11" s="1"/>
  <c r="A265" i="11"/>
  <c r="Z265" i="11" s="1"/>
  <c r="A266" i="11"/>
  <c r="Z266" i="11" s="1"/>
  <c r="A267" i="11"/>
  <c r="Z267" i="11" s="1"/>
  <c r="A268" i="11"/>
  <c r="Z268" i="11" s="1"/>
  <c r="A269" i="11"/>
  <c r="Z269" i="11" s="1"/>
  <c r="A270" i="11"/>
  <c r="Z270" i="11" s="1"/>
  <c r="A271" i="11"/>
  <c r="Z271" i="11" s="1"/>
  <c r="A272" i="11"/>
  <c r="Z272" i="11" s="1"/>
  <c r="A273" i="11"/>
  <c r="Z273" i="11" s="1"/>
  <c r="A274" i="11"/>
  <c r="Z274" i="11" s="1"/>
  <c r="A275" i="11"/>
  <c r="Z275" i="11" s="1"/>
  <c r="A276" i="11"/>
  <c r="Z276" i="11" s="1"/>
  <c r="A277" i="11"/>
  <c r="Z277" i="11" s="1"/>
  <c r="A278" i="11"/>
  <c r="Z278" i="11" s="1"/>
  <c r="A279" i="11"/>
  <c r="Z279" i="11" s="1"/>
  <c r="A280" i="11"/>
  <c r="Z280" i="11" s="1"/>
  <c r="A281" i="11"/>
  <c r="Z281" i="11" s="1"/>
  <c r="A282" i="11"/>
  <c r="Z282" i="11" s="1"/>
  <c r="A283" i="11"/>
  <c r="Z283" i="11" s="1"/>
  <c r="A284" i="11"/>
  <c r="Z284" i="11" s="1"/>
  <c r="A285" i="11"/>
  <c r="Z285" i="11" s="1"/>
  <c r="A286" i="11"/>
  <c r="Z286" i="11" s="1"/>
  <c r="A287" i="11"/>
  <c r="Z287" i="11" s="1"/>
  <c r="A288" i="11"/>
  <c r="Z288" i="11" s="1"/>
  <c r="A289" i="11"/>
  <c r="Z289" i="11" s="1"/>
  <c r="A290" i="11"/>
  <c r="Z290" i="11" s="1"/>
  <c r="A291" i="11"/>
  <c r="Z291" i="11" s="1"/>
  <c r="A292" i="11"/>
  <c r="Z292" i="11" s="1"/>
  <c r="A293" i="11"/>
  <c r="Z293" i="11" s="1"/>
  <c r="A294" i="11"/>
  <c r="Z294" i="11" s="1"/>
  <c r="A295" i="11"/>
  <c r="Z295" i="11" s="1"/>
  <c r="A296" i="11"/>
  <c r="Z296" i="11" s="1"/>
  <c r="A297" i="11"/>
  <c r="Z297" i="11" s="1"/>
  <c r="A298" i="11"/>
  <c r="Z298" i="11" s="1"/>
  <c r="A299" i="11"/>
  <c r="Z299" i="11" s="1"/>
  <c r="A300" i="11"/>
  <c r="Z300" i="11" s="1"/>
  <c r="A301" i="11"/>
  <c r="Z301" i="11" s="1"/>
  <c r="A302" i="11"/>
  <c r="Z302" i="11" s="1"/>
  <c r="A303" i="11"/>
  <c r="Z303" i="11" s="1"/>
  <c r="A304" i="11"/>
  <c r="Z304" i="11" s="1"/>
  <c r="A305" i="11"/>
  <c r="Z305" i="11" s="1"/>
  <c r="A306" i="11"/>
  <c r="Z306" i="11" s="1"/>
  <c r="A307" i="11"/>
  <c r="Z307" i="11" s="1"/>
  <c r="A308" i="11"/>
  <c r="Z308" i="11" s="1"/>
  <c r="A309" i="11"/>
  <c r="Z309" i="11" s="1"/>
  <c r="A310" i="11"/>
  <c r="Z310" i="11" s="1"/>
  <c r="A311" i="11"/>
  <c r="Z311" i="11" s="1"/>
  <c r="A312" i="11"/>
  <c r="Z312" i="11" s="1"/>
  <c r="A313" i="11"/>
  <c r="Z313" i="11" s="1"/>
  <c r="A314" i="11"/>
  <c r="Z314" i="11" s="1"/>
  <c r="A315" i="11"/>
  <c r="Z315" i="11" s="1"/>
  <c r="A316" i="11"/>
  <c r="Z316" i="11" s="1"/>
  <c r="A317" i="11"/>
  <c r="Z317" i="11" s="1"/>
  <c r="A318" i="11"/>
  <c r="Z318" i="11" s="1"/>
  <c r="A319" i="11"/>
  <c r="Z319" i="11" s="1"/>
  <c r="A320" i="11"/>
  <c r="Z320" i="11" s="1"/>
  <c r="A321" i="11"/>
  <c r="Z321" i="11" s="1"/>
  <c r="A322" i="11"/>
  <c r="Z322" i="11" s="1"/>
  <c r="A323" i="11"/>
  <c r="Z323" i="11" s="1"/>
  <c r="A324" i="11"/>
  <c r="Z324" i="11" s="1"/>
  <c r="A325" i="11"/>
  <c r="Z325" i="11" s="1"/>
  <c r="A326" i="11"/>
  <c r="Z326" i="11" s="1"/>
  <c r="A327" i="11"/>
  <c r="Z327" i="11" s="1"/>
  <c r="A328" i="11"/>
  <c r="Z328" i="11" s="1"/>
  <c r="A329" i="11"/>
  <c r="Z329" i="11" s="1"/>
  <c r="A330" i="11"/>
  <c r="Z330" i="11" s="1"/>
  <c r="A331" i="11"/>
  <c r="Z331" i="11" s="1"/>
  <c r="A332" i="11"/>
  <c r="Z332" i="11" s="1"/>
  <c r="A333" i="11"/>
  <c r="Z333" i="11" s="1"/>
  <c r="A334" i="11"/>
  <c r="Z334" i="11" s="1"/>
  <c r="A335" i="11"/>
  <c r="Z335" i="11" s="1"/>
  <c r="A336" i="11"/>
  <c r="Z336" i="11" s="1"/>
  <c r="A337" i="11"/>
  <c r="Z337" i="11" s="1"/>
  <c r="A338" i="11"/>
  <c r="Z338" i="11" s="1"/>
  <c r="A339" i="11"/>
  <c r="Z339" i="11" s="1"/>
  <c r="A340" i="11"/>
  <c r="Z340" i="11" s="1"/>
  <c r="A341" i="11"/>
  <c r="Z341" i="11" s="1"/>
  <c r="A342" i="11"/>
  <c r="Z342" i="11" s="1"/>
  <c r="A343" i="11"/>
  <c r="Z343" i="11" s="1"/>
  <c r="A344" i="11"/>
  <c r="Z344" i="11" s="1"/>
  <c r="A345" i="11"/>
  <c r="Z345" i="11" s="1"/>
  <c r="A346" i="11"/>
  <c r="Z346" i="11" s="1"/>
  <c r="A347" i="11"/>
  <c r="Z347" i="11" s="1"/>
  <c r="A348" i="11"/>
  <c r="Z348" i="11" s="1"/>
  <c r="A349" i="11"/>
  <c r="Z349" i="11" s="1"/>
  <c r="A350" i="11"/>
  <c r="Z350" i="11" s="1"/>
  <c r="A351" i="11"/>
  <c r="Z351" i="11" s="1"/>
  <c r="A352" i="11"/>
  <c r="Z352" i="11" s="1"/>
  <c r="A353" i="11"/>
  <c r="Z353" i="11" s="1"/>
  <c r="A354" i="11"/>
  <c r="Z354" i="11" s="1"/>
  <c r="A355" i="11"/>
  <c r="Z355" i="11" s="1"/>
  <c r="A356" i="11"/>
  <c r="Z356" i="11" s="1"/>
  <c r="A357" i="11"/>
  <c r="Z357" i="11" s="1"/>
  <c r="A358" i="11"/>
  <c r="Z358" i="11" s="1"/>
  <c r="A359" i="11"/>
  <c r="Z359" i="11" s="1"/>
  <c r="A360" i="11"/>
  <c r="Z360" i="11" s="1"/>
  <c r="A361" i="11"/>
  <c r="Z361" i="11" s="1"/>
  <c r="A362" i="11"/>
  <c r="Z362" i="11" s="1"/>
  <c r="A363" i="11"/>
  <c r="Z363" i="11" s="1"/>
  <c r="A364" i="11"/>
  <c r="Z364" i="11" s="1"/>
  <c r="A365" i="11"/>
  <c r="Z365" i="11" s="1"/>
  <c r="A366" i="11"/>
  <c r="Z366" i="11" s="1"/>
  <c r="A367" i="11"/>
  <c r="Z367" i="11" s="1"/>
  <c r="A368" i="11"/>
  <c r="Z368" i="11" s="1"/>
  <c r="A369" i="11"/>
  <c r="Z369" i="11" s="1"/>
  <c r="A370" i="11"/>
  <c r="Z370" i="11" s="1"/>
  <c r="A371" i="11"/>
  <c r="Z371" i="11" s="1"/>
  <c r="A372" i="11"/>
  <c r="Z372" i="11" s="1"/>
  <c r="A373" i="11"/>
  <c r="Z373" i="11" s="1"/>
  <c r="A374" i="11"/>
  <c r="Z374" i="11" s="1"/>
  <c r="A375" i="11"/>
  <c r="Z375" i="11" s="1"/>
  <c r="A376" i="11"/>
  <c r="Z376" i="11" s="1"/>
  <c r="A377" i="11"/>
  <c r="Z377" i="11" s="1"/>
  <c r="A378" i="11"/>
  <c r="Z378" i="11" s="1"/>
  <c r="A379" i="11"/>
  <c r="Z379" i="11" s="1"/>
  <c r="A380" i="11"/>
  <c r="Z380" i="11" s="1"/>
  <c r="A381" i="11"/>
  <c r="Z381" i="11" s="1"/>
  <c r="A382" i="11"/>
  <c r="Z382" i="11" s="1"/>
  <c r="A383" i="11"/>
  <c r="Z383" i="11" s="1"/>
  <c r="A384" i="11"/>
  <c r="Z384" i="11" s="1"/>
  <c r="A385" i="11"/>
  <c r="Z385" i="11" s="1"/>
  <c r="A386" i="11"/>
  <c r="Z386" i="11" s="1"/>
  <c r="A387" i="11"/>
  <c r="Z387" i="11" s="1"/>
  <c r="A388" i="11"/>
  <c r="Z388" i="11" s="1"/>
  <c r="A389" i="11"/>
  <c r="Z389" i="11" s="1"/>
  <c r="A390" i="11"/>
  <c r="Z390" i="11" s="1"/>
  <c r="A391" i="11"/>
  <c r="Z391" i="11" s="1"/>
  <c r="A392" i="11"/>
  <c r="Z392" i="11" s="1"/>
  <c r="A393" i="11"/>
  <c r="Z393" i="11" s="1"/>
  <c r="A394" i="11"/>
  <c r="Z394" i="11" s="1"/>
  <c r="A395" i="11"/>
  <c r="Z395" i="11" s="1"/>
  <c r="A396" i="11"/>
  <c r="Z396" i="11" s="1"/>
  <c r="A397" i="11"/>
  <c r="Z397" i="11" s="1"/>
  <c r="A398" i="11"/>
  <c r="Z398" i="11" s="1"/>
  <c r="A399" i="11"/>
  <c r="Z399" i="11" s="1"/>
  <c r="A400" i="11"/>
  <c r="Z400" i="11" s="1"/>
  <c r="A401" i="11"/>
  <c r="Z401" i="11" s="1"/>
  <c r="A402" i="11"/>
  <c r="Z402" i="11" s="1"/>
  <c r="A403" i="11"/>
  <c r="Z403" i="11" s="1"/>
  <c r="A404" i="11"/>
  <c r="Z404" i="11" s="1"/>
  <c r="A405" i="11"/>
  <c r="Z405" i="11" s="1"/>
  <c r="A406" i="11"/>
  <c r="Z406" i="11" s="1"/>
  <c r="A407" i="11"/>
  <c r="Z407" i="11" s="1"/>
  <c r="A408" i="11"/>
  <c r="Z408" i="11" s="1"/>
  <c r="A409" i="11"/>
  <c r="Z409" i="11" s="1"/>
  <c r="A410" i="11"/>
  <c r="Z410" i="11" s="1"/>
  <c r="A411" i="11"/>
  <c r="Z411" i="11" s="1"/>
  <c r="A412" i="11"/>
  <c r="Z412" i="11" s="1"/>
  <c r="A413" i="11"/>
  <c r="Z413" i="11" s="1"/>
  <c r="A414" i="11"/>
  <c r="Z414" i="11" s="1"/>
  <c r="A415" i="11"/>
  <c r="Z415" i="11" s="1"/>
  <c r="A416" i="11"/>
  <c r="Z416" i="11" s="1"/>
  <c r="A417" i="11"/>
  <c r="Z417" i="11" s="1"/>
  <c r="A418" i="11"/>
  <c r="Z418" i="11" s="1"/>
  <c r="A419" i="11"/>
  <c r="Z419" i="11" s="1"/>
  <c r="A420" i="11"/>
  <c r="Z420" i="11" s="1"/>
  <c r="A421" i="11"/>
  <c r="Z421" i="11" s="1"/>
  <c r="A422" i="11"/>
  <c r="Z422" i="11" s="1"/>
  <c r="A423" i="11"/>
  <c r="Z423" i="11" s="1"/>
  <c r="A424" i="11"/>
  <c r="Z424" i="11" s="1"/>
  <c r="A425" i="11"/>
  <c r="Z425" i="11" s="1"/>
  <c r="A426" i="11"/>
  <c r="Z426" i="11" s="1"/>
  <c r="A427" i="11"/>
  <c r="Z427" i="11" s="1"/>
  <c r="A428" i="11"/>
  <c r="Z428" i="11" s="1"/>
  <c r="A429" i="11"/>
  <c r="Z429" i="11" s="1"/>
  <c r="A430" i="11"/>
  <c r="Z430" i="11" s="1"/>
  <c r="A431" i="11"/>
  <c r="Z431" i="11" s="1"/>
  <c r="A432" i="11"/>
  <c r="Z432" i="11" s="1"/>
  <c r="A433" i="11"/>
  <c r="Z433" i="11" s="1"/>
  <c r="A434" i="11"/>
  <c r="Z434" i="11" s="1"/>
  <c r="A435" i="11"/>
  <c r="Z435" i="11" s="1"/>
  <c r="A436" i="11"/>
  <c r="Z436" i="11" s="1"/>
  <c r="A437" i="11"/>
  <c r="Z437" i="11" s="1"/>
  <c r="A438" i="11"/>
  <c r="Z438" i="11" s="1"/>
  <c r="A439" i="11"/>
  <c r="Z439" i="11" s="1"/>
  <c r="A440" i="11"/>
  <c r="Z440" i="11" s="1"/>
  <c r="A441" i="11"/>
  <c r="Z441" i="11" s="1"/>
  <c r="A442" i="11"/>
  <c r="Z442" i="11" s="1"/>
  <c r="A443" i="11"/>
  <c r="Z443" i="11" s="1"/>
  <c r="A444" i="11"/>
  <c r="Z444" i="11" s="1"/>
  <c r="A445" i="11"/>
  <c r="Z445" i="11" s="1"/>
  <c r="A446" i="11"/>
  <c r="Z446" i="11" s="1"/>
  <c r="A447" i="11"/>
  <c r="Z447" i="11" s="1"/>
  <c r="A448" i="11"/>
  <c r="Z448" i="11" s="1"/>
  <c r="A449" i="11"/>
  <c r="Z449" i="11" s="1"/>
  <c r="A450" i="11"/>
  <c r="Z450" i="11" s="1"/>
  <c r="A451" i="11"/>
  <c r="Z451" i="11" s="1"/>
  <c r="A452" i="11"/>
  <c r="Z452" i="11" s="1"/>
  <c r="A453" i="11"/>
  <c r="Z453" i="11" s="1"/>
  <c r="A454" i="11"/>
  <c r="Z454" i="11" s="1"/>
  <c r="A455" i="11"/>
  <c r="Z455" i="11" s="1"/>
  <c r="A456" i="11"/>
  <c r="Z456" i="11" s="1"/>
  <c r="A457" i="11"/>
  <c r="Z457" i="11" s="1"/>
  <c r="A458" i="11"/>
  <c r="Z458" i="11" s="1"/>
  <c r="A459" i="11"/>
  <c r="Z459" i="11" s="1"/>
  <c r="A460" i="11"/>
  <c r="Z460" i="11" s="1"/>
  <c r="A461" i="11"/>
  <c r="Z461" i="11" s="1"/>
  <c r="A462" i="11"/>
  <c r="Z462" i="11" s="1"/>
  <c r="A463" i="11"/>
  <c r="Z463" i="11" s="1"/>
  <c r="A464" i="11"/>
  <c r="Z464" i="11" s="1"/>
  <c r="A465" i="11"/>
  <c r="Z465" i="11" s="1"/>
  <c r="A466" i="11"/>
  <c r="Z466" i="11" s="1"/>
  <c r="A467" i="11"/>
  <c r="Z467" i="11" s="1"/>
  <c r="A468" i="11"/>
  <c r="Z468" i="11" s="1"/>
  <c r="A469" i="11"/>
  <c r="Z469" i="11" s="1"/>
  <c r="A470" i="11"/>
  <c r="Z470" i="11" s="1"/>
  <c r="A471" i="11"/>
  <c r="Z471" i="11" s="1"/>
  <c r="A472" i="11"/>
  <c r="Z472" i="11" s="1"/>
  <c r="A473" i="11"/>
  <c r="Z473" i="11" s="1"/>
  <c r="A474" i="11"/>
  <c r="Z474" i="11" s="1"/>
  <c r="A475" i="11"/>
  <c r="Z475" i="11" s="1"/>
  <c r="A476" i="11"/>
  <c r="Z476" i="11" s="1"/>
  <c r="A477" i="11"/>
  <c r="Z477" i="11" s="1"/>
  <c r="A478" i="11"/>
  <c r="Z478" i="11" s="1"/>
  <c r="A479" i="11"/>
  <c r="Z479" i="11" s="1"/>
  <c r="A480" i="11"/>
  <c r="Z480" i="11" s="1"/>
  <c r="A481" i="11"/>
  <c r="Z481" i="11" s="1"/>
  <c r="A482" i="11"/>
  <c r="Z482" i="11" s="1"/>
  <c r="A483" i="11"/>
  <c r="Z483" i="11" s="1"/>
  <c r="A484" i="11"/>
  <c r="Z484" i="11" s="1"/>
  <c r="A485" i="11"/>
  <c r="Z485" i="11" s="1"/>
  <c r="A486" i="11"/>
  <c r="Z486" i="11" s="1"/>
  <c r="A487" i="11"/>
  <c r="Z487" i="11" s="1"/>
  <c r="A488" i="11"/>
  <c r="Z488" i="11" s="1"/>
  <c r="A489" i="11"/>
  <c r="Z489" i="11" s="1"/>
  <c r="A490" i="11"/>
  <c r="Z490" i="11" s="1"/>
  <c r="A491" i="11"/>
  <c r="Z491" i="11" s="1"/>
  <c r="A492" i="11"/>
  <c r="Z492" i="11" s="1"/>
  <c r="A493" i="11"/>
  <c r="Z493" i="11" s="1"/>
  <c r="A494" i="11"/>
  <c r="Z494" i="11" s="1"/>
  <c r="A495" i="11"/>
  <c r="Z495" i="11" s="1"/>
  <c r="A496" i="11"/>
  <c r="Z496" i="11" s="1"/>
  <c r="A497" i="11"/>
  <c r="Z497" i="11" s="1"/>
  <c r="A498" i="11"/>
  <c r="Z498" i="11" s="1"/>
  <c r="A499" i="11"/>
  <c r="Z499" i="11" s="1"/>
  <c r="A500" i="11"/>
  <c r="Z500" i="11" s="1"/>
  <c r="A501" i="11"/>
  <c r="Z501" i="11" s="1"/>
  <c r="A502" i="11"/>
  <c r="Z502" i="11" s="1"/>
  <c r="A503" i="11"/>
  <c r="Z503" i="11" s="1"/>
  <c r="A504" i="11"/>
  <c r="Z504" i="11" s="1"/>
  <c r="A505" i="11"/>
  <c r="Z505" i="11" s="1"/>
  <c r="A506" i="11"/>
  <c r="Z506" i="11" s="1"/>
  <c r="A507" i="11"/>
  <c r="Z507" i="11" s="1"/>
  <c r="A508" i="11"/>
  <c r="Z508" i="11" s="1"/>
  <c r="A509" i="11"/>
  <c r="Z509" i="11" s="1"/>
  <c r="A510" i="11"/>
  <c r="Z510" i="11" s="1"/>
  <c r="A511" i="11"/>
  <c r="Z511" i="11" s="1"/>
  <c r="A512" i="11"/>
  <c r="Z512" i="11" s="1"/>
  <c r="A513" i="11"/>
  <c r="Z513" i="11" s="1"/>
  <c r="A514" i="11"/>
  <c r="Z514" i="11" s="1"/>
  <c r="A515" i="11"/>
  <c r="Z515" i="11" s="1"/>
  <c r="A516" i="11"/>
  <c r="Z516" i="11" s="1"/>
  <c r="A517" i="11"/>
  <c r="Z517" i="11" s="1"/>
  <c r="A518" i="11"/>
  <c r="Z518" i="11" s="1"/>
  <c r="A519" i="11"/>
  <c r="Z519" i="11" s="1"/>
  <c r="A520" i="11"/>
  <c r="Z520" i="11" s="1"/>
  <c r="A521" i="11"/>
  <c r="Z521" i="11" s="1"/>
  <c r="A522" i="11"/>
  <c r="Z522" i="11" s="1"/>
  <c r="A523" i="11"/>
  <c r="Z523" i="11" s="1"/>
  <c r="A524" i="11"/>
  <c r="Z524" i="11" s="1"/>
  <c r="A525" i="11"/>
  <c r="Z525" i="11" s="1"/>
  <c r="A526" i="11"/>
  <c r="Z526" i="11" s="1"/>
  <c r="A527" i="11"/>
  <c r="Z527" i="11" s="1"/>
  <c r="A528" i="11"/>
  <c r="Z528" i="11" s="1"/>
  <c r="A529" i="11"/>
  <c r="Z529" i="11" s="1"/>
  <c r="A530" i="11"/>
  <c r="Z530" i="11" s="1"/>
  <c r="A531" i="11"/>
  <c r="Z531" i="11" s="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2" i="11"/>
  <c r="D3" i="16" l="1"/>
  <c r="D2" i="16"/>
  <c r="D4" i="16"/>
  <c r="D5" i="16"/>
  <c r="D6" i="16"/>
  <c r="D7" i="16"/>
  <c r="D8" i="16"/>
  <c r="D9" i="16"/>
  <c r="D10" i="16"/>
  <c r="D11" i="16"/>
  <c r="D12" i="16"/>
  <c r="D13" i="16"/>
  <c r="D14" i="16"/>
  <c r="D15" i="16"/>
  <c r="B17" i="16"/>
  <c r="D16" i="16"/>
  <c r="H16" i="16"/>
  <c r="Z2" i="11"/>
  <c r="G10" i="16"/>
  <c r="I10" i="16" s="1"/>
  <c r="W10" i="16" s="1"/>
  <c r="G9" i="16"/>
  <c r="I9" i="16" s="1"/>
  <c r="W9" i="16" s="1"/>
  <c r="G8" i="16"/>
  <c r="I8" i="16" s="1"/>
  <c r="W8" i="16" s="1"/>
  <c r="G3" i="16"/>
  <c r="I3" i="16" s="1"/>
  <c r="W3" i="16" s="1"/>
  <c r="G6" i="16"/>
  <c r="I6" i="16" s="1"/>
  <c r="W6" i="16" s="1"/>
  <c r="G5" i="16"/>
  <c r="I5" i="16" s="1"/>
  <c r="W5" i="16" s="1"/>
  <c r="G4" i="16"/>
  <c r="I4" i="16" s="1"/>
  <c r="W4" i="16" s="1"/>
  <c r="G7" i="16"/>
  <c r="I7" i="16" s="1"/>
  <c r="W7" i="16" s="1"/>
  <c r="Q15" i="16"/>
  <c r="P15" i="16"/>
  <c r="R14" i="16"/>
  <c r="X14" i="16" s="1"/>
  <c r="Z678" i="11"/>
  <c r="Z654" i="11"/>
  <c r="Z669" i="11"/>
  <c r="Z657" i="11"/>
  <c r="Z645" i="11"/>
  <c r="Z633" i="11"/>
  <c r="Z621" i="11"/>
  <c r="Z617" i="11"/>
  <c r="Z613" i="11"/>
  <c r="Z609" i="11"/>
  <c r="Z605" i="11"/>
  <c r="Z601" i="11"/>
  <c r="Z597" i="11"/>
  <c r="Z593" i="11"/>
  <c r="Z589" i="11"/>
  <c r="Z585" i="11"/>
  <c r="Z581" i="11"/>
  <c r="Z577" i="11"/>
  <c r="Z573" i="11"/>
  <c r="Z569" i="11"/>
  <c r="Z565" i="11"/>
  <c r="Z561" i="11"/>
  <c r="Z557" i="11"/>
  <c r="Z553" i="11"/>
  <c r="Z549" i="11"/>
  <c r="Z545" i="11"/>
  <c r="Z541" i="11"/>
  <c r="Z537" i="11"/>
  <c r="Z533" i="11"/>
  <c r="Z674" i="11"/>
  <c r="Z662" i="11"/>
  <c r="Z673" i="11"/>
  <c r="Z661" i="11"/>
  <c r="Z649" i="11"/>
  <c r="Z637" i="11"/>
  <c r="Z625" i="11"/>
  <c r="Z672" i="11"/>
  <c r="Z664" i="11"/>
  <c r="Z656" i="11"/>
  <c r="Z648" i="11"/>
  <c r="Z636" i="11"/>
  <c r="Z628" i="11"/>
  <c r="Z620" i="11"/>
  <c r="Z612" i="11"/>
  <c r="Z608" i="11"/>
  <c r="Z600" i="11"/>
  <c r="Z592" i="11"/>
  <c r="Z584" i="11"/>
  <c r="Z576" i="11"/>
  <c r="Z568" i="11"/>
  <c r="Z560" i="11"/>
  <c r="Z552" i="11"/>
  <c r="Z544" i="11"/>
  <c r="Z536" i="11"/>
  <c r="Z532" i="11"/>
  <c r="Z670" i="11"/>
  <c r="Z658" i="11"/>
  <c r="Z677" i="11"/>
  <c r="Z665" i="11"/>
  <c r="Z653" i="11"/>
  <c r="Z641" i="11"/>
  <c r="Z629" i="11"/>
  <c r="Z676" i="11"/>
  <c r="Z668" i="11"/>
  <c r="Z660" i="11"/>
  <c r="Z652" i="11"/>
  <c r="Z644" i="11"/>
  <c r="Z640" i="11"/>
  <c r="Z632" i="11"/>
  <c r="Z624" i="11"/>
  <c r="Z616" i="11"/>
  <c r="Z604" i="11"/>
  <c r="Z596" i="11"/>
  <c r="Z588" i="11"/>
  <c r="Z580" i="11"/>
  <c r="Z572" i="11"/>
  <c r="Z564" i="11"/>
  <c r="Z556" i="11"/>
  <c r="Z548" i="11"/>
  <c r="Z540" i="11"/>
  <c r="G16" i="16"/>
  <c r="I16" i="16" s="1"/>
  <c r="W16" i="16" s="1"/>
  <c r="Z675" i="11"/>
  <c r="G15" i="16" s="1"/>
  <c r="I15" i="16" s="1"/>
  <c r="W15" i="16" s="1"/>
  <c r="Z671" i="11"/>
  <c r="Z667" i="11"/>
  <c r="Z663" i="11"/>
  <c r="Z659" i="11"/>
  <c r="Z655" i="11"/>
  <c r="Z651" i="11"/>
  <c r="Z647" i="11"/>
  <c r="Z643" i="11"/>
  <c r="Z639" i="11"/>
  <c r="Z635" i="11"/>
  <c r="Z631" i="11"/>
  <c r="Z627" i="11"/>
  <c r="Z623" i="11"/>
  <c r="Z619" i="11"/>
  <c r="Z615" i="11"/>
  <c r="Z611" i="11"/>
  <c r="Z607" i="11"/>
  <c r="Z603" i="11"/>
  <c r="Z599" i="11"/>
  <c r="Z595" i="11"/>
  <c r="Z591" i="11"/>
  <c r="Z587" i="11"/>
  <c r="Z583" i="11"/>
  <c r="Z579" i="11"/>
  <c r="Z575" i="11"/>
  <c r="Z571" i="11"/>
  <c r="Z567" i="11"/>
  <c r="Z563" i="11"/>
  <c r="Z559" i="11"/>
  <c r="Z555" i="11"/>
  <c r="Z551" i="11"/>
  <c r="Z547" i="11"/>
  <c r="Z543" i="11"/>
  <c r="Z539" i="11"/>
  <c r="Z535" i="11"/>
  <c r="Z666" i="11"/>
  <c r="Z650" i="11"/>
  <c r="Z646" i="11"/>
  <c r="Z642" i="11"/>
  <c r="Z638" i="11"/>
  <c r="Z634" i="11"/>
  <c r="Z630" i="11"/>
  <c r="Z626" i="11"/>
  <c r="Z622" i="11"/>
  <c r="Z618" i="11"/>
  <c r="Z614" i="11"/>
  <c r="Z610" i="11"/>
  <c r="Z606" i="11"/>
  <c r="Z602" i="11"/>
  <c r="Z598" i="11"/>
  <c r="Z594" i="11"/>
  <c r="Z590" i="11"/>
  <c r="Z586" i="11"/>
  <c r="Z582" i="11"/>
  <c r="Z578" i="11"/>
  <c r="Z574" i="11"/>
  <c r="Z570" i="11"/>
  <c r="Z566" i="11"/>
  <c r="Z562" i="11"/>
  <c r="Z558" i="11"/>
  <c r="Z554" i="11"/>
  <c r="Z550" i="11"/>
  <c r="Z546" i="11"/>
  <c r="Z542" i="11"/>
  <c r="Z538" i="11"/>
  <c r="Z534" i="11"/>
  <c r="K16" i="16"/>
  <c r="M16" i="16" s="1"/>
  <c r="H41" i="9"/>
  <c r="J41" i="9" s="1"/>
  <c r="L41" i="9" s="1"/>
  <c r="N41" i="9" s="1"/>
  <c r="P41" i="9" s="1"/>
  <c r="R41" i="9" s="1"/>
  <c r="T41" i="9" s="1"/>
  <c r="V41" i="9" s="1"/>
  <c r="X41" i="9" s="1"/>
  <c r="Z41" i="9" s="1"/>
  <c r="AB41" i="9" s="1"/>
  <c r="AD41" i="9" s="1"/>
  <c r="AF41" i="9" s="1"/>
  <c r="AH41" i="9" s="1"/>
  <c r="AJ41" i="9" s="1"/>
  <c r="AL41" i="9" s="1"/>
  <c r="AN41" i="9" s="1"/>
  <c r="AP41" i="9" s="1"/>
  <c r="AR41" i="9" s="1"/>
  <c r="AT41" i="9" s="1"/>
  <c r="AV41" i="9" s="1"/>
  <c r="AX41" i="9" s="1"/>
  <c r="AZ41" i="9" s="1"/>
  <c r="BB41" i="9" s="1"/>
  <c r="BD41" i="9" s="1"/>
  <c r="BF41" i="9" s="1"/>
  <c r="BH41" i="9" s="1"/>
  <c r="BJ41" i="9" s="1"/>
  <c r="BL41" i="9" s="1"/>
  <c r="BN41" i="9" s="1"/>
  <c r="BP41" i="9" s="1"/>
  <c r="BR41" i="9" s="1"/>
  <c r="BT41" i="9" s="1"/>
  <c r="BV41" i="9" s="1"/>
  <c r="BX41" i="9" s="1"/>
  <c r="BZ41" i="9" s="1"/>
  <c r="CB41" i="9" s="1"/>
  <c r="CD41" i="9" s="1"/>
  <c r="CF41" i="9" s="1"/>
  <c r="CH41" i="9" s="1"/>
  <c r="CJ41" i="9" s="1"/>
  <c r="CL41" i="9" s="1"/>
  <c r="CN41" i="9" s="1"/>
  <c r="CP41" i="9" s="1"/>
  <c r="CR41" i="9" s="1"/>
  <c r="CT41" i="9" s="1"/>
  <c r="CV41" i="9" s="1"/>
  <c r="CX41" i="9" s="1"/>
  <c r="CZ41" i="9" s="1"/>
  <c r="DB41" i="9" s="1"/>
  <c r="DD41" i="9" s="1"/>
  <c r="H40" i="9"/>
  <c r="J40" i="9" s="1"/>
  <c r="L40" i="9" s="1"/>
  <c r="N40" i="9" s="1"/>
  <c r="P40" i="9" s="1"/>
  <c r="R40" i="9" s="1"/>
  <c r="T40" i="9" s="1"/>
  <c r="V40" i="9" s="1"/>
  <c r="X40" i="9" s="1"/>
  <c r="Z40" i="9" s="1"/>
  <c r="AB40" i="9" s="1"/>
  <c r="AD40" i="9" s="1"/>
  <c r="AF40" i="9" s="1"/>
  <c r="AH40" i="9" s="1"/>
  <c r="AJ40" i="9" s="1"/>
  <c r="AL40" i="9" s="1"/>
  <c r="AN40" i="9" s="1"/>
  <c r="AP40" i="9" s="1"/>
  <c r="AR40" i="9" s="1"/>
  <c r="AT40" i="9" s="1"/>
  <c r="AV40" i="9" s="1"/>
  <c r="AX40" i="9" s="1"/>
  <c r="AZ40" i="9" s="1"/>
  <c r="BB40" i="9" s="1"/>
  <c r="BD40" i="9" s="1"/>
  <c r="BF40" i="9" s="1"/>
  <c r="BH40" i="9" s="1"/>
  <c r="BJ40" i="9" s="1"/>
  <c r="BL40" i="9" s="1"/>
  <c r="BN40" i="9" s="1"/>
  <c r="BP40" i="9" s="1"/>
  <c r="BR40" i="9" s="1"/>
  <c r="BT40" i="9" s="1"/>
  <c r="BV40" i="9" s="1"/>
  <c r="BX40" i="9" s="1"/>
  <c r="BZ40" i="9" s="1"/>
  <c r="CB40" i="9" s="1"/>
  <c r="CD40" i="9" s="1"/>
  <c r="CF40" i="9" s="1"/>
  <c r="CH40" i="9" s="1"/>
  <c r="CJ40" i="9" s="1"/>
  <c r="CL40" i="9" s="1"/>
  <c r="CN40" i="9" s="1"/>
  <c r="CP40" i="9" s="1"/>
  <c r="CR40" i="9" s="1"/>
  <c r="CT40" i="9" s="1"/>
  <c r="CV40" i="9" s="1"/>
  <c r="CX40" i="9" s="1"/>
  <c r="CZ40" i="9" s="1"/>
  <c r="DB40" i="9" s="1"/>
  <c r="DD40" i="9" s="1"/>
  <c r="B18" i="16" l="1"/>
  <c r="D17" i="16"/>
  <c r="H17" i="16"/>
  <c r="G13" i="16"/>
  <c r="I13" i="16" s="1"/>
  <c r="W13" i="16" s="1"/>
  <c r="G2" i="16"/>
  <c r="I2" i="16" s="1"/>
  <c r="W2" i="16" s="1"/>
  <c r="Q16" i="16"/>
  <c r="P16" i="16"/>
  <c r="R15" i="16"/>
  <c r="X15" i="16" s="1"/>
  <c r="G11" i="16"/>
  <c r="I11" i="16" s="1"/>
  <c r="W11" i="16" s="1"/>
  <c r="G12" i="16"/>
  <c r="I12" i="16" s="1"/>
  <c r="W12" i="16" s="1"/>
  <c r="G14" i="16"/>
  <c r="I14" i="16" s="1"/>
  <c r="W14" i="16" s="1"/>
  <c r="K17" i="16"/>
  <c r="M17" i="16" s="1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B19" i="16" l="1"/>
  <c r="D18" i="16"/>
  <c r="H18" i="16"/>
  <c r="G17" i="16"/>
  <c r="I17" i="16" s="1"/>
  <c r="W17" i="16" s="1"/>
  <c r="G18" i="16"/>
  <c r="I18" i="16" s="1"/>
  <c r="W18" i="16" s="1"/>
  <c r="R16" i="16"/>
  <c r="X16" i="16" s="1"/>
  <c r="Q17" i="16"/>
  <c r="P17" i="16"/>
  <c r="K18" i="16"/>
  <c r="M18" i="16" s="1"/>
  <c r="O27" i="15"/>
  <c r="N27" i="15"/>
  <c r="M27" i="15"/>
  <c r="L27" i="15"/>
  <c r="K27" i="15"/>
  <c r="J27" i="15"/>
  <c r="I27" i="15"/>
  <c r="H27" i="15"/>
  <c r="G27" i="15"/>
  <c r="F27" i="15"/>
  <c r="E27" i="15"/>
  <c r="C27" i="15"/>
  <c r="B27" i="15"/>
  <c r="O26" i="15"/>
  <c r="N26" i="15"/>
  <c r="M26" i="15"/>
  <c r="L26" i="15"/>
  <c r="K26" i="15"/>
  <c r="J26" i="15"/>
  <c r="I26" i="15"/>
  <c r="H26" i="15"/>
  <c r="G26" i="15"/>
  <c r="F26" i="15"/>
  <c r="E26" i="15"/>
  <c r="C26" i="15"/>
  <c r="B26" i="15"/>
  <c r="O25" i="15"/>
  <c r="N25" i="15"/>
  <c r="M25" i="15"/>
  <c r="L25" i="15"/>
  <c r="K25" i="15"/>
  <c r="J25" i="15"/>
  <c r="I25" i="15"/>
  <c r="H25" i="15"/>
  <c r="G25" i="15"/>
  <c r="F25" i="15"/>
  <c r="E25" i="15"/>
  <c r="C25" i="15"/>
  <c r="B25" i="15"/>
  <c r="O24" i="15"/>
  <c r="N24" i="15"/>
  <c r="M24" i="15"/>
  <c r="L24" i="15"/>
  <c r="K24" i="15"/>
  <c r="J24" i="15"/>
  <c r="I24" i="15"/>
  <c r="H24" i="15"/>
  <c r="G24" i="15"/>
  <c r="F24" i="15"/>
  <c r="E24" i="15"/>
  <c r="C24" i="15"/>
  <c r="B24" i="15"/>
  <c r="O23" i="15"/>
  <c r="N23" i="15"/>
  <c r="M23" i="15"/>
  <c r="L23" i="15"/>
  <c r="K23" i="15"/>
  <c r="J23" i="15"/>
  <c r="I23" i="15"/>
  <c r="H23" i="15"/>
  <c r="G23" i="15"/>
  <c r="F23" i="15"/>
  <c r="E23" i="15"/>
  <c r="C23" i="15"/>
  <c r="B23" i="15"/>
  <c r="O22" i="15"/>
  <c r="N22" i="15"/>
  <c r="M22" i="15"/>
  <c r="L22" i="15"/>
  <c r="K22" i="15"/>
  <c r="J22" i="15"/>
  <c r="I22" i="15"/>
  <c r="H22" i="15"/>
  <c r="G22" i="15"/>
  <c r="F22" i="15"/>
  <c r="E22" i="15"/>
  <c r="C22" i="15"/>
  <c r="B22" i="15"/>
  <c r="O21" i="15"/>
  <c r="N21" i="15"/>
  <c r="M21" i="15"/>
  <c r="L21" i="15"/>
  <c r="K21" i="15"/>
  <c r="J21" i="15"/>
  <c r="I21" i="15"/>
  <c r="H21" i="15"/>
  <c r="G21" i="15"/>
  <c r="F21" i="15"/>
  <c r="E21" i="15"/>
  <c r="C21" i="15"/>
  <c r="B21" i="15"/>
  <c r="O20" i="15"/>
  <c r="N20" i="15"/>
  <c r="M20" i="15"/>
  <c r="L20" i="15"/>
  <c r="K20" i="15"/>
  <c r="J20" i="15"/>
  <c r="I20" i="15"/>
  <c r="H20" i="15"/>
  <c r="G20" i="15"/>
  <c r="F20" i="15"/>
  <c r="E20" i="15"/>
  <c r="C20" i="15"/>
  <c r="B20" i="15"/>
  <c r="O19" i="15"/>
  <c r="N19" i="15"/>
  <c r="M19" i="15"/>
  <c r="L19" i="15"/>
  <c r="K19" i="15"/>
  <c r="J19" i="15"/>
  <c r="I19" i="15"/>
  <c r="H19" i="15"/>
  <c r="G19" i="15"/>
  <c r="F19" i="15"/>
  <c r="E19" i="15"/>
  <c r="C19" i="15"/>
  <c r="B19" i="15"/>
  <c r="O18" i="15"/>
  <c r="N18" i="15"/>
  <c r="M18" i="15"/>
  <c r="L18" i="15"/>
  <c r="K18" i="15"/>
  <c r="J18" i="15"/>
  <c r="I18" i="15"/>
  <c r="H18" i="15"/>
  <c r="G18" i="15"/>
  <c r="F18" i="15"/>
  <c r="E18" i="15"/>
  <c r="C18" i="15"/>
  <c r="B18" i="15"/>
  <c r="O17" i="15"/>
  <c r="N17" i="15"/>
  <c r="M17" i="15"/>
  <c r="L17" i="15"/>
  <c r="K17" i="15"/>
  <c r="J17" i="15"/>
  <c r="I17" i="15"/>
  <c r="H17" i="15"/>
  <c r="G17" i="15"/>
  <c r="F17" i="15"/>
  <c r="E17" i="15"/>
  <c r="C17" i="15"/>
  <c r="B17" i="15"/>
  <c r="O16" i="15"/>
  <c r="N16" i="15"/>
  <c r="M16" i="15"/>
  <c r="L16" i="15"/>
  <c r="K16" i="15"/>
  <c r="J16" i="15"/>
  <c r="I16" i="15"/>
  <c r="H16" i="15"/>
  <c r="G16" i="15"/>
  <c r="F16" i="15"/>
  <c r="E16" i="15"/>
  <c r="C16" i="15"/>
  <c r="B16" i="15"/>
  <c r="O15" i="15"/>
  <c r="N15" i="15"/>
  <c r="M15" i="15"/>
  <c r="L15" i="15"/>
  <c r="K15" i="15"/>
  <c r="J15" i="15"/>
  <c r="I15" i="15"/>
  <c r="H15" i="15"/>
  <c r="G15" i="15"/>
  <c r="F15" i="15"/>
  <c r="E15" i="15"/>
  <c r="C15" i="15"/>
  <c r="B15" i="15"/>
  <c r="AL14" i="15"/>
  <c r="O14" i="15"/>
  <c r="N14" i="15"/>
  <c r="M14" i="15"/>
  <c r="L14" i="15"/>
  <c r="K14" i="15"/>
  <c r="J14" i="15"/>
  <c r="I14" i="15"/>
  <c r="H14" i="15"/>
  <c r="G14" i="15"/>
  <c r="F14" i="15"/>
  <c r="E14" i="15"/>
  <c r="C14" i="15"/>
  <c r="B14" i="15"/>
  <c r="AL13" i="15"/>
  <c r="O13" i="15"/>
  <c r="N13" i="15"/>
  <c r="M13" i="15"/>
  <c r="L13" i="15"/>
  <c r="K13" i="15"/>
  <c r="J13" i="15"/>
  <c r="I13" i="15"/>
  <c r="H13" i="15"/>
  <c r="G13" i="15"/>
  <c r="F13" i="15"/>
  <c r="E13" i="15"/>
  <c r="C13" i="15"/>
  <c r="B13" i="15"/>
  <c r="AL12" i="15"/>
  <c r="O12" i="15"/>
  <c r="N12" i="15"/>
  <c r="M12" i="15"/>
  <c r="L12" i="15"/>
  <c r="K12" i="15"/>
  <c r="J12" i="15"/>
  <c r="I12" i="15"/>
  <c r="H12" i="15"/>
  <c r="G12" i="15"/>
  <c r="F12" i="15"/>
  <c r="E12" i="15"/>
  <c r="C12" i="15"/>
  <c r="B12" i="15"/>
  <c r="AL11" i="15"/>
  <c r="O11" i="15"/>
  <c r="N11" i="15"/>
  <c r="M11" i="15"/>
  <c r="L11" i="15"/>
  <c r="K11" i="15"/>
  <c r="J11" i="15"/>
  <c r="I11" i="15"/>
  <c r="H11" i="15"/>
  <c r="G11" i="15"/>
  <c r="F11" i="15"/>
  <c r="E11" i="15"/>
  <c r="C11" i="15"/>
  <c r="B11" i="15"/>
  <c r="AL10" i="15"/>
  <c r="O10" i="15"/>
  <c r="N10" i="15"/>
  <c r="M10" i="15"/>
  <c r="L10" i="15"/>
  <c r="K10" i="15"/>
  <c r="J10" i="15"/>
  <c r="I10" i="15"/>
  <c r="H10" i="15"/>
  <c r="G10" i="15"/>
  <c r="F10" i="15"/>
  <c r="E10" i="15"/>
  <c r="C10" i="15"/>
  <c r="B10" i="15"/>
  <c r="AL9" i="15"/>
  <c r="O9" i="15"/>
  <c r="N9" i="15"/>
  <c r="M9" i="15"/>
  <c r="L9" i="15"/>
  <c r="K9" i="15"/>
  <c r="J9" i="15"/>
  <c r="I9" i="15"/>
  <c r="H9" i="15"/>
  <c r="G9" i="15"/>
  <c r="F9" i="15"/>
  <c r="E9" i="15"/>
  <c r="C9" i="15"/>
  <c r="B9" i="15"/>
  <c r="AL8" i="15"/>
  <c r="O8" i="15"/>
  <c r="N8" i="15"/>
  <c r="M8" i="15"/>
  <c r="L8" i="15"/>
  <c r="K8" i="15"/>
  <c r="J8" i="15"/>
  <c r="I8" i="15"/>
  <c r="H8" i="15"/>
  <c r="G8" i="15"/>
  <c r="F8" i="15"/>
  <c r="E8" i="15"/>
  <c r="C8" i="15"/>
  <c r="B8" i="15"/>
  <c r="AL7" i="15"/>
  <c r="O7" i="15"/>
  <c r="N7" i="15"/>
  <c r="M7" i="15"/>
  <c r="L7" i="15"/>
  <c r="K7" i="15"/>
  <c r="J7" i="15"/>
  <c r="I7" i="15"/>
  <c r="H7" i="15"/>
  <c r="G7" i="15"/>
  <c r="F7" i="15"/>
  <c r="E7" i="15"/>
  <c r="C7" i="15"/>
  <c r="B7" i="15"/>
  <c r="AL6" i="15"/>
  <c r="O6" i="15"/>
  <c r="N6" i="15"/>
  <c r="M6" i="15"/>
  <c r="L6" i="15"/>
  <c r="K6" i="15"/>
  <c r="J6" i="15"/>
  <c r="I6" i="15"/>
  <c r="H6" i="15"/>
  <c r="G6" i="15"/>
  <c r="F6" i="15"/>
  <c r="E6" i="15"/>
  <c r="C6" i="15"/>
  <c r="B6" i="15"/>
  <c r="AL5" i="15"/>
  <c r="O5" i="15"/>
  <c r="N5" i="15"/>
  <c r="M5" i="15"/>
  <c r="L5" i="15"/>
  <c r="K5" i="15"/>
  <c r="J5" i="15"/>
  <c r="I5" i="15"/>
  <c r="H5" i="15"/>
  <c r="G5" i="15"/>
  <c r="F5" i="15"/>
  <c r="E5" i="15"/>
  <c r="C5" i="15"/>
  <c r="B5" i="15"/>
  <c r="AL4" i="15"/>
  <c r="O4" i="15"/>
  <c r="N4" i="15"/>
  <c r="M4" i="15"/>
  <c r="L4" i="15"/>
  <c r="K4" i="15"/>
  <c r="J4" i="15"/>
  <c r="I4" i="15"/>
  <c r="H4" i="15"/>
  <c r="G4" i="15"/>
  <c r="F4" i="15"/>
  <c r="E4" i="15"/>
  <c r="C4" i="15"/>
  <c r="B4" i="15"/>
  <c r="AL3" i="15"/>
  <c r="O3" i="15"/>
  <c r="N3" i="15"/>
  <c r="M3" i="15"/>
  <c r="L3" i="15"/>
  <c r="K3" i="15"/>
  <c r="J3" i="15"/>
  <c r="I3" i="15"/>
  <c r="H3" i="15"/>
  <c r="G3" i="15"/>
  <c r="F3" i="15"/>
  <c r="E3" i="15"/>
  <c r="C3" i="15"/>
  <c r="B3" i="15"/>
  <c r="AL2" i="15"/>
  <c r="T2" i="15"/>
  <c r="O2" i="15"/>
  <c r="N2" i="15"/>
  <c r="M2" i="15"/>
  <c r="L2" i="15"/>
  <c r="K2" i="15"/>
  <c r="J2" i="15"/>
  <c r="I2" i="15"/>
  <c r="H2" i="15"/>
  <c r="G2" i="15"/>
  <c r="F2" i="15"/>
  <c r="E2" i="15"/>
  <c r="C2" i="15"/>
  <c r="B2" i="15"/>
  <c r="BC1" i="15"/>
  <c r="B20" i="16" l="1"/>
  <c r="D19" i="16"/>
  <c r="H19" i="16"/>
  <c r="G19" i="16"/>
  <c r="I19" i="16" s="1"/>
  <c r="W19" i="16" s="1"/>
  <c r="R17" i="16"/>
  <c r="X17" i="16" s="1"/>
  <c r="P18" i="16"/>
  <c r="Q18" i="16"/>
  <c r="K19" i="16"/>
  <c r="M19" i="16" s="1"/>
  <c r="BA7" i="15"/>
  <c r="BB9" i="15" s="1"/>
  <c r="BA11" i="15"/>
  <c r="BB5" i="15" s="1"/>
  <c r="BD5" i="15" s="1"/>
  <c r="BA2" i="15"/>
  <c r="BB14" i="15" s="1"/>
  <c r="BA4" i="15"/>
  <c r="BB12" i="15" s="1"/>
  <c r="BA6" i="15"/>
  <c r="BB10" i="15" s="1"/>
  <c r="BA8" i="15"/>
  <c r="BB8" i="15" s="1"/>
  <c r="BA10" i="15"/>
  <c r="BB6" i="15" s="1"/>
  <c r="BD6" i="15" s="1"/>
  <c r="BA12" i="15"/>
  <c r="BB4" i="15" s="1"/>
  <c r="BD4" i="15" s="1"/>
  <c r="BA14" i="15"/>
  <c r="BB2" i="15" s="1"/>
  <c r="BD2" i="15" s="1"/>
  <c r="P3" i="15"/>
  <c r="P5" i="15"/>
  <c r="P2" i="15"/>
  <c r="P9" i="15"/>
  <c r="P11" i="15"/>
  <c r="P13" i="15"/>
  <c r="P15" i="15"/>
  <c r="P19" i="15"/>
  <c r="P23" i="15"/>
  <c r="P27" i="15"/>
  <c r="Z4" i="15"/>
  <c r="P6" i="15"/>
  <c r="P8" i="15"/>
  <c r="P16" i="15"/>
  <c r="P20" i="15"/>
  <c r="P24" i="15"/>
  <c r="P10" i="15"/>
  <c r="P12" i="15"/>
  <c r="P14" i="15"/>
  <c r="P17" i="15"/>
  <c r="P21" i="15"/>
  <c r="P25" i="15"/>
  <c r="P7" i="15"/>
  <c r="P18" i="15"/>
  <c r="P22" i="15"/>
  <c r="P26" i="15"/>
  <c r="P4" i="15"/>
  <c r="AH4" i="15"/>
  <c r="AG4" i="15"/>
  <c r="AC4" i="15"/>
  <c r="Y4" i="15"/>
  <c r="AE4" i="15"/>
  <c r="AA4" i="15"/>
  <c r="W4" i="15"/>
  <c r="X4" i="15"/>
  <c r="AF4" i="15"/>
  <c r="BA9" i="15"/>
  <c r="BA5" i="15"/>
  <c r="AB4" i="15"/>
  <c r="BA3" i="15"/>
  <c r="V4" i="15"/>
  <c r="AD4" i="15"/>
  <c r="BA13" i="15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W2" i="10"/>
  <c r="D2" i="10"/>
  <c r="B21" i="16" l="1"/>
  <c r="D20" i="16"/>
  <c r="H20" i="16"/>
  <c r="G20" i="16"/>
  <c r="I20" i="16" s="1"/>
  <c r="W20" i="16" s="1"/>
  <c r="R18" i="16"/>
  <c r="X18" i="16" s="1"/>
  <c r="Q19" i="16"/>
  <c r="P19" i="16"/>
  <c r="K20" i="16"/>
  <c r="Q3" i="15"/>
  <c r="R3" i="15" s="1"/>
  <c r="Q7" i="15"/>
  <c r="R7" i="15" s="1"/>
  <c r="Q11" i="15"/>
  <c r="R11" i="15" s="1"/>
  <c r="Q15" i="15"/>
  <c r="R15" i="15" s="1"/>
  <c r="Q19" i="15"/>
  <c r="R19" i="15" s="1"/>
  <c r="Q23" i="15"/>
  <c r="R23" i="15" s="1"/>
  <c r="Q27" i="15"/>
  <c r="R27" i="15" s="1"/>
  <c r="Q17" i="15"/>
  <c r="R17" i="15" s="1"/>
  <c r="Q4" i="15"/>
  <c r="R4" i="15" s="1"/>
  <c r="Q8" i="15"/>
  <c r="R8" i="15" s="1"/>
  <c r="Q12" i="15"/>
  <c r="R12" i="15" s="1"/>
  <c r="Q16" i="15"/>
  <c r="R16" i="15" s="1"/>
  <c r="Q20" i="15"/>
  <c r="R20" i="15" s="1"/>
  <c r="Q24" i="15"/>
  <c r="R24" i="15" s="1"/>
  <c r="Q2" i="15"/>
  <c r="R2" i="15" s="1"/>
  <c r="BD8" i="15" s="1"/>
  <c r="Q13" i="15"/>
  <c r="R13" i="15" s="1"/>
  <c r="Q25" i="15"/>
  <c r="R25" i="15" s="1"/>
  <c r="Q5" i="15"/>
  <c r="Q6" i="15"/>
  <c r="R6" i="15" s="1"/>
  <c r="Q10" i="15"/>
  <c r="R10" i="15" s="1"/>
  <c r="Q14" i="15"/>
  <c r="R14" i="15" s="1"/>
  <c r="Q18" i="15"/>
  <c r="R18" i="15" s="1"/>
  <c r="Q22" i="15"/>
  <c r="R22" i="15" s="1"/>
  <c r="Q26" i="15"/>
  <c r="R26" i="15" s="1"/>
  <c r="Q9" i="15"/>
  <c r="R9" i="15" s="1"/>
  <c r="Q21" i="15"/>
  <c r="R21" i="15" s="1"/>
  <c r="AI4" i="15"/>
  <c r="BB11" i="15"/>
  <c r="BB3" i="15"/>
  <c r="BD3" i="15" s="1"/>
  <c r="BB7" i="15"/>
  <c r="BD7" i="15" s="1"/>
  <c r="BB13" i="15"/>
  <c r="A30" i="10"/>
  <c r="A58" i="10"/>
  <c r="A43" i="10"/>
  <c r="BJ15" i="10" s="1"/>
  <c r="A57" i="10"/>
  <c r="A56" i="10"/>
  <c r="A55" i="10"/>
  <c r="A54" i="10"/>
  <c r="A53" i="10"/>
  <c r="A52" i="10"/>
  <c r="A51" i="10"/>
  <c r="A50" i="10"/>
  <c r="A49" i="10"/>
  <c r="A48" i="10"/>
  <c r="A47" i="10"/>
  <c r="A46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B3" i="10"/>
  <c r="D3" i="10" s="1"/>
  <c r="B4" i="10"/>
  <c r="Y4" i="10" s="1"/>
  <c r="B5" i="10"/>
  <c r="X5" i="10" s="1"/>
  <c r="B6" i="10"/>
  <c r="AD6" i="10" s="1"/>
  <c r="B7" i="10"/>
  <c r="AE7" i="10" s="1"/>
  <c r="B8" i="10"/>
  <c r="Z8" i="10" s="1"/>
  <c r="B9" i="10"/>
  <c r="AA9" i="10" s="1"/>
  <c r="B10" i="10"/>
  <c r="B11" i="10"/>
  <c r="W11" i="10" s="1"/>
  <c r="B12" i="10"/>
  <c r="Z12" i="10" s="1"/>
  <c r="B13" i="10"/>
  <c r="X13" i="10" s="1"/>
  <c r="B14" i="10"/>
  <c r="AD14" i="10" s="1"/>
  <c r="B22" i="16" l="1"/>
  <c r="D21" i="16"/>
  <c r="H21" i="16"/>
  <c r="G21" i="16"/>
  <c r="I21" i="16" s="1"/>
  <c r="W21" i="16" s="1"/>
  <c r="BD10" i="15"/>
  <c r="BD9" i="15"/>
  <c r="R19" i="16"/>
  <c r="X19" i="16" s="1"/>
  <c r="Q20" i="16"/>
  <c r="P20" i="16"/>
  <c r="K21" i="16"/>
  <c r="AI5" i="15"/>
  <c r="R5" i="15"/>
  <c r="BD14" i="15" s="1"/>
  <c r="AP33" i="10"/>
  <c r="BJ5" i="10"/>
  <c r="AP41" i="10"/>
  <c r="BJ13" i="10"/>
  <c r="C32" i="10"/>
  <c r="BJ4" i="10"/>
  <c r="C36" i="10"/>
  <c r="BJ8" i="10"/>
  <c r="C40" i="10"/>
  <c r="BJ12" i="10"/>
  <c r="AP34" i="10"/>
  <c r="BJ6" i="10"/>
  <c r="C38" i="10"/>
  <c r="BJ10" i="10"/>
  <c r="C42" i="10"/>
  <c r="BJ14" i="10"/>
  <c r="C37" i="10"/>
  <c r="BJ9" i="10"/>
  <c r="AP28" i="10"/>
  <c r="BJ2" i="10"/>
  <c r="AP31" i="10"/>
  <c r="BJ3" i="10"/>
  <c r="AP35" i="10"/>
  <c r="BJ7" i="10"/>
  <c r="AP39" i="10"/>
  <c r="BJ11" i="10"/>
  <c r="X3" i="10"/>
  <c r="G3" i="10"/>
  <c r="K3" i="10"/>
  <c r="O3" i="10"/>
  <c r="S3" i="10"/>
  <c r="H3" i="10"/>
  <c r="L3" i="10"/>
  <c r="P3" i="10"/>
  <c r="T3" i="10"/>
  <c r="I3" i="10"/>
  <c r="J3" i="10"/>
  <c r="E3" i="10"/>
  <c r="Q3" i="10"/>
  <c r="U3" i="10"/>
  <c r="N3" i="10"/>
  <c r="R3" i="10"/>
  <c r="M3" i="10"/>
  <c r="F3" i="10"/>
  <c r="C31" i="10"/>
  <c r="C33" i="10"/>
  <c r="C41" i="10"/>
  <c r="AB3" i="10"/>
  <c r="G13" i="10"/>
  <c r="B34" i="10"/>
  <c r="S7" i="10"/>
  <c r="AM11" i="10"/>
  <c r="B42" i="10"/>
  <c r="G11" i="10"/>
  <c r="AF3" i="10"/>
  <c r="AA7" i="10"/>
  <c r="B38" i="10"/>
  <c r="R11" i="10"/>
  <c r="N7" i="10"/>
  <c r="AB11" i="10"/>
  <c r="M11" i="10"/>
  <c r="I7" i="10"/>
  <c r="AJ7" i="10"/>
  <c r="C35" i="10"/>
  <c r="K13" i="10"/>
  <c r="M12" i="10"/>
  <c r="S11" i="10"/>
  <c r="N11" i="10"/>
  <c r="I11" i="10"/>
  <c r="U7" i="10"/>
  <c r="O7" i="10"/>
  <c r="J7" i="10"/>
  <c r="E7" i="10"/>
  <c r="AN3" i="10"/>
  <c r="AE11" i="10"/>
  <c r="AM7" i="10"/>
  <c r="AB7" i="10"/>
  <c r="AA3" i="10"/>
  <c r="AP37" i="10"/>
  <c r="C39" i="10"/>
  <c r="S13" i="10"/>
  <c r="U12" i="10"/>
  <c r="E12" i="10"/>
  <c r="Q11" i="10"/>
  <c r="K11" i="10"/>
  <c r="F11" i="10"/>
  <c r="R7" i="10"/>
  <c r="M7" i="10"/>
  <c r="G7" i="10"/>
  <c r="AI3" i="10"/>
  <c r="AJ11" i="10"/>
  <c r="AA11" i="10"/>
  <c r="AI7" i="10"/>
  <c r="W7" i="10"/>
  <c r="I12" i="10"/>
  <c r="O13" i="10"/>
  <c r="Q12" i="10"/>
  <c r="U11" i="10"/>
  <c r="O11" i="10"/>
  <c r="J11" i="10"/>
  <c r="E11" i="10"/>
  <c r="Q7" i="10"/>
  <c r="K7" i="10"/>
  <c r="F7" i="10"/>
  <c r="AJ3" i="10"/>
  <c r="AI11" i="10"/>
  <c r="W10" i="10"/>
  <c r="AA10" i="10"/>
  <c r="AE10" i="10"/>
  <c r="AI10" i="10"/>
  <c r="AM10" i="10"/>
  <c r="X10" i="10"/>
  <c r="AB10" i="10"/>
  <c r="AF10" i="10"/>
  <c r="AJ10" i="10"/>
  <c r="AN10" i="10"/>
  <c r="U10" i="10"/>
  <c r="Q10" i="10"/>
  <c r="M10" i="10"/>
  <c r="I10" i="10"/>
  <c r="E10" i="10"/>
  <c r="S9" i="10"/>
  <c r="O9" i="10"/>
  <c r="K9" i="10"/>
  <c r="G9" i="10"/>
  <c r="U8" i="10"/>
  <c r="Q8" i="10"/>
  <c r="M8" i="10"/>
  <c r="I8" i="10"/>
  <c r="E8" i="10"/>
  <c r="U6" i="10"/>
  <c r="Q6" i="10"/>
  <c r="M6" i="10"/>
  <c r="I6" i="10"/>
  <c r="E6" i="10"/>
  <c r="S5" i="10"/>
  <c r="O5" i="10"/>
  <c r="I5" i="10"/>
  <c r="S4" i="10"/>
  <c r="K4" i="10"/>
  <c r="AG14" i="10"/>
  <c r="Y14" i="10"/>
  <c r="AI13" i="10"/>
  <c r="AA13" i="10"/>
  <c r="AK12" i="10"/>
  <c r="AC12" i="10"/>
  <c r="AG10" i="10"/>
  <c r="Y10" i="10"/>
  <c r="AI9" i="10"/>
  <c r="AK8" i="10"/>
  <c r="AC8" i="10"/>
  <c r="AG6" i="10"/>
  <c r="Y6" i="10"/>
  <c r="AI5" i="10"/>
  <c r="AA5" i="10"/>
  <c r="AK4" i="10"/>
  <c r="AC4" i="10"/>
  <c r="AP40" i="10"/>
  <c r="AP32" i="10"/>
  <c r="Y9" i="10"/>
  <c r="AC9" i="10"/>
  <c r="AG9" i="10"/>
  <c r="AK9" i="10"/>
  <c r="Z9" i="10"/>
  <c r="AD9" i="10"/>
  <c r="AH9" i="10"/>
  <c r="AL9" i="10"/>
  <c r="T14" i="10"/>
  <c r="P14" i="10"/>
  <c r="L14" i="10"/>
  <c r="H14" i="10"/>
  <c r="D14" i="10"/>
  <c r="R13" i="10"/>
  <c r="N13" i="10"/>
  <c r="J13" i="10"/>
  <c r="F13" i="10"/>
  <c r="T12" i="10"/>
  <c r="P12" i="10"/>
  <c r="L12" i="10"/>
  <c r="H12" i="10"/>
  <c r="D12" i="10"/>
  <c r="T10" i="10"/>
  <c r="P10" i="10"/>
  <c r="L10" i="10"/>
  <c r="H10" i="10"/>
  <c r="D10" i="10"/>
  <c r="R9" i="10"/>
  <c r="N9" i="10"/>
  <c r="J9" i="10"/>
  <c r="F9" i="10"/>
  <c r="T8" i="10"/>
  <c r="P8" i="10"/>
  <c r="L8" i="10"/>
  <c r="H8" i="10"/>
  <c r="D8" i="10"/>
  <c r="T6" i="10"/>
  <c r="P6" i="10"/>
  <c r="L6" i="10"/>
  <c r="H6" i="10"/>
  <c r="D6" i="10"/>
  <c r="R5" i="10"/>
  <c r="N5" i="10"/>
  <c r="F5" i="10"/>
  <c r="P4" i="10"/>
  <c r="H4" i="10"/>
  <c r="AL14" i="10"/>
  <c r="AN13" i="10"/>
  <c r="AF13" i="10"/>
  <c r="AH12" i="10"/>
  <c r="AL10" i="10"/>
  <c r="AD10" i="10"/>
  <c r="AN9" i="10"/>
  <c r="AF9" i="10"/>
  <c r="X9" i="10"/>
  <c r="AH8" i="10"/>
  <c r="AL6" i="10"/>
  <c r="AN5" i="10"/>
  <c r="AF5" i="10"/>
  <c r="AH4" i="10"/>
  <c r="Z4" i="10"/>
  <c r="W14" i="10"/>
  <c r="AA14" i="10"/>
  <c r="AE14" i="10"/>
  <c r="AI14" i="10"/>
  <c r="AM14" i="10"/>
  <c r="X14" i="10"/>
  <c r="AB14" i="10"/>
  <c r="AF14" i="10"/>
  <c r="AJ14" i="10"/>
  <c r="AN14" i="10"/>
  <c r="W6" i="10"/>
  <c r="AA6" i="10"/>
  <c r="AE6" i="10"/>
  <c r="AI6" i="10"/>
  <c r="AM6" i="10"/>
  <c r="X6" i="10"/>
  <c r="AB6" i="10"/>
  <c r="AF6" i="10"/>
  <c r="AJ6" i="10"/>
  <c r="AN6" i="10"/>
  <c r="U14" i="10"/>
  <c r="Q14" i="10"/>
  <c r="M14" i="10"/>
  <c r="I14" i="10"/>
  <c r="E14" i="10"/>
  <c r="Y13" i="10"/>
  <c r="AC13" i="10"/>
  <c r="AG13" i="10"/>
  <c r="AK13" i="10"/>
  <c r="Z13" i="10"/>
  <c r="AD13" i="10"/>
  <c r="AH13" i="10"/>
  <c r="AL13" i="10"/>
  <c r="Y5" i="10"/>
  <c r="AC5" i="10"/>
  <c r="AG5" i="10"/>
  <c r="AK5" i="10"/>
  <c r="G5" i="10"/>
  <c r="K5" i="10"/>
  <c r="Z5" i="10"/>
  <c r="AD5" i="10"/>
  <c r="AH5" i="10"/>
  <c r="AL5" i="10"/>
  <c r="D5" i="10"/>
  <c r="H5" i="10"/>
  <c r="L5" i="10"/>
  <c r="S6" i="10"/>
  <c r="O6" i="10"/>
  <c r="K6" i="10"/>
  <c r="G6" i="10"/>
  <c r="U5" i="10"/>
  <c r="Q5" i="10"/>
  <c r="M5" i="10"/>
  <c r="E5" i="10"/>
  <c r="O4" i="10"/>
  <c r="G4" i="10"/>
  <c r="AM13" i="10"/>
  <c r="AK6" i="10"/>
  <c r="AC6" i="10"/>
  <c r="AM5" i="10"/>
  <c r="AE5" i="10"/>
  <c r="W5" i="10"/>
  <c r="AG4" i="10"/>
  <c r="AP36" i="10"/>
  <c r="W12" i="10"/>
  <c r="AA12" i="10"/>
  <c r="AE12" i="10"/>
  <c r="AI12" i="10"/>
  <c r="AM12" i="10"/>
  <c r="X12" i="10"/>
  <c r="AB12" i="10"/>
  <c r="AF12" i="10"/>
  <c r="AJ12" i="10"/>
  <c r="AN12" i="10"/>
  <c r="W8" i="10"/>
  <c r="AA8" i="10"/>
  <c r="AE8" i="10"/>
  <c r="AI8" i="10"/>
  <c r="AM8" i="10"/>
  <c r="X8" i="10"/>
  <c r="AB8" i="10"/>
  <c r="AF8" i="10"/>
  <c r="AJ8" i="10"/>
  <c r="AN8" i="10"/>
  <c r="W4" i="10"/>
  <c r="AA4" i="10"/>
  <c r="AE4" i="10"/>
  <c r="AI4" i="10"/>
  <c r="AM4" i="10"/>
  <c r="E4" i="10"/>
  <c r="I4" i="10"/>
  <c r="M4" i="10"/>
  <c r="Q4" i="10"/>
  <c r="U4" i="10"/>
  <c r="X4" i="10"/>
  <c r="AB4" i="10"/>
  <c r="AF4" i="10"/>
  <c r="AJ4" i="10"/>
  <c r="AN4" i="10"/>
  <c r="F4" i="10"/>
  <c r="J4" i="10"/>
  <c r="N4" i="10"/>
  <c r="R4" i="10"/>
  <c r="S14" i="10"/>
  <c r="O14" i="10"/>
  <c r="K14" i="10"/>
  <c r="G14" i="10"/>
  <c r="U13" i="10"/>
  <c r="Q13" i="10"/>
  <c r="M13" i="10"/>
  <c r="I13" i="10"/>
  <c r="E13" i="10"/>
  <c r="S12" i="10"/>
  <c r="O12" i="10"/>
  <c r="K12" i="10"/>
  <c r="G12" i="10"/>
  <c r="S10" i="10"/>
  <c r="O10" i="10"/>
  <c r="K10" i="10"/>
  <c r="G10" i="10"/>
  <c r="U9" i="10"/>
  <c r="Q9" i="10"/>
  <c r="M9" i="10"/>
  <c r="I9" i="10"/>
  <c r="E9" i="10"/>
  <c r="S8" i="10"/>
  <c r="O8" i="10"/>
  <c r="K8" i="10"/>
  <c r="G8" i="10"/>
  <c r="AK14" i="10"/>
  <c r="AC14" i="10"/>
  <c r="AE13" i="10"/>
  <c r="W13" i="10"/>
  <c r="AG12" i="10"/>
  <c r="Y12" i="10"/>
  <c r="AK10" i="10"/>
  <c r="AC10" i="10"/>
  <c r="AM9" i="10"/>
  <c r="AE9" i="10"/>
  <c r="W9" i="10"/>
  <c r="AG8" i="10"/>
  <c r="Y8" i="10"/>
  <c r="Y11" i="10"/>
  <c r="AC11" i="10"/>
  <c r="AG11" i="10"/>
  <c r="AK11" i="10"/>
  <c r="Z11" i="10"/>
  <c r="AD11" i="10"/>
  <c r="AH11" i="10"/>
  <c r="AL11" i="10"/>
  <c r="Y7" i="10"/>
  <c r="AC7" i="10"/>
  <c r="AG7" i="10"/>
  <c r="AK7" i="10"/>
  <c r="Z7" i="10"/>
  <c r="AD7" i="10"/>
  <c r="AH7" i="10"/>
  <c r="AL7" i="10"/>
  <c r="AD3" i="10"/>
  <c r="Z3" i="10"/>
  <c r="AL3" i="10"/>
  <c r="AH3" i="10"/>
  <c r="AC3" i="10"/>
  <c r="Y3" i="10"/>
  <c r="AK3" i="10"/>
  <c r="AG3" i="10"/>
  <c r="R14" i="10"/>
  <c r="N14" i="10"/>
  <c r="J14" i="10"/>
  <c r="F14" i="10"/>
  <c r="T13" i="10"/>
  <c r="P13" i="10"/>
  <c r="L13" i="10"/>
  <c r="H13" i="10"/>
  <c r="D13" i="10"/>
  <c r="R12" i="10"/>
  <c r="N12" i="10"/>
  <c r="J12" i="10"/>
  <c r="F12" i="10"/>
  <c r="T11" i="10"/>
  <c r="P11" i="10"/>
  <c r="L11" i="10"/>
  <c r="H11" i="10"/>
  <c r="D11" i="10"/>
  <c r="R10" i="10"/>
  <c r="N10" i="10"/>
  <c r="J10" i="10"/>
  <c r="F10" i="10"/>
  <c r="T9" i="10"/>
  <c r="P9" i="10"/>
  <c r="L9" i="10"/>
  <c r="H9" i="10"/>
  <c r="D9" i="10"/>
  <c r="R8" i="10"/>
  <c r="N8" i="10"/>
  <c r="J8" i="10"/>
  <c r="F8" i="10"/>
  <c r="T7" i="10"/>
  <c r="P7" i="10"/>
  <c r="L7" i="10"/>
  <c r="H7" i="10"/>
  <c r="D7" i="10"/>
  <c r="R6" i="10"/>
  <c r="N6" i="10"/>
  <c r="J6" i="10"/>
  <c r="F6" i="10"/>
  <c r="T5" i="10"/>
  <c r="P5" i="10"/>
  <c r="J5" i="10"/>
  <c r="T4" i="10"/>
  <c r="L4" i="10"/>
  <c r="D4" i="10"/>
  <c r="AM3" i="10"/>
  <c r="AH14" i="10"/>
  <c r="Z14" i="10"/>
  <c r="AJ13" i="10"/>
  <c r="AB13" i="10"/>
  <c r="AL12" i="10"/>
  <c r="AD12" i="10"/>
  <c r="AN11" i="10"/>
  <c r="AF11" i="10"/>
  <c r="X11" i="10"/>
  <c r="AH10" i="10"/>
  <c r="Z10" i="10"/>
  <c r="AJ9" i="10"/>
  <c r="AB9" i="10"/>
  <c r="AL8" i="10"/>
  <c r="AD8" i="10"/>
  <c r="AN7" i="10"/>
  <c r="AF7" i="10"/>
  <c r="X7" i="10"/>
  <c r="AH6" i="10"/>
  <c r="Z6" i="10"/>
  <c r="AJ5" i="10"/>
  <c r="AB5" i="10"/>
  <c r="AL4" i="10"/>
  <c r="AD4" i="10"/>
  <c r="W3" i="10"/>
  <c r="AE3" i="10"/>
  <c r="B43" i="10"/>
  <c r="AP43" i="10"/>
  <c r="C43" i="10"/>
  <c r="AP42" i="10"/>
  <c r="AP38" i="10"/>
  <c r="C34" i="10"/>
  <c r="B31" i="10"/>
  <c r="B39" i="10"/>
  <c r="B35" i="10"/>
  <c r="B41" i="10"/>
  <c r="B37" i="10"/>
  <c r="B33" i="10"/>
  <c r="B40" i="10"/>
  <c r="B36" i="10"/>
  <c r="B32" i="10"/>
  <c r="BU3" i="13"/>
  <c r="BV3" i="13"/>
  <c r="BU4" i="13"/>
  <c r="BV4" i="13"/>
  <c r="BU5" i="13"/>
  <c r="BV5" i="13"/>
  <c r="BU6" i="13"/>
  <c r="BV6" i="13"/>
  <c r="BU7" i="13"/>
  <c r="BV7" i="13"/>
  <c r="BU8" i="13"/>
  <c r="BV8" i="13"/>
  <c r="BU9" i="13"/>
  <c r="BV9" i="13"/>
  <c r="BU10" i="13"/>
  <c r="BV10" i="13"/>
  <c r="BU11" i="13"/>
  <c r="BV11" i="13"/>
  <c r="BU12" i="13"/>
  <c r="BV12" i="13"/>
  <c r="BU13" i="13"/>
  <c r="BV13" i="13"/>
  <c r="BU14" i="13"/>
  <c r="BV14" i="13"/>
  <c r="BU15" i="13"/>
  <c r="BV15" i="13"/>
  <c r="BU16" i="13"/>
  <c r="BV16" i="13"/>
  <c r="BU17" i="13"/>
  <c r="BV17" i="13"/>
  <c r="BU18" i="13"/>
  <c r="BV18" i="13"/>
  <c r="BU19" i="13"/>
  <c r="BV19" i="13"/>
  <c r="BU20" i="13"/>
  <c r="BV20" i="13"/>
  <c r="BU21" i="13"/>
  <c r="BV21" i="13"/>
  <c r="BU22" i="13"/>
  <c r="BV22" i="13"/>
  <c r="BU23" i="13"/>
  <c r="BV23" i="13"/>
  <c r="BU24" i="13"/>
  <c r="BV24" i="13"/>
  <c r="BU25" i="13"/>
  <c r="BV25" i="13"/>
  <c r="BU26" i="13"/>
  <c r="BV26" i="13"/>
  <c r="BU27" i="13"/>
  <c r="BV27" i="13"/>
  <c r="BU28" i="13"/>
  <c r="BV28" i="13"/>
  <c r="BU29" i="13"/>
  <c r="BV29" i="13"/>
  <c r="BU30" i="13"/>
  <c r="BV30" i="13"/>
  <c r="BU31" i="13"/>
  <c r="BV31" i="13"/>
  <c r="BU32" i="13"/>
  <c r="BV32" i="13"/>
  <c r="BU33" i="13"/>
  <c r="BV33" i="13"/>
  <c r="BU34" i="13"/>
  <c r="BV34" i="13"/>
  <c r="BU35" i="13"/>
  <c r="BV35" i="13"/>
  <c r="BU36" i="13"/>
  <c r="BV36" i="13"/>
  <c r="BU37" i="13"/>
  <c r="BV37" i="13"/>
  <c r="BU38" i="13"/>
  <c r="BV38" i="13"/>
  <c r="BU39" i="13"/>
  <c r="BV39" i="13"/>
  <c r="BU40" i="13"/>
  <c r="BV40" i="13"/>
  <c r="BU41" i="13"/>
  <c r="BV41" i="13"/>
  <c r="BU42" i="13"/>
  <c r="BV42" i="13"/>
  <c r="BU43" i="13"/>
  <c r="BV43" i="13"/>
  <c r="BU44" i="13"/>
  <c r="BV44" i="13"/>
  <c r="BU45" i="13"/>
  <c r="BV45" i="13"/>
  <c r="BU46" i="13"/>
  <c r="BV46" i="13"/>
  <c r="BU47" i="13"/>
  <c r="BV47" i="13"/>
  <c r="BU48" i="13"/>
  <c r="BV48" i="13"/>
  <c r="BU49" i="13"/>
  <c r="BV49" i="13"/>
  <c r="BU50" i="13"/>
  <c r="BV50" i="13"/>
  <c r="BU51" i="13"/>
  <c r="BV51" i="13"/>
  <c r="BU52" i="13"/>
  <c r="BV52" i="13"/>
  <c r="BU53" i="13"/>
  <c r="BV53" i="13"/>
  <c r="BU54" i="13"/>
  <c r="BV54" i="13"/>
  <c r="BU55" i="13"/>
  <c r="BV55" i="13"/>
  <c r="BU56" i="13"/>
  <c r="BV56" i="13"/>
  <c r="BU57" i="13"/>
  <c r="BV57" i="13"/>
  <c r="BU58" i="13"/>
  <c r="BV58" i="13"/>
  <c r="BU59" i="13"/>
  <c r="BV59" i="13"/>
  <c r="BU60" i="13"/>
  <c r="BV60" i="13"/>
  <c r="BU61" i="13"/>
  <c r="BV61" i="13"/>
  <c r="BU62" i="13"/>
  <c r="BV62" i="13"/>
  <c r="BU63" i="13"/>
  <c r="BV63" i="13"/>
  <c r="BU64" i="13"/>
  <c r="BV64" i="13"/>
  <c r="BU65" i="13"/>
  <c r="BV65" i="13"/>
  <c r="BU66" i="13"/>
  <c r="BV66" i="13"/>
  <c r="BU67" i="13"/>
  <c r="BV67" i="13"/>
  <c r="BU68" i="13"/>
  <c r="BV68" i="13"/>
  <c r="BU69" i="13"/>
  <c r="BV69" i="13"/>
  <c r="BU70" i="13"/>
  <c r="BV70" i="13"/>
  <c r="BU71" i="13"/>
  <c r="BV71" i="13"/>
  <c r="BU72" i="13"/>
  <c r="BV72" i="13"/>
  <c r="BU73" i="13"/>
  <c r="BV73" i="13"/>
  <c r="BU74" i="13"/>
  <c r="BV74" i="13"/>
  <c r="BU75" i="13"/>
  <c r="BV75" i="13"/>
  <c r="BU76" i="13"/>
  <c r="BV76" i="13"/>
  <c r="BU77" i="13"/>
  <c r="BV77" i="13"/>
  <c r="BU78" i="13"/>
  <c r="BV78" i="13"/>
  <c r="BU79" i="13"/>
  <c r="BV79" i="13"/>
  <c r="BU80" i="13"/>
  <c r="BV80" i="13"/>
  <c r="BU81" i="13"/>
  <c r="BV81" i="13"/>
  <c r="BU82" i="13"/>
  <c r="BV82" i="13"/>
  <c r="BU83" i="13"/>
  <c r="BV83" i="13"/>
  <c r="BU84" i="13"/>
  <c r="BV84" i="13"/>
  <c r="BU85" i="13"/>
  <c r="BV85" i="13"/>
  <c r="BU86" i="13"/>
  <c r="BV86" i="13"/>
  <c r="BU87" i="13"/>
  <c r="BV87" i="13"/>
  <c r="BU88" i="13"/>
  <c r="BV88" i="13"/>
  <c r="BU89" i="13"/>
  <c r="BV89" i="13"/>
  <c r="BU90" i="13"/>
  <c r="BV90" i="13"/>
  <c r="BU91" i="13"/>
  <c r="BV91" i="13"/>
  <c r="BU92" i="13"/>
  <c r="BV92" i="13"/>
  <c r="BU93" i="13"/>
  <c r="BV93" i="13"/>
  <c r="BU94" i="13"/>
  <c r="BV94" i="13"/>
  <c r="BU95" i="13"/>
  <c r="BV95" i="13"/>
  <c r="BU96" i="13"/>
  <c r="BV96" i="13"/>
  <c r="BU97" i="13"/>
  <c r="BV97" i="13"/>
  <c r="BU98" i="13"/>
  <c r="BV98" i="13"/>
  <c r="BU99" i="13"/>
  <c r="BV99" i="13"/>
  <c r="BU100" i="13"/>
  <c r="BV100" i="13"/>
  <c r="BU101" i="13"/>
  <c r="BV101" i="13"/>
  <c r="BU102" i="13"/>
  <c r="BV102" i="13"/>
  <c r="BU103" i="13"/>
  <c r="BV103" i="13"/>
  <c r="BU104" i="13"/>
  <c r="BV104" i="13"/>
  <c r="BU105" i="13"/>
  <c r="BV105" i="13"/>
  <c r="BU106" i="13"/>
  <c r="BV106" i="13"/>
  <c r="BU107" i="13"/>
  <c r="BV107" i="13"/>
  <c r="BU108" i="13"/>
  <c r="BV108" i="13"/>
  <c r="BU109" i="13"/>
  <c r="BV109" i="13"/>
  <c r="BU110" i="13"/>
  <c r="BV110" i="13"/>
  <c r="BU111" i="13"/>
  <c r="BV111" i="13"/>
  <c r="BU112" i="13"/>
  <c r="BV112" i="13"/>
  <c r="BU113" i="13"/>
  <c r="BV113" i="13"/>
  <c r="BU114" i="13"/>
  <c r="BV114" i="13"/>
  <c r="BU115" i="13"/>
  <c r="BV115" i="13"/>
  <c r="BU116" i="13"/>
  <c r="BV116" i="13"/>
  <c r="BU117" i="13"/>
  <c r="BV117" i="13"/>
  <c r="BU118" i="13"/>
  <c r="BV118" i="13"/>
  <c r="BU119" i="13"/>
  <c r="BV119" i="13"/>
  <c r="BU120" i="13"/>
  <c r="BV120" i="13"/>
  <c r="BU121" i="13"/>
  <c r="BV121" i="13"/>
  <c r="BU122" i="13"/>
  <c r="BV122" i="13"/>
  <c r="BU123" i="13"/>
  <c r="BV123" i="13"/>
  <c r="BU124" i="13"/>
  <c r="BV124" i="13"/>
  <c r="BU125" i="13"/>
  <c r="BV125" i="13"/>
  <c r="BU126" i="13"/>
  <c r="BV126" i="13"/>
  <c r="BU127" i="13"/>
  <c r="BV127" i="13"/>
  <c r="BU128" i="13"/>
  <c r="BV128" i="13"/>
  <c r="BU129" i="13"/>
  <c r="BV129" i="13"/>
  <c r="BU130" i="13"/>
  <c r="BV130" i="13"/>
  <c r="BU131" i="13"/>
  <c r="BV131" i="13"/>
  <c r="BU132" i="13"/>
  <c r="BV132" i="13"/>
  <c r="BU133" i="13"/>
  <c r="BV133" i="13"/>
  <c r="BU134" i="13"/>
  <c r="BV134" i="13"/>
  <c r="BU135" i="13"/>
  <c r="BV135" i="13"/>
  <c r="BU136" i="13"/>
  <c r="BV136" i="13"/>
  <c r="BU137" i="13"/>
  <c r="BV137" i="13"/>
  <c r="BU138" i="13"/>
  <c r="BV138" i="13"/>
  <c r="BU139" i="13"/>
  <c r="BV139" i="13"/>
  <c r="BU140" i="13"/>
  <c r="BV140" i="13"/>
  <c r="BU141" i="13"/>
  <c r="BV141" i="13"/>
  <c r="BU142" i="13"/>
  <c r="BV142" i="13"/>
  <c r="BU143" i="13"/>
  <c r="BV143" i="13"/>
  <c r="BU144" i="13"/>
  <c r="BV144" i="13"/>
  <c r="BU145" i="13"/>
  <c r="BV145" i="13"/>
  <c r="BU146" i="13"/>
  <c r="BV146" i="13"/>
  <c r="BU147" i="13"/>
  <c r="BV147" i="13"/>
  <c r="BU148" i="13"/>
  <c r="BV148" i="13"/>
  <c r="BU149" i="13"/>
  <c r="BV149" i="13"/>
  <c r="BU150" i="13"/>
  <c r="BV150" i="13"/>
  <c r="BU151" i="13"/>
  <c r="BV151" i="13"/>
  <c r="BU152" i="13"/>
  <c r="BV152" i="13"/>
  <c r="BU153" i="13"/>
  <c r="BV153" i="13"/>
  <c r="BU154" i="13"/>
  <c r="BV154" i="13"/>
  <c r="BU155" i="13"/>
  <c r="BV155" i="13"/>
  <c r="BU156" i="13"/>
  <c r="BV156" i="13"/>
  <c r="BU157" i="13"/>
  <c r="BV157" i="13"/>
  <c r="BU158" i="13"/>
  <c r="BV158" i="13"/>
  <c r="BU159" i="13"/>
  <c r="BV159" i="13"/>
  <c r="BU160" i="13"/>
  <c r="BV160" i="13"/>
  <c r="BU161" i="13"/>
  <c r="BV161" i="13"/>
  <c r="BU162" i="13"/>
  <c r="BV162" i="13"/>
  <c r="BU163" i="13"/>
  <c r="BV163" i="13"/>
  <c r="BU164" i="13"/>
  <c r="BV164" i="13"/>
  <c r="BU165" i="13"/>
  <c r="BV165" i="13"/>
  <c r="BU166" i="13"/>
  <c r="BV166" i="13"/>
  <c r="BU167" i="13"/>
  <c r="BV167" i="13"/>
  <c r="BU168" i="13"/>
  <c r="BV168" i="13"/>
  <c r="BU169" i="13"/>
  <c r="BV169" i="13"/>
  <c r="BU170" i="13"/>
  <c r="BV170" i="13"/>
  <c r="BU171" i="13"/>
  <c r="BV171" i="13"/>
  <c r="BU172" i="13"/>
  <c r="BV172" i="13"/>
  <c r="BU173" i="13"/>
  <c r="BV173" i="13"/>
  <c r="BU174" i="13"/>
  <c r="BV174" i="13"/>
  <c r="BU175" i="13"/>
  <c r="BV175" i="13"/>
  <c r="BU176" i="13"/>
  <c r="BV176" i="13"/>
  <c r="BU177" i="13"/>
  <c r="BV177" i="13"/>
  <c r="BU178" i="13"/>
  <c r="BV178" i="13"/>
  <c r="BU179" i="13"/>
  <c r="BV179" i="13"/>
  <c r="BU180" i="13"/>
  <c r="BV180" i="13"/>
  <c r="BU181" i="13"/>
  <c r="BV181" i="13"/>
  <c r="BU182" i="13"/>
  <c r="BV182" i="13"/>
  <c r="BU183" i="13"/>
  <c r="BV183" i="13"/>
  <c r="BU184" i="13"/>
  <c r="BV184" i="13"/>
  <c r="BU185" i="13"/>
  <c r="BV185" i="13"/>
  <c r="BU186" i="13"/>
  <c r="BV186" i="13"/>
  <c r="BU187" i="13"/>
  <c r="BV187" i="13"/>
  <c r="BU188" i="13"/>
  <c r="BV188" i="13"/>
  <c r="BU189" i="13"/>
  <c r="BV189" i="13"/>
  <c r="BU190" i="13"/>
  <c r="BV190" i="13"/>
  <c r="BU191" i="13"/>
  <c r="BV191" i="13"/>
  <c r="BU192" i="13"/>
  <c r="BV192" i="13"/>
  <c r="BU193" i="13"/>
  <c r="BV193" i="13"/>
  <c r="BU194" i="13"/>
  <c r="BV194" i="13"/>
  <c r="BU195" i="13"/>
  <c r="BV195" i="13"/>
  <c r="BU196" i="13"/>
  <c r="BV196" i="13"/>
  <c r="BU197" i="13"/>
  <c r="BV197" i="13"/>
  <c r="BU198" i="13"/>
  <c r="BV198" i="13"/>
  <c r="BU199" i="13"/>
  <c r="BV199" i="13"/>
  <c r="BU200" i="13"/>
  <c r="BV200" i="13"/>
  <c r="BU201" i="13"/>
  <c r="BV201" i="13"/>
  <c r="BU202" i="13"/>
  <c r="BV202" i="13"/>
  <c r="BU203" i="13"/>
  <c r="BV203" i="13"/>
  <c r="BU204" i="13"/>
  <c r="BV204" i="13"/>
  <c r="BU205" i="13"/>
  <c r="BV205" i="13"/>
  <c r="BU206" i="13"/>
  <c r="BV206" i="13"/>
  <c r="BU207" i="13"/>
  <c r="BV207" i="13"/>
  <c r="BU208" i="13"/>
  <c r="BV208" i="13"/>
  <c r="BU209" i="13"/>
  <c r="BV209" i="13"/>
  <c r="BU210" i="13"/>
  <c r="BV210" i="13"/>
  <c r="BU211" i="13"/>
  <c r="BV211" i="13"/>
  <c r="BU212" i="13"/>
  <c r="BV212" i="13"/>
  <c r="BU213" i="13"/>
  <c r="BV213" i="13"/>
  <c r="BU214" i="13"/>
  <c r="BV214" i="13"/>
  <c r="BU215" i="13"/>
  <c r="BV215" i="13"/>
  <c r="BU216" i="13"/>
  <c r="BV216" i="13"/>
  <c r="BU217" i="13"/>
  <c r="BV217" i="13"/>
  <c r="BU218" i="13"/>
  <c r="BV218" i="13"/>
  <c r="BU219" i="13"/>
  <c r="BV219" i="13"/>
  <c r="BU220" i="13"/>
  <c r="BV220" i="13"/>
  <c r="BU221" i="13"/>
  <c r="BV221" i="13"/>
  <c r="BU222" i="13"/>
  <c r="BV222" i="13"/>
  <c r="BU223" i="13"/>
  <c r="BV223" i="13"/>
  <c r="BU224" i="13"/>
  <c r="BV224" i="13"/>
  <c r="BU225" i="13"/>
  <c r="BV225" i="13"/>
  <c r="BU226" i="13"/>
  <c r="BV226" i="13"/>
  <c r="BU227" i="13"/>
  <c r="BV227" i="13"/>
  <c r="BU228" i="13"/>
  <c r="BV228" i="13"/>
  <c r="BU229" i="13"/>
  <c r="BV229" i="13"/>
  <c r="BU230" i="13"/>
  <c r="BV230" i="13"/>
  <c r="BU231" i="13"/>
  <c r="BV231" i="13"/>
  <c r="BU232" i="13"/>
  <c r="BV232" i="13"/>
  <c r="BU233" i="13"/>
  <c r="BV233" i="13"/>
  <c r="BU234" i="13"/>
  <c r="BV234" i="13"/>
  <c r="BU235" i="13"/>
  <c r="BV235" i="13"/>
  <c r="BU236" i="13"/>
  <c r="BV236" i="13"/>
  <c r="BU237" i="13"/>
  <c r="BV237" i="13"/>
  <c r="BU238" i="13"/>
  <c r="BV238" i="13"/>
  <c r="BU239" i="13"/>
  <c r="BV239" i="13"/>
  <c r="BU240" i="13"/>
  <c r="BV240" i="13"/>
  <c r="BU241" i="13"/>
  <c r="BV241" i="13"/>
  <c r="BU242" i="13"/>
  <c r="BV242" i="13"/>
  <c r="BU243" i="13"/>
  <c r="BV243" i="13"/>
  <c r="BU244" i="13"/>
  <c r="BV244" i="13"/>
  <c r="BU245" i="13"/>
  <c r="BV245" i="13"/>
  <c r="BU246" i="13"/>
  <c r="BV246" i="13"/>
  <c r="BU247" i="13"/>
  <c r="BV247" i="13"/>
  <c r="BU248" i="13"/>
  <c r="BV248" i="13"/>
  <c r="BU249" i="13"/>
  <c r="BV249" i="13"/>
  <c r="BU250" i="13"/>
  <c r="BV250" i="13"/>
  <c r="BU251" i="13"/>
  <c r="BV251" i="13"/>
  <c r="BU252" i="13"/>
  <c r="BV252" i="13"/>
  <c r="BU253" i="13"/>
  <c r="BV253" i="13"/>
  <c r="BU254" i="13"/>
  <c r="BV254" i="13"/>
  <c r="BU255" i="13"/>
  <c r="BV255" i="13"/>
  <c r="BU256" i="13"/>
  <c r="BV256" i="13"/>
  <c r="BU257" i="13"/>
  <c r="BV257" i="13"/>
  <c r="BU258" i="13"/>
  <c r="BV258" i="13"/>
  <c r="BU259" i="13"/>
  <c r="BV259" i="13"/>
  <c r="BU260" i="13"/>
  <c r="BV260" i="13"/>
  <c r="BU261" i="13"/>
  <c r="BV261" i="13"/>
  <c r="BU262" i="13"/>
  <c r="BV262" i="13"/>
  <c r="BU263" i="13"/>
  <c r="BV263" i="13"/>
  <c r="BU264" i="13"/>
  <c r="BV264" i="13"/>
  <c r="BU265" i="13"/>
  <c r="BV265" i="13"/>
  <c r="BU266" i="13"/>
  <c r="BV266" i="13"/>
  <c r="BU267" i="13"/>
  <c r="BV267" i="13"/>
  <c r="BU268" i="13"/>
  <c r="BV268" i="13"/>
  <c r="BU269" i="13"/>
  <c r="BV269" i="13"/>
  <c r="BU270" i="13"/>
  <c r="BV270" i="13"/>
  <c r="BU271" i="13"/>
  <c r="BV271" i="13"/>
  <c r="BU272" i="13"/>
  <c r="BV272" i="13"/>
  <c r="BU273" i="13"/>
  <c r="BV273" i="13"/>
  <c r="BU274" i="13"/>
  <c r="BV274" i="13"/>
  <c r="BU275" i="13"/>
  <c r="BV275" i="13"/>
  <c r="BU276" i="13"/>
  <c r="BV276" i="13"/>
  <c r="BU277" i="13"/>
  <c r="BV277" i="13"/>
  <c r="BU278" i="13"/>
  <c r="BV278" i="13"/>
  <c r="BU279" i="13"/>
  <c r="BV279" i="13"/>
  <c r="BU280" i="13"/>
  <c r="BV280" i="13"/>
  <c r="BU281" i="13"/>
  <c r="BV281" i="13"/>
  <c r="BU282" i="13"/>
  <c r="BV282" i="13"/>
  <c r="BU283" i="13"/>
  <c r="BV283" i="13"/>
  <c r="BU284" i="13"/>
  <c r="BV284" i="13"/>
  <c r="BU285" i="13"/>
  <c r="BV285" i="13"/>
  <c r="BU286" i="13"/>
  <c r="BV286" i="13"/>
  <c r="BU287" i="13"/>
  <c r="BV287" i="13"/>
  <c r="BU288" i="13"/>
  <c r="BV288" i="13"/>
  <c r="BU289" i="13"/>
  <c r="BV289" i="13"/>
  <c r="BU290" i="13"/>
  <c r="BV290" i="13"/>
  <c r="BU291" i="13"/>
  <c r="BV291" i="13"/>
  <c r="BU292" i="13"/>
  <c r="BV292" i="13"/>
  <c r="BU293" i="13"/>
  <c r="BV293" i="13"/>
  <c r="BU294" i="13"/>
  <c r="BV294" i="13"/>
  <c r="BU295" i="13"/>
  <c r="BV295" i="13"/>
  <c r="BU296" i="13"/>
  <c r="BV296" i="13"/>
  <c r="BU297" i="13"/>
  <c r="BV297" i="13"/>
  <c r="BU298" i="13"/>
  <c r="BV298" i="13"/>
  <c r="BU299" i="13"/>
  <c r="BV299" i="13"/>
  <c r="BU300" i="13"/>
  <c r="BV300" i="13"/>
  <c r="BU301" i="13"/>
  <c r="BV301" i="13"/>
  <c r="BU302" i="13"/>
  <c r="BV302" i="13"/>
  <c r="BU303" i="13"/>
  <c r="BV303" i="13"/>
  <c r="BU304" i="13"/>
  <c r="BV304" i="13"/>
  <c r="BU305" i="13"/>
  <c r="BV305" i="13"/>
  <c r="BU306" i="13"/>
  <c r="BV306" i="13"/>
  <c r="BU307" i="13"/>
  <c r="BV307" i="13"/>
  <c r="BU308" i="13"/>
  <c r="BV308" i="13"/>
  <c r="BU309" i="13"/>
  <c r="BV309" i="13"/>
  <c r="BU310" i="13"/>
  <c r="BV310" i="13"/>
  <c r="BU311" i="13"/>
  <c r="BV311" i="13"/>
  <c r="BU312" i="13"/>
  <c r="BV312" i="13"/>
  <c r="BU313" i="13"/>
  <c r="BV313" i="13"/>
  <c r="BU314" i="13"/>
  <c r="BV314" i="13"/>
  <c r="BU315" i="13"/>
  <c r="BV315" i="13"/>
  <c r="BU316" i="13"/>
  <c r="BV316" i="13"/>
  <c r="BU317" i="13"/>
  <c r="BV317" i="13"/>
  <c r="BU318" i="13"/>
  <c r="BV318" i="13"/>
  <c r="BU319" i="13"/>
  <c r="BV319" i="13"/>
  <c r="BU320" i="13"/>
  <c r="BV320" i="13"/>
  <c r="BU321" i="13"/>
  <c r="BV321" i="13"/>
  <c r="BU322" i="13"/>
  <c r="BV322" i="13"/>
  <c r="BU323" i="13"/>
  <c r="BV323" i="13"/>
  <c r="BU324" i="13"/>
  <c r="BV324" i="13"/>
  <c r="BU325" i="13"/>
  <c r="BV325" i="13"/>
  <c r="BU326" i="13"/>
  <c r="BV326" i="13"/>
  <c r="BU327" i="13"/>
  <c r="BV327" i="13"/>
  <c r="BU328" i="13"/>
  <c r="BV328" i="13"/>
  <c r="BU329" i="13"/>
  <c r="BV329" i="13"/>
  <c r="BU330" i="13"/>
  <c r="BV330" i="13"/>
  <c r="BU331" i="13"/>
  <c r="BV331" i="13"/>
  <c r="BU332" i="13"/>
  <c r="BV332" i="13"/>
  <c r="BU333" i="13"/>
  <c r="BV333" i="13"/>
  <c r="BU334" i="13"/>
  <c r="BV334" i="13"/>
  <c r="BU335" i="13"/>
  <c r="BV335" i="13"/>
  <c r="BU336" i="13"/>
  <c r="BV336" i="13"/>
  <c r="BU337" i="13"/>
  <c r="BV337" i="13"/>
  <c r="BU338" i="13"/>
  <c r="BV338" i="13"/>
  <c r="BU339" i="13"/>
  <c r="BV339" i="13"/>
  <c r="BU340" i="13"/>
  <c r="BV340" i="13"/>
  <c r="BU341" i="13"/>
  <c r="BV341" i="13"/>
  <c r="BU342" i="13"/>
  <c r="BV342" i="13"/>
  <c r="BU343" i="13"/>
  <c r="BV343" i="13"/>
  <c r="BU344" i="13"/>
  <c r="BV344" i="13"/>
  <c r="BU345" i="13"/>
  <c r="BV345" i="13"/>
  <c r="BU346" i="13"/>
  <c r="BV346" i="13"/>
  <c r="BU347" i="13"/>
  <c r="BV347" i="13"/>
  <c r="BU348" i="13"/>
  <c r="BV348" i="13"/>
  <c r="BU349" i="13"/>
  <c r="BV349" i="13"/>
  <c r="BU350" i="13"/>
  <c r="BV350" i="13"/>
  <c r="BU351" i="13"/>
  <c r="BV351" i="13"/>
  <c r="BU352" i="13"/>
  <c r="BV352" i="13"/>
  <c r="BU353" i="13"/>
  <c r="BV353" i="13"/>
  <c r="BU354" i="13"/>
  <c r="BV354" i="13"/>
  <c r="BU355" i="13"/>
  <c r="BV355" i="13"/>
  <c r="BU356" i="13"/>
  <c r="BV356" i="13"/>
  <c r="BU357" i="13"/>
  <c r="BV357" i="13"/>
  <c r="BU358" i="13"/>
  <c r="BV358" i="13"/>
  <c r="BU359" i="13"/>
  <c r="BV359" i="13"/>
  <c r="BU360" i="13"/>
  <c r="BV360" i="13"/>
  <c r="BU361" i="13"/>
  <c r="BV361" i="13"/>
  <c r="BU362" i="13"/>
  <c r="BV362" i="13"/>
  <c r="BU363" i="13"/>
  <c r="BV363" i="13"/>
  <c r="BU364" i="13"/>
  <c r="BV364" i="13"/>
  <c r="BU365" i="13"/>
  <c r="BV365" i="13"/>
  <c r="BU366" i="13"/>
  <c r="BV366" i="13"/>
  <c r="BU367" i="13"/>
  <c r="BV367" i="13"/>
  <c r="BU368" i="13"/>
  <c r="BV368" i="13"/>
  <c r="BU369" i="13"/>
  <c r="BV369" i="13"/>
  <c r="BU370" i="13"/>
  <c r="BV370" i="13"/>
  <c r="BU371" i="13"/>
  <c r="BV371" i="13"/>
  <c r="BU372" i="13"/>
  <c r="BV372" i="13"/>
  <c r="BU373" i="13"/>
  <c r="BV373" i="13"/>
  <c r="BU374" i="13"/>
  <c r="BV374" i="13"/>
  <c r="BU375" i="13"/>
  <c r="BV375" i="13"/>
  <c r="BU376" i="13"/>
  <c r="BV376" i="13"/>
  <c r="BU377" i="13"/>
  <c r="BV377" i="13"/>
  <c r="BU378" i="13"/>
  <c r="BV378" i="13"/>
  <c r="BU379" i="13"/>
  <c r="BV379" i="13"/>
  <c r="BU380" i="13"/>
  <c r="BV380" i="13"/>
  <c r="BU381" i="13"/>
  <c r="BV381" i="13"/>
  <c r="BU382" i="13"/>
  <c r="BV382" i="13"/>
  <c r="BU383" i="13"/>
  <c r="BV383" i="13"/>
  <c r="BU384" i="13"/>
  <c r="BV384" i="13"/>
  <c r="BU385" i="13"/>
  <c r="BV385" i="13"/>
  <c r="BU386" i="13"/>
  <c r="BV386" i="13"/>
  <c r="BU387" i="13"/>
  <c r="BV387" i="13"/>
  <c r="BU388" i="13"/>
  <c r="BV388" i="13"/>
  <c r="BU389" i="13"/>
  <c r="BV389" i="13"/>
  <c r="BU390" i="13"/>
  <c r="BV390" i="13"/>
  <c r="BU391" i="13"/>
  <c r="BV391" i="13"/>
  <c r="BU392" i="13"/>
  <c r="BV392" i="13"/>
  <c r="BU393" i="13"/>
  <c r="BV393" i="13"/>
  <c r="BU394" i="13"/>
  <c r="BV394" i="13"/>
  <c r="BU395" i="13"/>
  <c r="BV395" i="13"/>
  <c r="BU396" i="13"/>
  <c r="BV396" i="13"/>
  <c r="BU397" i="13"/>
  <c r="BV397" i="13"/>
  <c r="BU398" i="13"/>
  <c r="BV398" i="13"/>
  <c r="BU399" i="13"/>
  <c r="BV399" i="13"/>
  <c r="BU400" i="13"/>
  <c r="BV400" i="13"/>
  <c r="BU401" i="13"/>
  <c r="BV401" i="13"/>
  <c r="BU402" i="13"/>
  <c r="BV402" i="13"/>
  <c r="BU403" i="13"/>
  <c r="BV403" i="13"/>
  <c r="BU404" i="13"/>
  <c r="BV404" i="13"/>
  <c r="BU405" i="13"/>
  <c r="BV405" i="13"/>
  <c r="BU406" i="13"/>
  <c r="BV406" i="13"/>
  <c r="BU407" i="13"/>
  <c r="BV407" i="13"/>
  <c r="BU408" i="13"/>
  <c r="BV408" i="13"/>
  <c r="BU409" i="13"/>
  <c r="BV409" i="13"/>
  <c r="BU410" i="13"/>
  <c r="BV410" i="13"/>
  <c r="BU411" i="13"/>
  <c r="BV411" i="13"/>
  <c r="BU412" i="13"/>
  <c r="BV412" i="13"/>
  <c r="BU413" i="13"/>
  <c r="BV413" i="13"/>
  <c r="BU414" i="13"/>
  <c r="BV414" i="13"/>
  <c r="BU415" i="13"/>
  <c r="BV415" i="13"/>
  <c r="BU416" i="13"/>
  <c r="BV416" i="13"/>
  <c r="BU417" i="13"/>
  <c r="BV417" i="13"/>
  <c r="BU418" i="13"/>
  <c r="BV418" i="13"/>
  <c r="BU419" i="13"/>
  <c r="BV419" i="13"/>
  <c r="BU420" i="13"/>
  <c r="BV420" i="13"/>
  <c r="BU421" i="13"/>
  <c r="BV421" i="13"/>
  <c r="BU422" i="13"/>
  <c r="BV422" i="13"/>
  <c r="BU423" i="13"/>
  <c r="BV423" i="13"/>
  <c r="BU424" i="13"/>
  <c r="BV424" i="13"/>
  <c r="BU425" i="13"/>
  <c r="BV425" i="13"/>
  <c r="BU426" i="13"/>
  <c r="BV426" i="13"/>
  <c r="BU427" i="13"/>
  <c r="BV427" i="13"/>
  <c r="BU428" i="13"/>
  <c r="BV428" i="13"/>
  <c r="BU429" i="13"/>
  <c r="BV429" i="13"/>
  <c r="BU430" i="13"/>
  <c r="BV430" i="13"/>
  <c r="BU431" i="13"/>
  <c r="BV431" i="13"/>
  <c r="BU432" i="13"/>
  <c r="BV432" i="13"/>
  <c r="BU433" i="13"/>
  <c r="BV433" i="13"/>
  <c r="BU434" i="13"/>
  <c r="BV434" i="13"/>
  <c r="BU435" i="13"/>
  <c r="BV435" i="13"/>
  <c r="BU436" i="13"/>
  <c r="BV436" i="13"/>
  <c r="BU437" i="13"/>
  <c r="BV437" i="13"/>
  <c r="BU438" i="13"/>
  <c r="BV438" i="13"/>
  <c r="BU439" i="13"/>
  <c r="BV439" i="13"/>
  <c r="BU440" i="13"/>
  <c r="BV440" i="13"/>
  <c r="BU441" i="13"/>
  <c r="BV441" i="13"/>
  <c r="BU442" i="13"/>
  <c r="BV442" i="13"/>
  <c r="BU443" i="13"/>
  <c r="BV443" i="13"/>
  <c r="BU444" i="13"/>
  <c r="BV444" i="13"/>
  <c r="BU445" i="13"/>
  <c r="BV445" i="13"/>
  <c r="BU446" i="13"/>
  <c r="BV446" i="13"/>
  <c r="BU447" i="13"/>
  <c r="BV447" i="13"/>
  <c r="BU448" i="13"/>
  <c r="BV448" i="13"/>
  <c r="BU449" i="13"/>
  <c r="BV449" i="13"/>
  <c r="BU450" i="13"/>
  <c r="BV450" i="13"/>
  <c r="BU451" i="13"/>
  <c r="BV451" i="13"/>
  <c r="BU452" i="13"/>
  <c r="BV452" i="13"/>
  <c r="BU453" i="13"/>
  <c r="BV453" i="13"/>
  <c r="BU454" i="13"/>
  <c r="BV454" i="13"/>
  <c r="BU455" i="13"/>
  <c r="BV455" i="13"/>
  <c r="BU456" i="13"/>
  <c r="BV456" i="13"/>
  <c r="BU457" i="13"/>
  <c r="BV457" i="13"/>
  <c r="BU458" i="13"/>
  <c r="BV458" i="13"/>
  <c r="BU459" i="13"/>
  <c r="BV459" i="13"/>
  <c r="BU460" i="13"/>
  <c r="BV460" i="13"/>
  <c r="BU461" i="13"/>
  <c r="BV461" i="13"/>
  <c r="BU462" i="13"/>
  <c r="BV462" i="13"/>
  <c r="BU463" i="13"/>
  <c r="BV463" i="13"/>
  <c r="BU464" i="13"/>
  <c r="BV464" i="13"/>
  <c r="BU465" i="13"/>
  <c r="BV465" i="13"/>
  <c r="BU466" i="13"/>
  <c r="BV466" i="13"/>
  <c r="BU467" i="13"/>
  <c r="BV467" i="13"/>
  <c r="BU468" i="13"/>
  <c r="BV468" i="13"/>
  <c r="BU469" i="13"/>
  <c r="BV469" i="13"/>
  <c r="BU470" i="13"/>
  <c r="BV470" i="13"/>
  <c r="BU471" i="13"/>
  <c r="BV471" i="13"/>
  <c r="BU472" i="13"/>
  <c r="BV472" i="13"/>
  <c r="BU473" i="13"/>
  <c r="BV473" i="13"/>
  <c r="BU474" i="13"/>
  <c r="BV474" i="13"/>
  <c r="BU475" i="13"/>
  <c r="BV475" i="13"/>
  <c r="BU476" i="13"/>
  <c r="BV476" i="13"/>
  <c r="BU477" i="13"/>
  <c r="BV477" i="13"/>
  <c r="BU478" i="13"/>
  <c r="BV478" i="13"/>
  <c r="BU479" i="13"/>
  <c r="BV479" i="13"/>
  <c r="BU480" i="13"/>
  <c r="BV480" i="13"/>
  <c r="BU481" i="13"/>
  <c r="BV481" i="13"/>
  <c r="BU482" i="13"/>
  <c r="BV482" i="13"/>
  <c r="BU483" i="13"/>
  <c r="BV483" i="13"/>
  <c r="BU484" i="13"/>
  <c r="BV484" i="13"/>
  <c r="BU485" i="13"/>
  <c r="BV485" i="13"/>
  <c r="BU486" i="13"/>
  <c r="BV486" i="13"/>
  <c r="BU487" i="13"/>
  <c r="BV487" i="13"/>
  <c r="BU488" i="13"/>
  <c r="BV488" i="13"/>
  <c r="BU489" i="13"/>
  <c r="BV489" i="13"/>
  <c r="BU490" i="13"/>
  <c r="BV490" i="13"/>
  <c r="BU491" i="13"/>
  <c r="BV491" i="13"/>
  <c r="BU492" i="13"/>
  <c r="BV492" i="13"/>
  <c r="BU493" i="13"/>
  <c r="BV493" i="13"/>
  <c r="BU494" i="13"/>
  <c r="BV494" i="13"/>
  <c r="BU495" i="13"/>
  <c r="BV495" i="13"/>
  <c r="BU496" i="13"/>
  <c r="BV496" i="13"/>
  <c r="BU497" i="13"/>
  <c r="BV497" i="13"/>
  <c r="BU498" i="13"/>
  <c r="BV498" i="13"/>
  <c r="BU499" i="13"/>
  <c r="BV499" i="13"/>
  <c r="BU500" i="13"/>
  <c r="BV500" i="13"/>
  <c r="BU501" i="13"/>
  <c r="BV501" i="13"/>
  <c r="BU502" i="13"/>
  <c r="BV502" i="13"/>
  <c r="BU503" i="13"/>
  <c r="BV503" i="13"/>
  <c r="BU504" i="13"/>
  <c r="BV504" i="13"/>
  <c r="BU505" i="13"/>
  <c r="BV505" i="13"/>
  <c r="BU506" i="13"/>
  <c r="BV506" i="13"/>
  <c r="BU507" i="13"/>
  <c r="BV507" i="13"/>
  <c r="BU508" i="13"/>
  <c r="BV508" i="13"/>
  <c r="BU509" i="13"/>
  <c r="BV509" i="13"/>
  <c r="BU510" i="13"/>
  <c r="BV510" i="13"/>
  <c r="BU511" i="13"/>
  <c r="BV511" i="13"/>
  <c r="BU512" i="13"/>
  <c r="BV512" i="13"/>
  <c r="BU513" i="13"/>
  <c r="BV513" i="13"/>
  <c r="BU514" i="13"/>
  <c r="BV514" i="13"/>
  <c r="BU515" i="13"/>
  <c r="BV515" i="13"/>
  <c r="BU516" i="13"/>
  <c r="BV516" i="13"/>
  <c r="BU517" i="13"/>
  <c r="BV517" i="13"/>
  <c r="BU518" i="13"/>
  <c r="BV518" i="13"/>
  <c r="BU519" i="13"/>
  <c r="BV519" i="13"/>
  <c r="BU520" i="13"/>
  <c r="BV520" i="13"/>
  <c r="BU521" i="13"/>
  <c r="BV521" i="13"/>
  <c r="BU522" i="13"/>
  <c r="BV522" i="13"/>
  <c r="BU523" i="13"/>
  <c r="BV523" i="13"/>
  <c r="BU524" i="13"/>
  <c r="BV524" i="13"/>
  <c r="BU525" i="13"/>
  <c r="BV525" i="13"/>
  <c r="BU526" i="13"/>
  <c r="BV526" i="13"/>
  <c r="BU527" i="13"/>
  <c r="BV527" i="13"/>
  <c r="BU528" i="13"/>
  <c r="BV528" i="13"/>
  <c r="BU529" i="13"/>
  <c r="BV529" i="13"/>
  <c r="BU530" i="13"/>
  <c r="BV530" i="13"/>
  <c r="BU531" i="13"/>
  <c r="BV531" i="13"/>
  <c r="BU532" i="13"/>
  <c r="BV532" i="13"/>
  <c r="BU533" i="13"/>
  <c r="BV533" i="13"/>
  <c r="BU534" i="13"/>
  <c r="BV534" i="13"/>
  <c r="BU535" i="13"/>
  <c r="BV535" i="13"/>
  <c r="BU536" i="13"/>
  <c r="BV536" i="13"/>
  <c r="BU537" i="13"/>
  <c r="BV537" i="13"/>
  <c r="BU538" i="13"/>
  <c r="BV538" i="13"/>
  <c r="BU539" i="13"/>
  <c r="BV539" i="13"/>
  <c r="BU540" i="13"/>
  <c r="BV540" i="13"/>
  <c r="BU541" i="13"/>
  <c r="BV541" i="13"/>
  <c r="BU542" i="13"/>
  <c r="BV542" i="13"/>
  <c r="BU543" i="13"/>
  <c r="BV543" i="13"/>
  <c r="BU544" i="13"/>
  <c r="BV544" i="13"/>
  <c r="BU545" i="13"/>
  <c r="BV545" i="13"/>
  <c r="BU546" i="13"/>
  <c r="BV546" i="13"/>
  <c r="BU547" i="13"/>
  <c r="BV547" i="13"/>
  <c r="BU548" i="13"/>
  <c r="BV548" i="13"/>
  <c r="BU549" i="13"/>
  <c r="BV549" i="13"/>
  <c r="BU550" i="13"/>
  <c r="BV550" i="13"/>
  <c r="BU551" i="13"/>
  <c r="BV551" i="13"/>
  <c r="BU552" i="13"/>
  <c r="BV552" i="13"/>
  <c r="BU553" i="13"/>
  <c r="BV553" i="13"/>
  <c r="BU554" i="13"/>
  <c r="BV554" i="13"/>
  <c r="BU555" i="13"/>
  <c r="BV555" i="13"/>
  <c r="BU556" i="13"/>
  <c r="BV556" i="13"/>
  <c r="BU557" i="13"/>
  <c r="BV557" i="13"/>
  <c r="BU558" i="13"/>
  <c r="BV558" i="13"/>
  <c r="BU559" i="13"/>
  <c r="BV559" i="13"/>
  <c r="BU560" i="13"/>
  <c r="BV560" i="13"/>
  <c r="BU561" i="13"/>
  <c r="BV561" i="13"/>
  <c r="BU562" i="13"/>
  <c r="BV562" i="13"/>
  <c r="BU563" i="13"/>
  <c r="BV563" i="13"/>
  <c r="BU564" i="13"/>
  <c r="BV564" i="13"/>
  <c r="BU565" i="13"/>
  <c r="BV565" i="13"/>
  <c r="BU566" i="13"/>
  <c r="BV566" i="13"/>
  <c r="BU567" i="13"/>
  <c r="BV567" i="13"/>
  <c r="BU568" i="13"/>
  <c r="BV568" i="13"/>
  <c r="BU569" i="13"/>
  <c r="BV569" i="13"/>
  <c r="BU570" i="13"/>
  <c r="BV570" i="13"/>
  <c r="BU571" i="13"/>
  <c r="BV571" i="13"/>
  <c r="BU572" i="13"/>
  <c r="BV572" i="13"/>
  <c r="BU573" i="13"/>
  <c r="BV573" i="13"/>
  <c r="BU574" i="13"/>
  <c r="BV574" i="13"/>
  <c r="BU575" i="13"/>
  <c r="BV575" i="13"/>
  <c r="BU576" i="13"/>
  <c r="BV576" i="13"/>
  <c r="BU577" i="13"/>
  <c r="BV577" i="13"/>
  <c r="BU578" i="13"/>
  <c r="BV578" i="13"/>
  <c r="BU579" i="13"/>
  <c r="BV579" i="13"/>
  <c r="BU580" i="13"/>
  <c r="BV580" i="13"/>
  <c r="BU581" i="13"/>
  <c r="BV581" i="13"/>
  <c r="BU582" i="13"/>
  <c r="BV582" i="13"/>
  <c r="BU583" i="13"/>
  <c r="BV583" i="13"/>
  <c r="BU584" i="13"/>
  <c r="BV584" i="13"/>
  <c r="BU585" i="13"/>
  <c r="BV585" i="13"/>
  <c r="BU586" i="13"/>
  <c r="BV586" i="13"/>
  <c r="BU587" i="13"/>
  <c r="BV587" i="13"/>
  <c r="BU588" i="13"/>
  <c r="BV588" i="13"/>
  <c r="BU589" i="13"/>
  <c r="BV589" i="13"/>
  <c r="BU590" i="13"/>
  <c r="BV590" i="13"/>
  <c r="BU591" i="13"/>
  <c r="BV591" i="13"/>
  <c r="BU592" i="13"/>
  <c r="BV592" i="13"/>
  <c r="BU593" i="13"/>
  <c r="BV593" i="13"/>
  <c r="BU594" i="13"/>
  <c r="BV594" i="13"/>
  <c r="BU595" i="13"/>
  <c r="BV595" i="13"/>
  <c r="BU596" i="13"/>
  <c r="BV596" i="13"/>
  <c r="BU597" i="13"/>
  <c r="BV597" i="13"/>
  <c r="BU598" i="13"/>
  <c r="BV598" i="13"/>
  <c r="BU599" i="13"/>
  <c r="BV599" i="13"/>
  <c r="BU600" i="13"/>
  <c r="BV600" i="13"/>
  <c r="BU601" i="13"/>
  <c r="BV601" i="13"/>
  <c r="BU602" i="13"/>
  <c r="BV602" i="13"/>
  <c r="BU603" i="13"/>
  <c r="BV603" i="13"/>
  <c r="BU604" i="13"/>
  <c r="BV604" i="13"/>
  <c r="BU605" i="13"/>
  <c r="BV605" i="13"/>
  <c r="BU606" i="13"/>
  <c r="BV606" i="13"/>
  <c r="BU607" i="13"/>
  <c r="BV607" i="13"/>
  <c r="BU608" i="13"/>
  <c r="BV608" i="13"/>
  <c r="BU609" i="13"/>
  <c r="BV609" i="13"/>
  <c r="BU610" i="13"/>
  <c r="BV610" i="13"/>
  <c r="BU611" i="13"/>
  <c r="BV611" i="13"/>
  <c r="BU612" i="13"/>
  <c r="BV612" i="13"/>
  <c r="BU613" i="13"/>
  <c r="BV613" i="13"/>
  <c r="BU614" i="13"/>
  <c r="BV614" i="13"/>
  <c r="BU615" i="13"/>
  <c r="BV615" i="13"/>
  <c r="BU616" i="13"/>
  <c r="BV616" i="13"/>
  <c r="BU617" i="13"/>
  <c r="BV617" i="13"/>
  <c r="BU618" i="13"/>
  <c r="BV618" i="13"/>
  <c r="BU619" i="13"/>
  <c r="BV619" i="13"/>
  <c r="BU620" i="13"/>
  <c r="BV620" i="13"/>
  <c r="BU621" i="13"/>
  <c r="BV621" i="13"/>
  <c r="BU622" i="13"/>
  <c r="BV622" i="13"/>
  <c r="BU623" i="13"/>
  <c r="BV623" i="13"/>
  <c r="BU624" i="13"/>
  <c r="BV624" i="13"/>
  <c r="BU625" i="13"/>
  <c r="BV625" i="13"/>
  <c r="BU626" i="13"/>
  <c r="BV626" i="13"/>
  <c r="BU627" i="13"/>
  <c r="BV627" i="13"/>
  <c r="BU628" i="13"/>
  <c r="BV628" i="13"/>
  <c r="BU629" i="13"/>
  <c r="BV629" i="13"/>
  <c r="BU630" i="13"/>
  <c r="BV630" i="13"/>
  <c r="BU631" i="13"/>
  <c r="BV631" i="13"/>
  <c r="BU632" i="13"/>
  <c r="BV632" i="13"/>
  <c r="BU633" i="13"/>
  <c r="BV633" i="13"/>
  <c r="BU634" i="13"/>
  <c r="BV634" i="13"/>
  <c r="BU635" i="13"/>
  <c r="BV635" i="13"/>
  <c r="BU636" i="13"/>
  <c r="BV636" i="13"/>
  <c r="BU637" i="13"/>
  <c r="BV637" i="13"/>
  <c r="BU638" i="13"/>
  <c r="BV638" i="13"/>
  <c r="BU639" i="13"/>
  <c r="BV639" i="13"/>
  <c r="BU640" i="13"/>
  <c r="BV640" i="13"/>
  <c r="BU641" i="13"/>
  <c r="BV641" i="13"/>
  <c r="BU642" i="13"/>
  <c r="BV642" i="13"/>
  <c r="BU643" i="13"/>
  <c r="BV643" i="13"/>
  <c r="BU644" i="13"/>
  <c r="BV644" i="13"/>
  <c r="BU645" i="13"/>
  <c r="BV645" i="13"/>
  <c r="BU646" i="13"/>
  <c r="BV646" i="13"/>
  <c r="BU647" i="13"/>
  <c r="BV647" i="13"/>
  <c r="BU648" i="13"/>
  <c r="BV648" i="13"/>
  <c r="BU649" i="13"/>
  <c r="BV649" i="13"/>
  <c r="BU650" i="13"/>
  <c r="BV650" i="13"/>
  <c r="BU651" i="13"/>
  <c r="BV651" i="13"/>
  <c r="BU652" i="13"/>
  <c r="BV652" i="13"/>
  <c r="BU653" i="13"/>
  <c r="BV653" i="13"/>
  <c r="BU654" i="13"/>
  <c r="BV654" i="13"/>
  <c r="BU655" i="13"/>
  <c r="BV655" i="13"/>
  <c r="BU656" i="13"/>
  <c r="BV656" i="13"/>
  <c r="BU657" i="13"/>
  <c r="BV657" i="13"/>
  <c r="BU658" i="13"/>
  <c r="BV658" i="13"/>
  <c r="BU659" i="13"/>
  <c r="BV659" i="13"/>
  <c r="BU660" i="13"/>
  <c r="BV660" i="13"/>
  <c r="BU661" i="13"/>
  <c r="BV661" i="13"/>
  <c r="BU662" i="13"/>
  <c r="BV662" i="13"/>
  <c r="BU663" i="13"/>
  <c r="BV663" i="13"/>
  <c r="BU664" i="13"/>
  <c r="BV664" i="13"/>
  <c r="BU665" i="13"/>
  <c r="BV665" i="13"/>
  <c r="BU666" i="13"/>
  <c r="BV666" i="13"/>
  <c r="BU667" i="13"/>
  <c r="BV667" i="13"/>
  <c r="BU668" i="13"/>
  <c r="BV668" i="13"/>
  <c r="BU669" i="13"/>
  <c r="BV669" i="13"/>
  <c r="BU670" i="13"/>
  <c r="BV670" i="13"/>
  <c r="BU671" i="13"/>
  <c r="BV671" i="13"/>
  <c r="BU672" i="13"/>
  <c r="BV672" i="13"/>
  <c r="BU673" i="13"/>
  <c r="BV673" i="13"/>
  <c r="BU674" i="13"/>
  <c r="BV674" i="13"/>
  <c r="BU675" i="13"/>
  <c r="BV675" i="13"/>
  <c r="BU676" i="13"/>
  <c r="BV676" i="13"/>
  <c r="BU677" i="13"/>
  <c r="BV677" i="13"/>
  <c r="BU678" i="13"/>
  <c r="BV678" i="13"/>
  <c r="BU679" i="13"/>
  <c r="BV679" i="13"/>
  <c r="BU680" i="13"/>
  <c r="BV680" i="13"/>
  <c r="BU681" i="13"/>
  <c r="BV681" i="13"/>
  <c r="BU682" i="13"/>
  <c r="BV682" i="13"/>
  <c r="BU683" i="13"/>
  <c r="BV683" i="13"/>
  <c r="BU684" i="13"/>
  <c r="BV684" i="13"/>
  <c r="BU685" i="13"/>
  <c r="BV685" i="13"/>
  <c r="BU686" i="13"/>
  <c r="BV686" i="13"/>
  <c r="BU687" i="13"/>
  <c r="BV687" i="13"/>
  <c r="BU688" i="13"/>
  <c r="BV688" i="13"/>
  <c r="BU689" i="13"/>
  <c r="BV689" i="13"/>
  <c r="BU690" i="13"/>
  <c r="BV690" i="13"/>
  <c r="BU691" i="13"/>
  <c r="BV691" i="13"/>
  <c r="BU692" i="13"/>
  <c r="BV692" i="13"/>
  <c r="BU693" i="13"/>
  <c r="BV693" i="13"/>
  <c r="BU694" i="13"/>
  <c r="BV694" i="13"/>
  <c r="BU695" i="13"/>
  <c r="BV695" i="13"/>
  <c r="BU696" i="13"/>
  <c r="BV696" i="13"/>
  <c r="BU697" i="13"/>
  <c r="BV697" i="13"/>
  <c r="BU698" i="13"/>
  <c r="BV698" i="13"/>
  <c r="BU699" i="13"/>
  <c r="BV699" i="13"/>
  <c r="BU700" i="13"/>
  <c r="BV700" i="13"/>
  <c r="BU701" i="13"/>
  <c r="BV701" i="13"/>
  <c r="BV2" i="13"/>
  <c r="BU2" i="13"/>
  <c r="M20" i="16" l="1"/>
  <c r="B23" i="16"/>
  <c r="D22" i="16"/>
  <c r="H22" i="16"/>
  <c r="G22" i="16"/>
  <c r="I22" i="16" s="1"/>
  <c r="W22" i="16" s="1"/>
  <c r="D31" i="10"/>
  <c r="W31" i="10"/>
  <c r="AW4" i="10"/>
  <c r="BD11" i="15"/>
  <c r="BD12" i="15"/>
  <c r="R20" i="16"/>
  <c r="X20" i="16" s="1"/>
  <c r="Q21" i="16"/>
  <c r="P21" i="16"/>
  <c r="K22" i="16"/>
  <c r="AI2" i="15"/>
  <c r="AY4" i="10"/>
  <c r="AU38" i="10"/>
  <c r="AU42" i="10"/>
  <c r="AU32" i="10"/>
  <c r="AU37" i="10"/>
  <c r="AU40" i="10"/>
  <c r="AU35" i="10"/>
  <c r="AU34" i="10"/>
  <c r="AU41" i="10"/>
  <c r="AU43" i="10"/>
  <c r="AU36" i="10"/>
  <c r="AU39" i="10"/>
  <c r="AU31" i="10"/>
  <c r="C5" i="8" s="1"/>
  <c r="AU33" i="10"/>
  <c r="BG4" i="10"/>
  <c r="BD13" i="15"/>
  <c r="BA4" i="10"/>
  <c r="AX4" i="10"/>
  <c r="BW494" i="13"/>
  <c r="BW482" i="13"/>
  <c r="BW466" i="13"/>
  <c r="BW450" i="13"/>
  <c r="BW438" i="13"/>
  <c r="BW434" i="13"/>
  <c r="BW416" i="13"/>
  <c r="BW334" i="13"/>
  <c r="BW290" i="13"/>
  <c r="BW270" i="13"/>
  <c r="BW258" i="13"/>
  <c r="BW162" i="13"/>
  <c r="BW130" i="13"/>
  <c r="BW226" i="13"/>
  <c r="BW194" i="13"/>
  <c r="BW446" i="13"/>
  <c r="BW352" i="13"/>
  <c r="BW110" i="13"/>
  <c r="BW384" i="13"/>
  <c r="BW407" i="13"/>
  <c r="BW367" i="13"/>
  <c r="BW343" i="13"/>
  <c r="BW205" i="13"/>
  <c r="BW173" i="13"/>
  <c r="BW159" i="13"/>
  <c r="BW157" i="13"/>
  <c r="BW151" i="13"/>
  <c r="BW149" i="13"/>
  <c r="BW147" i="13"/>
  <c r="BW145" i="13"/>
  <c r="BW143" i="13"/>
  <c r="BW141" i="13"/>
  <c r="BW139" i="13"/>
  <c r="BW137" i="13"/>
  <c r="BW135" i="13"/>
  <c r="BW133" i="13"/>
  <c r="BW131" i="13"/>
  <c r="BW129" i="13"/>
  <c r="BW127" i="13"/>
  <c r="BW125" i="13"/>
  <c r="BW123" i="13"/>
  <c r="BW121" i="13"/>
  <c r="BW119" i="13"/>
  <c r="BW117" i="13"/>
  <c r="BW115" i="13"/>
  <c r="BW113" i="13"/>
  <c r="BW111" i="13"/>
  <c r="BW109" i="13"/>
  <c r="BW107" i="13"/>
  <c r="BW105" i="13"/>
  <c r="BW103" i="13"/>
  <c r="BW101" i="13"/>
  <c r="BW99" i="13"/>
  <c r="BW97" i="13"/>
  <c r="BW95" i="13"/>
  <c r="BW93" i="13"/>
  <c r="BW91" i="13"/>
  <c r="BW684" i="13"/>
  <c r="BW682" i="13"/>
  <c r="BW680" i="13"/>
  <c r="BW678" i="13"/>
  <c r="BW676" i="13"/>
  <c r="BW674" i="13"/>
  <c r="BW672" i="13"/>
  <c r="BW670" i="13"/>
  <c r="BW668" i="13"/>
  <c r="BW666" i="13"/>
  <c r="BW664" i="13"/>
  <c r="BW662" i="13"/>
  <c r="BW660" i="13"/>
  <c r="BW658" i="13"/>
  <c r="BW654" i="13"/>
  <c r="BW652" i="13"/>
  <c r="BW650" i="13"/>
  <c r="BW648" i="13"/>
  <c r="BW646" i="13"/>
  <c r="BW640" i="13"/>
  <c r="BW638" i="13"/>
  <c r="BW636" i="13"/>
  <c r="BW634" i="13"/>
  <c r="BW632" i="13"/>
  <c r="BW630" i="13"/>
  <c r="BW628" i="13"/>
  <c r="BW626" i="13"/>
  <c r="BW620" i="13"/>
  <c r="BW618" i="13"/>
  <c r="BW616" i="13"/>
  <c r="BW612" i="13"/>
  <c r="BW610" i="13"/>
  <c r="BW608" i="13"/>
  <c r="BW606" i="13"/>
  <c r="BW602" i="13"/>
  <c r="BW600" i="13"/>
  <c r="BW598" i="13"/>
  <c r="BW588" i="13"/>
  <c r="BW586" i="13"/>
  <c r="BW584" i="13"/>
  <c r="BW580" i="13"/>
  <c r="BW578" i="13"/>
  <c r="BW576" i="13"/>
  <c r="BW574" i="13"/>
  <c r="BW572" i="13"/>
  <c r="BW570" i="13"/>
  <c r="BW568" i="13"/>
  <c r="BW566" i="13"/>
  <c r="BW564" i="13"/>
  <c r="BW562" i="13"/>
  <c r="BW560" i="13"/>
  <c r="BW558" i="13"/>
  <c r="BW556" i="13"/>
  <c r="BW548" i="13"/>
  <c r="BW546" i="13"/>
  <c r="BW544" i="13"/>
  <c r="BW542" i="13"/>
  <c r="BW540" i="13"/>
  <c r="BW538" i="13"/>
  <c r="BW536" i="13"/>
  <c r="BW534" i="13"/>
  <c r="BW522" i="13"/>
  <c r="BW518" i="13"/>
  <c r="BW514" i="13"/>
  <c r="BW506" i="13"/>
  <c r="BW206" i="13"/>
  <c r="BW599" i="13"/>
  <c r="BW227" i="13"/>
  <c r="BW89" i="13"/>
  <c r="BW87" i="13"/>
  <c r="BW85" i="13"/>
  <c r="BW83" i="13"/>
  <c r="BW81" i="13"/>
  <c r="BW79" i="13"/>
  <c r="BW77" i="13"/>
  <c r="BW75" i="13"/>
  <c r="BW73" i="13"/>
  <c r="BW71" i="13"/>
  <c r="BW69" i="13"/>
  <c r="BW67" i="13"/>
  <c r="BW65" i="13"/>
  <c r="BW63" i="13"/>
  <c r="BW61" i="13"/>
  <c r="BW59" i="13"/>
  <c r="BW46" i="13"/>
  <c r="BW14" i="13"/>
  <c r="BW510" i="13"/>
  <c r="BW57" i="13"/>
  <c r="BW55" i="13"/>
  <c r="BW53" i="13"/>
  <c r="BW49" i="13"/>
  <c r="BW47" i="13"/>
  <c r="BW45" i="13"/>
  <c r="BW43" i="13"/>
  <c r="BW41" i="13"/>
  <c r="BW35" i="13"/>
  <c r="BW33" i="13"/>
  <c r="BW31" i="13"/>
  <c r="BW29" i="13"/>
  <c r="BW27" i="13"/>
  <c r="BW25" i="13"/>
  <c r="BW23" i="13"/>
  <c r="BW21" i="13"/>
  <c r="BW19" i="13"/>
  <c r="BW17" i="13"/>
  <c r="BW15" i="13"/>
  <c r="BW13" i="13"/>
  <c r="BW11" i="13"/>
  <c r="BW9" i="13"/>
  <c r="BW7" i="13"/>
  <c r="BW5" i="13"/>
  <c r="BW3" i="13"/>
  <c r="BW400" i="13"/>
  <c r="BW490" i="13"/>
  <c r="BW486" i="13"/>
  <c r="BW478" i="13"/>
  <c r="BW474" i="13"/>
  <c r="BW454" i="13"/>
  <c r="BW430" i="13"/>
  <c r="BW322" i="13"/>
  <c r="BW462" i="13"/>
  <c r="BW458" i="13"/>
  <c r="BW98" i="13"/>
  <c r="BW78" i="13"/>
  <c r="BW66" i="13"/>
  <c r="BW656" i="13"/>
  <c r="BW644" i="13"/>
  <c r="BW642" i="13"/>
  <c r="BW624" i="13"/>
  <c r="BW622" i="13"/>
  <c r="BW614" i="13"/>
  <c r="BW604" i="13"/>
  <c r="BW596" i="13"/>
  <c r="BW594" i="13"/>
  <c r="BW592" i="13"/>
  <c r="BW590" i="13"/>
  <c r="BW582" i="13"/>
  <c r="BW554" i="13"/>
  <c r="BW552" i="13"/>
  <c r="BW550" i="13"/>
  <c r="BW530" i="13"/>
  <c r="BW502" i="13"/>
  <c r="BW498" i="13"/>
  <c r="BW368" i="13"/>
  <c r="BW34" i="13"/>
  <c r="BW471" i="13"/>
  <c r="BW700" i="13"/>
  <c r="BW698" i="13"/>
  <c r="BW692" i="13"/>
  <c r="BW688" i="13"/>
  <c r="BW696" i="13"/>
  <c r="BW694" i="13"/>
  <c r="BW690" i="13"/>
  <c r="BW686" i="13"/>
  <c r="BW313" i="13"/>
  <c r="BW155" i="13"/>
  <c r="BW153" i="13"/>
  <c r="BW51" i="13"/>
  <c r="BW39" i="13"/>
  <c r="BW37" i="13"/>
  <c r="BW526" i="13"/>
  <c r="BW142" i="13"/>
  <c r="BW470" i="13"/>
  <c r="BW442" i="13"/>
  <c r="AA38" i="10"/>
  <c r="AD42" i="10"/>
  <c r="N42" i="10"/>
  <c r="AS4" i="10"/>
  <c r="BA3" i="10"/>
  <c r="BC3" i="10"/>
  <c r="BB3" i="10"/>
  <c r="J24" i="10"/>
  <c r="BE4" i="10"/>
  <c r="BF4" i="10"/>
  <c r="BC4" i="10"/>
  <c r="AV4" i="10"/>
  <c r="AS3" i="10"/>
  <c r="BH3" i="10"/>
  <c r="AW3" i="10"/>
  <c r="AY3" i="10"/>
  <c r="AX3" i="10"/>
  <c r="BB4" i="10"/>
  <c r="AT4" i="10"/>
  <c r="J22" i="10"/>
  <c r="BD4" i="10"/>
  <c r="AU4" i="10"/>
  <c r="BH4" i="10"/>
  <c r="AZ4" i="10"/>
  <c r="AZ3" i="10"/>
  <c r="BD3" i="10"/>
  <c r="AV3" i="10"/>
  <c r="AU3" i="10"/>
  <c r="AT3" i="10"/>
  <c r="BE3" i="10"/>
  <c r="AR3" i="10"/>
  <c r="BG3" i="10"/>
  <c r="BF3" i="10"/>
  <c r="AR4" i="10"/>
  <c r="R42" i="10"/>
  <c r="G27" i="10"/>
  <c r="D27" i="10"/>
  <c r="J16" i="10"/>
  <c r="G22" i="10"/>
  <c r="D22" i="10"/>
  <c r="J26" i="10"/>
  <c r="J17" i="10"/>
  <c r="J25" i="10"/>
  <c r="J27" i="10"/>
  <c r="G25" i="10"/>
  <c r="D25" i="10"/>
  <c r="J20" i="10"/>
  <c r="G17" i="10"/>
  <c r="D17" i="10"/>
  <c r="G26" i="10"/>
  <c r="D26" i="10"/>
  <c r="J21" i="10"/>
  <c r="J19" i="10"/>
  <c r="G21" i="10"/>
  <c r="D21" i="10"/>
  <c r="G24" i="10"/>
  <c r="D24" i="10"/>
  <c r="G18" i="10"/>
  <c r="D18" i="10"/>
  <c r="G19" i="10"/>
  <c r="D19" i="10"/>
  <c r="G20" i="10"/>
  <c r="D20" i="10"/>
  <c r="J18" i="10"/>
  <c r="G23" i="10"/>
  <c r="D23" i="10"/>
  <c r="J23" i="10"/>
  <c r="G16" i="10"/>
  <c r="D16" i="10"/>
  <c r="AQ3" i="10"/>
  <c r="I42" i="10"/>
  <c r="AF42" i="10"/>
  <c r="AI42" i="10"/>
  <c r="T42" i="10"/>
  <c r="K38" i="10"/>
  <c r="W38" i="10"/>
  <c r="O42" i="10"/>
  <c r="D42" i="10"/>
  <c r="AG42" i="10"/>
  <c r="G42" i="10"/>
  <c r="AL42" i="10"/>
  <c r="AN42" i="10"/>
  <c r="X42" i="10"/>
  <c r="AA42" i="10"/>
  <c r="L42" i="10"/>
  <c r="AC42" i="10"/>
  <c r="Q42" i="10"/>
  <c r="J42" i="10"/>
  <c r="AK42" i="10"/>
  <c r="S42" i="10"/>
  <c r="Z42" i="10"/>
  <c r="AB42" i="10"/>
  <c r="AE42" i="10"/>
  <c r="H42" i="10"/>
  <c r="M42" i="10"/>
  <c r="F42" i="10"/>
  <c r="Y42" i="10"/>
  <c r="K42" i="10"/>
  <c r="AH42" i="10"/>
  <c r="AJ42" i="10"/>
  <c r="AM42" i="10"/>
  <c r="W42" i="10"/>
  <c r="P42" i="10"/>
  <c r="E42" i="10"/>
  <c r="U42" i="10"/>
  <c r="W34" i="10"/>
  <c r="F38" i="10"/>
  <c r="M38" i="10"/>
  <c r="AH38" i="10"/>
  <c r="T38" i="10"/>
  <c r="AJ38" i="10"/>
  <c r="D38" i="10"/>
  <c r="AM38" i="10"/>
  <c r="R38" i="10"/>
  <c r="Y38" i="10"/>
  <c r="I38" i="10"/>
  <c r="P38" i="10"/>
  <c r="AG38" i="10"/>
  <c r="G38" i="10"/>
  <c r="AD38" i="10"/>
  <c r="AF38" i="10"/>
  <c r="AI38" i="10"/>
  <c r="N38" i="10"/>
  <c r="U38" i="10"/>
  <c r="E38" i="10"/>
  <c r="L38" i="10"/>
  <c r="S38" i="10"/>
  <c r="AC38" i="10"/>
  <c r="Z38" i="10"/>
  <c r="AB38" i="10"/>
  <c r="AE38" i="10"/>
  <c r="J38" i="10"/>
  <c r="BQ10" i="10" s="1"/>
  <c r="AR9" i="15" s="1"/>
  <c r="Q38" i="10"/>
  <c r="AK38" i="10"/>
  <c r="H38" i="10"/>
  <c r="O38" i="10"/>
  <c r="AL38" i="10"/>
  <c r="AN38" i="10"/>
  <c r="X38" i="10"/>
  <c r="Z43" i="10"/>
  <c r="AD43" i="10"/>
  <c r="AH43" i="10"/>
  <c r="AL43" i="10"/>
  <c r="E43" i="10"/>
  <c r="I43" i="10"/>
  <c r="M43" i="10"/>
  <c r="Q43" i="10"/>
  <c r="U43" i="10"/>
  <c r="W43" i="10"/>
  <c r="AA43" i="10"/>
  <c r="AE43" i="10"/>
  <c r="AI43" i="10"/>
  <c r="AM43" i="10"/>
  <c r="F43" i="10"/>
  <c r="J43" i="10"/>
  <c r="N43" i="10"/>
  <c r="R43" i="10"/>
  <c r="AC43" i="10"/>
  <c r="AK43" i="10"/>
  <c r="H43" i="10"/>
  <c r="P43" i="10"/>
  <c r="X43" i="10"/>
  <c r="AF43" i="10"/>
  <c r="AN43" i="10"/>
  <c r="K43" i="10"/>
  <c r="BR15" i="10" s="1"/>
  <c r="S43" i="10"/>
  <c r="Y43" i="10"/>
  <c r="AG43" i="10"/>
  <c r="D43" i="10"/>
  <c r="L43" i="10"/>
  <c r="T43" i="10"/>
  <c r="AB43" i="10"/>
  <c r="AJ43" i="10"/>
  <c r="G43" i="10"/>
  <c r="O43" i="10"/>
  <c r="Y33" i="10"/>
  <c r="AC33" i="10"/>
  <c r="AG33" i="10"/>
  <c r="AK33" i="10"/>
  <c r="F33" i="10"/>
  <c r="J33" i="10"/>
  <c r="N33" i="10"/>
  <c r="BU5" i="10" s="1"/>
  <c r="AT4" i="15" s="1"/>
  <c r="R33" i="10"/>
  <c r="BY5" i="10" s="1"/>
  <c r="AW4" i="15" s="1"/>
  <c r="Z33" i="10"/>
  <c r="AD33" i="10"/>
  <c r="AH33" i="10"/>
  <c r="AL33" i="10"/>
  <c r="G33" i="10"/>
  <c r="K33" i="10"/>
  <c r="O33" i="10"/>
  <c r="BV5" i="10" s="1"/>
  <c r="AU4" i="15" s="1"/>
  <c r="S33" i="10"/>
  <c r="BZ5" i="10" s="1"/>
  <c r="AX4" i="15" s="1"/>
  <c r="X33" i="10"/>
  <c r="AB33" i="10"/>
  <c r="AF33" i="10"/>
  <c r="AJ33" i="10"/>
  <c r="AN33" i="10"/>
  <c r="E33" i="10"/>
  <c r="I33" i="10"/>
  <c r="M33" i="10"/>
  <c r="Q33" i="10"/>
  <c r="U33" i="10"/>
  <c r="W33" i="10"/>
  <c r="AM33" i="10"/>
  <c r="L33" i="10"/>
  <c r="AA33" i="10"/>
  <c r="P33" i="10"/>
  <c r="AE33" i="10"/>
  <c r="D33" i="10"/>
  <c r="T33" i="10"/>
  <c r="AI33" i="10"/>
  <c r="H33" i="10"/>
  <c r="Y39" i="10"/>
  <c r="AC39" i="10"/>
  <c r="AG39" i="10"/>
  <c r="AK39" i="10"/>
  <c r="Z39" i="10"/>
  <c r="AD39" i="10"/>
  <c r="AH39" i="10"/>
  <c r="AL39" i="10"/>
  <c r="X39" i="10"/>
  <c r="AB39" i="10"/>
  <c r="AF39" i="10"/>
  <c r="AJ39" i="10"/>
  <c r="AN39" i="10"/>
  <c r="AA39" i="10"/>
  <c r="E39" i="10"/>
  <c r="I39" i="10"/>
  <c r="M39" i="10"/>
  <c r="Q39" i="10"/>
  <c r="U39" i="10"/>
  <c r="AE39" i="10"/>
  <c r="F39" i="10"/>
  <c r="BM11" i="10" s="1"/>
  <c r="AN10" i="15" s="1"/>
  <c r="J39" i="10"/>
  <c r="BQ11" i="10" s="1"/>
  <c r="AR10" i="15" s="1"/>
  <c r="N39" i="10"/>
  <c r="BU11" i="10" s="1"/>
  <c r="AT10" i="15" s="1"/>
  <c r="R39" i="10"/>
  <c r="BY11" i="10" s="1"/>
  <c r="AW10" i="15" s="1"/>
  <c r="AI39" i="10"/>
  <c r="G39" i="10"/>
  <c r="K39" i="10"/>
  <c r="O39" i="10"/>
  <c r="S39" i="10"/>
  <c r="W39" i="10"/>
  <c r="AM39" i="10"/>
  <c r="D39" i="10"/>
  <c r="H39" i="10"/>
  <c r="L39" i="10"/>
  <c r="P39" i="10"/>
  <c r="T39" i="10"/>
  <c r="F34" i="10"/>
  <c r="N34" i="10"/>
  <c r="S34" i="10"/>
  <c r="AL34" i="10"/>
  <c r="U34" i="10"/>
  <c r="E34" i="10"/>
  <c r="AB34" i="10"/>
  <c r="L34" i="10"/>
  <c r="AI34" i="10"/>
  <c r="W32" i="10"/>
  <c r="AA32" i="10"/>
  <c r="AE32" i="10"/>
  <c r="AI32" i="10"/>
  <c r="AM32" i="10"/>
  <c r="D32" i="10"/>
  <c r="H32" i="10"/>
  <c r="L32" i="10"/>
  <c r="P32" i="10"/>
  <c r="T32" i="10"/>
  <c r="X32" i="10"/>
  <c r="AB32" i="10"/>
  <c r="AF32" i="10"/>
  <c r="AJ32" i="10"/>
  <c r="AN32" i="10"/>
  <c r="E32" i="10"/>
  <c r="I32" i="10"/>
  <c r="M32" i="10"/>
  <c r="Q32" i="10"/>
  <c r="U32" i="10"/>
  <c r="Z32" i="10"/>
  <c r="AD32" i="10"/>
  <c r="AH32" i="10"/>
  <c r="AL32" i="10"/>
  <c r="G32" i="10"/>
  <c r="K32" i="10"/>
  <c r="O32" i="10"/>
  <c r="S32" i="10"/>
  <c r="Y32" i="10"/>
  <c r="N32" i="10"/>
  <c r="AC32" i="10"/>
  <c r="R32" i="10"/>
  <c r="AG32" i="10"/>
  <c r="F32" i="10"/>
  <c r="AK32" i="10"/>
  <c r="J32" i="10"/>
  <c r="Y37" i="10"/>
  <c r="AC37" i="10"/>
  <c r="AG37" i="10"/>
  <c r="AK37" i="10"/>
  <c r="Z37" i="10"/>
  <c r="AD37" i="10"/>
  <c r="AH37" i="10"/>
  <c r="AL37" i="10"/>
  <c r="X37" i="10"/>
  <c r="AB37" i="10"/>
  <c r="AF37" i="10"/>
  <c r="AJ37" i="10"/>
  <c r="AN37" i="10"/>
  <c r="AE37" i="10"/>
  <c r="E37" i="10"/>
  <c r="I37" i="10"/>
  <c r="M37" i="10"/>
  <c r="Q37" i="10"/>
  <c r="U37" i="10"/>
  <c r="AI37" i="10"/>
  <c r="F37" i="10"/>
  <c r="BM9" i="10" s="1"/>
  <c r="AN8" i="15" s="1"/>
  <c r="J37" i="10"/>
  <c r="N37" i="10"/>
  <c r="R37" i="10"/>
  <c r="BY9" i="10" s="1"/>
  <c r="AW8" i="15" s="1"/>
  <c r="W37" i="10"/>
  <c r="AM37" i="10"/>
  <c r="G37" i="10"/>
  <c r="K37" i="10"/>
  <c r="O37" i="10"/>
  <c r="S37" i="10"/>
  <c r="AA37" i="10"/>
  <c r="D37" i="10"/>
  <c r="H37" i="10"/>
  <c r="L37" i="10"/>
  <c r="P37" i="10"/>
  <c r="T37" i="10"/>
  <c r="AM31" i="10"/>
  <c r="AI31" i="10"/>
  <c r="AE31" i="10"/>
  <c r="AA31" i="10"/>
  <c r="AL31" i="10"/>
  <c r="AH31" i="10"/>
  <c r="AD31" i="10"/>
  <c r="Z31" i="10"/>
  <c r="AN31" i="10"/>
  <c r="AJ31" i="10"/>
  <c r="AF31" i="10"/>
  <c r="AB31" i="10"/>
  <c r="X31" i="10"/>
  <c r="AC31" i="10"/>
  <c r="U31" i="10"/>
  <c r="Q31" i="10"/>
  <c r="M31" i="10"/>
  <c r="I31" i="10"/>
  <c r="E31" i="10"/>
  <c r="Y31" i="10"/>
  <c r="T31" i="10"/>
  <c r="P31" i="10"/>
  <c r="L31" i="10"/>
  <c r="H31" i="10"/>
  <c r="AK31" i="10"/>
  <c r="S31" i="10"/>
  <c r="O31" i="10"/>
  <c r="K31" i="10"/>
  <c r="G31" i="10"/>
  <c r="AG31" i="10"/>
  <c r="R31" i="10"/>
  <c r="N31" i="10"/>
  <c r="J31" i="10"/>
  <c r="F31" i="10"/>
  <c r="R34" i="10"/>
  <c r="J34" i="10"/>
  <c r="K34" i="10"/>
  <c r="AD34" i="10"/>
  <c r="M34" i="10"/>
  <c r="AJ34" i="10"/>
  <c r="T34" i="10"/>
  <c r="D34" i="10"/>
  <c r="AA34" i="10"/>
  <c r="AG34" i="10"/>
  <c r="Y34" i="10"/>
  <c r="O34" i="10"/>
  <c r="AH34" i="10"/>
  <c r="Q34" i="10"/>
  <c r="AN34" i="10"/>
  <c r="X34" i="10"/>
  <c r="H34" i="10"/>
  <c r="AE34" i="10"/>
  <c r="W36" i="10"/>
  <c r="AA36" i="10"/>
  <c r="AE36" i="10"/>
  <c r="AI36" i="10"/>
  <c r="AM36" i="10"/>
  <c r="D36" i="10"/>
  <c r="X36" i="10"/>
  <c r="AB36" i="10"/>
  <c r="AF36" i="10"/>
  <c r="AJ36" i="10"/>
  <c r="AN36" i="10"/>
  <c r="E36" i="10"/>
  <c r="Z36" i="10"/>
  <c r="AD36" i="10"/>
  <c r="AH36" i="10"/>
  <c r="AL36" i="10"/>
  <c r="G36" i="10"/>
  <c r="AG36" i="10"/>
  <c r="F36" i="10"/>
  <c r="K36" i="10"/>
  <c r="O36" i="10"/>
  <c r="S36" i="10"/>
  <c r="AK36" i="10"/>
  <c r="H36" i="10"/>
  <c r="L36" i="10"/>
  <c r="P36" i="10"/>
  <c r="T36" i="10"/>
  <c r="Y36" i="10"/>
  <c r="I36" i="10"/>
  <c r="M36" i="10"/>
  <c r="Q36" i="10"/>
  <c r="U36" i="10"/>
  <c r="AC36" i="10"/>
  <c r="J36" i="10"/>
  <c r="N36" i="10"/>
  <c r="R36" i="10"/>
  <c r="Y41" i="10"/>
  <c r="AC41" i="10"/>
  <c r="AG41" i="10"/>
  <c r="AK41" i="10"/>
  <c r="Z41" i="10"/>
  <c r="AD41" i="10"/>
  <c r="AH41" i="10"/>
  <c r="AL41" i="10"/>
  <c r="X41" i="10"/>
  <c r="AB41" i="10"/>
  <c r="AF41" i="10"/>
  <c r="AJ41" i="10"/>
  <c r="AN41" i="10"/>
  <c r="W41" i="10"/>
  <c r="AM41" i="10"/>
  <c r="E41" i="10"/>
  <c r="I41" i="10"/>
  <c r="M41" i="10"/>
  <c r="Q41" i="10"/>
  <c r="U41" i="10"/>
  <c r="AA41" i="10"/>
  <c r="F41" i="10"/>
  <c r="J41" i="10"/>
  <c r="N41" i="10"/>
  <c r="R41" i="10"/>
  <c r="AE41" i="10"/>
  <c r="G41" i="10"/>
  <c r="K41" i="10"/>
  <c r="O41" i="10"/>
  <c r="S41" i="10"/>
  <c r="AI41" i="10"/>
  <c r="D41" i="10"/>
  <c r="H41" i="10"/>
  <c r="L41" i="10"/>
  <c r="P41" i="10"/>
  <c r="T41" i="10"/>
  <c r="W40" i="10"/>
  <c r="AA40" i="10"/>
  <c r="AE40" i="10"/>
  <c r="AI40" i="10"/>
  <c r="AM40" i="10"/>
  <c r="X40" i="10"/>
  <c r="AB40" i="10"/>
  <c r="AF40" i="10"/>
  <c r="AJ40" i="10"/>
  <c r="AN40" i="10"/>
  <c r="Z40" i="10"/>
  <c r="AD40" i="10"/>
  <c r="AH40" i="10"/>
  <c r="AL40" i="10"/>
  <c r="Y40" i="10"/>
  <c r="G40" i="10"/>
  <c r="K40" i="10"/>
  <c r="O40" i="10"/>
  <c r="S40" i="10"/>
  <c r="AC40" i="10"/>
  <c r="D40" i="10"/>
  <c r="H40" i="10"/>
  <c r="BO12" i="10" s="1"/>
  <c r="AP11" i="15" s="1"/>
  <c r="L40" i="10"/>
  <c r="BS12" i="10" s="1"/>
  <c r="P40" i="10"/>
  <c r="T40" i="10"/>
  <c r="AG40" i="10"/>
  <c r="E40" i="10"/>
  <c r="I40" i="10"/>
  <c r="M40" i="10"/>
  <c r="Q40" i="10"/>
  <c r="U40" i="10"/>
  <c r="AK40" i="10"/>
  <c r="F40" i="10"/>
  <c r="J40" i="10"/>
  <c r="N40" i="10"/>
  <c r="R40" i="10"/>
  <c r="Y35" i="10"/>
  <c r="AC35" i="10"/>
  <c r="AG35" i="10"/>
  <c r="AK35" i="10"/>
  <c r="F35" i="10"/>
  <c r="J35" i="10"/>
  <c r="N35" i="10"/>
  <c r="R35" i="10"/>
  <c r="Z35" i="10"/>
  <c r="AD35" i="10"/>
  <c r="AH35" i="10"/>
  <c r="AL35" i="10"/>
  <c r="G35" i="10"/>
  <c r="K35" i="10"/>
  <c r="O35" i="10"/>
  <c r="S35" i="10"/>
  <c r="X35" i="10"/>
  <c r="AB35" i="10"/>
  <c r="AF35" i="10"/>
  <c r="AJ35" i="10"/>
  <c r="AN35" i="10"/>
  <c r="E35" i="10"/>
  <c r="I35" i="10"/>
  <c r="M35" i="10"/>
  <c r="Q35" i="10"/>
  <c r="U35" i="10"/>
  <c r="AI35" i="10"/>
  <c r="H35" i="10"/>
  <c r="W35" i="10"/>
  <c r="AM35" i="10"/>
  <c r="L35" i="10"/>
  <c r="AA35" i="10"/>
  <c r="P35" i="10"/>
  <c r="AE35" i="10"/>
  <c r="D35" i="10"/>
  <c r="T35" i="10"/>
  <c r="AC34" i="10"/>
  <c r="AK34" i="10"/>
  <c r="G34" i="10"/>
  <c r="Z34" i="10"/>
  <c r="I34" i="10"/>
  <c r="AF34" i="10"/>
  <c r="P34" i="10"/>
  <c r="AM34" i="10"/>
  <c r="BW701" i="13"/>
  <c r="BW697" i="13"/>
  <c r="BW693" i="13"/>
  <c r="BW691" i="13"/>
  <c r="BW687" i="13"/>
  <c r="BW683" i="13"/>
  <c r="BW679" i="13"/>
  <c r="BW675" i="13"/>
  <c r="BW671" i="13"/>
  <c r="BW667" i="13"/>
  <c r="BW663" i="13"/>
  <c r="BW659" i="13"/>
  <c r="BW655" i="13"/>
  <c r="BW649" i="13"/>
  <c r="BW645" i="13"/>
  <c r="BW641" i="13"/>
  <c r="BW637" i="13"/>
  <c r="BW633" i="13"/>
  <c r="BW629" i="13"/>
  <c r="BW625" i="13"/>
  <c r="BW621" i="13"/>
  <c r="BW617" i="13"/>
  <c r="BW613" i="13"/>
  <c r="BW611" i="13"/>
  <c r="BW607" i="13"/>
  <c r="BW605" i="13"/>
  <c r="BW603" i="13"/>
  <c r="BW601" i="13"/>
  <c r="BW597" i="13"/>
  <c r="BW595" i="13"/>
  <c r="BW593" i="13"/>
  <c r="BW591" i="13"/>
  <c r="BW589" i="13"/>
  <c r="BW587" i="13"/>
  <c r="BW585" i="13"/>
  <c r="BW581" i="13"/>
  <c r="BW577" i="13"/>
  <c r="BW573" i="13"/>
  <c r="BW569" i="13"/>
  <c r="BW565" i="13"/>
  <c r="BW559" i="13"/>
  <c r="BW555" i="13"/>
  <c r="BW553" i="13"/>
  <c r="BW549" i="13"/>
  <c r="BW545" i="13"/>
  <c r="BW541" i="13"/>
  <c r="BW537" i="13"/>
  <c r="BW533" i="13"/>
  <c r="BW531" i="13"/>
  <c r="BW527" i="13"/>
  <c r="BW525" i="13"/>
  <c r="BW523" i="13"/>
  <c r="BW521" i="13"/>
  <c r="BW519" i="13"/>
  <c r="BW517" i="13"/>
  <c r="BW515" i="13"/>
  <c r="BW513" i="13"/>
  <c r="BW511" i="13"/>
  <c r="BW509" i="13"/>
  <c r="BW507" i="13"/>
  <c r="BW505" i="13"/>
  <c r="BW503" i="13"/>
  <c r="BW501" i="13"/>
  <c r="BW499" i="13"/>
  <c r="BW439" i="13"/>
  <c r="BW2" i="13"/>
  <c r="BW699" i="13"/>
  <c r="BW695" i="13"/>
  <c r="BW689" i="13"/>
  <c r="BW685" i="13"/>
  <c r="BW681" i="13"/>
  <c r="BW677" i="13"/>
  <c r="BW673" i="13"/>
  <c r="BW669" i="13"/>
  <c r="BW665" i="13"/>
  <c r="BW661" i="13"/>
  <c r="BW657" i="13"/>
  <c r="BW653" i="13"/>
  <c r="BW651" i="13"/>
  <c r="BW647" i="13"/>
  <c r="BW643" i="13"/>
  <c r="BW639" i="13"/>
  <c r="BW635" i="13"/>
  <c r="BW631" i="13"/>
  <c r="BW627" i="13"/>
  <c r="BW623" i="13"/>
  <c r="BW619" i="13"/>
  <c r="BW615" i="13"/>
  <c r="BW609" i="13"/>
  <c r="BW583" i="13"/>
  <c r="BW579" i="13"/>
  <c r="BW575" i="13"/>
  <c r="BW571" i="13"/>
  <c r="BW567" i="13"/>
  <c r="BW563" i="13"/>
  <c r="BW561" i="13"/>
  <c r="BW557" i="13"/>
  <c r="BW551" i="13"/>
  <c r="BW547" i="13"/>
  <c r="BW543" i="13"/>
  <c r="BW539" i="13"/>
  <c r="BW535" i="13"/>
  <c r="BW529" i="13"/>
  <c r="BW497" i="13"/>
  <c r="BW495" i="13"/>
  <c r="BW493" i="13"/>
  <c r="BW491" i="13"/>
  <c r="BW489" i="13"/>
  <c r="BW487" i="13"/>
  <c r="BW485" i="13"/>
  <c r="BW483" i="13"/>
  <c r="BW481" i="13"/>
  <c r="BW479" i="13"/>
  <c r="BW477" i="13"/>
  <c r="BW475" i="13"/>
  <c r="BW473" i="13"/>
  <c r="BW469" i="13"/>
  <c r="BW467" i="13"/>
  <c r="BW465" i="13"/>
  <c r="BW463" i="13"/>
  <c r="BW461" i="13"/>
  <c r="BW459" i="13"/>
  <c r="BW457" i="13"/>
  <c r="BW455" i="13"/>
  <c r="BW453" i="13"/>
  <c r="BW451" i="13"/>
  <c r="BW449" i="13"/>
  <c r="BW447" i="13"/>
  <c r="BW445" i="13"/>
  <c r="BW443" i="13"/>
  <c r="BW441" i="13"/>
  <c r="BW437" i="13"/>
  <c r="BW435" i="13"/>
  <c r="BW433" i="13"/>
  <c r="BW431" i="13"/>
  <c r="BW429" i="13"/>
  <c r="BW427" i="13"/>
  <c r="BW425" i="13"/>
  <c r="BW423" i="13"/>
  <c r="BW421" i="13"/>
  <c r="BW419" i="13"/>
  <c r="BW417" i="13"/>
  <c r="BW415" i="13"/>
  <c r="BW413" i="13"/>
  <c r="BW411" i="13"/>
  <c r="BW409" i="13"/>
  <c r="BW405" i="13"/>
  <c r="BW403" i="13"/>
  <c r="BW401" i="13"/>
  <c r="BW399" i="13"/>
  <c r="BW397" i="13"/>
  <c r="BW395" i="13"/>
  <c r="BW393" i="13"/>
  <c r="BW391" i="13"/>
  <c r="BW389" i="13"/>
  <c r="BW387" i="13"/>
  <c r="BW385" i="13"/>
  <c r="BW383" i="13"/>
  <c r="BW381" i="13"/>
  <c r="BW379" i="13"/>
  <c r="BW377" i="13"/>
  <c r="BW375" i="13"/>
  <c r="BW373" i="13"/>
  <c r="BW371" i="13"/>
  <c r="BW369" i="13"/>
  <c r="BW365" i="13"/>
  <c r="BW363" i="13"/>
  <c r="BW361" i="13"/>
  <c r="BW359" i="13"/>
  <c r="BW357" i="13"/>
  <c r="BW355" i="13"/>
  <c r="BW353" i="13"/>
  <c r="BW351" i="13"/>
  <c r="BW349" i="13"/>
  <c r="BW347" i="13"/>
  <c r="BW345" i="13"/>
  <c r="BW341" i="13"/>
  <c r="BW339" i="13"/>
  <c r="BW337" i="13"/>
  <c r="BW335" i="13"/>
  <c r="BW333" i="13"/>
  <c r="BW331" i="13"/>
  <c r="BW329" i="13"/>
  <c r="BW327" i="13"/>
  <c r="BW325" i="13"/>
  <c r="BW323" i="13"/>
  <c r="BW321" i="13"/>
  <c r="BW319" i="13"/>
  <c r="BW317" i="13"/>
  <c r="BW315" i="13"/>
  <c r="BW311" i="13"/>
  <c r="BW309" i="13"/>
  <c r="BW307" i="13"/>
  <c r="BW305" i="13"/>
  <c r="BW303" i="13"/>
  <c r="BW301" i="13"/>
  <c r="BW299" i="13"/>
  <c r="BW297" i="13"/>
  <c r="BW295" i="13"/>
  <c r="BW293" i="13"/>
  <c r="BW291" i="13"/>
  <c r="BW289" i="13"/>
  <c r="BW287" i="13"/>
  <c r="BW285" i="13"/>
  <c r="BW283" i="13"/>
  <c r="BW281" i="13"/>
  <c r="BW279" i="13"/>
  <c r="BW277" i="13"/>
  <c r="BW275" i="13"/>
  <c r="BW273" i="13"/>
  <c r="BW271" i="13"/>
  <c r="BW269" i="13"/>
  <c r="BW267" i="13"/>
  <c r="BW265" i="13"/>
  <c r="BW263" i="13"/>
  <c r="BW261" i="13"/>
  <c r="BW259" i="13"/>
  <c r="BW257" i="13"/>
  <c r="BW255" i="13"/>
  <c r="BW253" i="13"/>
  <c r="BW251" i="13"/>
  <c r="BW249" i="13"/>
  <c r="BW247" i="13"/>
  <c r="BW245" i="13"/>
  <c r="BW243" i="13"/>
  <c r="BW241" i="13"/>
  <c r="BW239" i="13"/>
  <c r="BW237" i="13"/>
  <c r="BW235" i="13"/>
  <c r="BW233" i="13"/>
  <c r="BW231" i="13"/>
  <c r="BW229" i="13"/>
  <c r="BW225" i="13"/>
  <c r="BW223" i="13"/>
  <c r="BW221" i="13"/>
  <c r="BW219" i="13"/>
  <c r="BW217" i="13"/>
  <c r="BW215" i="13"/>
  <c r="BW213" i="13"/>
  <c r="BW211" i="13"/>
  <c r="BW209" i="13"/>
  <c r="BW207" i="13"/>
  <c r="BW203" i="13"/>
  <c r="BW201" i="13"/>
  <c r="BW199" i="13"/>
  <c r="BW197" i="13"/>
  <c r="BW195" i="13"/>
  <c r="BW193" i="13"/>
  <c r="BW191" i="13"/>
  <c r="BW189" i="13"/>
  <c r="BW187" i="13"/>
  <c r="BW185" i="13"/>
  <c r="BW183" i="13"/>
  <c r="BW181" i="13"/>
  <c r="BW179" i="13"/>
  <c r="BW177" i="13"/>
  <c r="BW175" i="13"/>
  <c r="BW171" i="13"/>
  <c r="BW169" i="13"/>
  <c r="BW167" i="13"/>
  <c r="BW165" i="13"/>
  <c r="BW163" i="13"/>
  <c r="BW161" i="13"/>
  <c r="BW532" i="13"/>
  <c r="BW528" i="13"/>
  <c r="BW524" i="13"/>
  <c r="BW520" i="13"/>
  <c r="BW516" i="13"/>
  <c r="BW512" i="13"/>
  <c r="BW508" i="13"/>
  <c r="BW504" i="13"/>
  <c r="BW500" i="13"/>
  <c r="BW496" i="13"/>
  <c r="BW492" i="13"/>
  <c r="BW488" i="13"/>
  <c r="BW484" i="13"/>
  <c r="BW480" i="13"/>
  <c r="BW476" i="13"/>
  <c r="BW472" i="13"/>
  <c r="BW468" i="13"/>
  <c r="BW464" i="13"/>
  <c r="BW460" i="13"/>
  <c r="BW456" i="13"/>
  <c r="BW452" i="13"/>
  <c r="BW448" i="13"/>
  <c r="BW444" i="13"/>
  <c r="BW440" i="13"/>
  <c r="BW436" i="13"/>
  <c r="BW432" i="13"/>
  <c r="BW428" i="13"/>
  <c r="BW426" i="13"/>
  <c r="BW424" i="13"/>
  <c r="BW422" i="13"/>
  <c r="BW420" i="13"/>
  <c r="BW418" i="13"/>
  <c r="BW414" i="13"/>
  <c r="BW412" i="13"/>
  <c r="BW410" i="13"/>
  <c r="BW408" i="13"/>
  <c r="BW406" i="13"/>
  <c r="BW404" i="13"/>
  <c r="BW402" i="13"/>
  <c r="BW398" i="13"/>
  <c r="BW396" i="13"/>
  <c r="BW394" i="13"/>
  <c r="BW392" i="13"/>
  <c r="BW390" i="13"/>
  <c r="BW388" i="13"/>
  <c r="BW386" i="13"/>
  <c r="BW382" i="13"/>
  <c r="BW380" i="13"/>
  <c r="BW378" i="13"/>
  <c r="BW376" i="13"/>
  <c r="BW374" i="13"/>
  <c r="BW372" i="13"/>
  <c r="BW370" i="13"/>
  <c r="BW366" i="13"/>
  <c r="BW364" i="13"/>
  <c r="BW362" i="13"/>
  <c r="BW360" i="13"/>
  <c r="BW358" i="13"/>
  <c r="BW356" i="13"/>
  <c r="BW354" i="13"/>
  <c r="BW350" i="13"/>
  <c r="BW348" i="13"/>
  <c r="BW346" i="13"/>
  <c r="BW344" i="13"/>
  <c r="BW342" i="13"/>
  <c r="BW340" i="13"/>
  <c r="BW338" i="13"/>
  <c r="BW336" i="13"/>
  <c r="BW332" i="13"/>
  <c r="BW330" i="13"/>
  <c r="BW328" i="13"/>
  <c r="BW326" i="13"/>
  <c r="BW324" i="13"/>
  <c r="BW320" i="13"/>
  <c r="BW318" i="13"/>
  <c r="BW316" i="13"/>
  <c r="BW314" i="13"/>
  <c r="BW312" i="13"/>
  <c r="BW310" i="13"/>
  <c r="BW308" i="13"/>
  <c r="BW306" i="13"/>
  <c r="BW304" i="13"/>
  <c r="BW302" i="13"/>
  <c r="BW300" i="13"/>
  <c r="BW298" i="13"/>
  <c r="BW296" i="13"/>
  <c r="BW294" i="13"/>
  <c r="BW292" i="13"/>
  <c r="BW288" i="13"/>
  <c r="BW286" i="13"/>
  <c r="BW284" i="13"/>
  <c r="BW282" i="13"/>
  <c r="BW280" i="13"/>
  <c r="BW278" i="13"/>
  <c r="BW276" i="13"/>
  <c r="BW274" i="13"/>
  <c r="BW272" i="13"/>
  <c r="BW268" i="13"/>
  <c r="BW266" i="13"/>
  <c r="BW264" i="13"/>
  <c r="BW262" i="13"/>
  <c r="BW260" i="13"/>
  <c r="BW256" i="13"/>
  <c r="BW254" i="13"/>
  <c r="BW252" i="13"/>
  <c r="BW250" i="13"/>
  <c r="BW248" i="13"/>
  <c r="BW246" i="13"/>
  <c r="BW244" i="13"/>
  <c r="BW242" i="13"/>
  <c r="BW240" i="13"/>
  <c r="BW238" i="13"/>
  <c r="BW236" i="13"/>
  <c r="BW234" i="13"/>
  <c r="BW232" i="13"/>
  <c r="BW230" i="13"/>
  <c r="BW228" i="13"/>
  <c r="BW224" i="13"/>
  <c r="BW222" i="13"/>
  <c r="BW220" i="13"/>
  <c r="BW218" i="13"/>
  <c r="BW216" i="13"/>
  <c r="BW214" i="13"/>
  <c r="BW212" i="13"/>
  <c r="BW210" i="13"/>
  <c r="BW208" i="13"/>
  <c r="BW204" i="13"/>
  <c r="BW174" i="13"/>
  <c r="BW202" i="13"/>
  <c r="BW200" i="13"/>
  <c r="BW198" i="13"/>
  <c r="BW196" i="13"/>
  <c r="BW192" i="13"/>
  <c r="BW190" i="13"/>
  <c r="BW188" i="13"/>
  <c r="BW186" i="13"/>
  <c r="BW184" i="13"/>
  <c r="BW182" i="13"/>
  <c r="BW180" i="13"/>
  <c r="BW178" i="13"/>
  <c r="BW176" i="13"/>
  <c r="BW172" i="13"/>
  <c r="BW170" i="13"/>
  <c r="BW168" i="13"/>
  <c r="BW166" i="13"/>
  <c r="BW164" i="13"/>
  <c r="BW160" i="13"/>
  <c r="BW158" i="13"/>
  <c r="BW146" i="13"/>
  <c r="BW126" i="13"/>
  <c r="BW114" i="13"/>
  <c r="BW94" i="13"/>
  <c r="BW82" i="13"/>
  <c r="BW62" i="13"/>
  <c r="BW50" i="13"/>
  <c r="BW30" i="13"/>
  <c r="BW18" i="13"/>
  <c r="BW156" i="13"/>
  <c r="BW154" i="13"/>
  <c r="BW152" i="13"/>
  <c r="BW150" i="13"/>
  <c r="BW148" i="13"/>
  <c r="BW144" i="13"/>
  <c r="BW140" i="13"/>
  <c r="BW138" i="13"/>
  <c r="BW136" i="13"/>
  <c r="BW134" i="13"/>
  <c r="BW132" i="13"/>
  <c r="BW128" i="13"/>
  <c r="BW124" i="13"/>
  <c r="BW122" i="13"/>
  <c r="BW120" i="13"/>
  <c r="BW118" i="13"/>
  <c r="BW116" i="13"/>
  <c r="BW112" i="13"/>
  <c r="BW108" i="13"/>
  <c r="BW106" i="13"/>
  <c r="BW104" i="13"/>
  <c r="BW102" i="13"/>
  <c r="BW100" i="13"/>
  <c r="BW96" i="13"/>
  <c r="BW92" i="13"/>
  <c r="BW90" i="13"/>
  <c r="BW88" i="13"/>
  <c r="BW86" i="13"/>
  <c r="BW84" i="13"/>
  <c r="BW80" i="13"/>
  <c r="BW76" i="13"/>
  <c r="BW74" i="13"/>
  <c r="BW72" i="13"/>
  <c r="BW70" i="13"/>
  <c r="BW68" i="13"/>
  <c r="BW64" i="13"/>
  <c r="BW60" i="13"/>
  <c r="BW58" i="13"/>
  <c r="BW56" i="13"/>
  <c r="BW54" i="13"/>
  <c r="BW52" i="13"/>
  <c r="BW48" i="13"/>
  <c r="BW44" i="13"/>
  <c r="BW42" i="13"/>
  <c r="BW40" i="13"/>
  <c r="BW38" i="13"/>
  <c r="BW36" i="13"/>
  <c r="BW32" i="13"/>
  <c r="BW28" i="13"/>
  <c r="BW26" i="13"/>
  <c r="BW24" i="13"/>
  <c r="BW22" i="13"/>
  <c r="BW20" i="13"/>
  <c r="BW16" i="13"/>
  <c r="BW12" i="13"/>
  <c r="BW10" i="13"/>
  <c r="BW8" i="13"/>
  <c r="BW6" i="13"/>
  <c r="BW4" i="13"/>
  <c r="M21" i="16" l="1"/>
  <c r="B24" i="16"/>
  <c r="D23" i="16"/>
  <c r="H23" i="16"/>
  <c r="G23" i="16"/>
  <c r="I23" i="16" s="1"/>
  <c r="W23" i="16" s="1"/>
  <c r="B52" i="10"/>
  <c r="AQ37" i="10"/>
  <c r="B47" i="10"/>
  <c r="AQ32" i="10"/>
  <c r="AR33" i="10"/>
  <c r="C48" i="10"/>
  <c r="AQ38" i="10"/>
  <c r="B53" i="10"/>
  <c r="C53" i="10"/>
  <c r="AR38" i="10"/>
  <c r="B56" i="10"/>
  <c r="AQ41" i="10"/>
  <c r="B50" i="10"/>
  <c r="AQ35" i="10"/>
  <c r="AQ31" i="10"/>
  <c r="B46" i="10"/>
  <c r="C47" i="10"/>
  <c r="AR32" i="10"/>
  <c r="B54" i="10"/>
  <c r="AQ39" i="10"/>
  <c r="AR41" i="10"/>
  <c r="C56" i="10"/>
  <c r="AQ36" i="10"/>
  <c r="B51" i="10"/>
  <c r="AR34" i="10"/>
  <c r="C49" i="10"/>
  <c r="AR42" i="10"/>
  <c r="C57" i="10"/>
  <c r="AQ42" i="10"/>
  <c r="B57" i="10"/>
  <c r="C50" i="10"/>
  <c r="AR35" i="10"/>
  <c r="B55" i="10"/>
  <c r="AQ40" i="10"/>
  <c r="C55" i="10"/>
  <c r="AR40" i="10"/>
  <c r="C51" i="10"/>
  <c r="AR36" i="10"/>
  <c r="C46" i="10"/>
  <c r="AR31" i="10"/>
  <c r="AR37" i="10"/>
  <c r="C52" i="10"/>
  <c r="AQ34" i="10"/>
  <c r="B49" i="10"/>
  <c r="C54" i="10"/>
  <c r="AR39" i="10"/>
  <c r="B48" i="10"/>
  <c r="AQ33" i="10"/>
  <c r="B58" i="10"/>
  <c r="AQ43" i="10"/>
  <c r="AR43" i="10"/>
  <c r="C58" i="10"/>
  <c r="BO6" i="10"/>
  <c r="AP5" i="15" s="1"/>
  <c r="BS13" i="10"/>
  <c r="R21" i="16"/>
  <c r="X21" i="16" s="1"/>
  <c r="P22" i="16"/>
  <c r="Q22" i="16"/>
  <c r="K23" i="16"/>
  <c r="BS9" i="10"/>
  <c r="BX6" i="10"/>
  <c r="BR4" i="10"/>
  <c r="BO13" i="10"/>
  <c r="AP12" i="15" s="1"/>
  <c r="BV4" i="10"/>
  <c r="AU3" i="15" s="1"/>
  <c r="Z7" i="15"/>
  <c r="AD7" i="15"/>
  <c r="AH7" i="15"/>
  <c r="W7" i="15"/>
  <c r="AA7" i="15"/>
  <c r="AE7" i="15"/>
  <c r="V7" i="15"/>
  <c r="X7" i="15"/>
  <c r="AB7" i="15"/>
  <c r="AF7" i="15"/>
  <c r="Y7" i="15"/>
  <c r="AC7" i="15"/>
  <c r="AG7" i="15"/>
  <c r="BN5" i="10"/>
  <c r="AO4" i="15" s="1"/>
  <c r="BY12" i="10"/>
  <c r="AW11" i="15" s="1"/>
  <c r="BM5" i="10"/>
  <c r="AN4" i="15" s="1"/>
  <c r="BK15" i="10"/>
  <c r="BK3" i="10"/>
  <c r="BK12" i="10"/>
  <c r="BR7" i="10"/>
  <c r="BW13" i="10"/>
  <c r="AV12" i="15" s="1"/>
  <c r="BT14" i="10"/>
  <c r="AS13" i="15" s="1"/>
  <c r="CB14" i="10"/>
  <c r="BW12" i="10"/>
  <c r="AV11" i="15" s="1"/>
  <c r="BS15" i="10"/>
  <c r="BZ15" i="10"/>
  <c r="AX14" i="15" s="1"/>
  <c r="BV10" i="10"/>
  <c r="AU9" i="15" s="1"/>
  <c r="BN8" i="10"/>
  <c r="AO7" i="15" s="1"/>
  <c r="BQ9" i="10"/>
  <c r="AR8" i="15" s="1"/>
  <c r="BZ7" i="10"/>
  <c r="AX6" i="15" s="1"/>
  <c r="BM7" i="10"/>
  <c r="AN6" i="15" s="1"/>
  <c r="BU9" i="10"/>
  <c r="AT8" i="15" s="1"/>
  <c r="BW6" i="10"/>
  <c r="AV5" i="15" s="1"/>
  <c r="BZ4" i="10"/>
  <c r="AX3" i="15" s="1"/>
  <c r="CA12" i="10"/>
  <c r="AY11" i="15" s="1"/>
  <c r="BP6" i="10"/>
  <c r="AQ5" i="15" s="1"/>
  <c r="BK10" i="10"/>
  <c r="BU7" i="10"/>
  <c r="AT6" i="15" s="1"/>
  <c r="BO10" i="10"/>
  <c r="AP9" i="15" s="1"/>
  <c r="CB12" i="10"/>
  <c r="BL12" i="10"/>
  <c r="AM11" i="15" s="1"/>
  <c r="BQ13" i="10"/>
  <c r="AR12" i="15" s="1"/>
  <c r="BU8" i="10"/>
  <c r="AT7" i="15" s="1"/>
  <c r="BX8" i="10"/>
  <c r="BO3" i="10"/>
  <c r="BN11" i="10"/>
  <c r="AO10" i="15" s="1"/>
  <c r="BQ7" i="10"/>
  <c r="AR6" i="15" s="1"/>
  <c r="BW9" i="10"/>
  <c r="AV8" i="15" s="1"/>
  <c r="BN7" i="10"/>
  <c r="AO6" i="15" s="1"/>
  <c r="BN4" i="10"/>
  <c r="AO3" i="15" s="1"/>
  <c r="BQ5" i="10"/>
  <c r="AR4" i="15" s="1"/>
  <c r="BR5" i="10"/>
  <c r="BM14" i="10"/>
  <c r="AN13" i="15" s="1"/>
  <c r="CA7" i="10"/>
  <c r="AY6" i="15" s="1"/>
  <c r="BR13" i="10"/>
  <c r="BO8" i="10"/>
  <c r="AP7" i="15" s="1"/>
  <c r="BN3" i="10"/>
  <c r="BZ9" i="10"/>
  <c r="AX8" i="15" s="1"/>
  <c r="BW14" i="10"/>
  <c r="AV13" i="15" s="1"/>
  <c r="BS7" i="10"/>
  <c r="BN13" i="10"/>
  <c r="AO12" i="15" s="1"/>
  <c r="CA8" i="10"/>
  <c r="AY7" i="15" s="1"/>
  <c r="BR3" i="10"/>
  <c r="BT3" i="10"/>
  <c r="BV9" i="10"/>
  <c r="AU8" i="15" s="1"/>
  <c r="BT9" i="10"/>
  <c r="AS8" i="15" s="1"/>
  <c r="BS11" i="10"/>
  <c r="BR14" i="10"/>
  <c r="BO14" i="10"/>
  <c r="AP13" i="15" s="1"/>
  <c r="BZ14" i="10"/>
  <c r="AX13" i="15" s="1"/>
  <c r="BP7" i="10"/>
  <c r="AQ6" i="15" s="1"/>
  <c r="BU12" i="10"/>
  <c r="AT11" i="15" s="1"/>
  <c r="BZ12" i="10"/>
  <c r="AX11" i="15" s="1"/>
  <c r="BX11" i="10"/>
  <c r="CA5" i="10"/>
  <c r="AY4" i="15" s="1"/>
  <c r="BO15" i="10"/>
  <c r="AP14" i="15" s="1"/>
  <c r="CA10" i="10"/>
  <c r="AY9" i="15" s="1"/>
  <c r="BY7" i="10"/>
  <c r="AW6" i="15" s="1"/>
  <c r="BM13" i="10"/>
  <c r="AN12" i="15" s="1"/>
  <c r="BT8" i="10"/>
  <c r="AS7" i="15" s="1"/>
  <c r="BK6" i="10"/>
  <c r="BS3" i="10"/>
  <c r="BZ11" i="10"/>
  <c r="AX10" i="15" s="1"/>
  <c r="BV15" i="10"/>
  <c r="AU14" i="15" s="1"/>
  <c r="BN15" i="10"/>
  <c r="AO14" i="15" s="1"/>
  <c r="BP12" i="10"/>
  <c r="AQ11" i="15" s="1"/>
  <c r="CA13" i="10"/>
  <c r="AY12" i="15" s="1"/>
  <c r="BK13" i="10"/>
  <c r="BU13" i="10"/>
  <c r="AT12" i="15" s="1"/>
  <c r="CB13" i="10"/>
  <c r="BL13" i="10"/>
  <c r="AM12" i="15" s="1"/>
  <c r="BY8" i="10"/>
  <c r="AW7" i="15" s="1"/>
  <c r="CB8" i="10"/>
  <c r="BL8" i="10"/>
  <c r="AM7" i="15" s="1"/>
  <c r="CA3" i="10"/>
  <c r="BM4" i="10"/>
  <c r="AN3" i="15" s="1"/>
  <c r="BT4" i="10"/>
  <c r="AS3" i="15" s="1"/>
  <c r="CA4" i="10"/>
  <c r="AY3" i="15" s="1"/>
  <c r="BK4" i="10"/>
  <c r="BW11" i="10"/>
  <c r="AV10" i="15" s="1"/>
  <c r="BR11" i="10"/>
  <c r="BP5" i="10"/>
  <c r="AQ4" i="15" s="1"/>
  <c r="BW15" i="10"/>
  <c r="AV14" i="15" s="1"/>
  <c r="BQ14" i="10"/>
  <c r="AR13" i="15" s="1"/>
  <c r="BP4" i="10"/>
  <c r="AQ3" i="15" s="1"/>
  <c r="BW4" i="10"/>
  <c r="AV3" i="15" s="1"/>
  <c r="CB5" i="10"/>
  <c r="BL5" i="10"/>
  <c r="AM4" i="15" s="1"/>
  <c r="BP13" i="10"/>
  <c r="AQ12" i="15" s="1"/>
  <c r="BR6" i="10"/>
  <c r="BR8" i="10"/>
  <c r="BU3" i="10"/>
  <c r="BP3" i="10"/>
  <c r="BX9" i="10"/>
  <c r="CB11" i="10"/>
  <c r="BL11" i="10"/>
  <c r="AM10" i="15" s="1"/>
  <c r="BV7" i="10"/>
  <c r="AU6" i="15" s="1"/>
  <c r="BT7" i="10"/>
  <c r="AS6" i="15" s="1"/>
  <c r="BN12" i="10"/>
  <c r="AO11" i="15" s="1"/>
  <c r="BU4" i="10"/>
  <c r="AT3" i="15" s="1"/>
  <c r="BZ6" i="10"/>
  <c r="AX5" i="15" s="1"/>
  <c r="BY15" i="10"/>
  <c r="AW14" i="15" s="1"/>
  <c r="BZ10" i="10"/>
  <c r="AX9" i="15" s="1"/>
  <c r="BU10" i="10"/>
  <c r="AT9" i="15" s="1"/>
  <c r="BN10" i="10"/>
  <c r="AO9" i="15" s="1"/>
  <c r="BQ6" i="10"/>
  <c r="AR5" i="15" s="1"/>
  <c r="BP15" i="10"/>
  <c r="AQ14" i="15" s="1"/>
  <c r="BK7" i="10"/>
  <c r="BO9" i="10"/>
  <c r="AP8" i="15" s="1"/>
  <c r="BL15" i="10"/>
  <c r="AM14" i="15" s="1"/>
  <c r="BX14" i="10"/>
  <c r="BP14" i="10"/>
  <c r="AQ13" i="15" s="1"/>
  <c r="BY14" i="10"/>
  <c r="AW13" i="15" s="1"/>
  <c r="CB7" i="10"/>
  <c r="BL7" i="10"/>
  <c r="AM6" i="15" s="1"/>
  <c r="BX12" i="10"/>
  <c r="BX5" i="10"/>
  <c r="BN6" i="10"/>
  <c r="AO5" i="15" s="1"/>
  <c r="BO7" i="10"/>
  <c r="AP6" i="15" s="1"/>
  <c r="BW5" i="10"/>
  <c r="AV4" i="15" s="1"/>
  <c r="BM10" i="10"/>
  <c r="AN9" i="15" s="1"/>
  <c r="BN14" i="10"/>
  <c r="AO13" i="15" s="1"/>
  <c r="BX13" i="10"/>
  <c r="BM8" i="10"/>
  <c r="AN7" i="15" s="1"/>
  <c r="BT6" i="10"/>
  <c r="AS5" i="15" s="1"/>
  <c r="BY6" i="10"/>
  <c r="AW5" i="15" s="1"/>
  <c r="BY3" i="10"/>
  <c r="BL6" i="10"/>
  <c r="AM5" i="15" s="1"/>
  <c r="BU6" i="10"/>
  <c r="AT5" i="15" s="1"/>
  <c r="BU15" i="10"/>
  <c r="AT14" i="15" s="1"/>
  <c r="CB15" i="10"/>
  <c r="BS10" i="10"/>
  <c r="BY10" i="10"/>
  <c r="AW9" i="15" s="1"/>
  <c r="BR10" i="10"/>
  <c r="BU14" i="10"/>
  <c r="AT13" i="15" s="1"/>
  <c r="BQ12" i="10"/>
  <c r="AR11" i="15" s="1"/>
  <c r="BV12" i="10"/>
  <c r="AU11" i="15" s="1"/>
  <c r="BZ13" i="10"/>
  <c r="AX12" i="15" s="1"/>
  <c r="BT13" i="10"/>
  <c r="AS12" i="15" s="1"/>
  <c r="BQ8" i="10"/>
  <c r="AR7" i="15" s="1"/>
  <c r="BW8" i="10"/>
  <c r="AV7" i="15" s="1"/>
  <c r="BZ8" i="10"/>
  <c r="AX7" i="15" s="1"/>
  <c r="BK8" i="10"/>
  <c r="BV6" i="10"/>
  <c r="AU5" i="15" s="1"/>
  <c r="BM3" i="10"/>
  <c r="BV3" i="10"/>
  <c r="BX3" i="10"/>
  <c r="CA9" i="10"/>
  <c r="AY8" i="15" s="1"/>
  <c r="BK9" i="10"/>
  <c r="BR9" i="10"/>
  <c r="BP9" i="10"/>
  <c r="AQ8" i="15" s="1"/>
  <c r="BQ4" i="10"/>
  <c r="AR3" i="15" s="1"/>
  <c r="BY4" i="10"/>
  <c r="AW3" i="15" s="1"/>
  <c r="CB4" i="10"/>
  <c r="BL4" i="10"/>
  <c r="AM3" i="15" s="1"/>
  <c r="BS4" i="10"/>
  <c r="CB6" i="10"/>
  <c r="BM6" i="10"/>
  <c r="AN5" i="15" s="1"/>
  <c r="BO11" i="10"/>
  <c r="AP10" i="15" s="1"/>
  <c r="BT11" i="10"/>
  <c r="AS10" i="15" s="1"/>
  <c r="BK5" i="10"/>
  <c r="BS5" i="10"/>
  <c r="CA15" i="10"/>
  <c r="AY14" i="15" s="1"/>
  <c r="BQ15" i="10"/>
  <c r="AR14" i="15" s="1"/>
  <c r="BX15" i="10"/>
  <c r="BX10" i="10"/>
  <c r="BL10" i="10"/>
  <c r="AM9" i="15" s="1"/>
  <c r="BW10" i="10"/>
  <c r="AV9" i="15" s="1"/>
  <c r="BK14" i="10"/>
  <c r="CA14" i="10"/>
  <c r="AY13" i="15" s="1"/>
  <c r="BW7" i="10"/>
  <c r="AV6" i="15" s="1"/>
  <c r="BX7" i="10"/>
  <c r="BM12" i="10"/>
  <c r="AN11" i="15" s="1"/>
  <c r="BT12" i="10"/>
  <c r="AS11" i="15" s="1"/>
  <c r="BR12" i="10"/>
  <c r="BV13" i="10"/>
  <c r="AU12" i="15" s="1"/>
  <c r="BY13" i="10"/>
  <c r="AW12" i="15" s="1"/>
  <c r="BP8" i="10"/>
  <c r="AQ7" i="15" s="1"/>
  <c r="BS8" i="10"/>
  <c r="BV8" i="10"/>
  <c r="AU7" i="15" s="1"/>
  <c r="CA6" i="10"/>
  <c r="AY5" i="15" s="1"/>
  <c r="BQ3" i="10"/>
  <c r="BZ3" i="10"/>
  <c r="BW3" i="10"/>
  <c r="BL3" i="10"/>
  <c r="CB3" i="10"/>
  <c r="BN9" i="10"/>
  <c r="AO8" i="15" s="1"/>
  <c r="CB9" i="10"/>
  <c r="BL9" i="10"/>
  <c r="AM8" i="15" s="1"/>
  <c r="BX4" i="10"/>
  <c r="BO4" i="10"/>
  <c r="AP3" i="15" s="1"/>
  <c r="BS6" i="10"/>
  <c r="CA11" i="10"/>
  <c r="AY10" i="15" s="1"/>
  <c r="BK11" i="10"/>
  <c r="BV11" i="10"/>
  <c r="AU10" i="15" s="1"/>
  <c r="BP11" i="10"/>
  <c r="AQ10" i="15" s="1"/>
  <c r="BO5" i="10"/>
  <c r="AP4" i="15" s="1"/>
  <c r="BT5" i="10"/>
  <c r="AS4" i="15" s="1"/>
  <c r="BM15" i="10"/>
  <c r="AN14" i="15" s="1"/>
  <c r="BT15" i="10"/>
  <c r="AS14" i="15" s="1"/>
  <c r="CB10" i="10"/>
  <c r="BP10" i="10"/>
  <c r="AQ9" i="15" s="1"/>
  <c r="BT10" i="10"/>
  <c r="AS9" i="15" s="1"/>
  <c r="BL14" i="10"/>
  <c r="AM13" i="15" s="1"/>
  <c r="BS14" i="10"/>
  <c r="BV14" i="10"/>
  <c r="AU13" i="15" s="1"/>
  <c r="BS36" i="13"/>
  <c r="BS2" i="13"/>
  <c r="AF3" i="13"/>
  <c r="AF4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F301" i="13"/>
  <c r="AF302" i="13"/>
  <c r="AF303" i="13"/>
  <c r="AF304" i="13"/>
  <c r="AF305" i="13"/>
  <c r="AF306" i="13"/>
  <c r="AF307" i="13"/>
  <c r="AF308" i="13"/>
  <c r="AF309" i="13"/>
  <c r="AF310" i="13"/>
  <c r="AF311" i="13"/>
  <c r="AF312" i="13"/>
  <c r="AF313" i="13"/>
  <c r="AF314" i="13"/>
  <c r="AF315" i="13"/>
  <c r="AF316" i="13"/>
  <c r="AF317" i="13"/>
  <c r="AF318" i="13"/>
  <c r="AF319" i="13"/>
  <c r="AF320" i="13"/>
  <c r="AF321" i="13"/>
  <c r="AF322" i="13"/>
  <c r="AF323" i="13"/>
  <c r="AF324" i="13"/>
  <c r="AF325" i="13"/>
  <c r="AF326" i="13"/>
  <c r="AF327" i="13"/>
  <c r="AF328" i="13"/>
  <c r="AF329" i="13"/>
  <c r="AF330" i="13"/>
  <c r="AF331" i="13"/>
  <c r="AF332" i="13"/>
  <c r="AF333" i="13"/>
  <c r="AF334" i="13"/>
  <c r="AF335" i="13"/>
  <c r="AF336" i="13"/>
  <c r="AF337" i="13"/>
  <c r="AF338" i="13"/>
  <c r="AF339" i="13"/>
  <c r="AF340" i="13"/>
  <c r="AF341" i="13"/>
  <c r="AF342" i="13"/>
  <c r="AF343" i="13"/>
  <c r="AF344" i="13"/>
  <c r="AF345" i="13"/>
  <c r="AF346" i="13"/>
  <c r="AF347" i="13"/>
  <c r="AF348" i="13"/>
  <c r="AF349" i="13"/>
  <c r="AF350" i="13"/>
  <c r="AF351" i="13"/>
  <c r="AF352" i="13"/>
  <c r="AF353" i="13"/>
  <c r="AF354" i="13"/>
  <c r="AF355" i="13"/>
  <c r="AF356" i="13"/>
  <c r="AF357" i="13"/>
  <c r="AF358" i="13"/>
  <c r="AF359" i="13"/>
  <c r="AF360" i="13"/>
  <c r="AF361" i="13"/>
  <c r="AF362" i="13"/>
  <c r="AF363" i="13"/>
  <c r="AF364" i="13"/>
  <c r="AF365" i="13"/>
  <c r="AF366" i="13"/>
  <c r="AF367" i="13"/>
  <c r="AF368" i="13"/>
  <c r="AF369" i="13"/>
  <c r="AF370" i="13"/>
  <c r="AF371" i="13"/>
  <c r="AF372" i="13"/>
  <c r="AF373" i="13"/>
  <c r="AF374" i="13"/>
  <c r="AF375" i="13"/>
  <c r="AF376" i="13"/>
  <c r="AF377" i="13"/>
  <c r="AF378" i="13"/>
  <c r="AF379" i="13"/>
  <c r="AF380" i="13"/>
  <c r="AF381" i="13"/>
  <c r="AF382" i="13"/>
  <c r="AF383" i="13"/>
  <c r="AF384" i="13"/>
  <c r="AF385" i="13"/>
  <c r="AF386" i="13"/>
  <c r="AF387" i="13"/>
  <c r="AF388" i="13"/>
  <c r="AF389" i="13"/>
  <c r="AF390" i="13"/>
  <c r="AF391" i="13"/>
  <c r="AF392" i="13"/>
  <c r="AF393" i="13"/>
  <c r="AF394" i="13"/>
  <c r="AF395" i="13"/>
  <c r="AF396" i="13"/>
  <c r="AF397" i="13"/>
  <c r="AF398" i="13"/>
  <c r="AF399" i="13"/>
  <c r="AF400" i="13"/>
  <c r="AF401" i="13"/>
  <c r="AF402" i="13"/>
  <c r="AF403" i="13"/>
  <c r="AF404" i="13"/>
  <c r="AF405" i="13"/>
  <c r="AF406" i="13"/>
  <c r="AF407" i="13"/>
  <c r="AF408" i="13"/>
  <c r="AF409" i="13"/>
  <c r="AF410" i="13"/>
  <c r="AF411" i="13"/>
  <c r="AF412" i="13"/>
  <c r="AF413" i="13"/>
  <c r="AF414" i="13"/>
  <c r="AF415" i="13"/>
  <c r="AF416" i="13"/>
  <c r="AF417" i="13"/>
  <c r="AF418" i="13"/>
  <c r="AF419" i="13"/>
  <c r="AF420" i="13"/>
  <c r="AF421" i="13"/>
  <c r="AF422" i="13"/>
  <c r="AF423" i="13"/>
  <c r="AF424" i="13"/>
  <c r="AF425" i="13"/>
  <c r="AF426" i="13"/>
  <c r="AF427" i="13"/>
  <c r="AF428" i="13"/>
  <c r="AF429" i="13"/>
  <c r="AF430" i="13"/>
  <c r="AF431" i="13"/>
  <c r="AF432" i="13"/>
  <c r="AF433" i="13"/>
  <c r="AF434" i="13"/>
  <c r="AF435" i="13"/>
  <c r="AF436" i="13"/>
  <c r="AF437" i="13"/>
  <c r="AF438" i="13"/>
  <c r="AF439" i="13"/>
  <c r="AF440" i="13"/>
  <c r="AF441" i="13"/>
  <c r="AF442" i="13"/>
  <c r="AF443" i="13"/>
  <c r="AF444" i="13"/>
  <c r="AF445" i="13"/>
  <c r="AF446" i="13"/>
  <c r="AF447" i="13"/>
  <c r="AF448" i="13"/>
  <c r="AF449" i="13"/>
  <c r="AF450" i="13"/>
  <c r="AF451" i="13"/>
  <c r="AF452" i="13"/>
  <c r="AF453" i="13"/>
  <c r="AF454" i="13"/>
  <c r="AF455" i="13"/>
  <c r="AF456" i="13"/>
  <c r="AF457" i="13"/>
  <c r="AF458" i="13"/>
  <c r="AF459" i="13"/>
  <c r="AF460" i="13"/>
  <c r="AF461" i="13"/>
  <c r="AF462" i="13"/>
  <c r="AF463" i="13"/>
  <c r="AF464" i="13"/>
  <c r="AF465" i="13"/>
  <c r="AF466" i="13"/>
  <c r="AF467" i="13"/>
  <c r="AF468" i="13"/>
  <c r="AF469" i="13"/>
  <c r="AF470" i="13"/>
  <c r="AF471" i="13"/>
  <c r="AF472" i="13"/>
  <c r="AF473" i="13"/>
  <c r="AF474" i="13"/>
  <c r="AF475" i="13"/>
  <c r="AF476" i="13"/>
  <c r="AF477" i="13"/>
  <c r="AF478" i="13"/>
  <c r="AF479" i="13"/>
  <c r="AF480" i="13"/>
  <c r="AF481" i="13"/>
  <c r="AF482" i="13"/>
  <c r="AF483" i="13"/>
  <c r="AF484" i="13"/>
  <c r="AF485" i="13"/>
  <c r="AF486" i="13"/>
  <c r="AF487" i="13"/>
  <c r="AF488" i="13"/>
  <c r="AF489" i="13"/>
  <c r="AF490" i="13"/>
  <c r="AF491" i="13"/>
  <c r="AF492" i="13"/>
  <c r="AF493" i="13"/>
  <c r="AF494" i="13"/>
  <c r="AF495" i="13"/>
  <c r="AF496" i="13"/>
  <c r="AF497" i="13"/>
  <c r="AF498" i="13"/>
  <c r="AF499" i="13"/>
  <c r="AF500" i="13"/>
  <c r="AF501" i="13"/>
  <c r="AF502" i="13"/>
  <c r="AF503" i="13"/>
  <c r="AF504" i="13"/>
  <c r="AF505" i="13"/>
  <c r="AF506" i="13"/>
  <c r="AF507" i="13"/>
  <c r="AF508" i="13"/>
  <c r="AF509" i="13"/>
  <c r="AF510" i="13"/>
  <c r="AF511" i="13"/>
  <c r="AF512" i="13"/>
  <c r="AF513" i="13"/>
  <c r="AF514" i="13"/>
  <c r="AF515" i="13"/>
  <c r="AF516" i="13"/>
  <c r="AF517" i="13"/>
  <c r="AF518" i="13"/>
  <c r="AF519" i="13"/>
  <c r="AF520" i="13"/>
  <c r="AF521" i="13"/>
  <c r="AF522" i="13"/>
  <c r="AF523" i="13"/>
  <c r="AF524" i="13"/>
  <c r="AF525" i="13"/>
  <c r="AF526" i="13"/>
  <c r="AF527" i="13"/>
  <c r="AF528" i="13"/>
  <c r="AF529" i="13"/>
  <c r="AF530" i="13"/>
  <c r="AF531" i="13"/>
  <c r="AF532" i="13"/>
  <c r="AF533" i="13"/>
  <c r="AF534" i="13"/>
  <c r="AF535" i="13"/>
  <c r="AF536" i="13"/>
  <c r="AF537" i="13"/>
  <c r="AF538" i="13"/>
  <c r="AF539" i="13"/>
  <c r="AF540" i="13"/>
  <c r="AF541" i="13"/>
  <c r="AF542" i="13"/>
  <c r="AF543" i="13"/>
  <c r="AF544" i="13"/>
  <c r="AF545" i="13"/>
  <c r="AF546" i="13"/>
  <c r="AF547" i="13"/>
  <c r="AF548" i="13"/>
  <c r="AF549" i="13"/>
  <c r="AF550" i="13"/>
  <c r="AF551" i="13"/>
  <c r="AF552" i="13"/>
  <c r="AF553" i="13"/>
  <c r="AF554" i="13"/>
  <c r="AF555" i="13"/>
  <c r="AF556" i="13"/>
  <c r="AF557" i="13"/>
  <c r="AF558" i="13"/>
  <c r="AF559" i="13"/>
  <c r="AF560" i="13"/>
  <c r="AF561" i="13"/>
  <c r="AF562" i="13"/>
  <c r="AF563" i="13"/>
  <c r="AF564" i="13"/>
  <c r="AF565" i="13"/>
  <c r="AF566" i="13"/>
  <c r="AF567" i="13"/>
  <c r="AF568" i="13"/>
  <c r="AF569" i="13"/>
  <c r="AF570" i="13"/>
  <c r="AF571" i="13"/>
  <c r="AF572" i="13"/>
  <c r="AF573" i="13"/>
  <c r="AF574" i="13"/>
  <c r="AF575" i="13"/>
  <c r="AF576" i="13"/>
  <c r="AF577" i="13"/>
  <c r="AF578" i="13"/>
  <c r="AF579" i="13"/>
  <c r="AF580" i="13"/>
  <c r="AF581" i="13"/>
  <c r="AF582" i="13"/>
  <c r="AF583" i="13"/>
  <c r="AF584" i="13"/>
  <c r="AF585" i="13"/>
  <c r="AF586" i="13"/>
  <c r="AF587" i="13"/>
  <c r="AF588" i="13"/>
  <c r="AF589" i="13"/>
  <c r="AF590" i="13"/>
  <c r="AF591" i="13"/>
  <c r="AF592" i="13"/>
  <c r="AF593" i="13"/>
  <c r="AF594" i="13"/>
  <c r="AF595" i="13"/>
  <c r="AF596" i="13"/>
  <c r="AF597" i="13"/>
  <c r="AF598" i="13"/>
  <c r="AF599" i="13"/>
  <c r="AF600" i="13"/>
  <c r="AF601" i="13"/>
  <c r="AF602" i="13"/>
  <c r="AF603" i="13"/>
  <c r="AF604" i="13"/>
  <c r="AF605" i="13"/>
  <c r="AF606" i="13"/>
  <c r="AF607" i="13"/>
  <c r="AF608" i="13"/>
  <c r="AF609" i="13"/>
  <c r="AF610" i="13"/>
  <c r="AF611" i="13"/>
  <c r="AF612" i="13"/>
  <c r="AF613" i="13"/>
  <c r="AF614" i="13"/>
  <c r="AF615" i="13"/>
  <c r="AF616" i="13"/>
  <c r="AF617" i="13"/>
  <c r="AF618" i="13"/>
  <c r="AF619" i="13"/>
  <c r="AF620" i="13"/>
  <c r="AF621" i="13"/>
  <c r="AF622" i="13"/>
  <c r="AF623" i="13"/>
  <c r="AF624" i="13"/>
  <c r="AF625" i="13"/>
  <c r="AF626" i="13"/>
  <c r="AF627" i="13"/>
  <c r="AF628" i="13"/>
  <c r="AF629" i="13"/>
  <c r="AF630" i="13"/>
  <c r="AF631" i="13"/>
  <c r="AF632" i="13"/>
  <c r="AF633" i="13"/>
  <c r="AF634" i="13"/>
  <c r="AF635" i="13"/>
  <c r="AF636" i="13"/>
  <c r="AF637" i="13"/>
  <c r="AF638" i="13"/>
  <c r="AF639" i="13"/>
  <c r="AF640" i="13"/>
  <c r="AF641" i="13"/>
  <c r="AF642" i="13"/>
  <c r="AF643" i="13"/>
  <c r="AF644" i="13"/>
  <c r="AF645" i="13"/>
  <c r="AF646" i="13"/>
  <c r="AF647" i="13"/>
  <c r="AF648" i="13"/>
  <c r="AF649" i="13"/>
  <c r="AF650" i="13"/>
  <c r="AF651" i="13"/>
  <c r="AF652" i="13"/>
  <c r="AF653" i="13"/>
  <c r="AF654" i="13"/>
  <c r="AF655" i="13"/>
  <c r="AF656" i="13"/>
  <c r="AF657" i="13"/>
  <c r="AF658" i="13"/>
  <c r="AF659" i="13"/>
  <c r="AF660" i="13"/>
  <c r="AF661" i="13"/>
  <c r="AF662" i="13"/>
  <c r="AF663" i="13"/>
  <c r="AF664" i="13"/>
  <c r="AF665" i="13"/>
  <c r="AF666" i="13"/>
  <c r="AF667" i="13"/>
  <c r="AF668" i="13"/>
  <c r="AF669" i="13"/>
  <c r="AF670" i="13"/>
  <c r="AF671" i="13"/>
  <c r="AF672" i="13"/>
  <c r="AF673" i="13"/>
  <c r="AF674" i="13"/>
  <c r="AF675" i="13"/>
  <c r="AF676" i="13"/>
  <c r="AF677" i="13"/>
  <c r="AF678" i="13"/>
  <c r="AF679" i="13"/>
  <c r="AF680" i="13"/>
  <c r="AF681" i="13"/>
  <c r="AF682" i="13"/>
  <c r="AF683" i="13"/>
  <c r="AF684" i="13"/>
  <c r="AF685" i="13"/>
  <c r="AF686" i="13"/>
  <c r="AF687" i="13"/>
  <c r="AF688" i="13"/>
  <c r="AF689" i="13"/>
  <c r="AF690" i="13"/>
  <c r="AF691" i="13"/>
  <c r="AF692" i="13"/>
  <c r="AF693" i="13"/>
  <c r="AF694" i="13"/>
  <c r="AF695" i="13"/>
  <c r="AF696" i="13"/>
  <c r="AF697" i="13"/>
  <c r="AF698" i="13"/>
  <c r="AF699" i="13"/>
  <c r="AF700" i="13"/>
  <c r="AF701" i="13"/>
  <c r="AF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E301" i="13"/>
  <c r="AE302" i="13"/>
  <c r="AE303" i="13"/>
  <c r="AE304" i="13"/>
  <c r="AE305" i="13"/>
  <c r="AE306" i="13"/>
  <c r="AE307" i="13"/>
  <c r="AE308" i="13"/>
  <c r="AE309" i="13"/>
  <c r="AE310" i="13"/>
  <c r="AE311" i="13"/>
  <c r="AE312" i="13"/>
  <c r="AE313" i="13"/>
  <c r="AE314" i="13"/>
  <c r="AE315" i="13"/>
  <c r="AE316" i="13"/>
  <c r="AE317" i="13"/>
  <c r="AE318" i="13"/>
  <c r="AE319" i="13"/>
  <c r="AE320" i="13"/>
  <c r="AE321" i="13"/>
  <c r="AE322" i="13"/>
  <c r="AE323" i="13"/>
  <c r="AE324" i="13"/>
  <c r="AE325" i="13"/>
  <c r="AE326" i="13"/>
  <c r="AE327" i="13"/>
  <c r="AE328" i="13"/>
  <c r="AE329" i="13"/>
  <c r="AE330" i="13"/>
  <c r="AE331" i="13"/>
  <c r="AE332" i="13"/>
  <c r="AE333" i="13"/>
  <c r="AE334" i="13"/>
  <c r="AE335" i="13"/>
  <c r="AE336" i="13"/>
  <c r="AE337" i="13"/>
  <c r="AE338" i="13"/>
  <c r="AE339" i="13"/>
  <c r="AE340" i="13"/>
  <c r="AE341" i="13"/>
  <c r="AE342" i="13"/>
  <c r="AE343" i="13"/>
  <c r="AE344" i="13"/>
  <c r="AE345" i="13"/>
  <c r="AE346" i="13"/>
  <c r="AE347" i="13"/>
  <c r="AE348" i="13"/>
  <c r="AE349" i="13"/>
  <c r="AE350" i="13"/>
  <c r="AE351" i="13"/>
  <c r="AE352" i="13"/>
  <c r="AE353" i="13"/>
  <c r="AE354" i="13"/>
  <c r="AE355" i="13"/>
  <c r="AE356" i="13"/>
  <c r="AE357" i="13"/>
  <c r="AE358" i="13"/>
  <c r="AE359" i="13"/>
  <c r="AE360" i="13"/>
  <c r="AE361" i="13"/>
  <c r="AE362" i="13"/>
  <c r="AE363" i="13"/>
  <c r="AE364" i="13"/>
  <c r="AE365" i="13"/>
  <c r="AE366" i="13"/>
  <c r="AE367" i="13"/>
  <c r="AE368" i="13"/>
  <c r="AE369" i="13"/>
  <c r="AE370" i="13"/>
  <c r="AE371" i="13"/>
  <c r="AE372" i="13"/>
  <c r="AE373" i="13"/>
  <c r="AE374" i="13"/>
  <c r="AE375" i="13"/>
  <c r="AE376" i="13"/>
  <c r="AE377" i="13"/>
  <c r="AE378" i="13"/>
  <c r="AE379" i="13"/>
  <c r="AE380" i="13"/>
  <c r="AE381" i="13"/>
  <c r="AE382" i="13"/>
  <c r="AE383" i="13"/>
  <c r="AE384" i="13"/>
  <c r="AE385" i="13"/>
  <c r="AE386" i="13"/>
  <c r="AE387" i="13"/>
  <c r="AE388" i="13"/>
  <c r="AE389" i="13"/>
  <c r="AE390" i="13"/>
  <c r="AE391" i="13"/>
  <c r="AE392" i="13"/>
  <c r="AE393" i="13"/>
  <c r="AE394" i="13"/>
  <c r="AE395" i="13"/>
  <c r="AE396" i="13"/>
  <c r="AE397" i="13"/>
  <c r="AE398" i="13"/>
  <c r="AE399" i="13"/>
  <c r="AE400" i="13"/>
  <c r="AE401" i="13"/>
  <c r="AE402" i="13"/>
  <c r="AE403" i="13"/>
  <c r="AE404" i="13"/>
  <c r="AE405" i="13"/>
  <c r="AE406" i="13"/>
  <c r="AE407" i="13"/>
  <c r="AE408" i="13"/>
  <c r="AE409" i="13"/>
  <c r="AE410" i="13"/>
  <c r="AE411" i="13"/>
  <c r="AE412" i="13"/>
  <c r="AE413" i="13"/>
  <c r="AE414" i="13"/>
  <c r="AE415" i="13"/>
  <c r="AE416" i="13"/>
  <c r="AE417" i="13"/>
  <c r="AE418" i="13"/>
  <c r="AE419" i="13"/>
  <c r="AE420" i="13"/>
  <c r="AE421" i="13"/>
  <c r="AE422" i="13"/>
  <c r="AE423" i="13"/>
  <c r="AE424" i="13"/>
  <c r="AE425" i="13"/>
  <c r="AE426" i="13"/>
  <c r="AE427" i="13"/>
  <c r="AE428" i="13"/>
  <c r="AE429" i="13"/>
  <c r="AE430" i="13"/>
  <c r="AE431" i="13"/>
  <c r="AE432" i="13"/>
  <c r="AE433" i="13"/>
  <c r="AE434" i="13"/>
  <c r="AE435" i="13"/>
  <c r="AE436" i="13"/>
  <c r="AE437" i="13"/>
  <c r="AE438" i="13"/>
  <c r="AE439" i="13"/>
  <c r="AE440" i="13"/>
  <c r="AE441" i="13"/>
  <c r="AE442" i="13"/>
  <c r="AE443" i="13"/>
  <c r="AE444" i="13"/>
  <c r="AE445" i="13"/>
  <c r="AE446" i="13"/>
  <c r="AE447" i="13"/>
  <c r="AE448" i="13"/>
  <c r="AE449" i="13"/>
  <c r="AE450" i="13"/>
  <c r="AE451" i="13"/>
  <c r="AE452" i="13"/>
  <c r="AE453" i="13"/>
  <c r="AE454" i="13"/>
  <c r="AE455" i="13"/>
  <c r="AE456" i="13"/>
  <c r="AE457" i="13"/>
  <c r="AE458" i="13"/>
  <c r="AE459" i="13"/>
  <c r="AE460" i="13"/>
  <c r="AE461" i="13"/>
  <c r="AE462" i="13"/>
  <c r="AE463" i="13"/>
  <c r="AE464" i="13"/>
  <c r="AE465" i="13"/>
  <c r="AE466" i="13"/>
  <c r="AE467" i="13"/>
  <c r="AE468" i="13"/>
  <c r="AE469" i="13"/>
  <c r="AE470" i="13"/>
  <c r="AE471" i="13"/>
  <c r="AE472" i="13"/>
  <c r="AE473" i="13"/>
  <c r="AE474" i="13"/>
  <c r="AE475" i="13"/>
  <c r="AE476" i="13"/>
  <c r="AE477" i="13"/>
  <c r="AE478" i="13"/>
  <c r="AE479" i="13"/>
  <c r="AE480" i="13"/>
  <c r="AE481" i="13"/>
  <c r="AE482" i="13"/>
  <c r="AE483" i="13"/>
  <c r="AE484" i="13"/>
  <c r="AE485" i="13"/>
  <c r="AE486" i="13"/>
  <c r="AE487" i="13"/>
  <c r="AE488" i="13"/>
  <c r="AE489" i="13"/>
  <c r="AE490" i="13"/>
  <c r="AE491" i="13"/>
  <c r="AE492" i="13"/>
  <c r="AE493" i="13"/>
  <c r="AE494" i="13"/>
  <c r="AE495" i="13"/>
  <c r="AE496" i="13"/>
  <c r="AE497" i="13"/>
  <c r="AE498" i="13"/>
  <c r="AE499" i="13"/>
  <c r="AE500" i="13"/>
  <c r="AE501" i="13"/>
  <c r="AE502" i="13"/>
  <c r="AE503" i="13"/>
  <c r="AE504" i="13"/>
  <c r="AE505" i="13"/>
  <c r="AE506" i="13"/>
  <c r="AE507" i="13"/>
  <c r="AE508" i="13"/>
  <c r="AE509" i="13"/>
  <c r="AE510" i="13"/>
  <c r="AE511" i="13"/>
  <c r="AE512" i="13"/>
  <c r="AE513" i="13"/>
  <c r="AE514" i="13"/>
  <c r="AE515" i="13"/>
  <c r="AE516" i="13"/>
  <c r="AE517" i="13"/>
  <c r="AE518" i="13"/>
  <c r="AE519" i="13"/>
  <c r="AE520" i="13"/>
  <c r="AE521" i="13"/>
  <c r="AE522" i="13"/>
  <c r="AE523" i="13"/>
  <c r="AE524" i="13"/>
  <c r="AE525" i="13"/>
  <c r="AE526" i="13"/>
  <c r="AE527" i="13"/>
  <c r="AE528" i="13"/>
  <c r="AE529" i="13"/>
  <c r="AE530" i="13"/>
  <c r="AE531" i="13"/>
  <c r="AE532" i="13"/>
  <c r="AE533" i="13"/>
  <c r="AE534" i="13"/>
  <c r="AE535" i="13"/>
  <c r="AE536" i="13"/>
  <c r="AE537" i="13"/>
  <c r="AE538" i="13"/>
  <c r="AE539" i="13"/>
  <c r="AE540" i="13"/>
  <c r="AE541" i="13"/>
  <c r="AE542" i="13"/>
  <c r="AE543" i="13"/>
  <c r="AE544" i="13"/>
  <c r="AE545" i="13"/>
  <c r="AE546" i="13"/>
  <c r="AE547" i="13"/>
  <c r="AE548" i="13"/>
  <c r="AE549" i="13"/>
  <c r="AE550" i="13"/>
  <c r="AE551" i="13"/>
  <c r="AE552" i="13"/>
  <c r="AE553" i="13"/>
  <c r="AE554" i="13"/>
  <c r="AE555" i="13"/>
  <c r="AE556" i="13"/>
  <c r="AE557" i="13"/>
  <c r="AE558" i="13"/>
  <c r="AE559" i="13"/>
  <c r="AE560" i="13"/>
  <c r="AE561" i="13"/>
  <c r="AE562" i="13"/>
  <c r="AE563" i="13"/>
  <c r="AE564" i="13"/>
  <c r="AE565" i="13"/>
  <c r="AE566" i="13"/>
  <c r="AE567" i="13"/>
  <c r="AE568" i="13"/>
  <c r="AE569" i="13"/>
  <c r="AE570" i="13"/>
  <c r="AE571" i="13"/>
  <c r="AE572" i="13"/>
  <c r="AE573" i="13"/>
  <c r="AE574" i="13"/>
  <c r="AE575" i="13"/>
  <c r="AE576" i="13"/>
  <c r="AE577" i="13"/>
  <c r="AE578" i="13"/>
  <c r="AE579" i="13"/>
  <c r="AE580" i="13"/>
  <c r="AE581" i="13"/>
  <c r="AE582" i="13"/>
  <c r="AE583" i="13"/>
  <c r="AE584" i="13"/>
  <c r="AE585" i="13"/>
  <c r="AE586" i="13"/>
  <c r="AE587" i="13"/>
  <c r="AE588" i="13"/>
  <c r="AE589" i="13"/>
  <c r="AE590" i="13"/>
  <c r="AE591" i="13"/>
  <c r="AE592" i="13"/>
  <c r="AE593" i="13"/>
  <c r="AE594" i="13"/>
  <c r="AE595" i="13"/>
  <c r="AE596" i="13"/>
  <c r="AE597" i="13"/>
  <c r="AE598" i="13"/>
  <c r="AE599" i="13"/>
  <c r="AE600" i="13"/>
  <c r="AE601" i="13"/>
  <c r="AE602" i="13"/>
  <c r="AE603" i="13"/>
  <c r="AE604" i="13"/>
  <c r="AE605" i="13"/>
  <c r="AE606" i="13"/>
  <c r="AE607" i="13"/>
  <c r="AE608" i="13"/>
  <c r="AE609" i="13"/>
  <c r="AE610" i="13"/>
  <c r="AE611" i="13"/>
  <c r="AE612" i="13"/>
  <c r="AE613" i="13"/>
  <c r="AE614" i="13"/>
  <c r="AE615" i="13"/>
  <c r="AE616" i="13"/>
  <c r="AE617" i="13"/>
  <c r="AE618" i="13"/>
  <c r="AE619" i="13"/>
  <c r="AE620" i="13"/>
  <c r="AE621" i="13"/>
  <c r="AE622" i="13"/>
  <c r="AE623" i="13"/>
  <c r="AE624" i="13"/>
  <c r="AE625" i="13"/>
  <c r="AE626" i="13"/>
  <c r="AE627" i="13"/>
  <c r="AE628" i="13"/>
  <c r="AE629" i="13"/>
  <c r="AE630" i="13"/>
  <c r="AE631" i="13"/>
  <c r="AE632" i="13"/>
  <c r="AE633" i="13"/>
  <c r="AE634" i="13"/>
  <c r="AE635" i="13"/>
  <c r="AE636" i="13"/>
  <c r="AE637" i="13"/>
  <c r="AE638" i="13"/>
  <c r="AE639" i="13"/>
  <c r="AE640" i="13"/>
  <c r="AE641" i="13"/>
  <c r="AE642" i="13"/>
  <c r="AE643" i="13"/>
  <c r="AE644" i="13"/>
  <c r="AE645" i="13"/>
  <c r="AE646" i="13"/>
  <c r="AE647" i="13"/>
  <c r="AE648" i="13"/>
  <c r="AE649" i="13"/>
  <c r="AE650" i="13"/>
  <c r="AE651" i="13"/>
  <c r="AE652" i="13"/>
  <c r="AE653" i="13"/>
  <c r="AE654" i="13"/>
  <c r="AE655" i="13"/>
  <c r="AE656" i="13"/>
  <c r="AE657" i="13"/>
  <c r="AE658" i="13"/>
  <c r="AE659" i="13"/>
  <c r="AE660" i="13"/>
  <c r="AE661" i="13"/>
  <c r="AE662" i="13"/>
  <c r="AE663" i="13"/>
  <c r="AE664" i="13"/>
  <c r="AE665" i="13"/>
  <c r="AE666" i="13"/>
  <c r="AE667" i="13"/>
  <c r="AE668" i="13"/>
  <c r="AE669" i="13"/>
  <c r="AE670" i="13"/>
  <c r="AE671" i="13"/>
  <c r="AE672" i="13"/>
  <c r="AE673" i="13"/>
  <c r="AE674" i="13"/>
  <c r="AE675" i="13"/>
  <c r="AE676" i="13"/>
  <c r="AE677" i="13"/>
  <c r="AE678" i="13"/>
  <c r="AE679" i="13"/>
  <c r="AE680" i="13"/>
  <c r="AE681" i="13"/>
  <c r="AE682" i="13"/>
  <c r="AE683" i="13"/>
  <c r="AE684" i="13"/>
  <c r="AE685" i="13"/>
  <c r="AE686" i="13"/>
  <c r="AE687" i="13"/>
  <c r="AE688" i="13"/>
  <c r="AE689" i="13"/>
  <c r="AE690" i="13"/>
  <c r="AE691" i="13"/>
  <c r="AE692" i="13"/>
  <c r="AE693" i="13"/>
  <c r="AE694" i="13"/>
  <c r="AE695" i="13"/>
  <c r="AE696" i="13"/>
  <c r="AE697" i="13"/>
  <c r="AE698" i="13"/>
  <c r="AE699" i="13"/>
  <c r="AE700" i="13"/>
  <c r="AE701" i="13"/>
  <c r="AE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94" i="13"/>
  <c r="AD95" i="13"/>
  <c r="AD96" i="13"/>
  <c r="AD97" i="13"/>
  <c r="AD98" i="13"/>
  <c r="AD99" i="13"/>
  <c r="AD100" i="13"/>
  <c r="AD101" i="13"/>
  <c r="AD102" i="13"/>
  <c r="AD103" i="13"/>
  <c r="AD104" i="13"/>
  <c r="AD105" i="13"/>
  <c r="AD106" i="13"/>
  <c r="AD107" i="13"/>
  <c r="AD108" i="13"/>
  <c r="AD109" i="13"/>
  <c r="AD110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3" i="13"/>
  <c r="AD124" i="13"/>
  <c r="AD125" i="13"/>
  <c r="AD126" i="13"/>
  <c r="AD127" i="13"/>
  <c r="AD128" i="13"/>
  <c r="AD129" i="13"/>
  <c r="AD130" i="13"/>
  <c r="AD131" i="13"/>
  <c r="AD132" i="13"/>
  <c r="AD133" i="13"/>
  <c r="AD134" i="13"/>
  <c r="AD135" i="13"/>
  <c r="AD136" i="13"/>
  <c r="AD137" i="13"/>
  <c r="AD138" i="13"/>
  <c r="AD139" i="13"/>
  <c r="AD140" i="13"/>
  <c r="AD141" i="13"/>
  <c r="AD142" i="13"/>
  <c r="AD143" i="13"/>
  <c r="AD144" i="13"/>
  <c r="AD145" i="13"/>
  <c r="AD146" i="13"/>
  <c r="AD147" i="13"/>
  <c r="AD148" i="13"/>
  <c r="AD149" i="13"/>
  <c r="AD150" i="13"/>
  <c r="AD151" i="13"/>
  <c r="AD152" i="13"/>
  <c r="AD153" i="13"/>
  <c r="AD154" i="13"/>
  <c r="AD155" i="13"/>
  <c r="AD156" i="13"/>
  <c r="AD157" i="13"/>
  <c r="AD158" i="13"/>
  <c r="AD159" i="13"/>
  <c r="AD160" i="13"/>
  <c r="AD161" i="13"/>
  <c r="AD162" i="13"/>
  <c r="AD163" i="13"/>
  <c r="AD164" i="13"/>
  <c r="AD165" i="13"/>
  <c r="AD166" i="13"/>
  <c r="AD167" i="13"/>
  <c r="AD168" i="13"/>
  <c r="AD169" i="13"/>
  <c r="AD170" i="13"/>
  <c r="AD171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7" i="13"/>
  <c r="AD188" i="13"/>
  <c r="AD189" i="13"/>
  <c r="AD190" i="13"/>
  <c r="AD191" i="13"/>
  <c r="AD192" i="13"/>
  <c r="AD193" i="13"/>
  <c r="AD194" i="13"/>
  <c r="AD195" i="13"/>
  <c r="AD196" i="13"/>
  <c r="AD197" i="13"/>
  <c r="AD198" i="13"/>
  <c r="AD199" i="13"/>
  <c r="AD200" i="13"/>
  <c r="AD201" i="13"/>
  <c r="AD202" i="13"/>
  <c r="AD203" i="13"/>
  <c r="AD204" i="13"/>
  <c r="AD205" i="13"/>
  <c r="AD206" i="13"/>
  <c r="AD207" i="13"/>
  <c r="AD208" i="13"/>
  <c r="AD209" i="13"/>
  <c r="AD210" i="13"/>
  <c r="AD211" i="13"/>
  <c r="AD212" i="13"/>
  <c r="AD213" i="13"/>
  <c r="AD214" i="13"/>
  <c r="AD215" i="13"/>
  <c r="AD216" i="13"/>
  <c r="AD217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281" i="13"/>
  <c r="AD282" i="13"/>
  <c r="AD283" i="13"/>
  <c r="AD284" i="13"/>
  <c r="AD28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D301" i="13"/>
  <c r="AD302" i="13"/>
  <c r="AD303" i="13"/>
  <c r="AD304" i="13"/>
  <c r="AD305" i="13"/>
  <c r="AD306" i="13"/>
  <c r="AD307" i="13"/>
  <c r="AD308" i="13"/>
  <c r="AD309" i="13"/>
  <c r="AD310" i="13"/>
  <c r="AD311" i="13"/>
  <c r="AD312" i="13"/>
  <c r="AD313" i="13"/>
  <c r="AD314" i="13"/>
  <c r="AD315" i="13"/>
  <c r="AD316" i="13"/>
  <c r="AD317" i="13"/>
  <c r="AD318" i="13"/>
  <c r="AD319" i="13"/>
  <c r="AD320" i="13"/>
  <c r="AD321" i="13"/>
  <c r="AD322" i="13"/>
  <c r="AD323" i="13"/>
  <c r="AD324" i="13"/>
  <c r="AD325" i="13"/>
  <c r="AD326" i="13"/>
  <c r="AD327" i="13"/>
  <c r="AD328" i="13"/>
  <c r="AD329" i="13"/>
  <c r="AD330" i="13"/>
  <c r="AD331" i="13"/>
  <c r="AD332" i="13"/>
  <c r="AD333" i="13"/>
  <c r="AD334" i="13"/>
  <c r="AD335" i="13"/>
  <c r="AD336" i="13"/>
  <c r="AD337" i="13"/>
  <c r="AD338" i="13"/>
  <c r="AD339" i="13"/>
  <c r="AD340" i="13"/>
  <c r="AD341" i="13"/>
  <c r="AD342" i="13"/>
  <c r="AD343" i="13"/>
  <c r="AD344" i="13"/>
  <c r="AD345" i="13"/>
  <c r="AD346" i="13"/>
  <c r="AD347" i="13"/>
  <c r="AD348" i="13"/>
  <c r="AD349" i="13"/>
  <c r="AD350" i="13"/>
  <c r="AD351" i="13"/>
  <c r="AD352" i="13"/>
  <c r="AD353" i="13"/>
  <c r="AD354" i="13"/>
  <c r="AD355" i="13"/>
  <c r="AD356" i="13"/>
  <c r="AD357" i="13"/>
  <c r="AD358" i="13"/>
  <c r="AD359" i="13"/>
  <c r="AD360" i="13"/>
  <c r="AD361" i="13"/>
  <c r="AD362" i="13"/>
  <c r="AD363" i="13"/>
  <c r="AD364" i="13"/>
  <c r="AD365" i="13"/>
  <c r="AD366" i="13"/>
  <c r="AD367" i="13"/>
  <c r="AD368" i="13"/>
  <c r="AD369" i="13"/>
  <c r="AD370" i="13"/>
  <c r="AD371" i="13"/>
  <c r="AD372" i="13"/>
  <c r="AD373" i="13"/>
  <c r="AD374" i="13"/>
  <c r="AD375" i="13"/>
  <c r="AD376" i="13"/>
  <c r="AD377" i="13"/>
  <c r="AD378" i="13"/>
  <c r="AD379" i="13"/>
  <c r="AD380" i="13"/>
  <c r="AD381" i="13"/>
  <c r="AD382" i="13"/>
  <c r="AD383" i="13"/>
  <c r="AD384" i="13"/>
  <c r="AD385" i="13"/>
  <c r="AD386" i="13"/>
  <c r="AD387" i="13"/>
  <c r="AD388" i="13"/>
  <c r="AD389" i="13"/>
  <c r="AD390" i="13"/>
  <c r="AD391" i="13"/>
  <c r="AD392" i="13"/>
  <c r="AD393" i="13"/>
  <c r="AD394" i="13"/>
  <c r="AD395" i="13"/>
  <c r="AD396" i="13"/>
  <c r="AD397" i="13"/>
  <c r="AD398" i="13"/>
  <c r="AD399" i="13"/>
  <c r="AD400" i="13"/>
  <c r="AD401" i="13"/>
  <c r="AD402" i="13"/>
  <c r="AD403" i="13"/>
  <c r="AD404" i="13"/>
  <c r="AD405" i="13"/>
  <c r="AD406" i="13"/>
  <c r="AD407" i="13"/>
  <c r="AD408" i="13"/>
  <c r="AD409" i="13"/>
  <c r="AD410" i="13"/>
  <c r="AD411" i="13"/>
  <c r="AD412" i="13"/>
  <c r="AD413" i="13"/>
  <c r="AD414" i="13"/>
  <c r="AD415" i="13"/>
  <c r="AD416" i="13"/>
  <c r="AD417" i="13"/>
  <c r="AD418" i="13"/>
  <c r="AD419" i="13"/>
  <c r="AD420" i="13"/>
  <c r="AD421" i="13"/>
  <c r="AD422" i="13"/>
  <c r="AD423" i="13"/>
  <c r="AD424" i="13"/>
  <c r="AD425" i="13"/>
  <c r="AD426" i="13"/>
  <c r="AD427" i="13"/>
  <c r="AD428" i="13"/>
  <c r="AD429" i="13"/>
  <c r="AD430" i="13"/>
  <c r="AD431" i="13"/>
  <c r="AD432" i="13"/>
  <c r="AD433" i="13"/>
  <c r="AD434" i="13"/>
  <c r="AD435" i="13"/>
  <c r="AD436" i="13"/>
  <c r="AD437" i="13"/>
  <c r="AD438" i="13"/>
  <c r="AD439" i="13"/>
  <c r="AD440" i="13"/>
  <c r="AD441" i="13"/>
  <c r="AD442" i="13"/>
  <c r="AD443" i="13"/>
  <c r="AD444" i="13"/>
  <c r="AD445" i="13"/>
  <c r="AD446" i="13"/>
  <c r="AD447" i="13"/>
  <c r="AD448" i="13"/>
  <c r="AD449" i="13"/>
  <c r="AD450" i="13"/>
  <c r="AD451" i="13"/>
  <c r="AD452" i="13"/>
  <c r="AD453" i="13"/>
  <c r="AD454" i="13"/>
  <c r="AD455" i="13"/>
  <c r="AD456" i="13"/>
  <c r="AD457" i="13"/>
  <c r="AD458" i="13"/>
  <c r="AD459" i="13"/>
  <c r="AD460" i="13"/>
  <c r="AD461" i="13"/>
  <c r="AD462" i="13"/>
  <c r="AD463" i="13"/>
  <c r="AD464" i="13"/>
  <c r="AD465" i="13"/>
  <c r="AD466" i="13"/>
  <c r="AD467" i="13"/>
  <c r="AD468" i="13"/>
  <c r="AD469" i="13"/>
  <c r="AD470" i="13"/>
  <c r="AD471" i="13"/>
  <c r="AD472" i="13"/>
  <c r="AD473" i="13"/>
  <c r="AD474" i="13"/>
  <c r="AD475" i="13"/>
  <c r="AD476" i="13"/>
  <c r="AD477" i="13"/>
  <c r="AD478" i="13"/>
  <c r="AD479" i="13"/>
  <c r="AD480" i="13"/>
  <c r="AD481" i="13"/>
  <c r="AD482" i="13"/>
  <c r="AD483" i="13"/>
  <c r="AD484" i="13"/>
  <c r="AD485" i="13"/>
  <c r="AD486" i="13"/>
  <c r="AD487" i="13"/>
  <c r="AD488" i="13"/>
  <c r="AD489" i="13"/>
  <c r="AD490" i="13"/>
  <c r="AD491" i="13"/>
  <c r="AD492" i="13"/>
  <c r="AD493" i="13"/>
  <c r="AD494" i="13"/>
  <c r="AD495" i="13"/>
  <c r="AD496" i="13"/>
  <c r="AD497" i="13"/>
  <c r="AD498" i="13"/>
  <c r="AD499" i="13"/>
  <c r="AD500" i="13"/>
  <c r="AD501" i="13"/>
  <c r="AD502" i="13"/>
  <c r="AD503" i="13"/>
  <c r="AD504" i="13"/>
  <c r="AD505" i="13"/>
  <c r="AD506" i="13"/>
  <c r="AD507" i="13"/>
  <c r="AD508" i="13"/>
  <c r="AD509" i="13"/>
  <c r="AD510" i="13"/>
  <c r="AD511" i="13"/>
  <c r="AD512" i="13"/>
  <c r="AD513" i="13"/>
  <c r="AD514" i="13"/>
  <c r="AD515" i="13"/>
  <c r="AD516" i="13"/>
  <c r="AD517" i="13"/>
  <c r="AD518" i="13"/>
  <c r="AD519" i="13"/>
  <c r="AD520" i="13"/>
  <c r="AD521" i="13"/>
  <c r="AD522" i="13"/>
  <c r="AD523" i="13"/>
  <c r="AD524" i="13"/>
  <c r="AD525" i="13"/>
  <c r="AD526" i="13"/>
  <c r="AD527" i="13"/>
  <c r="AD528" i="13"/>
  <c r="AD529" i="13"/>
  <c r="AD530" i="13"/>
  <c r="AD531" i="13"/>
  <c r="AD532" i="13"/>
  <c r="AD533" i="13"/>
  <c r="AD534" i="13"/>
  <c r="AD535" i="13"/>
  <c r="AD536" i="13"/>
  <c r="AD537" i="13"/>
  <c r="AD538" i="13"/>
  <c r="AD539" i="13"/>
  <c r="AD540" i="13"/>
  <c r="AD541" i="13"/>
  <c r="AD542" i="13"/>
  <c r="AD543" i="13"/>
  <c r="AD544" i="13"/>
  <c r="AD545" i="13"/>
  <c r="AD546" i="13"/>
  <c r="AD547" i="13"/>
  <c r="AD548" i="13"/>
  <c r="AD549" i="13"/>
  <c r="AD550" i="13"/>
  <c r="AD551" i="13"/>
  <c r="AD552" i="13"/>
  <c r="AD553" i="13"/>
  <c r="AD554" i="13"/>
  <c r="AD555" i="13"/>
  <c r="AD556" i="13"/>
  <c r="AD557" i="13"/>
  <c r="AD558" i="13"/>
  <c r="AD559" i="13"/>
  <c r="AD560" i="13"/>
  <c r="AD561" i="13"/>
  <c r="AD562" i="13"/>
  <c r="AD563" i="13"/>
  <c r="AD564" i="13"/>
  <c r="AD565" i="13"/>
  <c r="AD566" i="13"/>
  <c r="AD567" i="13"/>
  <c r="AD568" i="13"/>
  <c r="AD569" i="13"/>
  <c r="AD570" i="13"/>
  <c r="AD571" i="13"/>
  <c r="AD572" i="13"/>
  <c r="AD573" i="13"/>
  <c r="AD574" i="13"/>
  <c r="AD575" i="13"/>
  <c r="AD576" i="13"/>
  <c r="AD577" i="13"/>
  <c r="AD578" i="13"/>
  <c r="AD579" i="13"/>
  <c r="AD580" i="13"/>
  <c r="AD581" i="13"/>
  <c r="AD582" i="13"/>
  <c r="AD583" i="13"/>
  <c r="AD584" i="13"/>
  <c r="AD585" i="13"/>
  <c r="AD586" i="13"/>
  <c r="AD587" i="13"/>
  <c r="AD588" i="13"/>
  <c r="AD589" i="13"/>
  <c r="AD590" i="13"/>
  <c r="AD591" i="13"/>
  <c r="AD592" i="13"/>
  <c r="AD593" i="13"/>
  <c r="AD594" i="13"/>
  <c r="AD595" i="13"/>
  <c r="AD596" i="13"/>
  <c r="AD597" i="13"/>
  <c r="AD598" i="13"/>
  <c r="AD599" i="13"/>
  <c r="AD600" i="13"/>
  <c r="AD601" i="13"/>
  <c r="AD602" i="13"/>
  <c r="AD603" i="13"/>
  <c r="AD604" i="13"/>
  <c r="AD605" i="13"/>
  <c r="AD606" i="13"/>
  <c r="AD607" i="13"/>
  <c r="AD608" i="13"/>
  <c r="AD609" i="13"/>
  <c r="AD610" i="13"/>
  <c r="AD611" i="13"/>
  <c r="AD612" i="13"/>
  <c r="AD613" i="13"/>
  <c r="AD614" i="13"/>
  <c r="AD615" i="13"/>
  <c r="AD616" i="13"/>
  <c r="AD617" i="13"/>
  <c r="AD618" i="13"/>
  <c r="AD619" i="13"/>
  <c r="AD620" i="13"/>
  <c r="AD621" i="13"/>
  <c r="AD622" i="13"/>
  <c r="AD623" i="13"/>
  <c r="AD624" i="13"/>
  <c r="AD625" i="13"/>
  <c r="AD626" i="13"/>
  <c r="AD627" i="13"/>
  <c r="AD628" i="13"/>
  <c r="AD629" i="13"/>
  <c r="AD630" i="13"/>
  <c r="AD631" i="13"/>
  <c r="AD632" i="13"/>
  <c r="AD633" i="13"/>
  <c r="AD634" i="13"/>
  <c r="AD635" i="13"/>
  <c r="AD636" i="13"/>
  <c r="AD637" i="13"/>
  <c r="AD638" i="13"/>
  <c r="AD639" i="13"/>
  <c r="AD640" i="13"/>
  <c r="AD641" i="13"/>
  <c r="AD642" i="13"/>
  <c r="AD643" i="13"/>
  <c r="AD644" i="13"/>
  <c r="AD645" i="13"/>
  <c r="AD646" i="13"/>
  <c r="AD647" i="13"/>
  <c r="AD648" i="13"/>
  <c r="AD649" i="13"/>
  <c r="AD650" i="13"/>
  <c r="AD651" i="13"/>
  <c r="AD652" i="13"/>
  <c r="AD653" i="13"/>
  <c r="AD654" i="13"/>
  <c r="AD655" i="13"/>
  <c r="AD656" i="13"/>
  <c r="AD657" i="13"/>
  <c r="AD658" i="13"/>
  <c r="AD659" i="13"/>
  <c r="AD660" i="13"/>
  <c r="AD661" i="13"/>
  <c r="AD662" i="13"/>
  <c r="AD663" i="13"/>
  <c r="AD664" i="13"/>
  <c r="AD665" i="13"/>
  <c r="AD666" i="13"/>
  <c r="AD667" i="13"/>
  <c r="AD668" i="13"/>
  <c r="AD669" i="13"/>
  <c r="AD670" i="13"/>
  <c r="AD671" i="13"/>
  <c r="AD672" i="13"/>
  <c r="AD673" i="13"/>
  <c r="AD674" i="13"/>
  <c r="AD675" i="13"/>
  <c r="AD676" i="13"/>
  <c r="AD677" i="13"/>
  <c r="AD678" i="13"/>
  <c r="AD679" i="13"/>
  <c r="AD680" i="13"/>
  <c r="AD681" i="13"/>
  <c r="AD682" i="13"/>
  <c r="AD683" i="13"/>
  <c r="AD684" i="13"/>
  <c r="AD685" i="13"/>
  <c r="AD686" i="13"/>
  <c r="AD687" i="13"/>
  <c r="AD688" i="13"/>
  <c r="AD689" i="13"/>
  <c r="AD690" i="13"/>
  <c r="AD691" i="13"/>
  <c r="AD692" i="13"/>
  <c r="AD693" i="13"/>
  <c r="AD694" i="13"/>
  <c r="AD695" i="13"/>
  <c r="AD696" i="13"/>
  <c r="AD697" i="13"/>
  <c r="AD698" i="13"/>
  <c r="AD699" i="13"/>
  <c r="AD700" i="13"/>
  <c r="AD701" i="13"/>
  <c r="AD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C301" i="13"/>
  <c r="AC302" i="13"/>
  <c r="AC303" i="13"/>
  <c r="AC304" i="13"/>
  <c r="AC305" i="13"/>
  <c r="AC306" i="13"/>
  <c r="AC307" i="13"/>
  <c r="AC308" i="13"/>
  <c r="AC309" i="13"/>
  <c r="AC310" i="13"/>
  <c r="AC311" i="13"/>
  <c r="AC312" i="13"/>
  <c r="AC313" i="13"/>
  <c r="AC314" i="13"/>
  <c r="AC315" i="13"/>
  <c r="AC316" i="13"/>
  <c r="AC317" i="13"/>
  <c r="AC318" i="13"/>
  <c r="AC319" i="13"/>
  <c r="AC320" i="13"/>
  <c r="AC321" i="13"/>
  <c r="AC322" i="13"/>
  <c r="AC323" i="13"/>
  <c r="AC324" i="13"/>
  <c r="AC325" i="13"/>
  <c r="AC326" i="13"/>
  <c r="AC327" i="13"/>
  <c r="AC328" i="13"/>
  <c r="AC329" i="13"/>
  <c r="AC330" i="13"/>
  <c r="AC331" i="13"/>
  <c r="AC332" i="13"/>
  <c r="AC333" i="13"/>
  <c r="AC334" i="13"/>
  <c r="AC335" i="13"/>
  <c r="AC336" i="13"/>
  <c r="AC337" i="13"/>
  <c r="AC338" i="13"/>
  <c r="AC339" i="13"/>
  <c r="AC340" i="13"/>
  <c r="AC341" i="13"/>
  <c r="AC342" i="13"/>
  <c r="AC343" i="13"/>
  <c r="AC344" i="13"/>
  <c r="AC345" i="13"/>
  <c r="AC346" i="13"/>
  <c r="AC347" i="13"/>
  <c r="AC348" i="13"/>
  <c r="AC349" i="13"/>
  <c r="AC350" i="13"/>
  <c r="AC351" i="13"/>
  <c r="AC352" i="13"/>
  <c r="AC353" i="13"/>
  <c r="AC354" i="13"/>
  <c r="AC355" i="13"/>
  <c r="AC356" i="13"/>
  <c r="AC357" i="13"/>
  <c r="AC358" i="13"/>
  <c r="AC359" i="13"/>
  <c r="AC360" i="13"/>
  <c r="AC361" i="13"/>
  <c r="AC362" i="13"/>
  <c r="AC363" i="13"/>
  <c r="AC364" i="13"/>
  <c r="AC365" i="13"/>
  <c r="AC366" i="13"/>
  <c r="AC367" i="13"/>
  <c r="AC368" i="13"/>
  <c r="AC369" i="13"/>
  <c r="AC370" i="13"/>
  <c r="AC371" i="13"/>
  <c r="AC372" i="13"/>
  <c r="AC373" i="13"/>
  <c r="AC374" i="13"/>
  <c r="AC375" i="13"/>
  <c r="AC376" i="13"/>
  <c r="AC377" i="13"/>
  <c r="AC378" i="13"/>
  <c r="AC379" i="13"/>
  <c r="AC380" i="13"/>
  <c r="AC381" i="13"/>
  <c r="AC382" i="13"/>
  <c r="AC383" i="13"/>
  <c r="AC384" i="13"/>
  <c r="AC385" i="13"/>
  <c r="AC386" i="13"/>
  <c r="AC387" i="13"/>
  <c r="AC388" i="13"/>
  <c r="AC389" i="13"/>
  <c r="AC390" i="13"/>
  <c r="AC391" i="13"/>
  <c r="AC392" i="13"/>
  <c r="AC393" i="13"/>
  <c r="AC394" i="13"/>
  <c r="AC395" i="13"/>
  <c r="AC396" i="13"/>
  <c r="AC397" i="13"/>
  <c r="AC398" i="13"/>
  <c r="AC399" i="13"/>
  <c r="AC400" i="13"/>
  <c r="AC401" i="13"/>
  <c r="AC402" i="13"/>
  <c r="AC403" i="13"/>
  <c r="AC404" i="13"/>
  <c r="AC405" i="13"/>
  <c r="AC406" i="13"/>
  <c r="AC407" i="13"/>
  <c r="AC408" i="13"/>
  <c r="AC409" i="13"/>
  <c r="AC410" i="13"/>
  <c r="AC411" i="13"/>
  <c r="AC412" i="13"/>
  <c r="AC413" i="13"/>
  <c r="AC414" i="13"/>
  <c r="AC415" i="13"/>
  <c r="AC416" i="13"/>
  <c r="AC417" i="13"/>
  <c r="AC418" i="13"/>
  <c r="AC419" i="13"/>
  <c r="AC420" i="13"/>
  <c r="AC421" i="13"/>
  <c r="AC422" i="13"/>
  <c r="AC423" i="13"/>
  <c r="AC424" i="13"/>
  <c r="AC425" i="13"/>
  <c r="AC426" i="13"/>
  <c r="AC427" i="13"/>
  <c r="AC428" i="13"/>
  <c r="AC429" i="13"/>
  <c r="AC430" i="13"/>
  <c r="AC431" i="13"/>
  <c r="AC432" i="13"/>
  <c r="AC433" i="13"/>
  <c r="AC434" i="13"/>
  <c r="AC435" i="13"/>
  <c r="AC436" i="13"/>
  <c r="AC437" i="13"/>
  <c r="AC438" i="13"/>
  <c r="AC439" i="13"/>
  <c r="AC440" i="13"/>
  <c r="AC441" i="13"/>
  <c r="AC442" i="13"/>
  <c r="AC443" i="13"/>
  <c r="AC444" i="13"/>
  <c r="AC445" i="13"/>
  <c r="AC446" i="13"/>
  <c r="AC447" i="13"/>
  <c r="AC448" i="13"/>
  <c r="AC449" i="13"/>
  <c r="AC450" i="13"/>
  <c r="AC451" i="13"/>
  <c r="AC452" i="13"/>
  <c r="AC453" i="13"/>
  <c r="AC454" i="13"/>
  <c r="AC455" i="13"/>
  <c r="AC456" i="13"/>
  <c r="AC457" i="13"/>
  <c r="AC458" i="13"/>
  <c r="AC459" i="13"/>
  <c r="AC460" i="13"/>
  <c r="AC461" i="13"/>
  <c r="AC462" i="13"/>
  <c r="AC463" i="13"/>
  <c r="AC464" i="13"/>
  <c r="AC465" i="13"/>
  <c r="AC466" i="13"/>
  <c r="AC467" i="13"/>
  <c r="AC468" i="13"/>
  <c r="AC469" i="13"/>
  <c r="AC470" i="13"/>
  <c r="AC471" i="13"/>
  <c r="AC472" i="13"/>
  <c r="AC473" i="13"/>
  <c r="AC474" i="13"/>
  <c r="AC475" i="13"/>
  <c r="AC476" i="13"/>
  <c r="AC477" i="13"/>
  <c r="AC478" i="13"/>
  <c r="AC479" i="13"/>
  <c r="AC480" i="13"/>
  <c r="AC481" i="13"/>
  <c r="AC482" i="13"/>
  <c r="AC483" i="13"/>
  <c r="AC484" i="13"/>
  <c r="AC485" i="13"/>
  <c r="AC486" i="13"/>
  <c r="AC487" i="13"/>
  <c r="AC488" i="13"/>
  <c r="AC489" i="13"/>
  <c r="AC490" i="13"/>
  <c r="AC491" i="13"/>
  <c r="AC492" i="13"/>
  <c r="AC493" i="13"/>
  <c r="AC494" i="13"/>
  <c r="AC495" i="13"/>
  <c r="AC496" i="13"/>
  <c r="AC497" i="13"/>
  <c r="AC498" i="13"/>
  <c r="AC499" i="13"/>
  <c r="AC500" i="13"/>
  <c r="AC501" i="13"/>
  <c r="AC502" i="13"/>
  <c r="AC503" i="13"/>
  <c r="AC504" i="13"/>
  <c r="AC505" i="13"/>
  <c r="AC506" i="13"/>
  <c r="AC507" i="13"/>
  <c r="AC508" i="13"/>
  <c r="AC509" i="13"/>
  <c r="AC510" i="13"/>
  <c r="AC511" i="13"/>
  <c r="AC512" i="13"/>
  <c r="AC513" i="13"/>
  <c r="AC514" i="13"/>
  <c r="AC515" i="13"/>
  <c r="AC516" i="13"/>
  <c r="AC517" i="13"/>
  <c r="AC518" i="13"/>
  <c r="AC519" i="13"/>
  <c r="AC520" i="13"/>
  <c r="AC521" i="13"/>
  <c r="AC522" i="13"/>
  <c r="AC523" i="13"/>
  <c r="AC524" i="13"/>
  <c r="AC525" i="13"/>
  <c r="AC526" i="13"/>
  <c r="AC527" i="13"/>
  <c r="AC528" i="13"/>
  <c r="AC529" i="13"/>
  <c r="AC530" i="13"/>
  <c r="AC531" i="13"/>
  <c r="AC532" i="13"/>
  <c r="AC533" i="13"/>
  <c r="AC534" i="13"/>
  <c r="AC535" i="13"/>
  <c r="AC536" i="13"/>
  <c r="AC537" i="13"/>
  <c r="AC538" i="13"/>
  <c r="AC539" i="13"/>
  <c r="AC540" i="13"/>
  <c r="AC541" i="13"/>
  <c r="AC542" i="13"/>
  <c r="AC543" i="13"/>
  <c r="AC544" i="13"/>
  <c r="AC545" i="13"/>
  <c r="AC546" i="13"/>
  <c r="AC547" i="13"/>
  <c r="AC548" i="13"/>
  <c r="AC549" i="13"/>
  <c r="AC550" i="13"/>
  <c r="AC551" i="13"/>
  <c r="AC552" i="13"/>
  <c r="AC553" i="13"/>
  <c r="AC554" i="13"/>
  <c r="AC555" i="13"/>
  <c r="AC556" i="13"/>
  <c r="AC557" i="13"/>
  <c r="AC558" i="13"/>
  <c r="AC559" i="13"/>
  <c r="AC560" i="13"/>
  <c r="AC561" i="13"/>
  <c r="AC562" i="13"/>
  <c r="AC563" i="13"/>
  <c r="AC564" i="13"/>
  <c r="AC565" i="13"/>
  <c r="AC566" i="13"/>
  <c r="AC567" i="13"/>
  <c r="AC568" i="13"/>
  <c r="AC569" i="13"/>
  <c r="AC570" i="13"/>
  <c r="AC571" i="13"/>
  <c r="AC572" i="13"/>
  <c r="AC573" i="13"/>
  <c r="AC574" i="13"/>
  <c r="AC575" i="13"/>
  <c r="AC576" i="13"/>
  <c r="AC577" i="13"/>
  <c r="AC578" i="13"/>
  <c r="AC579" i="13"/>
  <c r="AC580" i="13"/>
  <c r="AC581" i="13"/>
  <c r="AC582" i="13"/>
  <c r="AC583" i="13"/>
  <c r="AC584" i="13"/>
  <c r="AC585" i="13"/>
  <c r="AC586" i="13"/>
  <c r="AC587" i="13"/>
  <c r="AC588" i="13"/>
  <c r="AC589" i="13"/>
  <c r="AC590" i="13"/>
  <c r="AC591" i="13"/>
  <c r="AC592" i="13"/>
  <c r="AC593" i="13"/>
  <c r="AC594" i="13"/>
  <c r="AC595" i="13"/>
  <c r="AC596" i="13"/>
  <c r="AC597" i="13"/>
  <c r="AC598" i="13"/>
  <c r="AC599" i="13"/>
  <c r="AC600" i="13"/>
  <c r="AC601" i="13"/>
  <c r="AC602" i="13"/>
  <c r="AC603" i="13"/>
  <c r="AC604" i="13"/>
  <c r="AC605" i="13"/>
  <c r="AC606" i="13"/>
  <c r="AC607" i="13"/>
  <c r="AC608" i="13"/>
  <c r="AC609" i="13"/>
  <c r="AC610" i="13"/>
  <c r="AC611" i="13"/>
  <c r="AC612" i="13"/>
  <c r="AC613" i="13"/>
  <c r="AC614" i="13"/>
  <c r="AC615" i="13"/>
  <c r="AC616" i="13"/>
  <c r="AC617" i="13"/>
  <c r="AC618" i="13"/>
  <c r="AC619" i="13"/>
  <c r="AC620" i="13"/>
  <c r="AC621" i="13"/>
  <c r="AC622" i="13"/>
  <c r="AC623" i="13"/>
  <c r="AC624" i="13"/>
  <c r="AC625" i="13"/>
  <c r="AC626" i="13"/>
  <c r="AC627" i="13"/>
  <c r="AC628" i="13"/>
  <c r="AC629" i="13"/>
  <c r="AC630" i="13"/>
  <c r="AC631" i="13"/>
  <c r="AC632" i="13"/>
  <c r="AC633" i="13"/>
  <c r="AC634" i="13"/>
  <c r="AC635" i="13"/>
  <c r="AC636" i="13"/>
  <c r="AC637" i="13"/>
  <c r="AC638" i="13"/>
  <c r="AC639" i="13"/>
  <c r="AC640" i="13"/>
  <c r="AC641" i="13"/>
  <c r="AC642" i="13"/>
  <c r="AC643" i="13"/>
  <c r="AC644" i="13"/>
  <c r="AC645" i="13"/>
  <c r="AC646" i="13"/>
  <c r="AC647" i="13"/>
  <c r="AC648" i="13"/>
  <c r="AC649" i="13"/>
  <c r="AC650" i="13"/>
  <c r="AC651" i="13"/>
  <c r="AC652" i="13"/>
  <c r="AC653" i="13"/>
  <c r="AC654" i="13"/>
  <c r="AC655" i="13"/>
  <c r="AC656" i="13"/>
  <c r="AC657" i="13"/>
  <c r="AC658" i="13"/>
  <c r="AC659" i="13"/>
  <c r="AC660" i="13"/>
  <c r="AC661" i="13"/>
  <c r="AC662" i="13"/>
  <c r="AC663" i="13"/>
  <c r="AC664" i="13"/>
  <c r="AC665" i="13"/>
  <c r="AC666" i="13"/>
  <c r="AC667" i="13"/>
  <c r="AC668" i="13"/>
  <c r="AC669" i="13"/>
  <c r="AC670" i="13"/>
  <c r="AC671" i="13"/>
  <c r="AC672" i="13"/>
  <c r="AC673" i="13"/>
  <c r="AC674" i="13"/>
  <c r="AC675" i="13"/>
  <c r="AC676" i="13"/>
  <c r="AC677" i="13"/>
  <c r="AC678" i="13"/>
  <c r="AC679" i="13"/>
  <c r="AC680" i="13"/>
  <c r="AC681" i="13"/>
  <c r="AC682" i="13"/>
  <c r="AC683" i="13"/>
  <c r="AC684" i="13"/>
  <c r="AC685" i="13"/>
  <c r="AC686" i="13"/>
  <c r="AC687" i="13"/>
  <c r="AC688" i="13"/>
  <c r="AC689" i="13"/>
  <c r="AC690" i="13"/>
  <c r="AC691" i="13"/>
  <c r="AC692" i="13"/>
  <c r="AC693" i="13"/>
  <c r="AC694" i="13"/>
  <c r="AC695" i="13"/>
  <c r="AC696" i="13"/>
  <c r="AC697" i="13"/>
  <c r="AC698" i="13"/>
  <c r="AC699" i="13"/>
  <c r="AC700" i="13"/>
  <c r="AC701" i="13"/>
  <c r="AC2" i="13"/>
  <c r="BQ3" i="13"/>
  <c r="BQ4" i="13"/>
  <c r="BQ5" i="13"/>
  <c r="BQ6" i="13"/>
  <c r="BQ7" i="13"/>
  <c r="BQ8" i="13"/>
  <c r="BQ9" i="13"/>
  <c r="BQ10" i="13"/>
  <c r="BQ11" i="13"/>
  <c r="BQ12" i="13"/>
  <c r="BQ13" i="13"/>
  <c r="BQ14" i="13"/>
  <c r="BQ15" i="13"/>
  <c r="BQ16" i="13"/>
  <c r="BQ17" i="13"/>
  <c r="BQ18" i="13"/>
  <c r="BQ19" i="13"/>
  <c r="BQ20" i="13"/>
  <c r="BQ21" i="13"/>
  <c r="BQ22" i="13"/>
  <c r="BQ23" i="13"/>
  <c r="BQ24" i="13"/>
  <c r="BQ25" i="13"/>
  <c r="BQ26" i="13"/>
  <c r="BQ27" i="13"/>
  <c r="BQ28" i="13"/>
  <c r="BQ29" i="13"/>
  <c r="BQ30" i="13"/>
  <c r="BQ31" i="13"/>
  <c r="BQ32" i="13"/>
  <c r="BQ33" i="13"/>
  <c r="BQ34" i="13"/>
  <c r="BQ35" i="13"/>
  <c r="BQ36" i="13"/>
  <c r="BQ37" i="13"/>
  <c r="BQ38" i="13"/>
  <c r="BQ39" i="13"/>
  <c r="BQ40" i="13"/>
  <c r="BQ41" i="13"/>
  <c r="BQ42" i="13"/>
  <c r="BQ43" i="13"/>
  <c r="BQ44" i="13"/>
  <c r="BQ45" i="13"/>
  <c r="BQ46" i="13"/>
  <c r="BQ47" i="13"/>
  <c r="BQ48" i="13"/>
  <c r="BQ49" i="13"/>
  <c r="BQ50" i="13"/>
  <c r="BQ51" i="13"/>
  <c r="BQ52" i="13"/>
  <c r="BQ53" i="13"/>
  <c r="BQ54" i="13"/>
  <c r="BQ55" i="13"/>
  <c r="BQ56" i="13"/>
  <c r="BQ57" i="13"/>
  <c r="BQ58" i="13"/>
  <c r="BQ59" i="13"/>
  <c r="BQ60" i="13"/>
  <c r="BQ61" i="13"/>
  <c r="BQ62" i="13"/>
  <c r="BQ63" i="13"/>
  <c r="BQ64" i="13"/>
  <c r="BQ65" i="13"/>
  <c r="BQ66" i="13"/>
  <c r="BQ67" i="13"/>
  <c r="BQ68" i="13"/>
  <c r="BQ69" i="13"/>
  <c r="BQ70" i="13"/>
  <c r="BQ71" i="13"/>
  <c r="BQ72" i="13"/>
  <c r="BQ73" i="13"/>
  <c r="BQ74" i="13"/>
  <c r="BQ75" i="13"/>
  <c r="BQ76" i="13"/>
  <c r="BQ77" i="13"/>
  <c r="BQ78" i="13"/>
  <c r="BQ79" i="13"/>
  <c r="BQ80" i="13"/>
  <c r="BQ81" i="13"/>
  <c r="BQ82" i="13"/>
  <c r="BQ83" i="13"/>
  <c r="BQ84" i="13"/>
  <c r="BQ85" i="13"/>
  <c r="BQ86" i="13"/>
  <c r="BQ87" i="13"/>
  <c r="BQ88" i="13"/>
  <c r="BQ89" i="13"/>
  <c r="BQ90" i="13"/>
  <c r="BQ91" i="13"/>
  <c r="BQ92" i="13"/>
  <c r="BQ93" i="13"/>
  <c r="BQ94" i="13"/>
  <c r="BQ95" i="13"/>
  <c r="BQ96" i="13"/>
  <c r="BQ97" i="13"/>
  <c r="BQ98" i="13"/>
  <c r="BQ99" i="13"/>
  <c r="BQ100" i="13"/>
  <c r="BQ101" i="13"/>
  <c r="BQ102" i="13"/>
  <c r="BQ103" i="13"/>
  <c r="BQ104" i="13"/>
  <c r="BQ105" i="13"/>
  <c r="BQ106" i="13"/>
  <c r="BQ107" i="13"/>
  <c r="BQ108" i="13"/>
  <c r="BQ109" i="13"/>
  <c r="BQ110" i="13"/>
  <c r="BQ111" i="13"/>
  <c r="BQ112" i="13"/>
  <c r="BQ113" i="13"/>
  <c r="BQ114" i="13"/>
  <c r="BQ115" i="13"/>
  <c r="BQ116" i="13"/>
  <c r="BQ117" i="13"/>
  <c r="BQ118" i="13"/>
  <c r="BQ119" i="13"/>
  <c r="BQ120" i="13"/>
  <c r="BQ121" i="13"/>
  <c r="BQ122" i="13"/>
  <c r="BQ123" i="13"/>
  <c r="BQ124" i="13"/>
  <c r="BQ125" i="13"/>
  <c r="BQ126" i="13"/>
  <c r="BQ127" i="13"/>
  <c r="BQ128" i="13"/>
  <c r="BQ129" i="13"/>
  <c r="BQ130" i="13"/>
  <c r="BQ131" i="13"/>
  <c r="BQ132" i="13"/>
  <c r="BQ133" i="13"/>
  <c r="BQ134" i="13"/>
  <c r="BQ135" i="13"/>
  <c r="BQ136" i="13"/>
  <c r="BQ137" i="13"/>
  <c r="BQ138" i="13"/>
  <c r="BQ139" i="13"/>
  <c r="BQ140" i="13"/>
  <c r="BQ141" i="13"/>
  <c r="BQ142" i="13"/>
  <c r="BQ143" i="13"/>
  <c r="BQ144" i="13"/>
  <c r="BQ145" i="13"/>
  <c r="BQ146" i="13"/>
  <c r="BQ147" i="13"/>
  <c r="BQ148" i="13"/>
  <c r="BQ149" i="13"/>
  <c r="BQ150" i="13"/>
  <c r="BQ151" i="13"/>
  <c r="BQ152" i="13"/>
  <c r="BQ153" i="13"/>
  <c r="BQ154" i="13"/>
  <c r="BQ155" i="13"/>
  <c r="BQ156" i="13"/>
  <c r="BQ157" i="13"/>
  <c r="BQ158" i="13"/>
  <c r="BQ159" i="13"/>
  <c r="BQ160" i="13"/>
  <c r="BQ161" i="13"/>
  <c r="BQ162" i="13"/>
  <c r="BQ163" i="13"/>
  <c r="BQ164" i="13"/>
  <c r="BQ165" i="13"/>
  <c r="BQ166" i="13"/>
  <c r="BQ167" i="13"/>
  <c r="BQ168" i="13"/>
  <c r="BQ169" i="13"/>
  <c r="BQ170" i="13"/>
  <c r="BQ171" i="13"/>
  <c r="BQ172" i="13"/>
  <c r="BQ173" i="13"/>
  <c r="BQ174" i="13"/>
  <c r="BQ175" i="13"/>
  <c r="BQ176" i="13"/>
  <c r="BQ177" i="13"/>
  <c r="BQ178" i="13"/>
  <c r="BQ179" i="13"/>
  <c r="BQ180" i="13"/>
  <c r="BQ181" i="13"/>
  <c r="BQ182" i="13"/>
  <c r="BQ183" i="13"/>
  <c r="BQ184" i="13"/>
  <c r="BQ185" i="13"/>
  <c r="BQ186" i="13"/>
  <c r="BQ187" i="13"/>
  <c r="BQ188" i="13"/>
  <c r="BQ189" i="13"/>
  <c r="BQ190" i="13"/>
  <c r="BQ191" i="13"/>
  <c r="BQ192" i="13"/>
  <c r="BQ193" i="13"/>
  <c r="BQ194" i="13"/>
  <c r="BQ195" i="13"/>
  <c r="BQ196" i="13"/>
  <c r="BQ197" i="13"/>
  <c r="BQ198" i="13"/>
  <c r="BQ199" i="13"/>
  <c r="BQ200" i="13"/>
  <c r="BQ201" i="13"/>
  <c r="BQ202" i="13"/>
  <c r="BQ203" i="13"/>
  <c r="BQ204" i="13"/>
  <c r="BQ205" i="13"/>
  <c r="BQ206" i="13"/>
  <c r="BQ207" i="13"/>
  <c r="BQ208" i="13"/>
  <c r="BQ209" i="13"/>
  <c r="BQ210" i="13"/>
  <c r="BQ211" i="13"/>
  <c r="BQ212" i="13"/>
  <c r="BQ213" i="13"/>
  <c r="BQ214" i="13"/>
  <c r="BQ215" i="13"/>
  <c r="BQ216" i="13"/>
  <c r="BQ217" i="13"/>
  <c r="BQ218" i="13"/>
  <c r="BQ219" i="13"/>
  <c r="BQ220" i="13"/>
  <c r="BQ221" i="13"/>
  <c r="BQ222" i="13"/>
  <c r="BQ223" i="13"/>
  <c r="BQ224" i="13"/>
  <c r="BQ225" i="13"/>
  <c r="BQ226" i="13"/>
  <c r="BQ227" i="13"/>
  <c r="BQ228" i="13"/>
  <c r="BQ229" i="13"/>
  <c r="BQ230" i="13"/>
  <c r="BQ231" i="13"/>
  <c r="BQ232" i="13"/>
  <c r="BQ233" i="13"/>
  <c r="BQ234" i="13"/>
  <c r="BQ235" i="13"/>
  <c r="BQ236" i="13"/>
  <c r="BQ237" i="13"/>
  <c r="BQ238" i="13"/>
  <c r="BQ239" i="13"/>
  <c r="BQ240" i="13"/>
  <c r="BQ241" i="13"/>
  <c r="BQ242" i="13"/>
  <c r="BQ243" i="13"/>
  <c r="BQ244" i="13"/>
  <c r="BQ245" i="13"/>
  <c r="BQ246" i="13"/>
  <c r="BQ247" i="13"/>
  <c r="BQ248" i="13"/>
  <c r="BQ249" i="13"/>
  <c r="BQ250" i="13"/>
  <c r="BQ251" i="13"/>
  <c r="BQ252" i="13"/>
  <c r="BQ253" i="13"/>
  <c r="BQ254" i="13"/>
  <c r="BQ255" i="13"/>
  <c r="BQ256" i="13"/>
  <c r="BQ257" i="13"/>
  <c r="BQ258" i="13"/>
  <c r="BQ259" i="13"/>
  <c r="BQ260" i="13"/>
  <c r="BQ261" i="13"/>
  <c r="BQ262" i="13"/>
  <c r="BQ263" i="13"/>
  <c r="BQ264" i="13"/>
  <c r="BQ265" i="13"/>
  <c r="BQ266" i="13"/>
  <c r="BQ267" i="13"/>
  <c r="BQ268" i="13"/>
  <c r="BQ269" i="13"/>
  <c r="BQ270" i="13"/>
  <c r="BQ271" i="13"/>
  <c r="BQ272" i="13"/>
  <c r="BQ273" i="13"/>
  <c r="BQ274" i="13"/>
  <c r="BQ275" i="13"/>
  <c r="BQ276" i="13"/>
  <c r="BQ277" i="13"/>
  <c r="BQ278" i="13"/>
  <c r="BQ279" i="13"/>
  <c r="BQ280" i="13"/>
  <c r="BQ281" i="13"/>
  <c r="BQ282" i="13"/>
  <c r="BQ283" i="13"/>
  <c r="BQ284" i="13"/>
  <c r="BQ285" i="13"/>
  <c r="BQ286" i="13"/>
  <c r="BQ287" i="13"/>
  <c r="BQ288" i="13"/>
  <c r="BQ289" i="13"/>
  <c r="BQ290" i="13"/>
  <c r="BQ291" i="13"/>
  <c r="BQ292" i="13"/>
  <c r="BQ293" i="13"/>
  <c r="BQ294" i="13"/>
  <c r="BQ295" i="13"/>
  <c r="BQ296" i="13"/>
  <c r="BQ297" i="13"/>
  <c r="BQ298" i="13"/>
  <c r="BQ299" i="13"/>
  <c r="BQ300" i="13"/>
  <c r="BQ301" i="13"/>
  <c r="BQ302" i="13"/>
  <c r="BQ303" i="13"/>
  <c r="BQ304" i="13"/>
  <c r="BQ305" i="13"/>
  <c r="BQ306" i="13"/>
  <c r="BQ307" i="13"/>
  <c r="BQ308" i="13"/>
  <c r="BQ309" i="13"/>
  <c r="BQ310" i="13"/>
  <c r="BQ311" i="13"/>
  <c r="BQ312" i="13"/>
  <c r="BQ313" i="13"/>
  <c r="BQ314" i="13"/>
  <c r="BQ315" i="13"/>
  <c r="BQ316" i="13"/>
  <c r="BQ317" i="13"/>
  <c r="BQ318" i="13"/>
  <c r="BQ319" i="13"/>
  <c r="BQ320" i="13"/>
  <c r="BQ321" i="13"/>
  <c r="BQ322" i="13"/>
  <c r="BQ323" i="13"/>
  <c r="BQ324" i="13"/>
  <c r="BQ325" i="13"/>
  <c r="BQ326" i="13"/>
  <c r="BQ327" i="13"/>
  <c r="BQ328" i="13"/>
  <c r="BQ329" i="13"/>
  <c r="BQ330" i="13"/>
  <c r="BQ331" i="13"/>
  <c r="BQ332" i="13"/>
  <c r="BQ333" i="13"/>
  <c r="BQ334" i="13"/>
  <c r="BQ335" i="13"/>
  <c r="BQ336" i="13"/>
  <c r="BQ337" i="13"/>
  <c r="BQ338" i="13"/>
  <c r="BQ339" i="13"/>
  <c r="BQ340" i="13"/>
  <c r="BQ341" i="13"/>
  <c r="BQ342" i="13"/>
  <c r="BQ343" i="13"/>
  <c r="BQ344" i="13"/>
  <c r="BQ345" i="13"/>
  <c r="BQ346" i="13"/>
  <c r="BQ347" i="13"/>
  <c r="BQ348" i="13"/>
  <c r="BQ349" i="13"/>
  <c r="BQ350" i="13"/>
  <c r="BQ351" i="13"/>
  <c r="BQ352" i="13"/>
  <c r="BQ353" i="13"/>
  <c r="BQ354" i="13"/>
  <c r="BQ355" i="13"/>
  <c r="BQ356" i="13"/>
  <c r="BQ357" i="13"/>
  <c r="BQ358" i="13"/>
  <c r="BQ359" i="13"/>
  <c r="BQ360" i="13"/>
  <c r="BQ361" i="13"/>
  <c r="BQ362" i="13"/>
  <c r="BQ363" i="13"/>
  <c r="BQ364" i="13"/>
  <c r="BQ365" i="13"/>
  <c r="BQ366" i="13"/>
  <c r="BQ367" i="13"/>
  <c r="BQ368" i="13"/>
  <c r="BQ369" i="13"/>
  <c r="BQ370" i="13"/>
  <c r="BQ371" i="13"/>
  <c r="BQ372" i="13"/>
  <c r="BQ373" i="13"/>
  <c r="BQ374" i="13"/>
  <c r="BQ375" i="13"/>
  <c r="BQ376" i="13"/>
  <c r="BQ377" i="13"/>
  <c r="BQ378" i="13"/>
  <c r="BQ379" i="13"/>
  <c r="BQ380" i="13"/>
  <c r="BQ381" i="13"/>
  <c r="BQ382" i="13"/>
  <c r="BQ383" i="13"/>
  <c r="BQ384" i="13"/>
  <c r="BQ385" i="13"/>
  <c r="BQ386" i="13"/>
  <c r="BQ387" i="13"/>
  <c r="BQ388" i="13"/>
  <c r="BQ389" i="13"/>
  <c r="BQ390" i="13"/>
  <c r="BQ391" i="13"/>
  <c r="BQ392" i="13"/>
  <c r="BQ393" i="13"/>
  <c r="BQ394" i="13"/>
  <c r="BQ395" i="13"/>
  <c r="BQ396" i="13"/>
  <c r="BQ397" i="13"/>
  <c r="BQ398" i="13"/>
  <c r="BQ399" i="13"/>
  <c r="BQ400" i="13"/>
  <c r="BQ401" i="13"/>
  <c r="BQ402" i="13"/>
  <c r="BQ403" i="13"/>
  <c r="BQ404" i="13"/>
  <c r="BQ405" i="13"/>
  <c r="BQ406" i="13"/>
  <c r="BQ407" i="13"/>
  <c r="BQ408" i="13"/>
  <c r="BQ409" i="13"/>
  <c r="BQ410" i="13"/>
  <c r="BQ411" i="13"/>
  <c r="BQ412" i="13"/>
  <c r="BQ413" i="13"/>
  <c r="BQ414" i="13"/>
  <c r="BQ415" i="13"/>
  <c r="BQ416" i="13"/>
  <c r="BQ417" i="13"/>
  <c r="BQ418" i="13"/>
  <c r="BQ419" i="13"/>
  <c r="BQ420" i="13"/>
  <c r="BQ421" i="13"/>
  <c r="BQ422" i="13"/>
  <c r="BQ423" i="13"/>
  <c r="BQ424" i="13"/>
  <c r="BQ425" i="13"/>
  <c r="BQ426" i="13"/>
  <c r="BQ427" i="13"/>
  <c r="BQ428" i="13"/>
  <c r="BQ429" i="13"/>
  <c r="BQ430" i="13"/>
  <c r="BQ431" i="13"/>
  <c r="BQ432" i="13"/>
  <c r="BQ433" i="13"/>
  <c r="BQ434" i="13"/>
  <c r="BQ435" i="13"/>
  <c r="BQ436" i="13"/>
  <c r="BQ437" i="13"/>
  <c r="BQ438" i="13"/>
  <c r="BQ439" i="13"/>
  <c r="BQ440" i="13"/>
  <c r="BQ441" i="13"/>
  <c r="BQ442" i="13"/>
  <c r="BQ443" i="13"/>
  <c r="BQ444" i="13"/>
  <c r="BQ445" i="13"/>
  <c r="BQ446" i="13"/>
  <c r="BQ447" i="13"/>
  <c r="BQ448" i="13"/>
  <c r="BQ449" i="13"/>
  <c r="BQ450" i="13"/>
  <c r="BQ451" i="13"/>
  <c r="BQ452" i="13"/>
  <c r="BQ453" i="13"/>
  <c r="BQ454" i="13"/>
  <c r="BQ455" i="13"/>
  <c r="BQ456" i="13"/>
  <c r="BQ457" i="13"/>
  <c r="BQ458" i="13"/>
  <c r="BQ459" i="13"/>
  <c r="BQ460" i="13"/>
  <c r="BQ461" i="13"/>
  <c r="BQ462" i="13"/>
  <c r="BQ463" i="13"/>
  <c r="BQ464" i="13"/>
  <c r="BQ465" i="13"/>
  <c r="BQ466" i="13"/>
  <c r="BQ467" i="13"/>
  <c r="BQ468" i="13"/>
  <c r="BQ469" i="13"/>
  <c r="BQ470" i="13"/>
  <c r="BQ471" i="13"/>
  <c r="BQ472" i="13"/>
  <c r="BQ473" i="13"/>
  <c r="BQ474" i="13"/>
  <c r="BQ475" i="13"/>
  <c r="BQ476" i="13"/>
  <c r="BQ477" i="13"/>
  <c r="BQ478" i="13"/>
  <c r="BQ479" i="13"/>
  <c r="BQ480" i="13"/>
  <c r="BQ481" i="13"/>
  <c r="BQ482" i="13"/>
  <c r="BQ483" i="13"/>
  <c r="BQ484" i="13"/>
  <c r="BQ485" i="13"/>
  <c r="BQ486" i="13"/>
  <c r="BQ487" i="13"/>
  <c r="BQ488" i="13"/>
  <c r="BQ489" i="13"/>
  <c r="BQ490" i="13"/>
  <c r="BQ491" i="13"/>
  <c r="BQ492" i="13"/>
  <c r="BQ493" i="13"/>
  <c r="BQ494" i="13"/>
  <c r="BQ495" i="13"/>
  <c r="BQ496" i="13"/>
  <c r="BQ497" i="13"/>
  <c r="BQ498" i="13"/>
  <c r="BQ499" i="13"/>
  <c r="BQ500" i="13"/>
  <c r="BQ501" i="13"/>
  <c r="BQ502" i="13"/>
  <c r="BQ503" i="13"/>
  <c r="BQ504" i="13"/>
  <c r="BQ505" i="13"/>
  <c r="BQ506" i="13"/>
  <c r="BQ507" i="13"/>
  <c r="BQ508" i="13"/>
  <c r="BQ509" i="13"/>
  <c r="BQ510" i="13"/>
  <c r="BQ511" i="13"/>
  <c r="BQ512" i="13"/>
  <c r="BQ513" i="13"/>
  <c r="BQ514" i="13"/>
  <c r="BQ515" i="13"/>
  <c r="BQ516" i="13"/>
  <c r="BQ517" i="13"/>
  <c r="BQ518" i="13"/>
  <c r="BQ519" i="13"/>
  <c r="BQ520" i="13"/>
  <c r="BQ521" i="13"/>
  <c r="BQ522" i="13"/>
  <c r="BQ523" i="13"/>
  <c r="BQ524" i="13"/>
  <c r="BQ525" i="13"/>
  <c r="BQ526" i="13"/>
  <c r="BQ527" i="13"/>
  <c r="BQ528" i="13"/>
  <c r="BQ529" i="13"/>
  <c r="BQ530" i="13"/>
  <c r="BQ531" i="13"/>
  <c r="BQ532" i="13"/>
  <c r="BQ533" i="13"/>
  <c r="BQ534" i="13"/>
  <c r="BQ535" i="13"/>
  <c r="BQ536" i="13"/>
  <c r="BQ537" i="13"/>
  <c r="BQ538" i="13"/>
  <c r="BQ539" i="13"/>
  <c r="BQ540" i="13"/>
  <c r="BQ541" i="13"/>
  <c r="BQ542" i="13"/>
  <c r="BQ543" i="13"/>
  <c r="BQ544" i="13"/>
  <c r="BQ545" i="13"/>
  <c r="BQ546" i="13"/>
  <c r="BQ547" i="13"/>
  <c r="BQ548" i="13"/>
  <c r="BQ549" i="13"/>
  <c r="BQ550" i="13"/>
  <c r="BQ551" i="13"/>
  <c r="BQ552" i="13"/>
  <c r="BQ553" i="13"/>
  <c r="BQ554" i="13"/>
  <c r="BQ555" i="13"/>
  <c r="BQ556" i="13"/>
  <c r="BQ557" i="13"/>
  <c r="BQ558" i="13"/>
  <c r="BQ559" i="13"/>
  <c r="BQ560" i="13"/>
  <c r="BQ561" i="13"/>
  <c r="BQ562" i="13"/>
  <c r="BQ563" i="13"/>
  <c r="BQ564" i="13"/>
  <c r="BQ565" i="13"/>
  <c r="BQ566" i="13"/>
  <c r="BQ567" i="13"/>
  <c r="BQ568" i="13"/>
  <c r="BQ569" i="13"/>
  <c r="BQ570" i="13"/>
  <c r="BQ571" i="13"/>
  <c r="BQ572" i="13"/>
  <c r="BQ573" i="13"/>
  <c r="BQ574" i="13"/>
  <c r="BQ575" i="13"/>
  <c r="BQ576" i="13"/>
  <c r="BQ577" i="13"/>
  <c r="BQ578" i="13"/>
  <c r="BQ579" i="13"/>
  <c r="BQ580" i="13"/>
  <c r="BQ581" i="13"/>
  <c r="BQ582" i="13"/>
  <c r="BQ583" i="13"/>
  <c r="BQ584" i="13"/>
  <c r="BQ585" i="13"/>
  <c r="BQ586" i="13"/>
  <c r="BQ587" i="13"/>
  <c r="BQ588" i="13"/>
  <c r="BQ589" i="13"/>
  <c r="BQ590" i="13"/>
  <c r="BQ591" i="13"/>
  <c r="BQ592" i="13"/>
  <c r="BQ593" i="13"/>
  <c r="BQ594" i="13"/>
  <c r="BQ595" i="13"/>
  <c r="BQ596" i="13"/>
  <c r="BQ597" i="13"/>
  <c r="BQ598" i="13"/>
  <c r="BQ599" i="13"/>
  <c r="BQ600" i="13"/>
  <c r="BQ601" i="13"/>
  <c r="BQ602" i="13"/>
  <c r="BQ603" i="13"/>
  <c r="BQ604" i="13"/>
  <c r="BQ605" i="13"/>
  <c r="BQ606" i="13"/>
  <c r="BQ607" i="13"/>
  <c r="BQ608" i="13"/>
  <c r="BQ609" i="13"/>
  <c r="BQ610" i="13"/>
  <c r="BQ611" i="13"/>
  <c r="BQ612" i="13"/>
  <c r="BQ613" i="13"/>
  <c r="BQ614" i="13"/>
  <c r="BQ615" i="13"/>
  <c r="BQ616" i="13"/>
  <c r="BQ617" i="13"/>
  <c r="BQ618" i="13"/>
  <c r="BQ619" i="13"/>
  <c r="BQ620" i="13"/>
  <c r="BQ621" i="13"/>
  <c r="BQ622" i="13"/>
  <c r="BQ623" i="13"/>
  <c r="BQ624" i="13"/>
  <c r="BQ625" i="13"/>
  <c r="BQ626" i="13"/>
  <c r="BQ627" i="13"/>
  <c r="BQ628" i="13"/>
  <c r="BQ629" i="13"/>
  <c r="BQ630" i="13"/>
  <c r="BQ631" i="13"/>
  <c r="BQ632" i="13"/>
  <c r="BQ633" i="13"/>
  <c r="BQ634" i="13"/>
  <c r="BQ635" i="13"/>
  <c r="BQ636" i="13"/>
  <c r="BQ637" i="13"/>
  <c r="BQ638" i="13"/>
  <c r="BQ639" i="13"/>
  <c r="BQ640" i="13"/>
  <c r="BQ641" i="13"/>
  <c r="BQ642" i="13"/>
  <c r="BQ643" i="13"/>
  <c r="BQ644" i="13"/>
  <c r="BQ645" i="13"/>
  <c r="BQ646" i="13"/>
  <c r="BQ647" i="13"/>
  <c r="BQ648" i="13"/>
  <c r="BQ649" i="13"/>
  <c r="BQ650" i="13"/>
  <c r="BQ651" i="13"/>
  <c r="BQ652" i="13"/>
  <c r="BQ653" i="13"/>
  <c r="BQ654" i="13"/>
  <c r="BQ655" i="13"/>
  <c r="BQ656" i="13"/>
  <c r="BQ657" i="13"/>
  <c r="BQ658" i="13"/>
  <c r="BQ659" i="13"/>
  <c r="BQ660" i="13"/>
  <c r="BQ661" i="13"/>
  <c r="BQ662" i="13"/>
  <c r="BQ663" i="13"/>
  <c r="BQ664" i="13"/>
  <c r="BQ665" i="13"/>
  <c r="BQ666" i="13"/>
  <c r="BQ667" i="13"/>
  <c r="BQ668" i="13"/>
  <c r="BQ669" i="13"/>
  <c r="BQ670" i="13"/>
  <c r="BQ671" i="13"/>
  <c r="BQ672" i="13"/>
  <c r="BQ673" i="13"/>
  <c r="BQ674" i="13"/>
  <c r="BQ675" i="13"/>
  <c r="BQ676" i="13"/>
  <c r="BQ677" i="13"/>
  <c r="BQ678" i="13"/>
  <c r="BQ679" i="13"/>
  <c r="BQ680" i="13"/>
  <c r="BQ681" i="13"/>
  <c r="BQ682" i="13"/>
  <c r="BQ683" i="13"/>
  <c r="BQ684" i="13"/>
  <c r="BQ685" i="13"/>
  <c r="BQ686" i="13"/>
  <c r="BQ687" i="13"/>
  <c r="BQ688" i="13"/>
  <c r="BQ689" i="13"/>
  <c r="BQ690" i="13"/>
  <c r="BQ691" i="13"/>
  <c r="BQ692" i="13"/>
  <c r="BQ693" i="13"/>
  <c r="BQ694" i="13"/>
  <c r="BQ695" i="13"/>
  <c r="BQ696" i="13"/>
  <c r="BQ697" i="13"/>
  <c r="BQ698" i="13"/>
  <c r="BQ699" i="13"/>
  <c r="BQ700" i="13"/>
  <c r="BQ701" i="13"/>
  <c r="BQ2" i="13"/>
  <c r="W28" i="2"/>
  <c r="W29" i="2" s="1"/>
  <c r="W24" i="2"/>
  <c r="W23" i="2"/>
  <c r="W22" i="2"/>
  <c r="W21" i="2"/>
  <c r="W20" i="2"/>
  <c r="W19" i="2"/>
  <c r="W18" i="2"/>
  <c r="W17" i="2"/>
  <c r="W16" i="2"/>
  <c r="M22" i="16" l="1"/>
  <c r="B25" i="16"/>
  <c r="D24" i="16"/>
  <c r="H24" i="16"/>
  <c r="G24" i="16"/>
  <c r="I24" i="16" s="1"/>
  <c r="W24" i="16" s="1"/>
  <c r="R22" i="16"/>
  <c r="X22" i="16" s="1"/>
  <c r="Q23" i="16"/>
  <c r="P23" i="16"/>
  <c r="K24" i="16"/>
  <c r="AS37" i="10"/>
  <c r="BE10" i="15"/>
  <c r="BC6" i="15" s="1"/>
  <c r="AS41" i="10"/>
  <c r="BE4" i="15"/>
  <c r="BC12" i="15" s="1"/>
  <c r="BE8" i="15"/>
  <c r="BC8" i="15" s="1"/>
  <c r="BE12" i="15"/>
  <c r="BC4" i="15" s="1"/>
  <c r="AS39" i="10"/>
  <c r="AS42" i="10"/>
  <c r="AS32" i="10"/>
  <c r="AS36" i="10"/>
  <c r="AS35" i="10"/>
  <c r="AS40" i="10"/>
  <c r="AS38" i="10"/>
  <c r="AS31" i="10"/>
  <c r="AS33" i="10"/>
  <c r="AS34" i="10"/>
  <c r="AS43" i="10"/>
  <c r="BE6" i="15"/>
  <c r="BC10" i="15" s="1"/>
  <c r="BE5" i="15"/>
  <c r="BC11" i="15" s="1"/>
  <c r="BE14" i="15"/>
  <c r="BC2" i="15" s="1"/>
  <c r="BE11" i="15"/>
  <c r="BC5" i="15" s="1"/>
  <c r="BE9" i="15"/>
  <c r="BC7" i="15" s="1"/>
  <c r="BE13" i="15"/>
  <c r="BC3" i="15" s="1"/>
  <c r="BE3" i="15"/>
  <c r="BC13" i="15" s="1"/>
  <c r="BE7" i="15"/>
  <c r="BC9" i="15" s="1"/>
  <c r="AM2" i="15"/>
  <c r="V5" i="15"/>
  <c r="AO2" i="15"/>
  <c r="X5" i="15"/>
  <c r="AV2" i="15"/>
  <c r="AE5" i="15"/>
  <c r="AT2" i="15"/>
  <c r="AC5" i="15"/>
  <c r="AS2" i="15"/>
  <c r="AB5" i="15"/>
  <c r="Y5" i="15"/>
  <c r="AP2" i="15"/>
  <c r="AX2" i="15"/>
  <c r="AG5" i="15"/>
  <c r="AW2" i="15"/>
  <c r="AF5" i="15"/>
  <c r="AH5" i="15"/>
  <c r="AY2" i="15"/>
  <c r="W5" i="15"/>
  <c r="AN2" i="15"/>
  <c r="AQ2" i="15"/>
  <c r="Z5" i="15"/>
  <c r="AR2" i="15"/>
  <c r="AA5" i="15"/>
  <c r="AU2" i="15"/>
  <c r="AD5" i="15"/>
  <c r="W26" i="2"/>
  <c r="W25" i="2" s="1"/>
  <c r="W27" i="2"/>
  <c r="M23" i="16" l="1"/>
  <c r="B26" i="16"/>
  <c r="D25" i="16"/>
  <c r="H25" i="16"/>
  <c r="G25" i="16"/>
  <c r="I25" i="16" s="1"/>
  <c r="W25" i="16" s="1"/>
  <c r="R23" i="16"/>
  <c r="X23" i="16" s="1"/>
  <c r="Q24" i="16"/>
  <c r="P24" i="16"/>
  <c r="K25" i="16"/>
  <c r="AD2" i="15"/>
  <c r="Z2" i="15"/>
  <c r="AG2" i="15"/>
  <c r="AB2" i="15"/>
  <c r="AE2" i="15"/>
  <c r="V2" i="15"/>
  <c r="AH2" i="15"/>
  <c r="AF2" i="15"/>
  <c r="AC2" i="15"/>
  <c r="X2" i="15"/>
  <c r="AA2" i="15"/>
  <c r="W2" i="15"/>
  <c r="Y2" i="15"/>
  <c r="BE2" i="15"/>
  <c r="BC14" i="15" s="1"/>
  <c r="H9" i="8"/>
  <c r="G9" i="8"/>
  <c r="M24" i="16" l="1"/>
  <c r="B27" i="16"/>
  <c r="D26" i="16"/>
  <c r="H26" i="16"/>
  <c r="G26" i="16"/>
  <c r="I26" i="16" s="1"/>
  <c r="W26" i="16" s="1"/>
  <c r="Q25" i="16"/>
  <c r="P25" i="16"/>
  <c r="R24" i="16"/>
  <c r="X24" i="16" s="1"/>
  <c r="K26" i="16"/>
  <c r="AX17" i="13"/>
  <c r="AX18" i="13"/>
  <c r="AX19" i="13"/>
  <c r="AX20" i="13"/>
  <c r="AX21" i="13"/>
  <c r="AX22" i="13"/>
  <c r="AX23" i="13"/>
  <c r="AX24" i="13"/>
  <c r="AX25" i="13"/>
  <c r="AX26" i="13"/>
  <c r="AX27" i="13"/>
  <c r="AX28" i="13"/>
  <c r="AX29" i="13"/>
  <c r="AX30" i="13"/>
  <c r="AX31" i="13"/>
  <c r="AX32" i="13"/>
  <c r="AX33" i="13"/>
  <c r="AX34" i="13"/>
  <c r="AX35" i="13"/>
  <c r="AX36" i="13"/>
  <c r="AX37" i="13"/>
  <c r="AX38" i="13"/>
  <c r="AX39" i="13"/>
  <c r="AX40" i="13"/>
  <c r="AX41" i="13"/>
  <c r="AX42" i="13"/>
  <c r="AX43" i="13"/>
  <c r="AX44" i="13"/>
  <c r="AX45" i="13"/>
  <c r="AX46" i="13"/>
  <c r="AX47" i="13"/>
  <c r="AX48" i="13"/>
  <c r="AX49" i="13"/>
  <c r="AX50" i="13"/>
  <c r="AX51" i="13"/>
  <c r="AX52" i="13"/>
  <c r="AX53" i="13"/>
  <c r="AX54" i="13"/>
  <c r="AX55" i="13"/>
  <c r="AX56" i="13"/>
  <c r="AX57" i="13"/>
  <c r="AX58" i="13"/>
  <c r="AX59" i="13"/>
  <c r="AX60" i="13"/>
  <c r="AX61" i="13"/>
  <c r="AX62" i="13"/>
  <c r="AX63" i="13"/>
  <c r="AX64" i="13"/>
  <c r="AX65" i="13"/>
  <c r="AX66" i="13"/>
  <c r="AX67" i="13"/>
  <c r="AX68" i="13"/>
  <c r="AX69" i="13"/>
  <c r="AX70" i="13"/>
  <c r="AX71" i="13"/>
  <c r="AX72" i="13"/>
  <c r="AX73" i="13"/>
  <c r="AX74" i="13"/>
  <c r="AX75" i="13"/>
  <c r="AX76" i="13"/>
  <c r="AX77" i="13"/>
  <c r="AX78" i="13"/>
  <c r="AX79" i="13"/>
  <c r="AX80" i="13"/>
  <c r="AX81" i="13"/>
  <c r="AX82" i="13"/>
  <c r="AX83" i="13"/>
  <c r="AX84" i="13"/>
  <c r="AX85" i="13"/>
  <c r="AX86" i="13"/>
  <c r="AX87" i="13"/>
  <c r="AX88" i="13"/>
  <c r="AX89" i="13"/>
  <c r="AX90" i="13"/>
  <c r="AX91" i="13"/>
  <c r="AX92" i="13"/>
  <c r="AX93" i="13"/>
  <c r="AX94" i="13"/>
  <c r="AX95" i="13"/>
  <c r="AX96" i="13"/>
  <c r="AX97" i="13"/>
  <c r="AX98" i="13"/>
  <c r="AX99" i="13"/>
  <c r="AX100" i="13"/>
  <c r="AX101" i="13"/>
  <c r="AX102" i="13"/>
  <c r="AX103" i="13"/>
  <c r="AX104" i="13"/>
  <c r="AX105" i="13"/>
  <c r="AX106" i="13"/>
  <c r="AX107" i="13"/>
  <c r="AX108" i="13"/>
  <c r="AX109" i="13"/>
  <c r="AX110" i="13"/>
  <c r="AX111" i="13"/>
  <c r="AX112" i="13"/>
  <c r="AX113" i="13"/>
  <c r="AX114" i="13"/>
  <c r="AX115" i="13"/>
  <c r="AX116" i="13"/>
  <c r="AX117" i="13"/>
  <c r="AX118" i="13"/>
  <c r="AX119" i="13"/>
  <c r="AX120" i="13"/>
  <c r="AX121" i="13"/>
  <c r="AX122" i="13"/>
  <c r="AX123" i="13"/>
  <c r="AX124" i="13"/>
  <c r="AX125" i="13"/>
  <c r="AX126" i="13"/>
  <c r="AX127" i="13"/>
  <c r="AX128" i="13"/>
  <c r="AX129" i="13"/>
  <c r="AX130" i="13"/>
  <c r="AX131" i="13"/>
  <c r="AX132" i="13"/>
  <c r="AX133" i="13"/>
  <c r="AX134" i="13"/>
  <c r="AX135" i="13"/>
  <c r="AX136" i="13"/>
  <c r="AX137" i="13"/>
  <c r="AX138" i="13"/>
  <c r="AX139" i="13"/>
  <c r="AX140" i="13"/>
  <c r="AX141" i="13"/>
  <c r="AX142" i="13"/>
  <c r="AX143" i="13"/>
  <c r="AX144" i="13"/>
  <c r="AX145" i="13"/>
  <c r="AX146" i="13"/>
  <c r="AX147" i="13"/>
  <c r="AX148" i="13"/>
  <c r="AX149" i="13"/>
  <c r="AX150" i="13"/>
  <c r="AX151" i="13"/>
  <c r="AX152" i="13"/>
  <c r="AX153" i="13"/>
  <c r="AX154" i="13"/>
  <c r="AX155" i="13"/>
  <c r="AX156" i="13"/>
  <c r="AX157" i="13"/>
  <c r="AX158" i="13"/>
  <c r="AX159" i="13"/>
  <c r="AX160" i="13"/>
  <c r="AX161" i="13"/>
  <c r="AX162" i="13"/>
  <c r="AX163" i="13"/>
  <c r="AX164" i="13"/>
  <c r="AX165" i="13"/>
  <c r="AX166" i="13"/>
  <c r="AX167" i="13"/>
  <c r="AX168" i="13"/>
  <c r="AX169" i="13"/>
  <c r="AX170" i="13"/>
  <c r="AX171" i="13"/>
  <c r="AX172" i="13"/>
  <c r="AX173" i="13"/>
  <c r="AX174" i="13"/>
  <c r="AX175" i="13"/>
  <c r="AX176" i="13"/>
  <c r="AX177" i="13"/>
  <c r="AX178" i="13"/>
  <c r="AX179" i="13"/>
  <c r="AX180" i="13"/>
  <c r="AX181" i="13"/>
  <c r="AX182" i="13"/>
  <c r="AX183" i="13"/>
  <c r="AX184" i="13"/>
  <c r="AX185" i="13"/>
  <c r="AX186" i="13"/>
  <c r="AX187" i="13"/>
  <c r="AX188" i="13"/>
  <c r="AX189" i="13"/>
  <c r="AX190" i="13"/>
  <c r="AX191" i="13"/>
  <c r="AX192" i="13"/>
  <c r="AX193" i="13"/>
  <c r="AX194" i="13"/>
  <c r="AX195" i="13"/>
  <c r="AX196" i="13"/>
  <c r="AX197" i="13"/>
  <c r="AX198" i="13"/>
  <c r="AX199" i="13"/>
  <c r="AX200" i="13"/>
  <c r="AX201" i="13"/>
  <c r="AX202" i="13"/>
  <c r="AX203" i="13"/>
  <c r="AX204" i="13"/>
  <c r="AX205" i="13"/>
  <c r="AX206" i="13"/>
  <c r="AX207" i="13"/>
  <c r="AX208" i="13"/>
  <c r="AX209" i="13"/>
  <c r="AX210" i="13"/>
  <c r="AX211" i="13"/>
  <c r="AX212" i="13"/>
  <c r="AX213" i="13"/>
  <c r="AX214" i="13"/>
  <c r="AX215" i="13"/>
  <c r="AX216" i="13"/>
  <c r="AX217" i="13"/>
  <c r="AX218" i="13"/>
  <c r="AX219" i="13"/>
  <c r="AX220" i="13"/>
  <c r="AX221" i="13"/>
  <c r="AX222" i="13"/>
  <c r="AX223" i="13"/>
  <c r="AX224" i="13"/>
  <c r="AX225" i="13"/>
  <c r="AX226" i="13"/>
  <c r="AX227" i="13"/>
  <c r="AX228" i="13"/>
  <c r="AX229" i="13"/>
  <c r="AX230" i="13"/>
  <c r="AX231" i="13"/>
  <c r="AX232" i="13"/>
  <c r="AX233" i="13"/>
  <c r="AX234" i="13"/>
  <c r="AX235" i="13"/>
  <c r="AX236" i="13"/>
  <c r="AX237" i="13"/>
  <c r="AX238" i="13"/>
  <c r="AX239" i="13"/>
  <c r="AX240" i="13"/>
  <c r="AX241" i="13"/>
  <c r="AX242" i="13"/>
  <c r="AX243" i="13"/>
  <c r="AX244" i="13"/>
  <c r="AX245" i="13"/>
  <c r="AX246" i="13"/>
  <c r="AX247" i="13"/>
  <c r="AX248" i="13"/>
  <c r="AX249" i="13"/>
  <c r="AX250" i="13"/>
  <c r="AX251" i="13"/>
  <c r="AX252" i="13"/>
  <c r="AX253" i="13"/>
  <c r="AX254" i="13"/>
  <c r="AX255" i="13"/>
  <c r="AX256" i="13"/>
  <c r="AX257" i="13"/>
  <c r="AX258" i="13"/>
  <c r="AX259" i="13"/>
  <c r="AX260" i="13"/>
  <c r="AX261" i="13"/>
  <c r="AX262" i="13"/>
  <c r="AX263" i="13"/>
  <c r="AX264" i="13"/>
  <c r="AX265" i="13"/>
  <c r="AX266" i="13"/>
  <c r="AX267" i="13"/>
  <c r="AX268" i="13"/>
  <c r="AX269" i="13"/>
  <c r="AX270" i="13"/>
  <c r="AX271" i="13"/>
  <c r="AX272" i="13"/>
  <c r="AX273" i="13"/>
  <c r="AX274" i="13"/>
  <c r="AX275" i="13"/>
  <c r="AX276" i="13"/>
  <c r="AX277" i="13"/>
  <c r="AX278" i="13"/>
  <c r="AX279" i="13"/>
  <c r="AX280" i="13"/>
  <c r="AX281" i="13"/>
  <c r="AX282" i="13"/>
  <c r="AX283" i="13"/>
  <c r="AX284" i="13"/>
  <c r="AX285" i="13"/>
  <c r="AX286" i="13"/>
  <c r="AX287" i="13"/>
  <c r="AX288" i="13"/>
  <c r="AX289" i="13"/>
  <c r="AX290" i="13"/>
  <c r="AX291" i="13"/>
  <c r="AX292" i="13"/>
  <c r="AX293" i="13"/>
  <c r="AX294" i="13"/>
  <c r="AX295" i="13"/>
  <c r="AX296" i="13"/>
  <c r="AX297" i="13"/>
  <c r="AX298" i="13"/>
  <c r="AX299" i="13"/>
  <c r="AX300" i="13"/>
  <c r="AX301" i="13"/>
  <c r="AX302" i="13"/>
  <c r="AX303" i="13"/>
  <c r="AX304" i="13"/>
  <c r="AX305" i="13"/>
  <c r="AX306" i="13"/>
  <c r="AX307" i="13"/>
  <c r="AX308" i="13"/>
  <c r="AX309" i="13"/>
  <c r="AX310" i="13"/>
  <c r="AX311" i="13"/>
  <c r="AX312" i="13"/>
  <c r="AX313" i="13"/>
  <c r="AX314" i="13"/>
  <c r="AX315" i="13"/>
  <c r="AX316" i="13"/>
  <c r="AX317" i="13"/>
  <c r="AX318" i="13"/>
  <c r="AX319" i="13"/>
  <c r="AX320" i="13"/>
  <c r="AX321" i="13"/>
  <c r="AX322" i="13"/>
  <c r="AX323" i="13"/>
  <c r="AX324" i="13"/>
  <c r="AX325" i="13"/>
  <c r="AX326" i="13"/>
  <c r="AX327" i="13"/>
  <c r="AX328" i="13"/>
  <c r="AX329" i="13"/>
  <c r="AX330" i="13"/>
  <c r="AX331" i="13"/>
  <c r="AX332" i="13"/>
  <c r="AX333" i="13"/>
  <c r="AX334" i="13"/>
  <c r="AX335" i="13"/>
  <c r="AX336" i="13"/>
  <c r="AX337" i="13"/>
  <c r="AX338" i="13"/>
  <c r="AX339" i="13"/>
  <c r="AX340" i="13"/>
  <c r="AX341" i="13"/>
  <c r="AX342" i="13"/>
  <c r="AX343" i="13"/>
  <c r="AX344" i="13"/>
  <c r="AX345" i="13"/>
  <c r="AX346" i="13"/>
  <c r="AX347" i="13"/>
  <c r="AX348" i="13"/>
  <c r="AX349" i="13"/>
  <c r="AX350" i="13"/>
  <c r="AX351" i="13"/>
  <c r="AX352" i="13"/>
  <c r="AX353" i="13"/>
  <c r="AX354" i="13"/>
  <c r="AX355" i="13"/>
  <c r="AX356" i="13"/>
  <c r="AX357" i="13"/>
  <c r="AX358" i="13"/>
  <c r="AX359" i="13"/>
  <c r="AX360" i="13"/>
  <c r="AX361" i="13"/>
  <c r="AX362" i="13"/>
  <c r="AX363" i="13"/>
  <c r="AX364" i="13"/>
  <c r="AX365" i="13"/>
  <c r="AX366" i="13"/>
  <c r="AX367" i="13"/>
  <c r="AX368" i="13"/>
  <c r="AX369" i="13"/>
  <c r="AX370" i="13"/>
  <c r="AX371" i="13"/>
  <c r="AX372" i="13"/>
  <c r="AX373" i="13"/>
  <c r="AX374" i="13"/>
  <c r="AX375" i="13"/>
  <c r="AX376" i="13"/>
  <c r="AX377" i="13"/>
  <c r="AX378" i="13"/>
  <c r="AX379" i="13"/>
  <c r="AX380" i="13"/>
  <c r="AX381" i="13"/>
  <c r="AX382" i="13"/>
  <c r="AX383" i="13"/>
  <c r="AX384" i="13"/>
  <c r="AX385" i="13"/>
  <c r="AX386" i="13"/>
  <c r="AX387" i="13"/>
  <c r="AX388" i="13"/>
  <c r="AX389" i="13"/>
  <c r="AX390" i="13"/>
  <c r="AX391" i="13"/>
  <c r="AX392" i="13"/>
  <c r="AX393" i="13"/>
  <c r="AX394" i="13"/>
  <c r="AX395" i="13"/>
  <c r="AX396" i="13"/>
  <c r="AX397" i="13"/>
  <c r="AX398" i="13"/>
  <c r="AX399" i="13"/>
  <c r="AX400" i="13"/>
  <c r="AX401" i="13"/>
  <c r="AX402" i="13"/>
  <c r="AX403" i="13"/>
  <c r="AX404" i="13"/>
  <c r="AX405" i="13"/>
  <c r="AX406" i="13"/>
  <c r="AX407" i="13"/>
  <c r="AX408" i="13"/>
  <c r="AX409" i="13"/>
  <c r="AX410" i="13"/>
  <c r="AX411" i="13"/>
  <c r="AX412" i="13"/>
  <c r="AX413" i="13"/>
  <c r="AX414" i="13"/>
  <c r="AX415" i="13"/>
  <c r="AX416" i="13"/>
  <c r="AX417" i="13"/>
  <c r="AX418" i="13"/>
  <c r="AX419" i="13"/>
  <c r="AX420" i="13"/>
  <c r="AX421" i="13"/>
  <c r="AX422" i="13"/>
  <c r="AX423" i="13"/>
  <c r="AX424" i="13"/>
  <c r="AX425" i="13"/>
  <c r="AX426" i="13"/>
  <c r="AX427" i="13"/>
  <c r="AX428" i="13"/>
  <c r="AX429" i="13"/>
  <c r="AX430" i="13"/>
  <c r="AX431" i="13"/>
  <c r="AX432" i="13"/>
  <c r="AX433" i="13"/>
  <c r="AX434" i="13"/>
  <c r="AX435" i="13"/>
  <c r="AX436" i="13"/>
  <c r="AX437" i="13"/>
  <c r="AX438" i="13"/>
  <c r="AX439" i="13"/>
  <c r="AX440" i="13"/>
  <c r="AX441" i="13"/>
  <c r="AX442" i="13"/>
  <c r="AX443" i="13"/>
  <c r="AX444" i="13"/>
  <c r="AX445" i="13"/>
  <c r="AX446" i="13"/>
  <c r="AX447" i="13"/>
  <c r="AX448" i="13"/>
  <c r="AX449" i="13"/>
  <c r="AX450" i="13"/>
  <c r="AX451" i="13"/>
  <c r="AX452" i="13"/>
  <c r="AX453" i="13"/>
  <c r="AX454" i="13"/>
  <c r="AX455" i="13"/>
  <c r="AX456" i="13"/>
  <c r="AX457" i="13"/>
  <c r="AX458" i="13"/>
  <c r="AX459" i="13"/>
  <c r="AX460" i="13"/>
  <c r="AX461" i="13"/>
  <c r="AX462" i="13"/>
  <c r="AX463" i="13"/>
  <c r="AX464" i="13"/>
  <c r="AX465" i="13"/>
  <c r="AX466" i="13"/>
  <c r="AX467" i="13"/>
  <c r="AX468" i="13"/>
  <c r="AX469" i="13"/>
  <c r="AX470" i="13"/>
  <c r="AX471" i="13"/>
  <c r="AX472" i="13"/>
  <c r="AX473" i="13"/>
  <c r="AX474" i="13"/>
  <c r="AX475" i="13"/>
  <c r="AX476" i="13"/>
  <c r="AX477" i="13"/>
  <c r="AX478" i="13"/>
  <c r="AX479" i="13"/>
  <c r="AX480" i="13"/>
  <c r="AX481" i="13"/>
  <c r="AX482" i="13"/>
  <c r="AX483" i="13"/>
  <c r="AX484" i="13"/>
  <c r="AX485" i="13"/>
  <c r="AX486" i="13"/>
  <c r="AX487" i="13"/>
  <c r="AX488" i="13"/>
  <c r="AX489" i="13"/>
  <c r="AX490" i="13"/>
  <c r="AX491" i="13"/>
  <c r="AX492" i="13"/>
  <c r="AX493" i="13"/>
  <c r="AX494" i="13"/>
  <c r="AX495" i="13"/>
  <c r="AX496" i="13"/>
  <c r="AX497" i="13"/>
  <c r="AX498" i="13"/>
  <c r="AX499" i="13"/>
  <c r="AX500" i="13"/>
  <c r="AX501" i="13"/>
  <c r="AX502" i="13"/>
  <c r="AX503" i="13"/>
  <c r="AX504" i="13"/>
  <c r="AX505" i="13"/>
  <c r="AX506" i="13"/>
  <c r="AX507" i="13"/>
  <c r="AX508" i="13"/>
  <c r="AX509" i="13"/>
  <c r="AX510" i="13"/>
  <c r="AX511" i="13"/>
  <c r="AX512" i="13"/>
  <c r="AX513" i="13"/>
  <c r="AX514" i="13"/>
  <c r="AX515" i="13"/>
  <c r="AX516" i="13"/>
  <c r="AX517" i="13"/>
  <c r="AX518" i="13"/>
  <c r="AX519" i="13"/>
  <c r="AX520" i="13"/>
  <c r="AX521" i="13"/>
  <c r="AX522" i="13"/>
  <c r="AX523" i="13"/>
  <c r="AX524" i="13"/>
  <c r="AX525" i="13"/>
  <c r="AX526" i="13"/>
  <c r="AX527" i="13"/>
  <c r="AX528" i="13"/>
  <c r="AX529" i="13"/>
  <c r="AX530" i="13"/>
  <c r="AX531" i="13"/>
  <c r="AX532" i="13"/>
  <c r="AX533" i="13"/>
  <c r="AX534" i="13"/>
  <c r="AX535" i="13"/>
  <c r="AX536" i="13"/>
  <c r="AX537" i="13"/>
  <c r="AX538" i="13"/>
  <c r="AX539" i="13"/>
  <c r="AX540" i="13"/>
  <c r="AX541" i="13"/>
  <c r="AX542" i="13"/>
  <c r="AX543" i="13"/>
  <c r="AX544" i="13"/>
  <c r="AX545" i="13"/>
  <c r="AX546" i="13"/>
  <c r="AX547" i="13"/>
  <c r="AX548" i="13"/>
  <c r="AX549" i="13"/>
  <c r="AX550" i="13"/>
  <c r="AX551" i="13"/>
  <c r="AX552" i="13"/>
  <c r="AX553" i="13"/>
  <c r="AX554" i="13"/>
  <c r="AX555" i="13"/>
  <c r="AX556" i="13"/>
  <c r="AX557" i="13"/>
  <c r="AX558" i="13"/>
  <c r="AX559" i="13"/>
  <c r="AX560" i="13"/>
  <c r="AX561" i="13"/>
  <c r="AX562" i="13"/>
  <c r="AX563" i="13"/>
  <c r="AX564" i="13"/>
  <c r="AX565" i="13"/>
  <c r="AX566" i="13"/>
  <c r="AX567" i="13"/>
  <c r="AX568" i="13"/>
  <c r="AX569" i="13"/>
  <c r="AX570" i="13"/>
  <c r="AX571" i="13"/>
  <c r="AX572" i="13"/>
  <c r="AX573" i="13"/>
  <c r="AX574" i="13"/>
  <c r="AX575" i="13"/>
  <c r="AX576" i="13"/>
  <c r="AX577" i="13"/>
  <c r="AX578" i="13"/>
  <c r="AX579" i="13"/>
  <c r="AX580" i="13"/>
  <c r="AX581" i="13"/>
  <c r="AX582" i="13"/>
  <c r="AX583" i="13"/>
  <c r="AX584" i="13"/>
  <c r="AX585" i="13"/>
  <c r="AX586" i="13"/>
  <c r="AX587" i="13"/>
  <c r="AX588" i="13"/>
  <c r="AX589" i="13"/>
  <c r="AX590" i="13"/>
  <c r="AX591" i="13"/>
  <c r="AX592" i="13"/>
  <c r="AX593" i="13"/>
  <c r="AX594" i="13"/>
  <c r="AX595" i="13"/>
  <c r="AX596" i="13"/>
  <c r="AX597" i="13"/>
  <c r="AX598" i="13"/>
  <c r="AX599" i="13"/>
  <c r="AX600" i="13"/>
  <c r="AX601" i="13"/>
  <c r="AX602" i="13"/>
  <c r="AX603" i="13"/>
  <c r="AX604" i="13"/>
  <c r="AX605" i="13"/>
  <c r="AX606" i="13"/>
  <c r="AX607" i="13"/>
  <c r="AX608" i="13"/>
  <c r="AX609" i="13"/>
  <c r="AX610" i="13"/>
  <c r="AX611" i="13"/>
  <c r="AX612" i="13"/>
  <c r="AX613" i="13"/>
  <c r="AX614" i="13"/>
  <c r="AX615" i="13"/>
  <c r="AX616" i="13"/>
  <c r="AX617" i="13"/>
  <c r="AX618" i="13"/>
  <c r="AX619" i="13"/>
  <c r="AX620" i="13"/>
  <c r="AX621" i="13"/>
  <c r="AX622" i="13"/>
  <c r="AX623" i="13"/>
  <c r="AX624" i="13"/>
  <c r="AX625" i="13"/>
  <c r="AX626" i="13"/>
  <c r="AX627" i="13"/>
  <c r="AX628" i="13"/>
  <c r="AX629" i="13"/>
  <c r="AX630" i="13"/>
  <c r="AX631" i="13"/>
  <c r="AX632" i="13"/>
  <c r="AX633" i="13"/>
  <c r="AX634" i="13"/>
  <c r="AX635" i="13"/>
  <c r="AX636" i="13"/>
  <c r="AX637" i="13"/>
  <c r="AX638" i="13"/>
  <c r="AX639" i="13"/>
  <c r="AX640" i="13"/>
  <c r="AX641" i="13"/>
  <c r="AX642" i="13"/>
  <c r="AX643" i="13"/>
  <c r="AX644" i="13"/>
  <c r="AX645" i="13"/>
  <c r="AX646" i="13"/>
  <c r="AX647" i="13"/>
  <c r="AX648" i="13"/>
  <c r="AX649" i="13"/>
  <c r="AX650" i="13"/>
  <c r="AX651" i="13"/>
  <c r="AX652" i="13"/>
  <c r="AX653" i="13"/>
  <c r="AX654" i="13"/>
  <c r="AX655" i="13"/>
  <c r="AX656" i="13"/>
  <c r="AX657" i="13"/>
  <c r="AX658" i="13"/>
  <c r="AX659" i="13"/>
  <c r="AX660" i="13"/>
  <c r="AX661" i="13"/>
  <c r="AX662" i="13"/>
  <c r="AX663" i="13"/>
  <c r="AX664" i="13"/>
  <c r="AX665" i="13"/>
  <c r="AX666" i="13"/>
  <c r="AX667" i="13"/>
  <c r="AX668" i="13"/>
  <c r="AX669" i="13"/>
  <c r="AX670" i="13"/>
  <c r="AX671" i="13"/>
  <c r="AX672" i="13"/>
  <c r="AX673" i="13"/>
  <c r="AX674" i="13"/>
  <c r="AX675" i="13"/>
  <c r="AX676" i="13"/>
  <c r="AX677" i="13"/>
  <c r="AX678" i="13"/>
  <c r="AX679" i="13"/>
  <c r="AX680" i="13"/>
  <c r="AX681" i="13"/>
  <c r="AX682" i="13"/>
  <c r="AX683" i="13"/>
  <c r="AX684" i="13"/>
  <c r="AX685" i="13"/>
  <c r="AX686" i="13"/>
  <c r="AX687" i="13"/>
  <c r="AX688" i="13"/>
  <c r="AX689" i="13"/>
  <c r="AX690" i="13"/>
  <c r="AX691" i="13"/>
  <c r="AX692" i="13"/>
  <c r="AX693" i="13"/>
  <c r="AX694" i="13"/>
  <c r="AX695" i="13"/>
  <c r="AX696" i="13"/>
  <c r="AX697" i="13"/>
  <c r="AX698" i="13"/>
  <c r="AX699" i="13"/>
  <c r="AX700" i="13"/>
  <c r="AX701" i="13"/>
  <c r="AX3" i="13"/>
  <c r="AX4" i="13"/>
  <c r="AX5" i="13"/>
  <c r="AX6" i="13"/>
  <c r="AX7" i="13"/>
  <c r="AX8" i="13"/>
  <c r="AX9" i="13"/>
  <c r="AX10" i="13"/>
  <c r="AX11" i="13"/>
  <c r="AX12" i="13"/>
  <c r="AX13" i="13"/>
  <c r="AX14" i="13"/>
  <c r="AX15" i="13"/>
  <c r="AX16" i="13"/>
  <c r="AX2" i="13"/>
  <c r="M25" i="16" l="1"/>
  <c r="B28" i="16"/>
  <c r="D27" i="16"/>
  <c r="H27" i="16"/>
  <c r="G27" i="16"/>
  <c r="I27" i="16" s="1"/>
  <c r="W27" i="16" s="1"/>
  <c r="P26" i="16"/>
  <c r="Q26" i="16"/>
  <c r="R25" i="16"/>
  <c r="X25" i="16" s="1"/>
  <c r="K27" i="16"/>
  <c r="N4" i="16"/>
  <c r="O4" i="16" s="1"/>
  <c r="V4" i="16" s="1"/>
  <c r="N2" i="16"/>
  <c r="O2" i="16" s="1"/>
  <c r="V2" i="16" s="1"/>
  <c r="N5" i="16"/>
  <c r="O5" i="16" s="1"/>
  <c r="V5" i="16" s="1"/>
  <c r="N3" i="16"/>
  <c r="O3" i="16" s="1"/>
  <c r="V3" i="16" s="1"/>
  <c r="M26" i="16" l="1"/>
  <c r="B29" i="16"/>
  <c r="D28" i="16"/>
  <c r="H28" i="16"/>
  <c r="G28" i="16"/>
  <c r="I28" i="16" s="1"/>
  <c r="W28" i="16" s="1"/>
  <c r="R26" i="16"/>
  <c r="X26" i="16" s="1"/>
  <c r="Q27" i="16"/>
  <c r="P27" i="16"/>
  <c r="K28" i="16"/>
  <c r="AQ3" i="13"/>
  <c r="AQ4" i="13"/>
  <c r="AQ5" i="13"/>
  <c r="AQ6" i="13"/>
  <c r="AQ7" i="13"/>
  <c r="AQ8" i="13"/>
  <c r="AQ9" i="13"/>
  <c r="AQ10" i="13"/>
  <c r="AQ11" i="13"/>
  <c r="AQ12" i="13"/>
  <c r="AQ13" i="13"/>
  <c r="AQ14" i="13"/>
  <c r="AQ15" i="13"/>
  <c r="AQ16" i="13"/>
  <c r="AQ17" i="13"/>
  <c r="AQ18" i="13"/>
  <c r="AQ19" i="13"/>
  <c r="AQ20" i="13"/>
  <c r="AQ21" i="13"/>
  <c r="AQ22" i="13"/>
  <c r="AQ23" i="13"/>
  <c r="AQ24" i="13"/>
  <c r="AQ25" i="13"/>
  <c r="AQ26" i="13"/>
  <c r="AQ27" i="13"/>
  <c r="AQ28" i="13"/>
  <c r="AQ29" i="13"/>
  <c r="AQ30" i="13"/>
  <c r="AQ31" i="13"/>
  <c r="AQ32" i="13"/>
  <c r="AQ33" i="13"/>
  <c r="AQ34" i="13"/>
  <c r="AQ35" i="13"/>
  <c r="AQ36" i="13"/>
  <c r="AQ37" i="13"/>
  <c r="AQ38" i="13"/>
  <c r="AQ39" i="13"/>
  <c r="AQ40" i="13"/>
  <c r="AQ41" i="13"/>
  <c r="AQ42" i="13"/>
  <c r="AQ43" i="13"/>
  <c r="AQ44" i="13"/>
  <c r="AQ45" i="13"/>
  <c r="AQ46" i="13"/>
  <c r="AQ47" i="13"/>
  <c r="AQ48" i="13"/>
  <c r="AQ49" i="13"/>
  <c r="AQ50" i="13"/>
  <c r="AQ51" i="13"/>
  <c r="AQ52" i="13"/>
  <c r="AQ53" i="13"/>
  <c r="AQ54" i="13"/>
  <c r="AQ55" i="13"/>
  <c r="AQ56" i="13"/>
  <c r="AQ57" i="13"/>
  <c r="AQ58" i="13"/>
  <c r="AQ59" i="13"/>
  <c r="AQ60" i="13"/>
  <c r="AQ61" i="13"/>
  <c r="AQ62" i="13"/>
  <c r="AQ63" i="13"/>
  <c r="AQ64" i="13"/>
  <c r="AQ65" i="13"/>
  <c r="AQ66" i="13"/>
  <c r="AQ67" i="13"/>
  <c r="AQ68" i="13"/>
  <c r="AQ69" i="13"/>
  <c r="AQ70" i="13"/>
  <c r="AQ71" i="13"/>
  <c r="AQ72" i="13"/>
  <c r="AQ73" i="13"/>
  <c r="AQ74" i="13"/>
  <c r="AQ75" i="13"/>
  <c r="AQ76" i="13"/>
  <c r="AQ77" i="13"/>
  <c r="AQ78" i="13"/>
  <c r="AQ79" i="13"/>
  <c r="AQ80" i="13"/>
  <c r="AQ81" i="13"/>
  <c r="AQ82" i="13"/>
  <c r="AQ83" i="13"/>
  <c r="AQ84" i="13"/>
  <c r="AQ85" i="13"/>
  <c r="AQ86" i="13"/>
  <c r="AQ87" i="13"/>
  <c r="AQ88" i="13"/>
  <c r="AQ89" i="13"/>
  <c r="AQ90" i="13"/>
  <c r="AQ91" i="13"/>
  <c r="AQ92" i="13"/>
  <c r="AQ93" i="13"/>
  <c r="AQ94" i="13"/>
  <c r="AQ95" i="13"/>
  <c r="AQ96" i="13"/>
  <c r="AQ97" i="13"/>
  <c r="AQ98" i="13"/>
  <c r="AQ99" i="13"/>
  <c r="AQ100" i="13"/>
  <c r="AQ101" i="13"/>
  <c r="AQ102" i="13"/>
  <c r="AQ103" i="13"/>
  <c r="AQ104" i="13"/>
  <c r="AQ105" i="13"/>
  <c r="AQ106" i="13"/>
  <c r="AQ107" i="13"/>
  <c r="AQ108" i="13"/>
  <c r="AQ109" i="13"/>
  <c r="AQ110" i="13"/>
  <c r="AQ111" i="13"/>
  <c r="AQ112" i="13"/>
  <c r="AQ113" i="13"/>
  <c r="AQ114" i="13"/>
  <c r="AQ115" i="13"/>
  <c r="AQ116" i="13"/>
  <c r="AQ117" i="13"/>
  <c r="AQ118" i="13"/>
  <c r="AQ119" i="13"/>
  <c r="AQ120" i="13"/>
  <c r="AQ121" i="13"/>
  <c r="AQ122" i="13"/>
  <c r="AQ123" i="13"/>
  <c r="AQ124" i="13"/>
  <c r="AQ125" i="13"/>
  <c r="AQ126" i="13"/>
  <c r="AQ127" i="13"/>
  <c r="AQ128" i="13"/>
  <c r="AQ129" i="13"/>
  <c r="AQ130" i="13"/>
  <c r="AQ131" i="13"/>
  <c r="AQ132" i="13"/>
  <c r="AQ133" i="13"/>
  <c r="AQ134" i="13"/>
  <c r="AQ135" i="13"/>
  <c r="AQ136" i="13"/>
  <c r="AQ137" i="13"/>
  <c r="AQ138" i="13"/>
  <c r="AQ139" i="13"/>
  <c r="AQ140" i="13"/>
  <c r="AQ141" i="13"/>
  <c r="AQ142" i="13"/>
  <c r="AQ143" i="13"/>
  <c r="AQ144" i="13"/>
  <c r="AQ145" i="13"/>
  <c r="AQ146" i="13"/>
  <c r="AQ147" i="13"/>
  <c r="AQ148" i="13"/>
  <c r="AQ149" i="13"/>
  <c r="AQ150" i="13"/>
  <c r="AQ151" i="13"/>
  <c r="AQ152" i="13"/>
  <c r="AQ153" i="13"/>
  <c r="AQ154" i="13"/>
  <c r="AQ155" i="13"/>
  <c r="AQ156" i="13"/>
  <c r="AQ157" i="13"/>
  <c r="AQ158" i="13"/>
  <c r="AQ159" i="13"/>
  <c r="AQ160" i="13"/>
  <c r="AQ161" i="13"/>
  <c r="AQ162" i="13"/>
  <c r="AQ163" i="13"/>
  <c r="AQ164" i="13"/>
  <c r="AQ165" i="13"/>
  <c r="AQ166" i="13"/>
  <c r="AQ167" i="13"/>
  <c r="AQ168" i="13"/>
  <c r="AQ169" i="13"/>
  <c r="AQ170" i="13"/>
  <c r="AQ171" i="13"/>
  <c r="AQ172" i="13"/>
  <c r="AQ173" i="13"/>
  <c r="AQ174" i="13"/>
  <c r="AQ175" i="13"/>
  <c r="AQ176" i="13"/>
  <c r="AQ177" i="13"/>
  <c r="AQ178" i="13"/>
  <c r="AQ179" i="13"/>
  <c r="AQ180" i="13"/>
  <c r="AQ181" i="13"/>
  <c r="AQ182" i="13"/>
  <c r="AQ183" i="13"/>
  <c r="AQ184" i="13"/>
  <c r="AQ185" i="13"/>
  <c r="AQ186" i="13"/>
  <c r="AQ187" i="13"/>
  <c r="AQ188" i="13"/>
  <c r="AQ189" i="13"/>
  <c r="AQ190" i="13"/>
  <c r="AQ191" i="13"/>
  <c r="AQ192" i="13"/>
  <c r="AQ193" i="13"/>
  <c r="AQ194" i="13"/>
  <c r="AQ195" i="13"/>
  <c r="AQ196" i="13"/>
  <c r="AQ197" i="13"/>
  <c r="AQ198" i="13"/>
  <c r="AQ199" i="13"/>
  <c r="AQ200" i="13"/>
  <c r="AQ201" i="13"/>
  <c r="AQ202" i="13"/>
  <c r="AQ203" i="13"/>
  <c r="AQ204" i="13"/>
  <c r="AQ205" i="13"/>
  <c r="AQ206" i="13"/>
  <c r="AQ207" i="13"/>
  <c r="AQ208" i="13"/>
  <c r="AQ209" i="13"/>
  <c r="AQ210" i="13"/>
  <c r="AQ211" i="13"/>
  <c r="AQ212" i="13"/>
  <c r="AQ213" i="13"/>
  <c r="AQ214" i="13"/>
  <c r="AQ215" i="13"/>
  <c r="AQ216" i="13"/>
  <c r="AQ217" i="13"/>
  <c r="AQ218" i="13"/>
  <c r="AQ219" i="13"/>
  <c r="AQ220" i="13"/>
  <c r="AQ221" i="13"/>
  <c r="AQ222" i="13"/>
  <c r="AQ223" i="13"/>
  <c r="AQ224" i="13"/>
  <c r="AQ225" i="13"/>
  <c r="AQ226" i="13"/>
  <c r="AQ227" i="13"/>
  <c r="AQ228" i="13"/>
  <c r="AQ229" i="13"/>
  <c r="AQ230" i="13"/>
  <c r="AQ231" i="13"/>
  <c r="AQ232" i="13"/>
  <c r="AQ233" i="13"/>
  <c r="AQ234" i="13"/>
  <c r="AQ235" i="13"/>
  <c r="AQ236" i="13"/>
  <c r="AQ237" i="13"/>
  <c r="AQ238" i="13"/>
  <c r="AQ239" i="13"/>
  <c r="AQ240" i="13"/>
  <c r="AQ241" i="13"/>
  <c r="AQ242" i="13"/>
  <c r="AQ243" i="13"/>
  <c r="AQ244" i="13"/>
  <c r="AQ245" i="13"/>
  <c r="AQ246" i="13"/>
  <c r="AQ247" i="13"/>
  <c r="AQ248" i="13"/>
  <c r="AQ249" i="13"/>
  <c r="AQ250" i="13"/>
  <c r="AQ251" i="13"/>
  <c r="AQ252" i="13"/>
  <c r="AQ253" i="13"/>
  <c r="AQ254" i="13"/>
  <c r="AQ255" i="13"/>
  <c r="AQ256" i="13"/>
  <c r="AQ257" i="13"/>
  <c r="AQ258" i="13"/>
  <c r="AQ259" i="13"/>
  <c r="AQ260" i="13"/>
  <c r="AQ261" i="13"/>
  <c r="AQ262" i="13"/>
  <c r="AQ263" i="13"/>
  <c r="AQ264" i="13"/>
  <c r="AQ265" i="13"/>
  <c r="AQ266" i="13"/>
  <c r="AQ267" i="13"/>
  <c r="AQ268" i="13"/>
  <c r="AQ269" i="13"/>
  <c r="AQ270" i="13"/>
  <c r="AQ271" i="13"/>
  <c r="AQ272" i="13"/>
  <c r="AQ273" i="13"/>
  <c r="AQ274" i="13"/>
  <c r="AQ275" i="13"/>
  <c r="AQ276" i="13"/>
  <c r="AQ277" i="13"/>
  <c r="AQ278" i="13"/>
  <c r="AQ279" i="13"/>
  <c r="AQ280" i="13"/>
  <c r="AQ281" i="13"/>
  <c r="AQ282" i="13"/>
  <c r="AQ283" i="13"/>
  <c r="AQ284" i="13"/>
  <c r="AQ285" i="13"/>
  <c r="AQ286" i="13"/>
  <c r="AQ287" i="13"/>
  <c r="AQ288" i="13"/>
  <c r="AQ289" i="13"/>
  <c r="AQ290" i="13"/>
  <c r="AQ291" i="13"/>
  <c r="AQ292" i="13"/>
  <c r="AQ293" i="13"/>
  <c r="AQ294" i="13"/>
  <c r="AQ295" i="13"/>
  <c r="AQ296" i="13"/>
  <c r="AQ297" i="13"/>
  <c r="AQ298" i="13"/>
  <c r="AQ299" i="13"/>
  <c r="AQ300" i="13"/>
  <c r="AQ301" i="13"/>
  <c r="AQ302" i="13"/>
  <c r="AQ303" i="13"/>
  <c r="AQ304" i="13"/>
  <c r="AQ305" i="13"/>
  <c r="AQ306" i="13"/>
  <c r="AQ307" i="13"/>
  <c r="AQ308" i="13"/>
  <c r="AQ309" i="13"/>
  <c r="AQ310" i="13"/>
  <c r="AQ311" i="13"/>
  <c r="AQ312" i="13"/>
  <c r="AQ313" i="13"/>
  <c r="AQ314" i="13"/>
  <c r="AQ315" i="13"/>
  <c r="AQ316" i="13"/>
  <c r="AQ317" i="13"/>
  <c r="AQ318" i="13"/>
  <c r="AQ319" i="13"/>
  <c r="AQ320" i="13"/>
  <c r="AQ321" i="13"/>
  <c r="AQ322" i="13"/>
  <c r="AQ323" i="13"/>
  <c r="AQ324" i="13"/>
  <c r="AQ325" i="13"/>
  <c r="AQ326" i="13"/>
  <c r="AQ327" i="13"/>
  <c r="AQ328" i="13"/>
  <c r="AQ329" i="13"/>
  <c r="AQ330" i="13"/>
  <c r="AQ331" i="13"/>
  <c r="AQ332" i="13"/>
  <c r="AQ333" i="13"/>
  <c r="AQ334" i="13"/>
  <c r="AQ335" i="13"/>
  <c r="AQ336" i="13"/>
  <c r="AQ337" i="13"/>
  <c r="AQ338" i="13"/>
  <c r="AQ339" i="13"/>
  <c r="AQ340" i="13"/>
  <c r="AQ341" i="13"/>
  <c r="AQ342" i="13"/>
  <c r="AQ343" i="13"/>
  <c r="AQ344" i="13"/>
  <c r="AQ345" i="13"/>
  <c r="AQ346" i="13"/>
  <c r="AQ347" i="13"/>
  <c r="AQ348" i="13"/>
  <c r="AQ349" i="13"/>
  <c r="AQ350" i="13"/>
  <c r="AQ351" i="13"/>
  <c r="AQ352" i="13"/>
  <c r="AQ353" i="13"/>
  <c r="AQ354" i="13"/>
  <c r="AQ355" i="13"/>
  <c r="AQ356" i="13"/>
  <c r="AQ357" i="13"/>
  <c r="AQ358" i="13"/>
  <c r="AQ359" i="13"/>
  <c r="AQ360" i="13"/>
  <c r="AQ361" i="13"/>
  <c r="AQ362" i="13"/>
  <c r="AQ363" i="13"/>
  <c r="AQ364" i="13"/>
  <c r="AQ365" i="13"/>
  <c r="AQ366" i="13"/>
  <c r="AQ367" i="13"/>
  <c r="AQ368" i="13"/>
  <c r="AQ369" i="13"/>
  <c r="AQ370" i="13"/>
  <c r="AQ371" i="13"/>
  <c r="AQ372" i="13"/>
  <c r="AQ373" i="13"/>
  <c r="AQ374" i="13"/>
  <c r="AQ375" i="13"/>
  <c r="AQ376" i="13"/>
  <c r="AQ377" i="13"/>
  <c r="AQ378" i="13"/>
  <c r="AQ379" i="13"/>
  <c r="AQ380" i="13"/>
  <c r="AQ381" i="13"/>
  <c r="AQ382" i="13"/>
  <c r="AQ383" i="13"/>
  <c r="AQ384" i="13"/>
  <c r="AQ385" i="13"/>
  <c r="AQ386" i="13"/>
  <c r="AQ387" i="13"/>
  <c r="AQ388" i="13"/>
  <c r="AQ389" i="13"/>
  <c r="AQ390" i="13"/>
  <c r="AQ391" i="13"/>
  <c r="AQ392" i="13"/>
  <c r="AQ393" i="13"/>
  <c r="AQ394" i="13"/>
  <c r="AQ395" i="13"/>
  <c r="AQ396" i="13"/>
  <c r="AQ397" i="13"/>
  <c r="AQ398" i="13"/>
  <c r="AQ399" i="13"/>
  <c r="AQ400" i="13"/>
  <c r="AQ401" i="13"/>
  <c r="AQ402" i="13"/>
  <c r="AQ403" i="13"/>
  <c r="AQ404" i="13"/>
  <c r="AQ405" i="13"/>
  <c r="AQ406" i="13"/>
  <c r="AQ407" i="13"/>
  <c r="AQ408" i="13"/>
  <c r="AQ409" i="13"/>
  <c r="AQ410" i="13"/>
  <c r="AQ411" i="13"/>
  <c r="AQ412" i="13"/>
  <c r="AQ413" i="13"/>
  <c r="AQ414" i="13"/>
  <c r="AQ415" i="13"/>
  <c r="AQ416" i="13"/>
  <c r="AQ417" i="13"/>
  <c r="AQ418" i="13"/>
  <c r="AQ419" i="13"/>
  <c r="AQ420" i="13"/>
  <c r="AQ421" i="13"/>
  <c r="AQ422" i="13"/>
  <c r="AQ423" i="13"/>
  <c r="AQ424" i="13"/>
  <c r="AQ425" i="13"/>
  <c r="AQ426" i="13"/>
  <c r="AQ427" i="13"/>
  <c r="AQ428" i="13"/>
  <c r="AQ429" i="13"/>
  <c r="AQ430" i="13"/>
  <c r="AQ431" i="13"/>
  <c r="AQ432" i="13"/>
  <c r="AQ433" i="13"/>
  <c r="AQ434" i="13"/>
  <c r="AQ435" i="13"/>
  <c r="AQ436" i="13"/>
  <c r="AQ437" i="13"/>
  <c r="AQ438" i="13"/>
  <c r="AQ439" i="13"/>
  <c r="AQ440" i="13"/>
  <c r="AQ441" i="13"/>
  <c r="AQ442" i="13"/>
  <c r="AQ443" i="13"/>
  <c r="AQ444" i="13"/>
  <c r="AQ445" i="13"/>
  <c r="AQ446" i="13"/>
  <c r="AQ447" i="13"/>
  <c r="AQ448" i="13"/>
  <c r="AQ449" i="13"/>
  <c r="AQ450" i="13"/>
  <c r="AQ451" i="13"/>
  <c r="AQ452" i="13"/>
  <c r="AQ453" i="13"/>
  <c r="AQ454" i="13"/>
  <c r="AQ455" i="13"/>
  <c r="AQ456" i="13"/>
  <c r="AQ457" i="13"/>
  <c r="AQ458" i="13"/>
  <c r="AQ459" i="13"/>
  <c r="AQ460" i="13"/>
  <c r="AQ461" i="13"/>
  <c r="AQ462" i="13"/>
  <c r="AQ463" i="13"/>
  <c r="AQ464" i="13"/>
  <c r="AQ465" i="13"/>
  <c r="AQ466" i="13"/>
  <c r="AQ467" i="13"/>
  <c r="AQ468" i="13"/>
  <c r="AQ469" i="13"/>
  <c r="AQ470" i="13"/>
  <c r="AQ471" i="13"/>
  <c r="AQ472" i="13"/>
  <c r="AQ473" i="13"/>
  <c r="AQ474" i="13"/>
  <c r="AQ475" i="13"/>
  <c r="AQ476" i="13"/>
  <c r="AQ477" i="13"/>
  <c r="AQ478" i="13"/>
  <c r="AQ479" i="13"/>
  <c r="AQ480" i="13"/>
  <c r="AQ481" i="13"/>
  <c r="AQ482" i="13"/>
  <c r="AQ483" i="13"/>
  <c r="AQ484" i="13"/>
  <c r="AQ485" i="13"/>
  <c r="AQ486" i="13"/>
  <c r="AQ487" i="13"/>
  <c r="AQ488" i="13"/>
  <c r="AQ489" i="13"/>
  <c r="AQ490" i="13"/>
  <c r="AQ491" i="13"/>
  <c r="AQ492" i="13"/>
  <c r="AQ493" i="13"/>
  <c r="AQ494" i="13"/>
  <c r="AQ495" i="13"/>
  <c r="AQ496" i="13"/>
  <c r="AQ497" i="13"/>
  <c r="AQ498" i="13"/>
  <c r="AQ499" i="13"/>
  <c r="AQ500" i="13"/>
  <c r="AQ501" i="13"/>
  <c r="AQ502" i="13"/>
  <c r="AQ503" i="13"/>
  <c r="AQ504" i="13"/>
  <c r="AQ505" i="13"/>
  <c r="AQ506" i="13"/>
  <c r="AQ507" i="13"/>
  <c r="AQ508" i="13"/>
  <c r="AQ509" i="13"/>
  <c r="AQ510" i="13"/>
  <c r="AQ511" i="13"/>
  <c r="AQ512" i="13"/>
  <c r="AQ513" i="13"/>
  <c r="AQ514" i="13"/>
  <c r="AQ515" i="13"/>
  <c r="AQ516" i="13"/>
  <c r="AQ517" i="13"/>
  <c r="AQ518" i="13"/>
  <c r="AQ519" i="13"/>
  <c r="AQ520" i="13"/>
  <c r="AQ521" i="13"/>
  <c r="AQ522" i="13"/>
  <c r="AQ523" i="13"/>
  <c r="AQ524" i="13"/>
  <c r="AQ525" i="13"/>
  <c r="AQ526" i="13"/>
  <c r="AQ527" i="13"/>
  <c r="AQ528" i="13"/>
  <c r="AQ529" i="13"/>
  <c r="AQ530" i="13"/>
  <c r="AQ531" i="13"/>
  <c r="AQ532" i="13"/>
  <c r="AQ533" i="13"/>
  <c r="AQ534" i="13"/>
  <c r="AQ535" i="13"/>
  <c r="AQ536" i="13"/>
  <c r="AQ537" i="13"/>
  <c r="AQ538" i="13"/>
  <c r="AQ539" i="13"/>
  <c r="AQ540" i="13"/>
  <c r="AQ541" i="13"/>
  <c r="AQ542" i="13"/>
  <c r="AQ543" i="13"/>
  <c r="AQ544" i="13"/>
  <c r="AQ545" i="13"/>
  <c r="AQ546" i="13"/>
  <c r="AQ547" i="13"/>
  <c r="AQ548" i="13"/>
  <c r="AQ549" i="13"/>
  <c r="AQ550" i="13"/>
  <c r="AQ551" i="13"/>
  <c r="AQ552" i="13"/>
  <c r="AQ553" i="13"/>
  <c r="AQ554" i="13"/>
  <c r="AQ555" i="13"/>
  <c r="AQ556" i="13"/>
  <c r="AQ557" i="13"/>
  <c r="AQ558" i="13"/>
  <c r="AQ559" i="13"/>
  <c r="AQ560" i="13"/>
  <c r="AQ561" i="13"/>
  <c r="AQ562" i="13"/>
  <c r="AQ563" i="13"/>
  <c r="AQ564" i="13"/>
  <c r="AQ565" i="13"/>
  <c r="AQ566" i="13"/>
  <c r="AQ567" i="13"/>
  <c r="AQ568" i="13"/>
  <c r="AQ569" i="13"/>
  <c r="AQ570" i="13"/>
  <c r="AQ571" i="13"/>
  <c r="AQ572" i="13"/>
  <c r="AQ573" i="13"/>
  <c r="AQ574" i="13"/>
  <c r="AQ575" i="13"/>
  <c r="AQ576" i="13"/>
  <c r="AQ577" i="13"/>
  <c r="AQ578" i="13"/>
  <c r="AQ579" i="13"/>
  <c r="AQ580" i="13"/>
  <c r="AQ581" i="13"/>
  <c r="AQ582" i="13"/>
  <c r="AQ583" i="13"/>
  <c r="AQ584" i="13"/>
  <c r="AQ585" i="13"/>
  <c r="AQ586" i="13"/>
  <c r="AQ587" i="13"/>
  <c r="AQ588" i="13"/>
  <c r="AQ589" i="13"/>
  <c r="AQ590" i="13"/>
  <c r="AQ591" i="13"/>
  <c r="AQ592" i="13"/>
  <c r="AQ593" i="13"/>
  <c r="AQ594" i="13"/>
  <c r="AQ595" i="13"/>
  <c r="AQ596" i="13"/>
  <c r="AQ597" i="13"/>
  <c r="AQ598" i="13"/>
  <c r="AQ599" i="13"/>
  <c r="AQ600" i="13"/>
  <c r="AQ601" i="13"/>
  <c r="AQ602" i="13"/>
  <c r="AQ603" i="13"/>
  <c r="AQ604" i="13"/>
  <c r="AQ605" i="13"/>
  <c r="AQ606" i="13"/>
  <c r="AQ607" i="13"/>
  <c r="AQ608" i="13"/>
  <c r="AQ609" i="13"/>
  <c r="AQ610" i="13"/>
  <c r="AQ611" i="13"/>
  <c r="AQ612" i="13"/>
  <c r="AQ613" i="13"/>
  <c r="AQ614" i="13"/>
  <c r="AQ615" i="13"/>
  <c r="AQ616" i="13"/>
  <c r="AQ617" i="13"/>
  <c r="AQ618" i="13"/>
  <c r="AQ619" i="13"/>
  <c r="AQ620" i="13"/>
  <c r="AQ621" i="13"/>
  <c r="AQ622" i="13"/>
  <c r="AQ623" i="13"/>
  <c r="AQ624" i="13"/>
  <c r="AQ625" i="13"/>
  <c r="AQ626" i="13"/>
  <c r="AQ627" i="13"/>
  <c r="AQ628" i="13"/>
  <c r="AQ629" i="13"/>
  <c r="AQ630" i="13"/>
  <c r="AQ631" i="13"/>
  <c r="AQ632" i="13"/>
  <c r="AQ633" i="13"/>
  <c r="AQ634" i="13"/>
  <c r="AQ635" i="13"/>
  <c r="AQ636" i="13"/>
  <c r="AQ637" i="13"/>
  <c r="AQ638" i="13"/>
  <c r="AQ639" i="13"/>
  <c r="AQ640" i="13"/>
  <c r="AQ641" i="13"/>
  <c r="AQ642" i="13"/>
  <c r="AQ643" i="13"/>
  <c r="AQ644" i="13"/>
  <c r="AQ645" i="13"/>
  <c r="AQ646" i="13"/>
  <c r="AQ647" i="13"/>
  <c r="AQ648" i="13"/>
  <c r="AQ649" i="13"/>
  <c r="AQ650" i="13"/>
  <c r="AQ651" i="13"/>
  <c r="AQ652" i="13"/>
  <c r="AQ653" i="13"/>
  <c r="AQ654" i="13"/>
  <c r="AQ655" i="13"/>
  <c r="AQ656" i="13"/>
  <c r="AQ657" i="13"/>
  <c r="AQ658" i="13"/>
  <c r="AQ659" i="13"/>
  <c r="AQ660" i="13"/>
  <c r="AQ661" i="13"/>
  <c r="AQ662" i="13"/>
  <c r="AQ663" i="13"/>
  <c r="AQ664" i="13"/>
  <c r="AQ665" i="13"/>
  <c r="AQ666" i="13"/>
  <c r="AQ667" i="13"/>
  <c r="AQ668" i="13"/>
  <c r="AQ669" i="13"/>
  <c r="AQ670" i="13"/>
  <c r="AQ671" i="13"/>
  <c r="AQ672" i="13"/>
  <c r="AQ673" i="13"/>
  <c r="AQ674" i="13"/>
  <c r="AQ675" i="13"/>
  <c r="AQ676" i="13"/>
  <c r="AQ677" i="13"/>
  <c r="AQ678" i="13"/>
  <c r="AQ679" i="13"/>
  <c r="AQ680" i="13"/>
  <c r="AQ681" i="13"/>
  <c r="AQ682" i="13"/>
  <c r="AQ683" i="13"/>
  <c r="AQ684" i="13"/>
  <c r="AQ685" i="13"/>
  <c r="AQ686" i="13"/>
  <c r="AQ687" i="13"/>
  <c r="AQ688" i="13"/>
  <c r="AQ689" i="13"/>
  <c r="AQ690" i="13"/>
  <c r="AQ691" i="13"/>
  <c r="AQ692" i="13"/>
  <c r="AQ693" i="13"/>
  <c r="AQ694" i="13"/>
  <c r="AQ695" i="13"/>
  <c r="AQ696" i="13"/>
  <c r="AQ697" i="13"/>
  <c r="AQ698" i="13"/>
  <c r="AQ699" i="13"/>
  <c r="AQ700" i="13"/>
  <c r="AQ701" i="13"/>
  <c r="AQ2" i="13"/>
  <c r="AP2" i="13"/>
  <c r="AR3" i="13"/>
  <c r="AR4" i="13"/>
  <c r="AR5" i="13"/>
  <c r="AR6" i="13"/>
  <c r="AR7" i="13"/>
  <c r="AR8" i="13"/>
  <c r="AR9" i="13"/>
  <c r="AR10" i="13"/>
  <c r="AR11" i="13"/>
  <c r="AR12" i="13"/>
  <c r="AR13" i="13"/>
  <c r="AR14" i="13"/>
  <c r="AR15" i="13"/>
  <c r="AR16" i="13"/>
  <c r="AR17" i="13"/>
  <c r="AR18" i="13"/>
  <c r="AR19" i="13"/>
  <c r="AR20" i="13"/>
  <c r="AR21" i="13"/>
  <c r="AR22" i="13"/>
  <c r="AR23" i="13"/>
  <c r="AR24" i="13"/>
  <c r="AR25" i="13"/>
  <c r="AR26" i="13"/>
  <c r="AR27" i="13"/>
  <c r="AR28" i="13"/>
  <c r="AR29" i="13"/>
  <c r="AR30" i="13"/>
  <c r="AR31" i="13"/>
  <c r="AR32" i="13"/>
  <c r="AR33" i="13"/>
  <c r="AR34" i="13"/>
  <c r="AR35" i="13"/>
  <c r="AR36" i="13"/>
  <c r="AR37" i="13"/>
  <c r="AR38" i="13"/>
  <c r="AR39" i="13"/>
  <c r="AR40" i="13"/>
  <c r="AR41" i="13"/>
  <c r="AR42" i="13"/>
  <c r="AR43" i="13"/>
  <c r="AR44" i="13"/>
  <c r="AR45" i="13"/>
  <c r="AR46" i="13"/>
  <c r="AR47" i="13"/>
  <c r="AR48" i="13"/>
  <c r="AR49" i="13"/>
  <c r="AR50" i="13"/>
  <c r="AR51" i="13"/>
  <c r="AR52" i="13"/>
  <c r="AR53" i="13"/>
  <c r="AR54" i="13"/>
  <c r="AR55" i="13"/>
  <c r="AR56" i="13"/>
  <c r="AR57" i="13"/>
  <c r="AR58" i="13"/>
  <c r="AR59" i="13"/>
  <c r="AR60" i="13"/>
  <c r="AR61" i="13"/>
  <c r="AR62" i="13"/>
  <c r="AR63" i="13"/>
  <c r="AR64" i="13"/>
  <c r="AR65" i="13"/>
  <c r="AR66" i="13"/>
  <c r="AR67" i="13"/>
  <c r="AR68" i="13"/>
  <c r="AR69" i="13"/>
  <c r="AR70" i="13"/>
  <c r="AR71" i="13"/>
  <c r="AR72" i="13"/>
  <c r="AR73" i="13"/>
  <c r="AR74" i="13"/>
  <c r="AR75" i="13"/>
  <c r="AR76" i="13"/>
  <c r="AR77" i="13"/>
  <c r="AR78" i="13"/>
  <c r="AR79" i="13"/>
  <c r="AR80" i="13"/>
  <c r="AR81" i="13"/>
  <c r="AR82" i="13"/>
  <c r="AR83" i="13"/>
  <c r="AR84" i="13"/>
  <c r="AR85" i="13"/>
  <c r="AR86" i="13"/>
  <c r="AR87" i="13"/>
  <c r="AR88" i="13"/>
  <c r="AR89" i="13"/>
  <c r="AR90" i="13"/>
  <c r="AR91" i="13"/>
  <c r="AR92" i="13"/>
  <c r="AR93" i="13"/>
  <c r="AR94" i="13"/>
  <c r="AR95" i="13"/>
  <c r="AR96" i="13"/>
  <c r="AR97" i="13"/>
  <c r="AR98" i="13"/>
  <c r="AR99" i="13"/>
  <c r="AR100" i="13"/>
  <c r="AR101" i="13"/>
  <c r="AR102" i="13"/>
  <c r="AR103" i="13"/>
  <c r="AR104" i="13"/>
  <c r="AR105" i="13"/>
  <c r="AR106" i="13"/>
  <c r="AR107" i="13"/>
  <c r="AR108" i="13"/>
  <c r="AR109" i="13"/>
  <c r="AR110" i="13"/>
  <c r="AR111" i="13"/>
  <c r="AR112" i="13"/>
  <c r="AR113" i="13"/>
  <c r="AR114" i="13"/>
  <c r="AR115" i="13"/>
  <c r="AR116" i="13"/>
  <c r="AR117" i="13"/>
  <c r="AR118" i="13"/>
  <c r="AR119" i="13"/>
  <c r="AR120" i="13"/>
  <c r="AR121" i="13"/>
  <c r="AR122" i="13"/>
  <c r="AR123" i="13"/>
  <c r="AR124" i="13"/>
  <c r="AR125" i="13"/>
  <c r="AR126" i="13"/>
  <c r="AR127" i="13"/>
  <c r="AR128" i="13"/>
  <c r="AR129" i="13"/>
  <c r="AR130" i="13"/>
  <c r="AR131" i="13"/>
  <c r="AR132" i="13"/>
  <c r="AR133" i="13"/>
  <c r="AR134" i="13"/>
  <c r="AR135" i="13"/>
  <c r="AR136" i="13"/>
  <c r="AR137" i="13"/>
  <c r="AR138" i="13"/>
  <c r="AR139" i="13"/>
  <c r="AR140" i="13"/>
  <c r="AR141" i="13"/>
  <c r="AR142" i="13"/>
  <c r="AR143" i="13"/>
  <c r="AR144" i="13"/>
  <c r="AR145" i="13"/>
  <c r="AR146" i="13"/>
  <c r="AR147" i="13"/>
  <c r="AR148" i="13"/>
  <c r="AR149" i="13"/>
  <c r="AR150" i="13"/>
  <c r="AR151" i="13"/>
  <c r="AR152" i="13"/>
  <c r="AR153" i="13"/>
  <c r="AR154" i="13"/>
  <c r="AR155" i="13"/>
  <c r="AR156" i="13"/>
  <c r="AR157" i="13"/>
  <c r="AR158" i="13"/>
  <c r="AR159" i="13"/>
  <c r="AR160" i="13"/>
  <c r="AR161" i="13"/>
  <c r="AR162" i="13"/>
  <c r="AR163" i="13"/>
  <c r="AR164" i="13"/>
  <c r="AR165" i="13"/>
  <c r="AR166" i="13"/>
  <c r="AR167" i="13"/>
  <c r="AR168" i="13"/>
  <c r="AR169" i="13"/>
  <c r="AR170" i="13"/>
  <c r="AR171" i="13"/>
  <c r="AR172" i="13"/>
  <c r="AR173" i="13"/>
  <c r="AR174" i="13"/>
  <c r="AR175" i="13"/>
  <c r="AR176" i="13"/>
  <c r="AR177" i="13"/>
  <c r="AR178" i="13"/>
  <c r="AR179" i="13"/>
  <c r="AR180" i="13"/>
  <c r="AR181" i="13"/>
  <c r="AR182" i="13"/>
  <c r="AR183" i="13"/>
  <c r="AR184" i="13"/>
  <c r="AR185" i="13"/>
  <c r="AR186" i="13"/>
  <c r="AR187" i="13"/>
  <c r="AR188" i="13"/>
  <c r="AR189" i="13"/>
  <c r="AR190" i="13"/>
  <c r="AR191" i="13"/>
  <c r="AR192" i="13"/>
  <c r="AR193" i="13"/>
  <c r="AR194" i="13"/>
  <c r="AR195" i="13"/>
  <c r="AR196" i="13"/>
  <c r="AR197" i="13"/>
  <c r="AR198" i="13"/>
  <c r="AR199" i="13"/>
  <c r="AR200" i="13"/>
  <c r="AR201" i="13"/>
  <c r="AR202" i="13"/>
  <c r="AR203" i="13"/>
  <c r="AR204" i="13"/>
  <c r="AR205" i="13"/>
  <c r="AR206" i="13"/>
  <c r="AR207" i="13"/>
  <c r="AR208" i="13"/>
  <c r="AR209" i="13"/>
  <c r="AR210" i="13"/>
  <c r="AR211" i="13"/>
  <c r="AR212" i="13"/>
  <c r="AR213" i="13"/>
  <c r="AR214" i="13"/>
  <c r="AR215" i="13"/>
  <c r="AR216" i="13"/>
  <c r="AR217" i="13"/>
  <c r="AR218" i="13"/>
  <c r="AR219" i="13"/>
  <c r="AR220" i="13"/>
  <c r="AR221" i="13"/>
  <c r="AR222" i="13"/>
  <c r="AR223" i="13"/>
  <c r="AR224" i="13"/>
  <c r="AR225" i="13"/>
  <c r="AR226" i="13"/>
  <c r="AR227" i="13"/>
  <c r="AR228" i="13"/>
  <c r="AR229" i="13"/>
  <c r="AR230" i="13"/>
  <c r="AR231" i="13"/>
  <c r="AR232" i="13"/>
  <c r="AR233" i="13"/>
  <c r="AR234" i="13"/>
  <c r="AR235" i="13"/>
  <c r="AR236" i="13"/>
  <c r="AR237" i="13"/>
  <c r="AR238" i="13"/>
  <c r="AR239" i="13"/>
  <c r="AR240" i="13"/>
  <c r="AR241" i="13"/>
  <c r="AR242" i="13"/>
  <c r="AR243" i="13"/>
  <c r="AR244" i="13"/>
  <c r="AR245" i="13"/>
  <c r="AR246" i="13"/>
  <c r="AR247" i="13"/>
  <c r="AR248" i="13"/>
  <c r="AR249" i="13"/>
  <c r="AR250" i="13"/>
  <c r="AR251" i="13"/>
  <c r="AR252" i="13"/>
  <c r="AR253" i="13"/>
  <c r="AR254" i="13"/>
  <c r="AR255" i="13"/>
  <c r="AR256" i="13"/>
  <c r="AR257" i="13"/>
  <c r="AR258" i="13"/>
  <c r="AR259" i="13"/>
  <c r="AR260" i="13"/>
  <c r="AR261" i="13"/>
  <c r="AR262" i="13"/>
  <c r="AR263" i="13"/>
  <c r="AR264" i="13"/>
  <c r="AR265" i="13"/>
  <c r="AR266" i="13"/>
  <c r="AR267" i="13"/>
  <c r="AR268" i="13"/>
  <c r="AR269" i="13"/>
  <c r="AR270" i="13"/>
  <c r="AR271" i="13"/>
  <c r="AR272" i="13"/>
  <c r="AR273" i="13"/>
  <c r="AR274" i="13"/>
  <c r="AR275" i="13"/>
  <c r="AR276" i="13"/>
  <c r="AR277" i="13"/>
  <c r="AR278" i="13"/>
  <c r="AR279" i="13"/>
  <c r="AR280" i="13"/>
  <c r="AR281" i="13"/>
  <c r="AR282" i="13"/>
  <c r="AR283" i="13"/>
  <c r="AR284" i="13"/>
  <c r="AR285" i="13"/>
  <c r="AR286" i="13"/>
  <c r="AR287" i="13"/>
  <c r="AR288" i="13"/>
  <c r="AR289" i="13"/>
  <c r="AR290" i="13"/>
  <c r="AR291" i="13"/>
  <c r="AR292" i="13"/>
  <c r="AR293" i="13"/>
  <c r="AR294" i="13"/>
  <c r="AR295" i="13"/>
  <c r="AR296" i="13"/>
  <c r="AR297" i="13"/>
  <c r="AR298" i="13"/>
  <c r="AR299" i="13"/>
  <c r="AR300" i="13"/>
  <c r="AR301" i="13"/>
  <c r="AR302" i="13"/>
  <c r="AR303" i="13"/>
  <c r="AR304" i="13"/>
  <c r="AR305" i="13"/>
  <c r="AR306" i="13"/>
  <c r="AR307" i="13"/>
  <c r="AR308" i="13"/>
  <c r="AR309" i="13"/>
  <c r="AR310" i="13"/>
  <c r="AR311" i="13"/>
  <c r="AR312" i="13"/>
  <c r="AR313" i="13"/>
  <c r="AR314" i="13"/>
  <c r="AR315" i="13"/>
  <c r="AR316" i="13"/>
  <c r="AR317" i="13"/>
  <c r="AR318" i="13"/>
  <c r="AR319" i="13"/>
  <c r="AR320" i="13"/>
  <c r="AR321" i="13"/>
  <c r="AR322" i="13"/>
  <c r="AR323" i="13"/>
  <c r="AR324" i="13"/>
  <c r="AR325" i="13"/>
  <c r="AR326" i="13"/>
  <c r="AR327" i="13"/>
  <c r="AR328" i="13"/>
  <c r="AR329" i="13"/>
  <c r="AR330" i="13"/>
  <c r="AR331" i="13"/>
  <c r="AR332" i="13"/>
  <c r="AR333" i="13"/>
  <c r="AR334" i="13"/>
  <c r="AR335" i="13"/>
  <c r="AR336" i="13"/>
  <c r="AR337" i="13"/>
  <c r="AR338" i="13"/>
  <c r="AR339" i="13"/>
  <c r="AR340" i="13"/>
  <c r="AR341" i="13"/>
  <c r="AR342" i="13"/>
  <c r="AR343" i="13"/>
  <c r="AR344" i="13"/>
  <c r="AR345" i="13"/>
  <c r="AR346" i="13"/>
  <c r="AR347" i="13"/>
  <c r="AR348" i="13"/>
  <c r="AR349" i="13"/>
  <c r="AR350" i="13"/>
  <c r="AR351" i="13"/>
  <c r="AR352" i="13"/>
  <c r="AR353" i="13"/>
  <c r="AR354" i="13"/>
  <c r="AR355" i="13"/>
  <c r="AR356" i="13"/>
  <c r="AR357" i="13"/>
  <c r="AR358" i="13"/>
  <c r="AR359" i="13"/>
  <c r="AR360" i="13"/>
  <c r="AR361" i="13"/>
  <c r="AR362" i="13"/>
  <c r="AR363" i="13"/>
  <c r="AR364" i="13"/>
  <c r="AR365" i="13"/>
  <c r="AR366" i="13"/>
  <c r="AR367" i="13"/>
  <c r="AR368" i="13"/>
  <c r="AR369" i="13"/>
  <c r="AR370" i="13"/>
  <c r="AR371" i="13"/>
  <c r="AR372" i="13"/>
  <c r="AR373" i="13"/>
  <c r="AR374" i="13"/>
  <c r="AR375" i="13"/>
  <c r="AR376" i="13"/>
  <c r="AR377" i="13"/>
  <c r="AR378" i="13"/>
  <c r="AR379" i="13"/>
  <c r="AR380" i="13"/>
  <c r="AR381" i="13"/>
  <c r="AR382" i="13"/>
  <c r="AR383" i="13"/>
  <c r="AR384" i="13"/>
  <c r="AR385" i="13"/>
  <c r="AR386" i="13"/>
  <c r="AR387" i="13"/>
  <c r="AR388" i="13"/>
  <c r="AR389" i="13"/>
  <c r="AR390" i="13"/>
  <c r="AR391" i="13"/>
  <c r="AR392" i="13"/>
  <c r="AR393" i="13"/>
  <c r="AR394" i="13"/>
  <c r="AR395" i="13"/>
  <c r="AR396" i="13"/>
  <c r="AR397" i="13"/>
  <c r="AR398" i="13"/>
  <c r="AR399" i="13"/>
  <c r="AR400" i="13"/>
  <c r="AR401" i="13"/>
  <c r="AR402" i="13"/>
  <c r="AR403" i="13"/>
  <c r="AR404" i="13"/>
  <c r="AR405" i="13"/>
  <c r="AR406" i="13"/>
  <c r="AR407" i="13"/>
  <c r="AR408" i="13"/>
  <c r="AR409" i="13"/>
  <c r="AR410" i="13"/>
  <c r="AR411" i="13"/>
  <c r="AR412" i="13"/>
  <c r="AR413" i="13"/>
  <c r="AR414" i="13"/>
  <c r="AR415" i="13"/>
  <c r="AR416" i="13"/>
  <c r="AR417" i="13"/>
  <c r="AR418" i="13"/>
  <c r="AR419" i="13"/>
  <c r="AR420" i="13"/>
  <c r="AR421" i="13"/>
  <c r="AR422" i="13"/>
  <c r="AR423" i="13"/>
  <c r="AR424" i="13"/>
  <c r="AR425" i="13"/>
  <c r="AR426" i="13"/>
  <c r="AR427" i="13"/>
  <c r="AR428" i="13"/>
  <c r="AR429" i="13"/>
  <c r="AR430" i="13"/>
  <c r="AR431" i="13"/>
  <c r="AR432" i="13"/>
  <c r="AR433" i="13"/>
  <c r="AR434" i="13"/>
  <c r="AR435" i="13"/>
  <c r="AR436" i="13"/>
  <c r="AR437" i="13"/>
  <c r="AR438" i="13"/>
  <c r="AR439" i="13"/>
  <c r="AR440" i="13"/>
  <c r="AR441" i="13"/>
  <c r="AR442" i="13"/>
  <c r="AR443" i="13"/>
  <c r="AR444" i="13"/>
  <c r="AR445" i="13"/>
  <c r="AR446" i="13"/>
  <c r="AR447" i="13"/>
  <c r="AR448" i="13"/>
  <c r="AR449" i="13"/>
  <c r="AR450" i="13"/>
  <c r="AR451" i="13"/>
  <c r="AR452" i="13"/>
  <c r="AR453" i="13"/>
  <c r="AR454" i="13"/>
  <c r="AR455" i="13"/>
  <c r="AR456" i="13"/>
  <c r="AR457" i="13"/>
  <c r="AR458" i="13"/>
  <c r="AR459" i="13"/>
  <c r="AR460" i="13"/>
  <c r="AR461" i="13"/>
  <c r="AR462" i="13"/>
  <c r="AR463" i="13"/>
  <c r="AR464" i="13"/>
  <c r="AR465" i="13"/>
  <c r="AR466" i="13"/>
  <c r="AR467" i="13"/>
  <c r="AR468" i="13"/>
  <c r="AR469" i="13"/>
  <c r="AR470" i="13"/>
  <c r="AR471" i="13"/>
  <c r="AR472" i="13"/>
  <c r="AR473" i="13"/>
  <c r="AR474" i="13"/>
  <c r="AR475" i="13"/>
  <c r="AR476" i="13"/>
  <c r="AR477" i="13"/>
  <c r="AR478" i="13"/>
  <c r="AR479" i="13"/>
  <c r="AR480" i="13"/>
  <c r="AR481" i="13"/>
  <c r="AR482" i="13"/>
  <c r="AR483" i="13"/>
  <c r="AR484" i="13"/>
  <c r="AR485" i="13"/>
  <c r="AR486" i="13"/>
  <c r="AR487" i="13"/>
  <c r="AR488" i="13"/>
  <c r="AR489" i="13"/>
  <c r="AR490" i="13"/>
  <c r="AR491" i="13"/>
  <c r="AR492" i="13"/>
  <c r="AR493" i="13"/>
  <c r="AR494" i="13"/>
  <c r="AR495" i="13"/>
  <c r="AR496" i="13"/>
  <c r="AR497" i="13"/>
  <c r="AR498" i="13"/>
  <c r="AR499" i="13"/>
  <c r="AR500" i="13"/>
  <c r="AR501" i="13"/>
  <c r="AR502" i="13"/>
  <c r="AR503" i="13"/>
  <c r="AR504" i="13"/>
  <c r="AR505" i="13"/>
  <c r="AR506" i="13"/>
  <c r="AR507" i="13"/>
  <c r="AR508" i="13"/>
  <c r="AR509" i="13"/>
  <c r="AR510" i="13"/>
  <c r="AR511" i="13"/>
  <c r="AR512" i="13"/>
  <c r="AR513" i="13"/>
  <c r="AR514" i="13"/>
  <c r="AR515" i="13"/>
  <c r="AR516" i="13"/>
  <c r="AR517" i="13"/>
  <c r="AR518" i="13"/>
  <c r="AR519" i="13"/>
  <c r="AR520" i="13"/>
  <c r="AR521" i="13"/>
  <c r="AR522" i="13"/>
  <c r="AR523" i="13"/>
  <c r="AR524" i="13"/>
  <c r="AR525" i="13"/>
  <c r="AR526" i="13"/>
  <c r="AR527" i="13"/>
  <c r="AR528" i="13"/>
  <c r="AR529" i="13"/>
  <c r="AR530" i="13"/>
  <c r="AR531" i="13"/>
  <c r="AR532" i="13"/>
  <c r="AR533" i="13"/>
  <c r="AR534" i="13"/>
  <c r="AR535" i="13"/>
  <c r="AR536" i="13"/>
  <c r="AR537" i="13"/>
  <c r="AR538" i="13"/>
  <c r="AR539" i="13"/>
  <c r="AR540" i="13"/>
  <c r="AR541" i="13"/>
  <c r="AR542" i="13"/>
  <c r="AR543" i="13"/>
  <c r="AR544" i="13"/>
  <c r="AR545" i="13"/>
  <c r="AR546" i="13"/>
  <c r="AR547" i="13"/>
  <c r="AR548" i="13"/>
  <c r="AR549" i="13"/>
  <c r="AR550" i="13"/>
  <c r="AR551" i="13"/>
  <c r="AR552" i="13"/>
  <c r="AR553" i="13"/>
  <c r="AR554" i="13"/>
  <c r="AR555" i="13"/>
  <c r="AR556" i="13"/>
  <c r="AR557" i="13"/>
  <c r="AR558" i="13"/>
  <c r="AR559" i="13"/>
  <c r="AR560" i="13"/>
  <c r="AR561" i="13"/>
  <c r="AR562" i="13"/>
  <c r="AR563" i="13"/>
  <c r="AR564" i="13"/>
  <c r="AR565" i="13"/>
  <c r="AR566" i="13"/>
  <c r="AR567" i="13"/>
  <c r="AR568" i="13"/>
  <c r="AR569" i="13"/>
  <c r="AR570" i="13"/>
  <c r="AR571" i="13"/>
  <c r="AR572" i="13"/>
  <c r="AR573" i="13"/>
  <c r="AR574" i="13"/>
  <c r="AR575" i="13"/>
  <c r="AR576" i="13"/>
  <c r="AR577" i="13"/>
  <c r="AR578" i="13"/>
  <c r="AR579" i="13"/>
  <c r="AR580" i="13"/>
  <c r="AR581" i="13"/>
  <c r="AR582" i="13"/>
  <c r="AR583" i="13"/>
  <c r="AR584" i="13"/>
  <c r="AR585" i="13"/>
  <c r="AR586" i="13"/>
  <c r="AR587" i="13"/>
  <c r="AR588" i="13"/>
  <c r="AR589" i="13"/>
  <c r="AR590" i="13"/>
  <c r="AR591" i="13"/>
  <c r="AR592" i="13"/>
  <c r="AR593" i="13"/>
  <c r="AR594" i="13"/>
  <c r="AR595" i="13"/>
  <c r="AR596" i="13"/>
  <c r="AR597" i="13"/>
  <c r="AR598" i="13"/>
  <c r="AR599" i="13"/>
  <c r="AR600" i="13"/>
  <c r="AR601" i="13"/>
  <c r="AR602" i="13"/>
  <c r="AR603" i="13"/>
  <c r="AR604" i="13"/>
  <c r="AR605" i="13"/>
  <c r="AR606" i="13"/>
  <c r="AR607" i="13"/>
  <c r="AR608" i="13"/>
  <c r="AR609" i="13"/>
  <c r="AR610" i="13"/>
  <c r="AR611" i="13"/>
  <c r="AR612" i="13"/>
  <c r="AR613" i="13"/>
  <c r="AR614" i="13"/>
  <c r="AR615" i="13"/>
  <c r="AR616" i="13"/>
  <c r="AR617" i="13"/>
  <c r="AR618" i="13"/>
  <c r="AR619" i="13"/>
  <c r="AR620" i="13"/>
  <c r="AR621" i="13"/>
  <c r="AR622" i="13"/>
  <c r="AR623" i="13"/>
  <c r="AR624" i="13"/>
  <c r="AR625" i="13"/>
  <c r="AR626" i="13"/>
  <c r="AR627" i="13"/>
  <c r="AR628" i="13"/>
  <c r="AR629" i="13"/>
  <c r="AR630" i="13"/>
  <c r="AR631" i="13"/>
  <c r="AR632" i="13"/>
  <c r="AR633" i="13"/>
  <c r="AR634" i="13"/>
  <c r="AR635" i="13"/>
  <c r="AR636" i="13"/>
  <c r="AR637" i="13"/>
  <c r="AR638" i="13"/>
  <c r="AR639" i="13"/>
  <c r="AR640" i="13"/>
  <c r="AR641" i="13"/>
  <c r="AR642" i="13"/>
  <c r="AR643" i="13"/>
  <c r="AR644" i="13"/>
  <c r="AR645" i="13"/>
  <c r="AR646" i="13"/>
  <c r="AR647" i="13"/>
  <c r="AR648" i="13"/>
  <c r="AR649" i="13"/>
  <c r="AR650" i="13"/>
  <c r="AR651" i="13"/>
  <c r="AR652" i="13"/>
  <c r="AR653" i="13"/>
  <c r="AR654" i="13"/>
  <c r="AR655" i="13"/>
  <c r="AR656" i="13"/>
  <c r="AR657" i="13"/>
  <c r="AR658" i="13"/>
  <c r="AR659" i="13"/>
  <c r="AR660" i="13"/>
  <c r="AR661" i="13"/>
  <c r="AR662" i="13"/>
  <c r="AR663" i="13"/>
  <c r="AR664" i="13"/>
  <c r="AR665" i="13"/>
  <c r="AR666" i="13"/>
  <c r="AR667" i="13"/>
  <c r="AR668" i="13"/>
  <c r="AR669" i="13"/>
  <c r="AR670" i="13"/>
  <c r="AR671" i="13"/>
  <c r="AR672" i="13"/>
  <c r="AR673" i="13"/>
  <c r="AR674" i="13"/>
  <c r="AR675" i="13"/>
  <c r="AR676" i="13"/>
  <c r="AR677" i="13"/>
  <c r="AR678" i="13"/>
  <c r="AR679" i="13"/>
  <c r="AR680" i="13"/>
  <c r="AR681" i="13"/>
  <c r="AR682" i="13"/>
  <c r="AR683" i="13"/>
  <c r="AR684" i="13"/>
  <c r="AR685" i="13"/>
  <c r="AR686" i="13"/>
  <c r="AR687" i="13"/>
  <c r="AR688" i="13"/>
  <c r="AR689" i="13"/>
  <c r="AR690" i="13"/>
  <c r="AR691" i="13"/>
  <c r="AR692" i="13"/>
  <c r="AR693" i="13"/>
  <c r="AR694" i="13"/>
  <c r="AR695" i="13"/>
  <c r="AR696" i="13"/>
  <c r="AR697" i="13"/>
  <c r="AR698" i="13"/>
  <c r="AR699" i="13"/>
  <c r="AR700" i="13"/>
  <c r="AR701" i="13"/>
  <c r="AR2" i="13"/>
  <c r="AO2" i="13"/>
  <c r="M27" i="16" l="1"/>
  <c r="B30" i="16"/>
  <c r="D29" i="16"/>
  <c r="H29" i="16"/>
  <c r="G29" i="16"/>
  <c r="I29" i="16" s="1"/>
  <c r="W29" i="16" s="1"/>
  <c r="Q28" i="16"/>
  <c r="P28" i="16"/>
  <c r="R27" i="16"/>
  <c r="X27" i="16" s="1"/>
  <c r="K29" i="16"/>
  <c r="AA14" i="2"/>
  <c r="AA15" i="2" s="1"/>
  <c r="AD15" i="2" s="1"/>
  <c r="AA10" i="2"/>
  <c r="AD10" i="2" s="1"/>
  <c r="AA9" i="2"/>
  <c r="AC9" i="2" s="1"/>
  <c r="AA8" i="2"/>
  <c r="AD8" i="2" s="1"/>
  <c r="AA7" i="2"/>
  <c r="AD7" i="2" s="1"/>
  <c r="AA6" i="2"/>
  <c r="AD6" i="2" s="1"/>
  <c r="AA5" i="2"/>
  <c r="AC5" i="2" s="1"/>
  <c r="AA4" i="2"/>
  <c r="AD4" i="2" s="1"/>
  <c r="AA3" i="2"/>
  <c r="AD3" i="2" s="1"/>
  <c r="AA2" i="2"/>
  <c r="AC2" i="2" s="1"/>
  <c r="Z1" i="2"/>
  <c r="V1" i="2"/>
  <c r="W14" i="2"/>
  <c r="W15" i="2" s="1"/>
  <c r="W10" i="2"/>
  <c r="W9" i="2"/>
  <c r="W8" i="2"/>
  <c r="W7" i="2"/>
  <c r="W6" i="2"/>
  <c r="W5" i="2"/>
  <c r="W4" i="2"/>
  <c r="W3" i="2"/>
  <c r="W2" i="2"/>
  <c r="M28" i="16" l="1"/>
  <c r="B31" i="16"/>
  <c r="D30" i="16"/>
  <c r="H30" i="16"/>
  <c r="G30" i="16"/>
  <c r="I30" i="16" s="1"/>
  <c r="W30" i="16" s="1"/>
  <c r="Q29" i="16"/>
  <c r="P29" i="16"/>
  <c r="R28" i="16"/>
  <c r="X28" i="16" s="1"/>
  <c r="K30" i="16"/>
  <c r="AD14" i="2"/>
  <c r="AD5" i="2"/>
  <c r="AC8" i="2"/>
  <c r="AC4" i="2"/>
  <c r="AD9" i="2"/>
  <c r="AC15" i="2"/>
  <c r="AC7" i="2"/>
  <c r="AC3" i="2"/>
  <c r="AD2" i="2"/>
  <c r="AC14" i="2"/>
  <c r="AC10" i="2"/>
  <c r="AC6" i="2"/>
  <c r="AA12" i="2"/>
  <c r="AA13" i="2"/>
  <c r="W13" i="2"/>
  <c r="W12" i="2"/>
  <c r="W11" i="2" s="1"/>
  <c r="M29" i="16" l="1"/>
  <c r="B32" i="16"/>
  <c r="D31" i="16"/>
  <c r="H31" i="16"/>
  <c r="G31" i="16"/>
  <c r="I31" i="16" s="1"/>
  <c r="W31" i="16" s="1"/>
  <c r="R29" i="16"/>
  <c r="X29" i="16" s="1"/>
  <c r="P30" i="16"/>
  <c r="Q30" i="16"/>
  <c r="K31" i="16"/>
  <c r="AA11" i="2"/>
  <c r="AC12" i="2"/>
  <c r="AD12" i="2"/>
  <c r="AC13" i="2"/>
  <c r="AD13" i="2"/>
  <c r="N1" i="2"/>
  <c r="O23" i="2" s="1"/>
  <c r="M30" i="16" l="1"/>
  <c r="B33" i="16"/>
  <c r="D32" i="16"/>
  <c r="H32" i="16"/>
  <c r="G32" i="16"/>
  <c r="I32" i="16" s="1"/>
  <c r="W32" i="16" s="1"/>
  <c r="R30" i="16"/>
  <c r="X30" i="16" s="1"/>
  <c r="Q31" i="16"/>
  <c r="P31" i="16"/>
  <c r="K32" i="16"/>
  <c r="AD11" i="2"/>
  <c r="AC11" i="2"/>
  <c r="O17" i="2"/>
  <c r="Q17" i="2" s="1"/>
  <c r="O24" i="2"/>
  <c r="Q24" i="2" s="1"/>
  <c r="O18" i="2"/>
  <c r="R18" i="2" s="1"/>
  <c r="O22" i="2"/>
  <c r="Q22" i="2" s="1"/>
  <c r="O20" i="2"/>
  <c r="Q20" i="2" s="1"/>
  <c r="O28" i="2"/>
  <c r="Q28" i="2" s="1"/>
  <c r="O16" i="2"/>
  <c r="Q16" i="2" s="1"/>
  <c r="O21" i="2"/>
  <c r="Q21" i="2" s="1"/>
  <c r="R23" i="2"/>
  <c r="Q23" i="2"/>
  <c r="O19" i="2"/>
  <c r="M31" i="16" l="1"/>
  <c r="B34" i="16"/>
  <c r="D33" i="16"/>
  <c r="H33" i="16"/>
  <c r="G33" i="16"/>
  <c r="I33" i="16" s="1"/>
  <c r="W33" i="16" s="1"/>
  <c r="Q32" i="16"/>
  <c r="P32" i="16"/>
  <c r="R31" i="16"/>
  <c r="X31" i="16" s="1"/>
  <c r="K33" i="16"/>
  <c r="R17" i="2"/>
  <c r="R20" i="2"/>
  <c r="Q18" i="2"/>
  <c r="R21" i="2"/>
  <c r="R24" i="2"/>
  <c r="R22" i="2"/>
  <c r="R28" i="2"/>
  <c r="R16" i="2"/>
  <c r="R19" i="2"/>
  <c r="Q19" i="2"/>
  <c r="M32" i="16" l="1"/>
  <c r="B35" i="16"/>
  <c r="D34" i="16"/>
  <c r="H34" i="16"/>
  <c r="G34" i="16"/>
  <c r="I34" i="16" s="1"/>
  <c r="W34" i="16" s="1"/>
  <c r="R32" i="16"/>
  <c r="X32" i="16" s="1"/>
  <c r="Q33" i="16"/>
  <c r="P33" i="16"/>
  <c r="K34" i="16"/>
  <c r="P16" i="10"/>
  <c r="M16" i="10"/>
  <c r="M33" i="16" l="1"/>
  <c r="B36" i="16"/>
  <c r="D35" i="16"/>
  <c r="H35" i="16"/>
  <c r="G35" i="16"/>
  <c r="I35" i="16" s="1"/>
  <c r="W35" i="16" s="1"/>
  <c r="P34" i="16"/>
  <c r="Q34" i="16"/>
  <c r="R33" i="16"/>
  <c r="X33" i="16" s="1"/>
  <c r="K35" i="16"/>
  <c r="P17" i="10"/>
  <c r="M17" i="10"/>
  <c r="M34" i="16" l="1"/>
  <c r="B37" i="16"/>
  <c r="D36" i="16"/>
  <c r="H36" i="16"/>
  <c r="G36" i="16"/>
  <c r="I36" i="16" s="1"/>
  <c r="W36" i="16" s="1"/>
  <c r="R34" i="16"/>
  <c r="X34" i="16" s="1"/>
  <c r="Q35" i="16"/>
  <c r="P35" i="16"/>
  <c r="K36" i="16"/>
  <c r="P18" i="10"/>
  <c r="M18" i="10"/>
  <c r="M35" i="16" l="1"/>
  <c r="B38" i="16"/>
  <c r="D37" i="16"/>
  <c r="H37" i="16"/>
  <c r="G37" i="16"/>
  <c r="I37" i="16" s="1"/>
  <c r="W37" i="16" s="1"/>
  <c r="Q36" i="16"/>
  <c r="P36" i="16"/>
  <c r="R35" i="16"/>
  <c r="X35" i="16" s="1"/>
  <c r="K37" i="16"/>
  <c r="P19" i="10"/>
  <c r="M19" i="10"/>
  <c r="M36" i="16" l="1"/>
  <c r="B39" i="16"/>
  <c r="D38" i="16"/>
  <c r="H38" i="16"/>
  <c r="G38" i="16"/>
  <c r="I38" i="16" s="1"/>
  <c r="W38" i="16" s="1"/>
  <c r="Q37" i="16"/>
  <c r="P37" i="16"/>
  <c r="R36" i="16"/>
  <c r="X36" i="16" s="1"/>
  <c r="K38" i="16"/>
  <c r="M20" i="10"/>
  <c r="P20" i="10"/>
  <c r="M37" i="16" l="1"/>
  <c r="B40" i="16"/>
  <c r="D39" i="16"/>
  <c r="H39" i="16"/>
  <c r="G39" i="16"/>
  <c r="I39" i="16" s="1"/>
  <c r="W39" i="16" s="1"/>
  <c r="P38" i="16"/>
  <c r="Q38" i="16"/>
  <c r="R37" i="16"/>
  <c r="X37" i="16" s="1"/>
  <c r="K39" i="16"/>
  <c r="P21" i="10"/>
  <c r="M21" i="10"/>
  <c r="G7" i="8"/>
  <c r="A428" i="3"/>
  <c r="A429" i="3"/>
  <c r="B429" i="3" s="1"/>
  <c r="A430" i="3"/>
  <c r="A431" i="3"/>
  <c r="B431" i="3" s="1"/>
  <c r="A432" i="3"/>
  <c r="A433" i="3"/>
  <c r="B433" i="3" s="1"/>
  <c r="A434" i="3"/>
  <c r="A435" i="3"/>
  <c r="B435" i="3" s="1"/>
  <c r="A436" i="3"/>
  <c r="A437" i="3"/>
  <c r="B437" i="3" s="1"/>
  <c r="A438" i="3"/>
  <c r="A439" i="3"/>
  <c r="B439" i="3" s="1"/>
  <c r="A440" i="3"/>
  <c r="A441" i="3"/>
  <c r="B441" i="3" s="1"/>
  <c r="A442" i="3"/>
  <c r="A443" i="3"/>
  <c r="B443" i="3" s="1"/>
  <c r="A444" i="3"/>
  <c r="A445" i="3"/>
  <c r="B445" i="3" s="1"/>
  <c r="A446" i="3"/>
  <c r="B446" i="3" s="1"/>
  <c r="A447" i="3"/>
  <c r="B447" i="3" s="1"/>
  <c r="A448" i="3"/>
  <c r="A449" i="3"/>
  <c r="A450" i="3"/>
  <c r="B450" i="3" s="1"/>
  <c r="A451" i="3"/>
  <c r="B451" i="3" s="1"/>
  <c r="A452" i="3"/>
  <c r="A453" i="3"/>
  <c r="A454" i="3"/>
  <c r="B454" i="3" s="1"/>
  <c r="A455" i="3"/>
  <c r="B455" i="3" s="1"/>
  <c r="A456" i="3"/>
  <c r="A457" i="3"/>
  <c r="A458" i="3"/>
  <c r="B458" i="3" s="1"/>
  <c r="A459" i="3"/>
  <c r="B459" i="3" s="1"/>
  <c r="A460" i="3"/>
  <c r="A461" i="3"/>
  <c r="A462" i="3"/>
  <c r="B462" i="3" s="1"/>
  <c r="A463" i="3"/>
  <c r="B463" i="3" s="1"/>
  <c r="A464" i="3"/>
  <c r="A465" i="3"/>
  <c r="A466" i="3"/>
  <c r="B466" i="3" s="1"/>
  <c r="A467" i="3"/>
  <c r="B467" i="3" s="1"/>
  <c r="A468" i="3"/>
  <c r="A469" i="3"/>
  <c r="A470" i="3"/>
  <c r="B470" i="3" s="1"/>
  <c r="A471" i="3"/>
  <c r="B471" i="3" s="1"/>
  <c r="A472" i="3"/>
  <c r="A473" i="3"/>
  <c r="A474" i="3"/>
  <c r="A475" i="3"/>
  <c r="B475" i="3" s="1"/>
  <c r="A476" i="3"/>
  <c r="A477" i="3"/>
  <c r="A478" i="3"/>
  <c r="B478" i="3" s="1"/>
  <c r="A479" i="3"/>
  <c r="B479" i="3" s="1"/>
  <c r="A480" i="3"/>
  <c r="A481" i="3"/>
  <c r="A482" i="3"/>
  <c r="A483" i="3"/>
  <c r="B483" i="3" s="1"/>
  <c r="A484" i="3"/>
  <c r="A485" i="3"/>
  <c r="A486" i="3"/>
  <c r="B486" i="3" s="1"/>
  <c r="A487" i="3"/>
  <c r="B487" i="3" s="1"/>
  <c r="A488" i="3"/>
  <c r="A489" i="3"/>
  <c r="A490" i="3"/>
  <c r="A491" i="3"/>
  <c r="B491" i="3" s="1"/>
  <c r="A492" i="3"/>
  <c r="A493" i="3"/>
  <c r="A494" i="3"/>
  <c r="B494" i="3" s="1"/>
  <c r="A495" i="3"/>
  <c r="B495" i="3" s="1"/>
  <c r="A496" i="3"/>
  <c r="A497" i="3"/>
  <c r="A498" i="3"/>
  <c r="A499" i="3"/>
  <c r="B499" i="3" s="1"/>
  <c r="A500" i="3"/>
  <c r="A501" i="3"/>
  <c r="A502" i="3"/>
  <c r="B502" i="3" s="1"/>
  <c r="A503" i="3"/>
  <c r="B503" i="3" s="1"/>
  <c r="A504" i="3"/>
  <c r="A505" i="3"/>
  <c r="A506" i="3"/>
  <c r="A507" i="3"/>
  <c r="B507" i="3" s="1"/>
  <c r="A508" i="3"/>
  <c r="A509" i="3"/>
  <c r="A510" i="3"/>
  <c r="B510" i="3" s="1"/>
  <c r="A511" i="3"/>
  <c r="B511" i="3" s="1"/>
  <c r="A512" i="3"/>
  <c r="A513" i="3"/>
  <c r="B513" i="3" s="1"/>
  <c r="A514" i="3"/>
  <c r="B514" i="3" s="1"/>
  <c r="A515" i="3"/>
  <c r="B515" i="3" s="1"/>
  <c r="A516" i="3"/>
  <c r="B516" i="3" s="1"/>
  <c r="A517" i="3"/>
  <c r="B517" i="3" s="1"/>
  <c r="A518" i="3"/>
  <c r="B518" i="3" s="1"/>
  <c r="A519" i="3"/>
  <c r="B519" i="3" s="1"/>
  <c r="A520" i="3"/>
  <c r="B520" i="3" s="1"/>
  <c r="A521" i="3"/>
  <c r="B521" i="3" s="1"/>
  <c r="A522" i="3"/>
  <c r="B522" i="3" s="1"/>
  <c r="A523" i="3"/>
  <c r="B523" i="3" s="1"/>
  <c r="A524" i="3"/>
  <c r="B524" i="3" s="1"/>
  <c r="A525" i="3"/>
  <c r="B525" i="3" s="1"/>
  <c r="A526" i="3"/>
  <c r="B526" i="3" s="1"/>
  <c r="A527" i="3"/>
  <c r="B527" i="3" s="1"/>
  <c r="A528" i="3"/>
  <c r="B528" i="3" s="1"/>
  <c r="A529" i="3"/>
  <c r="B529" i="3" s="1"/>
  <c r="A530" i="3"/>
  <c r="B530" i="3" s="1"/>
  <c r="A531" i="3"/>
  <c r="B531" i="3" s="1"/>
  <c r="A532" i="3"/>
  <c r="B532" i="3" s="1"/>
  <c r="A533" i="3"/>
  <c r="B533" i="3" s="1"/>
  <c r="A534" i="3"/>
  <c r="B534" i="3" s="1"/>
  <c r="A535" i="3"/>
  <c r="B535" i="3" s="1"/>
  <c r="A536" i="3"/>
  <c r="B536" i="3" s="1"/>
  <c r="A537" i="3"/>
  <c r="B537" i="3" s="1"/>
  <c r="A538" i="3"/>
  <c r="B538" i="3" s="1"/>
  <c r="A539" i="3"/>
  <c r="B539" i="3" s="1"/>
  <c r="A540" i="3"/>
  <c r="B540" i="3" s="1"/>
  <c r="A541" i="3"/>
  <c r="B541" i="3" s="1"/>
  <c r="A542" i="3"/>
  <c r="B542" i="3" s="1"/>
  <c r="A543" i="3"/>
  <c r="B543" i="3" s="1"/>
  <c r="A544" i="3"/>
  <c r="B544" i="3" s="1"/>
  <c r="A545" i="3"/>
  <c r="B545" i="3" s="1"/>
  <c r="A546" i="3"/>
  <c r="B546" i="3" s="1"/>
  <c r="A547" i="3"/>
  <c r="B547" i="3" s="1"/>
  <c r="A548" i="3"/>
  <c r="B548" i="3" s="1"/>
  <c r="A549" i="3"/>
  <c r="B549" i="3" s="1"/>
  <c r="A550" i="3"/>
  <c r="B550" i="3" s="1"/>
  <c r="A551" i="3"/>
  <c r="B551" i="3" s="1"/>
  <c r="A552" i="3"/>
  <c r="B552" i="3" s="1"/>
  <c r="A553" i="3"/>
  <c r="B553" i="3" s="1"/>
  <c r="A554" i="3"/>
  <c r="B554" i="3" s="1"/>
  <c r="A555" i="3"/>
  <c r="B555" i="3" s="1"/>
  <c r="A556" i="3"/>
  <c r="B556" i="3" s="1"/>
  <c r="A557" i="3"/>
  <c r="B557" i="3" s="1"/>
  <c r="A558" i="3"/>
  <c r="B558" i="3" s="1"/>
  <c r="A559" i="3"/>
  <c r="B559" i="3" s="1"/>
  <c r="A560" i="3"/>
  <c r="B560" i="3" s="1"/>
  <c r="A561" i="3"/>
  <c r="B561" i="3" s="1"/>
  <c r="A562" i="3"/>
  <c r="B562" i="3" s="1"/>
  <c r="A563" i="3"/>
  <c r="B563" i="3" s="1"/>
  <c r="A564" i="3"/>
  <c r="B564" i="3" s="1"/>
  <c r="A565" i="3"/>
  <c r="B565" i="3" s="1"/>
  <c r="A566" i="3"/>
  <c r="B566" i="3" s="1"/>
  <c r="A567" i="3"/>
  <c r="B567" i="3" s="1"/>
  <c r="A568" i="3"/>
  <c r="B568" i="3" s="1"/>
  <c r="A569" i="3"/>
  <c r="B569" i="3" s="1"/>
  <c r="A570" i="3"/>
  <c r="B570" i="3" s="1"/>
  <c r="A571" i="3"/>
  <c r="B571" i="3" s="1"/>
  <c r="A572" i="3"/>
  <c r="B572" i="3" s="1"/>
  <c r="A573" i="3"/>
  <c r="B573" i="3" s="1"/>
  <c r="A574" i="3"/>
  <c r="B574" i="3" s="1"/>
  <c r="A575" i="3"/>
  <c r="B575" i="3" s="1"/>
  <c r="A576" i="3"/>
  <c r="B576" i="3" s="1"/>
  <c r="A577" i="3"/>
  <c r="B577" i="3" s="1"/>
  <c r="A578" i="3"/>
  <c r="B578" i="3" s="1"/>
  <c r="A579" i="3"/>
  <c r="B579" i="3" s="1"/>
  <c r="A580" i="3"/>
  <c r="B580" i="3" s="1"/>
  <c r="A581" i="3"/>
  <c r="B581" i="3" s="1"/>
  <c r="A582" i="3"/>
  <c r="B582" i="3" s="1"/>
  <c r="A583" i="3"/>
  <c r="B583" i="3" s="1"/>
  <c r="A584" i="3"/>
  <c r="B584" i="3" s="1"/>
  <c r="A585" i="3"/>
  <c r="B585" i="3" s="1"/>
  <c r="A586" i="3"/>
  <c r="B586" i="3" s="1"/>
  <c r="A587" i="3"/>
  <c r="B587" i="3" s="1"/>
  <c r="A588" i="3"/>
  <c r="B588" i="3" s="1"/>
  <c r="A589" i="3"/>
  <c r="B589" i="3" s="1"/>
  <c r="A590" i="3"/>
  <c r="B590" i="3" s="1"/>
  <c r="A591" i="3"/>
  <c r="B591" i="3" s="1"/>
  <c r="A592" i="3"/>
  <c r="B592" i="3" s="1"/>
  <c r="A593" i="3"/>
  <c r="B593" i="3" s="1"/>
  <c r="A594" i="3"/>
  <c r="B594" i="3" s="1"/>
  <c r="A595" i="3"/>
  <c r="B595" i="3" s="1"/>
  <c r="A596" i="3"/>
  <c r="B596" i="3" s="1"/>
  <c r="A597" i="3"/>
  <c r="B597" i="3" s="1"/>
  <c r="A598" i="3"/>
  <c r="B598" i="3" s="1"/>
  <c r="A599" i="3"/>
  <c r="B599" i="3" s="1"/>
  <c r="A600" i="3"/>
  <c r="B600" i="3" s="1"/>
  <c r="A601" i="3"/>
  <c r="B601" i="3" s="1"/>
  <c r="A602" i="3"/>
  <c r="B602" i="3" s="1"/>
  <c r="A603" i="3"/>
  <c r="B603" i="3" s="1"/>
  <c r="A604" i="3"/>
  <c r="B604" i="3" s="1"/>
  <c r="A605" i="3"/>
  <c r="B605" i="3" s="1"/>
  <c r="A606" i="3"/>
  <c r="B606" i="3" s="1"/>
  <c r="A607" i="3"/>
  <c r="B607" i="3" s="1"/>
  <c r="A608" i="3"/>
  <c r="B608" i="3" s="1"/>
  <c r="A609" i="3"/>
  <c r="B609" i="3" s="1"/>
  <c r="A610" i="3"/>
  <c r="B610" i="3" s="1"/>
  <c r="A611" i="3"/>
  <c r="B611" i="3" s="1"/>
  <c r="A612" i="3"/>
  <c r="B612" i="3" s="1"/>
  <c r="A613" i="3"/>
  <c r="B613" i="3" s="1"/>
  <c r="A614" i="3"/>
  <c r="B614" i="3" s="1"/>
  <c r="A615" i="3"/>
  <c r="B615" i="3" s="1"/>
  <c r="A616" i="3"/>
  <c r="B616" i="3" s="1"/>
  <c r="A617" i="3"/>
  <c r="B617" i="3" s="1"/>
  <c r="A618" i="3"/>
  <c r="B618" i="3" s="1"/>
  <c r="A619" i="3"/>
  <c r="B619" i="3" s="1"/>
  <c r="A620" i="3"/>
  <c r="B620" i="3" s="1"/>
  <c r="A621" i="3"/>
  <c r="B621" i="3" s="1"/>
  <c r="A622" i="3"/>
  <c r="B622" i="3" s="1"/>
  <c r="A623" i="3"/>
  <c r="B623" i="3" s="1"/>
  <c r="A624" i="3"/>
  <c r="B624" i="3" s="1"/>
  <c r="A625" i="3"/>
  <c r="B625" i="3" s="1"/>
  <c r="A626" i="3"/>
  <c r="B626" i="3" s="1"/>
  <c r="A627" i="3"/>
  <c r="B627" i="3" s="1"/>
  <c r="A628" i="3"/>
  <c r="B628" i="3" s="1"/>
  <c r="A629" i="3"/>
  <c r="B629" i="3" s="1"/>
  <c r="A630" i="3"/>
  <c r="B630" i="3" s="1"/>
  <c r="A631" i="3"/>
  <c r="B631" i="3" s="1"/>
  <c r="A632" i="3"/>
  <c r="B632" i="3" s="1"/>
  <c r="A633" i="3"/>
  <c r="B633" i="3" s="1"/>
  <c r="A634" i="3"/>
  <c r="B634" i="3" s="1"/>
  <c r="A635" i="3"/>
  <c r="B635" i="3" s="1"/>
  <c r="A636" i="3"/>
  <c r="B636" i="3" s="1"/>
  <c r="A637" i="3"/>
  <c r="B637" i="3" s="1"/>
  <c r="A638" i="3"/>
  <c r="B638" i="3" s="1"/>
  <c r="A639" i="3"/>
  <c r="B639" i="3" s="1"/>
  <c r="A640" i="3"/>
  <c r="B640" i="3" s="1"/>
  <c r="A641" i="3"/>
  <c r="B641" i="3" s="1"/>
  <c r="A642" i="3"/>
  <c r="B642" i="3" s="1"/>
  <c r="A643" i="3"/>
  <c r="B643" i="3" s="1"/>
  <c r="A644" i="3"/>
  <c r="B644" i="3" s="1"/>
  <c r="A645" i="3"/>
  <c r="B645" i="3" s="1"/>
  <c r="A646" i="3"/>
  <c r="B646" i="3" s="1"/>
  <c r="A647" i="3"/>
  <c r="B647" i="3" s="1"/>
  <c r="A648" i="3"/>
  <c r="B648" i="3" s="1"/>
  <c r="A649" i="3"/>
  <c r="B649" i="3" s="1"/>
  <c r="A650" i="3"/>
  <c r="B650" i="3" s="1"/>
  <c r="A651" i="3"/>
  <c r="B651" i="3" s="1"/>
  <c r="A652" i="3"/>
  <c r="B652" i="3" s="1"/>
  <c r="A653" i="3"/>
  <c r="B653" i="3" s="1"/>
  <c r="A654" i="3"/>
  <c r="B654" i="3" s="1"/>
  <c r="A655" i="3"/>
  <c r="B655" i="3" s="1"/>
  <c r="A656" i="3"/>
  <c r="B656" i="3" s="1"/>
  <c r="A657" i="3"/>
  <c r="B657" i="3" s="1"/>
  <c r="A658" i="3"/>
  <c r="B658" i="3" s="1"/>
  <c r="A659" i="3"/>
  <c r="B659" i="3" s="1"/>
  <c r="A660" i="3"/>
  <c r="B660" i="3" s="1"/>
  <c r="A661" i="3"/>
  <c r="B661" i="3" s="1"/>
  <c r="A662" i="3"/>
  <c r="B662" i="3" s="1"/>
  <c r="A663" i="3"/>
  <c r="B663" i="3" s="1"/>
  <c r="A664" i="3"/>
  <c r="B664" i="3" s="1"/>
  <c r="A665" i="3"/>
  <c r="B665" i="3" s="1"/>
  <c r="A666" i="3"/>
  <c r="B666" i="3" s="1"/>
  <c r="A667" i="3"/>
  <c r="B667" i="3" s="1"/>
  <c r="A668" i="3"/>
  <c r="B668" i="3" s="1"/>
  <c r="A669" i="3"/>
  <c r="B669" i="3" s="1"/>
  <c r="A670" i="3"/>
  <c r="B670" i="3" s="1"/>
  <c r="A671" i="3"/>
  <c r="B671" i="3" s="1"/>
  <c r="A672" i="3"/>
  <c r="B672" i="3" s="1"/>
  <c r="A673" i="3"/>
  <c r="B673" i="3" s="1"/>
  <c r="A674" i="3"/>
  <c r="B674" i="3" s="1"/>
  <c r="A675" i="3"/>
  <c r="B675" i="3" s="1"/>
  <c r="A676" i="3"/>
  <c r="B676" i="3" s="1"/>
  <c r="A677" i="3"/>
  <c r="B677" i="3" s="1"/>
  <c r="A678" i="3"/>
  <c r="B678" i="3" s="1"/>
  <c r="A679" i="3"/>
  <c r="B679" i="3" s="1"/>
  <c r="A680" i="3"/>
  <c r="B680" i="3" s="1"/>
  <c r="A681" i="3"/>
  <c r="B681" i="3" s="1"/>
  <c r="A682" i="3"/>
  <c r="B682" i="3" s="1"/>
  <c r="A683" i="3"/>
  <c r="B683" i="3" s="1"/>
  <c r="A684" i="3"/>
  <c r="B684" i="3" s="1"/>
  <c r="A685" i="3"/>
  <c r="B685" i="3" s="1"/>
  <c r="A686" i="3"/>
  <c r="B686" i="3" s="1"/>
  <c r="A687" i="3"/>
  <c r="B687" i="3" s="1"/>
  <c r="A688" i="3"/>
  <c r="B688" i="3" s="1"/>
  <c r="A689" i="3"/>
  <c r="B689" i="3" s="1"/>
  <c r="A690" i="3"/>
  <c r="B690" i="3" s="1"/>
  <c r="A691" i="3"/>
  <c r="B691" i="3" s="1"/>
  <c r="A692" i="3"/>
  <c r="B692" i="3" s="1"/>
  <c r="A693" i="3"/>
  <c r="B693" i="3" s="1"/>
  <c r="A694" i="3"/>
  <c r="B694" i="3" s="1"/>
  <c r="A695" i="3"/>
  <c r="B695" i="3" s="1"/>
  <c r="A696" i="3"/>
  <c r="B696" i="3" s="1"/>
  <c r="A697" i="3"/>
  <c r="B697" i="3" s="1"/>
  <c r="A698" i="3"/>
  <c r="B698" i="3" s="1"/>
  <c r="A699" i="3"/>
  <c r="B699" i="3" s="1"/>
  <c r="A700" i="3"/>
  <c r="B700" i="3" s="1"/>
  <c r="A701" i="3"/>
  <c r="B701" i="3" s="1"/>
  <c r="A702" i="3"/>
  <c r="B702" i="3" s="1"/>
  <c r="C702" i="3"/>
  <c r="A703" i="3"/>
  <c r="B703" i="3" s="1"/>
  <c r="C703" i="3"/>
  <c r="A704" i="3"/>
  <c r="B704" i="3" s="1"/>
  <c r="C704" i="3"/>
  <c r="A705" i="3"/>
  <c r="B705" i="3" s="1"/>
  <c r="C705" i="3"/>
  <c r="A706" i="3"/>
  <c r="B706" i="3" s="1"/>
  <c r="C706" i="3"/>
  <c r="A707" i="3"/>
  <c r="B707" i="3" s="1"/>
  <c r="C707" i="3"/>
  <c r="A708" i="3"/>
  <c r="B708" i="3" s="1"/>
  <c r="C708" i="3"/>
  <c r="A709" i="3"/>
  <c r="B709" i="3" s="1"/>
  <c r="C709" i="3"/>
  <c r="A710" i="3"/>
  <c r="B710" i="3" s="1"/>
  <c r="C710" i="3"/>
  <c r="A711" i="3"/>
  <c r="B711" i="3" s="1"/>
  <c r="C711" i="3"/>
  <c r="A712" i="3"/>
  <c r="B712" i="3" s="1"/>
  <c r="C712" i="3"/>
  <c r="A713" i="3"/>
  <c r="B713" i="3" s="1"/>
  <c r="C713" i="3"/>
  <c r="A714" i="3"/>
  <c r="B714" i="3" s="1"/>
  <c r="C714" i="3"/>
  <c r="A715" i="3"/>
  <c r="B715" i="3" s="1"/>
  <c r="C715" i="3"/>
  <c r="A716" i="3"/>
  <c r="B716" i="3" s="1"/>
  <c r="C716" i="3"/>
  <c r="A717" i="3"/>
  <c r="B717" i="3" s="1"/>
  <c r="C717" i="3"/>
  <c r="A718" i="3"/>
  <c r="B718" i="3" s="1"/>
  <c r="C718" i="3"/>
  <c r="A719" i="3"/>
  <c r="B719" i="3" s="1"/>
  <c r="C719" i="3"/>
  <c r="A720" i="3"/>
  <c r="B720" i="3" s="1"/>
  <c r="C720" i="3"/>
  <c r="A721" i="3"/>
  <c r="B721" i="3" s="1"/>
  <c r="C721" i="3"/>
  <c r="A722" i="3"/>
  <c r="B722" i="3" s="1"/>
  <c r="C722" i="3"/>
  <c r="A723" i="3"/>
  <c r="B723" i="3" s="1"/>
  <c r="C723" i="3"/>
  <c r="A724" i="3"/>
  <c r="B724" i="3" s="1"/>
  <c r="C724" i="3"/>
  <c r="A725" i="3"/>
  <c r="B725" i="3" s="1"/>
  <c r="C725" i="3"/>
  <c r="A726" i="3"/>
  <c r="B726" i="3" s="1"/>
  <c r="C726" i="3"/>
  <c r="A727" i="3"/>
  <c r="B727" i="3" s="1"/>
  <c r="C727" i="3"/>
  <c r="A728" i="3"/>
  <c r="B728" i="3" s="1"/>
  <c r="C728" i="3"/>
  <c r="A729" i="3"/>
  <c r="B729" i="3" s="1"/>
  <c r="C729" i="3"/>
  <c r="A730" i="3"/>
  <c r="B730" i="3" s="1"/>
  <c r="C730" i="3"/>
  <c r="A731" i="3"/>
  <c r="B731" i="3" s="1"/>
  <c r="C731" i="3"/>
  <c r="A732" i="3"/>
  <c r="B732" i="3" s="1"/>
  <c r="C732" i="3"/>
  <c r="A733" i="3"/>
  <c r="B733" i="3" s="1"/>
  <c r="C733" i="3"/>
  <c r="A734" i="3"/>
  <c r="B734" i="3" s="1"/>
  <c r="C734" i="3"/>
  <c r="A735" i="3"/>
  <c r="B735" i="3" s="1"/>
  <c r="C735" i="3"/>
  <c r="A736" i="3"/>
  <c r="B736" i="3" s="1"/>
  <c r="C736" i="3"/>
  <c r="A737" i="3"/>
  <c r="B737" i="3" s="1"/>
  <c r="C737" i="3"/>
  <c r="A738" i="3"/>
  <c r="B738" i="3" s="1"/>
  <c r="C738" i="3"/>
  <c r="A739" i="3"/>
  <c r="B739" i="3" s="1"/>
  <c r="C739" i="3"/>
  <c r="A740" i="3"/>
  <c r="B740" i="3" s="1"/>
  <c r="C740" i="3"/>
  <c r="A741" i="3"/>
  <c r="B741" i="3" s="1"/>
  <c r="C741" i="3"/>
  <c r="A742" i="3"/>
  <c r="B742" i="3" s="1"/>
  <c r="C742" i="3"/>
  <c r="A743" i="3"/>
  <c r="B743" i="3" s="1"/>
  <c r="C743" i="3"/>
  <c r="A744" i="3"/>
  <c r="B744" i="3" s="1"/>
  <c r="C744" i="3"/>
  <c r="A745" i="3"/>
  <c r="B745" i="3" s="1"/>
  <c r="C745" i="3"/>
  <c r="A746" i="3"/>
  <c r="B746" i="3" s="1"/>
  <c r="C746" i="3"/>
  <c r="A747" i="3"/>
  <c r="B747" i="3" s="1"/>
  <c r="C747" i="3"/>
  <c r="A748" i="3"/>
  <c r="B748" i="3" s="1"/>
  <c r="C748" i="3"/>
  <c r="A749" i="3"/>
  <c r="B749" i="3" s="1"/>
  <c r="C749" i="3"/>
  <c r="A750" i="3"/>
  <c r="B750" i="3" s="1"/>
  <c r="C750" i="3"/>
  <c r="A751" i="3"/>
  <c r="B751" i="3" s="1"/>
  <c r="C751" i="3"/>
  <c r="A752" i="3"/>
  <c r="B752" i="3" s="1"/>
  <c r="C752" i="3"/>
  <c r="A753" i="3"/>
  <c r="B753" i="3" s="1"/>
  <c r="C753" i="3"/>
  <c r="A754" i="3"/>
  <c r="B754" i="3" s="1"/>
  <c r="C754" i="3"/>
  <c r="A755" i="3"/>
  <c r="B755" i="3" s="1"/>
  <c r="C755" i="3"/>
  <c r="A756" i="3"/>
  <c r="B756" i="3" s="1"/>
  <c r="C756" i="3"/>
  <c r="A757" i="3"/>
  <c r="B757" i="3" s="1"/>
  <c r="C757" i="3"/>
  <c r="A758" i="3"/>
  <c r="B758" i="3" s="1"/>
  <c r="C758" i="3"/>
  <c r="A759" i="3"/>
  <c r="B759" i="3" s="1"/>
  <c r="C759" i="3"/>
  <c r="A760" i="3"/>
  <c r="B760" i="3" s="1"/>
  <c r="C760" i="3"/>
  <c r="A761" i="3"/>
  <c r="B761" i="3" s="1"/>
  <c r="C761" i="3"/>
  <c r="A762" i="3"/>
  <c r="B762" i="3" s="1"/>
  <c r="C762" i="3"/>
  <c r="A763" i="3"/>
  <c r="B763" i="3" s="1"/>
  <c r="C763" i="3"/>
  <c r="A764" i="3"/>
  <c r="B764" i="3" s="1"/>
  <c r="C764" i="3"/>
  <c r="A765" i="3"/>
  <c r="B765" i="3" s="1"/>
  <c r="C765" i="3"/>
  <c r="A766" i="3"/>
  <c r="B766" i="3" s="1"/>
  <c r="C766" i="3"/>
  <c r="A767" i="3"/>
  <c r="B767" i="3" s="1"/>
  <c r="C767" i="3"/>
  <c r="A768" i="3"/>
  <c r="B768" i="3" s="1"/>
  <c r="C768" i="3"/>
  <c r="A769" i="3"/>
  <c r="B769" i="3" s="1"/>
  <c r="C769" i="3"/>
  <c r="A770" i="3"/>
  <c r="B770" i="3" s="1"/>
  <c r="C770" i="3"/>
  <c r="A771" i="3"/>
  <c r="B771" i="3" s="1"/>
  <c r="C771" i="3"/>
  <c r="A772" i="3"/>
  <c r="B772" i="3" s="1"/>
  <c r="C772" i="3"/>
  <c r="A773" i="3"/>
  <c r="B773" i="3" s="1"/>
  <c r="C773" i="3"/>
  <c r="A774" i="3"/>
  <c r="B774" i="3" s="1"/>
  <c r="C774" i="3"/>
  <c r="A775" i="3"/>
  <c r="B775" i="3" s="1"/>
  <c r="C775" i="3"/>
  <c r="A776" i="3"/>
  <c r="B776" i="3" s="1"/>
  <c r="C776" i="3"/>
  <c r="A777" i="3"/>
  <c r="B777" i="3" s="1"/>
  <c r="C777" i="3"/>
  <c r="A778" i="3"/>
  <c r="B778" i="3" s="1"/>
  <c r="C778" i="3"/>
  <c r="A779" i="3"/>
  <c r="B779" i="3" s="1"/>
  <c r="C779" i="3"/>
  <c r="A780" i="3"/>
  <c r="B780" i="3" s="1"/>
  <c r="C780" i="3"/>
  <c r="A781" i="3"/>
  <c r="B781" i="3" s="1"/>
  <c r="C781" i="3"/>
  <c r="A782" i="3"/>
  <c r="B782" i="3" s="1"/>
  <c r="C782" i="3"/>
  <c r="A783" i="3"/>
  <c r="B783" i="3" s="1"/>
  <c r="C783" i="3"/>
  <c r="A784" i="3"/>
  <c r="B784" i="3" s="1"/>
  <c r="C784" i="3"/>
  <c r="A785" i="3"/>
  <c r="B785" i="3" s="1"/>
  <c r="C785" i="3"/>
  <c r="A786" i="3"/>
  <c r="B786" i="3" s="1"/>
  <c r="C786" i="3"/>
  <c r="A787" i="3"/>
  <c r="B787" i="3" s="1"/>
  <c r="C787" i="3"/>
  <c r="A788" i="3"/>
  <c r="B788" i="3" s="1"/>
  <c r="C788" i="3"/>
  <c r="A789" i="3"/>
  <c r="B789" i="3" s="1"/>
  <c r="C789" i="3"/>
  <c r="A790" i="3"/>
  <c r="B790" i="3" s="1"/>
  <c r="C790" i="3"/>
  <c r="A791" i="3"/>
  <c r="B791" i="3" s="1"/>
  <c r="C791" i="3"/>
  <c r="A792" i="3"/>
  <c r="B792" i="3" s="1"/>
  <c r="C792" i="3"/>
  <c r="A793" i="3"/>
  <c r="B793" i="3" s="1"/>
  <c r="C793" i="3"/>
  <c r="A794" i="3"/>
  <c r="B794" i="3" s="1"/>
  <c r="C794" i="3"/>
  <c r="A795" i="3"/>
  <c r="B795" i="3" s="1"/>
  <c r="C795" i="3"/>
  <c r="A796" i="3"/>
  <c r="B796" i="3" s="1"/>
  <c r="C796" i="3"/>
  <c r="A797" i="3"/>
  <c r="B797" i="3" s="1"/>
  <c r="C797" i="3"/>
  <c r="A798" i="3"/>
  <c r="B798" i="3" s="1"/>
  <c r="C798" i="3"/>
  <c r="A799" i="3"/>
  <c r="B799" i="3" s="1"/>
  <c r="C799" i="3"/>
  <c r="A800" i="3"/>
  <c r="B800" i="3" s="1"/>
  <c r="C800" i="3"/>
  <c r="A801" i="3"/>
  <c r="B801" i="3" s="1"/>
  <c r="C801" i="3"/>
  <c r="A802" i="3"/>
  <c r="B802" i="3" s="1"/>
  <c r="C802" i="3"/>
  <c r="A803" i="3"/>
  <c r="B803" i="3" s="1"/>
  <c r="C803" i="3"/>
  <c r="A804" i="3"/>
  <c r="B804" i="3" s="1"/>
  <c r="C804" i="3"/>
  <c r="A805" i="3"/>
  <c r="B805" i="3" s="1"/>
  <c r="C805" i="3"/>
  <c r="A806" i="3"/>
  <c r="B806" i="3" s="1"/>
  <c r="C806" i="3"/>
  <c r="A807" i="3"/>
  <c r="B807" i="3" s="1"/>
  <c r="C807" i="3"/>
  <c r="A808" i="3"/>
  <c r="B808" i="3" s="1"/>
  <c r="C808" i="3"/>
  <c r="A809" i="3"/>
  <c r="B809" i="3" s="1"/>
  <c r="C809" i="3"/>
  <c r="A810" i="3"/>
  <c r="B810" i="3" s="1"/>
  <c r="C810" i="3"/>
  <c r="A811" i="3"/>
  <c r="B811" i="3" s="1"/>
  <c r="C811" i="3"/>
  <c r="A812" i="3"/>
  <c r="B812" i="3" s="1"/>
  <c r="C812" i="3"/>
  <c r="A813" i="3"/>
  <c r="B813" i="3" s="1"/>
  <c r="C813" i="3"/>
  <c r="A814" i="3"/>
  <c r="B814" i="3" s="1"/>
  <c r="C814" i="3"/>
  <c r="A815" i="3"/>
  <c r="B815" i="3" s="1"/>
  <c r="C815" i="3"/>
  <c r="A816" i="3"/>
  <c r="B816" i="3" s="1"/>
  <c r="C816" i="3"/>
  <c r="A817" i="3"/>
  <c r="B817" i="3" s="1"/>
  <c r="C817" i="3"/>
  <c r="A818" i="3"/>
  <c r="B818" i="3" s="1"/>
  <c r="C818" i="3"/>
  <c r="A819" i="3"/>
  <c r="B819" i="3" s="1"/>
  <c r="C819" i="3"/>
  <c r="A820" i="3"/>
  <c r="B820" i="3" s="1"/>
  <c r="C820" i="3"/>
  <c r="A821" i="3"/>
  <c r="B821" i="3" s="1"/>
  <c r="C821" i="3"/>
  <c r="A822" i="3"/>
  <c r="B822" i="3" s="1"/>
  <c r="C822" i="3"/>
  <c r="A823" i="3"/>
  <c r="B823" i="3" s="1"/>
  <c r="C823" i="3"/>
  <c r="A824" i="3"/>
  <c r="B824" i="3" s="1"/>
  <c r="C824" i="3"/>
  <c r="A825" i="3"/>
  <c r="B825" i="3" s="1"/>
  <c r="C825" i="3"/>
  <c r="A826" i="3"/>
  <c r="B826" i="3" s="1"/>
  <c r="C826" i="3"/>
  <c r="A827" i="3"/>
  <c r="B827" i="3" s="1"/>
  <c r="C827" i="3"/>
  <c r="A828" i="3"/>
  <c r="B828" i="3" s="1"/>
  <c r="C828" i="3"/>
  <c r="A829" i="3"/>
  <c r="B829" i="3" s="1"/>
  <c r="C829" i="3"/>
  <c r="A830" i="3"/>
  <c r="B830" i="3" s="1"/>
  <c r="C830" i="3"/>
  <c r="A831" i="3"/>
  <c r="B831" i="3" s="1"/>
  <c r="C831" i="3"/>
  <c r="A832" i="3"/>
  <c r="B832" i="3" s="1"/>
  <c r="C832" i="3"/>
  <c r="A833" i="3"/>
  <c r="B833" i="3" s="1"/>
  <c r="C833" i="3"/>
  <c r="A834" i="3"/>
  <c r="B834" i="3" s="1"/>
  <c r="C834" i="3"/>
  <c r="A835" i="3"/>
  <c r="B835" i="3" s="1"/>
  <c r="C835" i="3"/>
  <c r="A836" i="3"/>
  <c r="B836" i="3" s="1"/>
  <c r="C836" i="3"/>
  <c r="A837" i="3"/>
  <c r="B837" i="3" s="1"/>
  <c r="C837" i="3"/>
  <c r="A838" i="3"/>
  <c r="B838" i="3" s="1"/>
  <c r="C838" i="3"/>
  <c r="A839" i="3"/>
  <c r="B839" i="3" s="1"/>
  <c r="C839" i="3"/>
  <c r="A840" i="3"/>
  <c r="B840" i="3" s="1"/>
  <c r="C840" i="3"/>
  <c r="A247" i="3"/>
  <c r="B247" i="3" s="1"/>
  <c r="A248" i="3"/>
  <c r="B248" i="3" s="1"/>
  <c r="A249" i="3"/>
  <c r="A250" i="3"/>
  <c r="B250" i="3" s="1"/>
  <c r="A251" i="3"/>
  <c r="B251" i="3" s="1"/>
  <c r="A252" i="3"/>
  <c r="B252" i="3" s="1"/>
  <c r="A253" i="3"/>
  <c r="A254" i="3"/>
  <c r="B254" i="3" s="1"/>
  <c r="A255" i="3"/>
  <c r="B255" i="3" s="1"/>
  <c r="A256" i="3"/>
  <c r="B256" i="3" s="1"/>
  <c r="A257" i="3"/>
  <c r="A258" i="3"/>
  <c r="B258" i="3" s="1"/>
  <c r="A259" i="3"/>
  <c r="B259" i="3" s="1"/>
  <c r="A260" i="3"/>
  <c r="B260" i="3" s="1"/>
  <c r="A261" i="3"/>
  <c r="A262" i="3"/>
  <c r="B262" i="3" s="1"/>
  <c r="A263" i="3"/>
  <c r="B263" i="3" s="1"/>
  <c r="A264" i="3"/>
  <c r="B264" i="3" s="1"/>
  <c r="A265" i="3"/>
  <c r="A266" i="3"/>
  <c r="B266" i="3" s="1"/>
  <c r="A267" i="3"/>
  <c r="B267" i="3" s="1"/>
  <c r="A268" i="3"/>
  <c r="B268" i="3" s="1"/>
  <c r="A269" i="3"/>
  <c r="A270" i="3"/>
  <c r="B270" i="3" s="1"/>
  <c r="A271" i="3"/>
  <c r="B271" i="3" s="1"/>
  <c r="A272" i="3"/>
  <c r="B272" i="3" s="1"/>
  <c r="A273" i="3"/>
  <c r="A274" i="3"/>
  <c r="B274" i="3" s="1"/>
  <c r="A275" i="3"/>
  <c r="B275" i="3" s="1"/>
  <c r="A276" i="3"/>
  <c r="B276" i="3" s="1"/>
  <c r="A277" i="3"/>
  <c r="A278" i="3"/>
  <c r="B278" i="3" s="1"/>
  <c r="A279" i="3"/>
  <c r="B279" i="3" s="1"/>
  <c r="A280" i="3"/>
  <c r="B280" i="3" s="1"/>
  <c r="A281" i="3"/>
  <c r="A282" i="3"/>
  <c r="B282" i="3" s="1"/>
  <c r="A283" i="3"/>
  <c r="A284" i="3"/>
  <c r="B284" i="3" s="1"/>
  <c r="A285" i="3"/>
  <c r="A286" i="3"/>
  <c r="B286" i="3" s="1"/>
  <c r="A287" i="3"/>
  <c r="A288" i="3"/>
  <c r="B288" i="3" s="1"/>
  <c r="A289" i="3"/>
  <c r="A290" i="3"/>
  <c r="B290" i="3" s="1"/>
  <c r="A291" i="3"/>
  <c r="A292" i="3"/>
  <c r="B292" i="3" s="1"/>
  <c r="A293" i="3"/>
  <c r="A294" i="3"/>
  <c r="B294" i="3" s="1"/>
  <c r="A295" i="3"/>
  <c r="A296" i="3"/>
  <c r="B296" i="3" s="1"/>
  <c r="A297" i="3"/>
  <c r="A298" i="3"/>
  <c r="B298" i="3" s="1"/>
  <c r="A299" i="3"/>
  <c r="A300" i="3"/>
  <c r="B300" i="3" s="1"/>
  <c r="A301" i="3"/>
  <c r="A302" i="3"/>
  <c r="B302" i="3" s="1"/>
  <c r="A303" i="3"/>
  <c r="A304" i="3"/>
  <c r="B304" i="3" s="1"/>
  <c r="A305" i="3"/>
  <c r="A306" i="3"/>
  <c r="B306" i="3" s="1"/>
  <c r="A307" i="3"/>
  <c r="A308" i="3"/>
  <c r="B308" i="3" s="1"/>
  <c r="A309" i="3"/>
  <c r="A310" i="3"/>
  <c r="B310" i="3" s="1"/>
  <c r="A311" i="3"/>
  <c r="A312" i="3"/>
  <c r="B312" i="3" s="1"/>
  <c r="A313" i="3"/>
  <c r="A314" i="3"/>
  <c r="B314" i="3" s="1"/>
  <c r="A315" i="3"/>
  <c r="A316" i="3"/>
  <c r="B316" i="3" s="1"/>
  <c r="A317" i="3"/>
  <c r="A318" i="3"/>
  <c r="B318" i="3" s="1"/>
  <c r="A319" i="3"/>
  <c r="A320" i="3"/>
  <c r="B320" i="3" s="1"/>
  <c r="A321" i="3"/>
  <c r="A322" i="3"/>
  <c r="B322" i="3" s="1"/>
  <c r="A323" i="3"/>
  <c r="A324" i="3"/>
  <c r="B324" i="3" s="1"/>
  <c r="A325" i="3"/>
  <c r="A326" i="3"/>
  <c r="B326" i="3" s="1"/>
  <c r="A327" i="3"/>
  <c r="A328" i="3"/>
  <c r="B328" i="3" s="1"/>
  <c r="A329" i="3"/>
  <c r="A330" i="3"/>
  <c r="B330" i="3" s="1"/>
  <c r="A331" i="3"/>
  <c r="A332" i="3"/>
  <c r="B332" i="3" s="1"/>
  <c r="A333" i="3"/>
  <c r="B333" i="3" s="1"/>
  <c r="A334" i="3"/>
  <c r="B334" i="3" s="1"/>
  <c r="A335" i="3"/>
  <c r="B335" i="3" s="1"/>
  <c r="A336" i="3"/>
  <c r="B336" i="3" s="1"/>
  <c r="A337" i="3"/>
  <c r="B337" i="3" s="1"/>
  <c r="A338" i="3"/>
  <c r="B338" i="3" s="1"/>
  <c r="A339" i="3"/>
  <c r="B339" i="3" s="1"/>
  <c r="A340" i="3"/>
  <c r="B340" i="3" s="1"/>
  <c r="A341" i="3"/>
  <c r="B341" i="3" s="1"/>
  <c r="A342" i="3"/>
  <c r="B342" i="3" s="1"/>
  <c r="A343" i="3"/>
  <c r="B343" i="3" s="1"/>
  <c r="A344" i="3"/>
  <c r="B344" i="3" s="1"/>
  <c r="A345" i="3"/>
  <c r="B345" i="3" s="1"/>
  <c r="A346" i="3"/>
  <c r="B346" i="3" s="1"/>
  <c r="A347" i="3"/>
  <c r="B347" i="3" s="1"/>
  <c r="A348" i="3"/>
  <c r="B348" i="3" s="1"/>
  <c r="A349" i="3"/>
  <c r="B349" i="3" s="1"/>
  <c r="A350" i="3"/>
  <c r="B350" i="3" s="1"/>
  <c r="A351" i="3"/>
  <c r="B351" i="3" s="1"/>
  <c r="A352" i="3"/>
  <c r="B352" i="3" s="1"/>
  <c r="A353" i="3"/>
  <c r="B353" i="3" s="1"/>
  <c r="A354" i="3"/>
  <c r="B354" i="3" s="1"/>
  <c r="A355" i="3"/>
  <c r="B355" i="3" s="1"/>
  <c r="A356" i="3"/>
  <c r="B356" i="3" s="1"/>
  <c r="A357" i="3"/>
  <c r="B357" i="3" s="1"/>
  <c r="A358" i="3"/>
  <c r="B358" i="3" s="1"/>
  <c r="A359" i="3"/>
  <c r="B359" i="3" s="1"/>
  <c r="A360" i="3"/>
  <c r="B360" i="3" s="1"/>
  <c r="A361" i="3"/>
  <c r="B361" i="3" s="1"/>
  <c r="A362" i="3"/>
  <c r="B362" i="3" s="1"/>
  <c r="A363" i="3"/>
  <c r="B363" i="3" s="1"/>
  <c r="A364" i="3"/>
  <c r="B364" i="3" s="1"/>
  <c r="A365" i="3"/>
  <c r="B365" i="3" s="1"/>
  <c r="A366" i="3"/>
  <c r="B366" i="3" s="1"/>
  <c r="A367" i="3"/>
  <c r="B367" i="3" s="1"/>
  <c r="A368" i="3"/>
  <c r="B368" i="3" s="1"/>
  <c r="A369" i="3"/>
  <c r="B369" i="3" s="1"/>
  <c r="A370" i="3"/>
  <c r="B370" i="3" s="1"/>
  <c r="A371" i="3"/>
  <c r="B371" i="3" s="1"/>
  <c r="A372" i="3"/>
  <c r="B372" i="3" s="1"/>
  <c r="A373" i="3"/>
  <c r="B373" i="3" s="1"/>
  <c r="A374" i="3"/>
  <c r="B374" i="3" s="1"/>
  <c r="A375" i="3"/>
  <c r="B375" i="3" s="1"/>
  <c r="A376" i="3"/>
  <c r="B376" i="3" s="1"/>
  <c r="A377" i="3"/>
  <c r="B377" i="3" s="1"/>
  <c r="A378" i="3"/>
  <c r="B378" i="3" s="1"/>
  <c r="A379" i="3"/>
  <c r="B379" i="3" s="1"/>
  <c r="A380" i="3"/>
  <c r="B380" i="3" s="1"/>
  <c r="A381" i="3"/>
  <c r="B381" i="3" s="1"/>
  <c r="A382" i="3"/>
  <c r="B382" i="3" s="1"/>
  <c r="A383" i="3"/>
  <c r="B383" i="3" s="1"/>
  <c r="A384" i="3"/>
  <c r="B384" i="3" s="1"/>
  <c r="A385" i="3"/>
  <c r="B385" i="3" s="1"/>
  <c r="A386" i="3"/>
  <c r="B386" i="3" s="1"/>
  <c r="A387" i="3"/>
  <c r="B387" i="3" s="1"/>
  <c r="A388" i="3"/>
  <c r="B388" i="3" s="1"/>
  <c r="A389" i="3"/>
  <c r="B389" i="3" s="1"/>
  <c r="A390" i="3"/>
  <c r="B390" i="3" s="1"/>
  <c r="A391" i="3"/>
  <c r="B391" i="3" s="1"/>
  <c r="A392" i="3"/>
  <c r="B392" i="3" s="1"/>
  <c r="A393" i="3"/>
  <c r="B393" i="3" s="1"/>
  <c r="A394" i="3"/>
  <c r="B394" i="3" s="1"/>
  <c r="A395" i="3"/>
  <c r="B395" i="3" s="1"/>
  <c r="A396" i="3"/>
  <c r="B396" i="3" s="1"/>
  <c r="A397" i="3"/>
  <c r="B397" i="3" s="1"/>
  <c r="A398" i="3"/>
  <c r="B398" i="3" s="1"/>
  <c r="A399" i="3"/>
  <c r="B399" i="3" s="1"/>
  <c r="A400" i="3"/>
  <c r="B400" i="3" s="1"/>
  <c r="A401" i="3"/>
  <c r="B401" i="3" s="1"/>
  <c r="A402" i="3"/>
  <c r="B402" i="3" s="1"/>
  <c r="A403" i="3"/>
  <c r="B403" i="3" s="1"/>
  <c r="A404" i="3"/>
  <c r="B404" i="3" s="1"/>
  <c r="A405" i="3"/>
  <c r="B405" i="3" s="1"/>
  <c r="A406" i="3"/>
  <c r="B406" i="3" s="1"/>
  <c r="A407" i="3"/>
  <c r="B407" i="3" s="1"/>
  <c r="A408" i="3"/>
  <c r="B408" i="3" s="1"/>
  <c r="A409" i="3"/>
  <c r="B409" i="3" s="1"/>
  <c r="A410" i="3"/>
  <c r="B410" i="3" s="1"/>
  <c r="A411" i="3"/>
  <c r="B411" i="3" s="1"/>
  <c r="A412" i="3"/>
  <c r="B412" i="3" s="1"/>
  <c r="A413" i="3"/>
  <c r="B413" i="3" s="1"/>
  <c r="A414" i="3"/>
  <c r="B414" i="3" s="1"/>
  <c r="A415" i="3"/>
  <c r="B415" i="3" s="1"/>
  <c r="A416" i="3"/>
  <c r="B416" i="3" s="1"/>
  <c r="A417" i="3"/>
  <c r="B417" i="3" s="1"/>
  <c r="A418" i="3"/>
  <c r="B418" i="3" s="1"/>
  <c r="A419" i="3"/>
  <c r="B419" i="3" s="1"/>
  <c r="A420" i="3"/>
  <c r="B420" i="3" s="1"/>
  <c r="A421" i="3"/>
  <c r="B421" i="3" s="1"/>
  <c r="A422" i="3"/>
  <c r="B422" i="3" s="1"/>
  <c r="A423" i="3"/>
  <c r="B423" i="3" s="1"/>
  <c r="A424" i="3"/>
  <c r="B424" i="3" s="1"/>
  <c r="A425" i="3"/>
  <c r="B425" i="3" s="1"/>
  <c r="A426" i="3"/>
  <c r="B426" i="3" s="1"/>
  <c r="A427" i="3"/>
  <c r="B427" i="3" s="1"/>
  <c r="M38" i="16" l="1"/>
  <c r="B41" i="16"/>
  <c r="D40" i="16"/>
  <c r="H40" i="16"/>
  <c r="G40" i="16"/>
  <c r="I40" i="16" s="1"/>
  <c r="W40" i="16" s="1"/>
  <c r="R38" i="16"/>
  <c r="X38" i="16" s="1"/>
  <c r="Q39" i="16"/>
  <c r="P39" i="16"/>
  <c r="K40" i="16"/>
  <c r="D839" i="3"/>
  <c r="D837" i="3"/>
  <c r="D835" i="3"/>
  <c r="D833" i="3"/>
  <c r="D831" i="3"/>
  <c r="D829" i="3"/>
  <c r="D827" i="3"/>
  <c r="D825" i="3"/>
  <c r="D823" i="3"/>
  <c r="D821" i="3"/>
  <c r="D819" i="3"/>
  <c r="D817" i="3"/>
  <c r="D815" i="3"/>
  <c r="D813" i="3"/>
  <c r="D811" i="3"/>
  <c r="D809" i="3"/>
  <c r="D807" i="3"/>
  <c r="D805" i="3"/>
  <c r="D803" i="3"/>
  <c r="D801" i="3"/>
  <c r="D799" i="3"/>
  <c r="D797" i="3"/>
  <c r="D795" i="3"/>
  <c r="D793" i="3"/>
  <c r="D791" i="3"/>
  <c r="D789" i="3"/>
  <c r="D787" i="3"/>
  <c r="D785" i="3"/>
  <c r="D783" i="3"/>
  <c r="D781" i="3"/>
  <c r="D779" i="3"/>
  <c r="D777" i="3"/>
  <c r="D775" i="3"/>
  <c r="D773" i="3"/>
  <c r="D771" i="3"/>
  <c r="D769" i="3"/>
  <c r="D767" i="3"/>
  <c r="D765" i="3"/>
  <c r="D763" i="3"/>
  <c r="D761" i="3"/>
  <c r="D759" i="3"/>
  <c r="D757" i="3"/>
  <c r="D755" i="3"/>
  <c r="D753" i="3"/>
  <c r="D751" i="3"/>
  <c r="D749" i="3"/>
  <c r="D747" i="3"/>
  <c r="D745" i="3"/>
  <c r="D743" i="3"/>
  <c r="D741" i="3"/>
  <c r="D739" i="3"/>
  <c r="D737" i="3"/>
  <c r="D735" i="3"/>
  <c r="D733" i="3"/>
  <c r="D731" i="3"/>
  <c r="D729" i="3"/>
  <c r="D727" i="3"/>
  <c r="D725" i="3"/>
  <c r="D723" i="3"/>
  <c r="D721" i="3"/>
  <c r="D719" i="3"/>
  <c r="D717" i="3"/>
  <c r="D715" i="3"/>
  <c r="D713" i="3"/>
  <c r="D711" i="3"/>
  <c r="D709" i="3"/>
  <c r="D707" i="3"/>
  <c r="D705" i="3"/>
  <c r="D703" i="3"/>
  <c r="P22" i="10"/>
  <c r="M22" i="10"/>
  <c r="D840" i="3"/>
  <c r="D838" i="3"/>
  <c r="D836" i="3"/>
  <c r="D834" i="3"/>
  <c r="D832" i="3"/>
  <c r="D830" i="3"/>
  <c r="D828" i="3"/>
  <c r="D826" i="3"/>
  <c r="D824" i="3"/>
  <c r="D822" i="3"/>
  <c r="D820" i="3"/>
  <c r="D818" i="3"/>
  <c r="D816" i="3"/>
  <c r="D814" i="3"/>
  <c r="D812" i="3"/>
  <c r="D810" i="3"/>
  <c r="D808" i="3"/>
  <c r="D806" i="3"/>
  <c r="D804" i="3"/>
  <c r="D802" i="3"/>
  <c r="D800" i="3"/>
  <c r="D798" i="3"/>
  <c r="D796" i="3"/>
  <c r="D794" i="3"/>
  <c r="D792" i="3"/>
  <c r="D790" i="3"/>
  <c r="D788" i="3"/>
  <c r="D786" i="3"/>
  <c r="D784" i="3"/>
  <c r="D782" i="3"/>
  <c r="D780" i="3"/>
  <c r="D778" i="3"/>
  <c r="D776" i="3"/>
  <c r="D774" i="3"/>
  <c r="D772" i="3"/>
  <c r="D770" i="3"/>
  <c r="D768" i="3"/>
  <c r="D766" i="3"/>
  <c r="D764" i="3"/>
  <c r="D762" i="3"/>
  <c r="D760" i="3"/>
  <c r="D758" i="3"/>
  <c r="D756" i="3"/>
  <c r="D754" i="3"/>
  <c r="D752" i="3"/>
  <c r="D750" i="3"/>
  <c r="D748" i="3"/>
  <c r="D746" i="3"/>
  <c r="D744" i="3"/>
  <c r="D742" i="3"/>
  <c r="D740" i="3"/>
  <c r="D738" i="3"/>
  <c r="D736" i="3"/>
  <c r="D734" i="3"/>
  <c r="D732" i="3"/>
  <c r="D730" i="3"/>
  <c r="D728" i="3"/>
  <c r="D726" i="3"/>
  <c r="D724" i="3"/>
  <c r="D722" i="3"/>
  <c r="D720" i="3"/>
  <c r="D718" i="3"/>
  <c r="D716" i="3"/>
  <c r="D714" i="3"/>
  <c r="D712" i="3"/>
  <c r="D710" i="3"/>
  <c r="D708" i="3"/>
  <c r="D706" i="3"/>
  <c r="D704" i="3"/>
  <c r="D702" i="3"/>
  <c r="B509" i="3"/>
  <c r="B501" i="3"/>
  <c r="B493" i="3"/>
  <c r="B485" i="3"/>
  <c r="B477" i="3"/>
  <c r="B469" i="3"/>
  <c r="B461" i="3"/>
  <c r="B453" i="3"/>
  <c r="B442" i="3"/>
  <c r="B434" i="3"/>
  <c r="B505" i="3"/>
  <c r="B497" i="3"/>
  <c r="B489" i="3"/>
  <c r="B481" i="3"/>
  <c r="B473" i="3"/>
  <c r="B465" i="3"/>
  <c r="B457" i="3"/>
  <c r="B449" i="3"/>
  <c r="B438" i="3"/>
  <c r="B430" i="3"/>
  <c r="B506" i="3"/>
  <c r="B498" i="3"/>
  <c r="B490" i="3"/>
  <c r="B482" i="3"/>
  <c r="B474" i="3"/>
  <c r="B512" i="3"/>
  <c r="B508" i="3"/>
  <c r="B504" i="3"/>
  <c r="B500" i="3"/>
  <c r="B496" i="3"/>
  <c r="B492" i="3"/>
  <c r="B488" i="3"/>
  <c r="B484" i="3"/>
  <c r="B480" i="3"/>
  <c r="B476" i="3"/>
  <c r="B472" i="3"/>
  <c r="B468" i="3"/>
  <c r="B464" i="3"/>
  <c r="B460" i="3"/>
  <c r="B456" i="3"/>
  <c r="B452" i="3"/>
  <c r="B448" i="3"/>
  <c r="B444" i="3"/>
  <c r="B440" i="3"/>
  <c r="B436" i="3"/>
  <c r="B432" i="3"/>
  <c r="B428" i="3"/>
  <c r="B329" i="3"/>
  <c r="B325" i="3"/>
  <c r="B321" i="3"/>
  <c r="B317" i="3"/>
  <c r="B313" i="3"/>
  <c r="B309" i="3"/>
  <c r="B305" i="3"/>
  <c r="B301" i="3"/>
  <c r="B297" i="3"/>
  <c r="B293" i="3"/>
  <c r="B289" i="3"/>
  <c r="B285" i="3"/>
  <c r="B281" i="3"/>
  <c r="B277" i="3"/>
  <c r="B273" i="3"/>
  <c r="B269" i="3"/>
  <c r="B265" i="3"/>
  <c r="B261" i="3"/>
  <c r="B257" i="3"/>
  <c r="B253" i="3"/>
  <c r="B249" i="3"/>
  <c r="B331" i="3"/>
  <c r="B327" i="3"/>
  <c r="B323" i="3"/>
  <c r="B319" i="3"/>
  <c r="B315" i="3"/>
  <c r="B311" i="3"/>
  <c r="B307" i="3"/>
  <c r="B303" i="3"/>
  <c r="B299" i="3"/>
  <c r="B295" i="3"/>
  <c r="B291" i="3"/>
  <c r="B287" i="3"/>
  <c r="B283" i="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AO643" i="13"/>
  <c r="AP643" i="13"/>
  <c r="AO644" i="13"/>
  <c r="AP644" i="13"/>
  <c r="AO645" i="13"/>
  <c r="AP645" i="13"/>
  <c r="AO646" i="13"/>
  <c r="AP646" i="13"/>
  <c r="AO647" i="13"/>
  <c r="AP647" i="13"/>
  <c r="AO648" i="13"/>
  <c r="AP648" i="13"/>
  <c r="AO649" i="13"/>
  <c r="AP649" i="13"/>
  <c r="AO650" i="13"/>
  <c r="AP650" i="13"/>
  <c r="AO651" i="13"/>
  <c r="AP651" i="13"/>
  <c r="AO652" i="13"/>
  <c r="AP652" i="13"/>
  <c r="AO653" i="13"/>
  <c r="AP653" i="13"/>
  <c r="AO654" i="13"/>
  <c r="AP654" i="13"/>
  <c r="AO655" i="13"/>
  <c r="AP655" i="13"/>
  <c r="AO656" i="13"/>
  <c r="AP656" i="13"/>
  <c r="AO657" i="13"/>
  <c r="AP657" i="13"/>
  <c r="AO658" i="13"/>
  <c r="AP658" i="13"/>
  <c r="AO659" i="13"/>
  <c r="AP659" i="13"/>
  <c r="AO660" i="13"/>
  <c r="AP660" i="13"/>
  <c r="AO661" i="13"/>
  <c r="AP661" i="13"/>
  <c r="AO662" i="13"/>
  <c r="AP662" i="13"/>
  <c r="AO663" i="13"/>
  <c r="AP663" i="13"/>
  <c r="AO664" i="13"/>
  <c r="AP664" i="13"/>
  <c r="AO665" i="13"/>
  <c r="AP665" i="13"/>
  <c r="AO666" i="13"/>
  <c r="AP666" i="13"/>
  <c r="AO667" i="13"/>
  <c r="AP667" i="13"/>
  <c r="AO668" i="13"/>
  <c r="AP668" i="13"/>
  <c r="AO669" i="13"/>
  <c r="AP669" i="13"/>
  <c r="AO670" i="13"/>
  <c r="AP670" i="13"/>
  <c r="AO671" i="13"/>
  <c r="AP671" i="13"/>
  <c r="AO672" i="13"/>
  <c r="AP672" i="13"/>
  <c r="AO673" i="13"/>
  <c r="AP673" i="13"/>
  <c r="AO674" i="13"/>
  <c r="AP674" i="13"/>
  <c r="AO675" i="13"/>
  <c r="AP675" i="13"/>
  <c r="AO676" i="13"/>
  <c r="AP676" i="13"/>
  <c r="AO677" i="13"/>
  <c r="AP677" i="13"/>
  <c r="AO678" i="13"/>
  <c r="AP678" i="13"/>
  <c r="AO679" i="13"/>
  <c r="AP679" i="13"/>
  <c r="AO680" i="13"/>
  <c r="AP680" i="13"/>
  <c r="AO681" i="13"/>
  <c r="AP681" i="13"/>
  <c r="AO682" i="13"/>
  <c r="AP682" i="13"/>
  <c r="AO683" i="13"/>
  <c r="AP683" i="13"/>
  <c r="AO684" i="13"/>
  <c r="AP684" i="13"/>
  <c r="AO685" i="13"/>
  <c r="AP685" i="13"/>
  <c r="AO686" i="13"/>
  <c r="AP686" i="13"/>
  <c r="AO687" i="13"/>
  <c r="AP687" i="13"/>
  <c r="AO688" i="13"/>
  <c r="AP688" i="13"/>
  <c r="AO689" i="13"/>
  <c r="AP689" i="13"/>
  <c r="AO690" i="13"/>
  <c r="AP690" i="13"/>
  <c r="AO691" i="13"/>
  <c r="AP691" i="13"/>
  <c r="AO692" i="13"/>
  <c r="AP692" i="13"/>
  <c r="AO693" i="13"/>
  <c r="AP693" i="13"/>
  <c r="AO694" i="13"/>
  <c r="AP694" i="13"/>
  <c r="AO695" i="13"/>
  <c r="AP695" i="13"/>
  <c r="AO696" i="13"/>
  <c r="AP696" i="13"/>
  <c r="AO697" i="13"/>
  <c r="AP697" i="13"/>
  <c r="AO698" i="13"/>
  <c r="AP698" i="13"/>
  <c r="AO699" i="13"/>
  <c r="AP699" i="13"/>
  <c r="AO700" i="13"/>
  <c r="AP700" i="13"/>
  <c r="AO701" i="13"/>
  <c r="AP701" i="13"/>
  <c r="AO613" i="13"/>
  <c r="AP613" i="13"/>
  <c r="AO614" i="13"/>
  <c r="AP614" i="13"/>
  <c r="AO615" i="13"/>
  <c r="AP615" i="13"/>
  <c r="AO616" i="13"/>
  <c r="AP616" i="13"/>
  <c r="AO617" i="13"/>
  <c r="AP617" i="13"/>
  <c r="AO618" i="13"/>
  <c r="AP618" i="13"/>
  <c r="AO619" i="13"/>
  <c r="AP619" i="13"/>
  <c r="AO620" i="13"/>
  <c r="AP620" i="13"/>
  <c r="AO621" i="13"/>
  <c r="AP621" i="13"/>
  <c r="AO622" i="13"/>
  <c r="AP622" i="13"/>
  <c r="AO623" i="13"/>
  <c r="AP623" i="13"/>
  <c r="AO624" i="13"/>
  <c r="AP624" i="13"/>
  <c r="AO625" i="13"/>
  <c r="AP625" i="13"/>
  <c r="AO626" i="13"/>
  <c r="AP626" i="13"/>
  <c r="AO627" i="13"/>
  <c r="AP627" i="13"/>
  <c r="AO628" i="13"/>
  <c r="AP628" i="13"/>
  <c r="AO629" i="13"/>
  <c r="AP629" i="13"/>
  <c r="AO630" i="13"/>
  <c r="AP630" i="13"/>
  <c r="AO631" i="13"/>
  <c r="AP631" i="13"/>
  <c r="AO632" i="13"/>
  <c r="AP632" i="13"/>
  <c r="AO633" i="13"/>
  <c r="AP633" i="13"/>
  <c r="AO634" i="13"/>
  <c r="AP634" i="13"/>
  <c r="AO635" i="13"/>
  <c r="AP635" i="13"/>
  <c r="AO636" i="13"/>
  <c r="AP636" i="13"/>
  <c r="AO637" i="13"/>
  <c r="AP637" i="13"/>
  <c r="AO638" i="13"/>
  <c r="AP638" i="13"/>
  <c r="AO639" i="13"/>
  <c r="AP639" i="13"/>
  <c r="AO640" i="13"/>
  <c r="AP640" i="13"/>
  <c r="AO641" i="13"/>
  <c r="AP641" i="13"/>
  <c r="AO642" i="13"/>
  <c r="AP642" i="13"/>
  <c r="M39" i="16" l="1"/>
  <c r="B42" i="16"/>
  <c r="D41" i="16"/>
  <c r="H41" i="16"/>
  <c r="G41" i="16"/>
  <c r="I41" i="16" s="1"/>
  <c r="W41" i="16" s="1"/>
  <c r="Q40" i="16"/>
  <c r="P40" i="16"/>
  <c r="R39" i="16"/>
  <c r="X39" i="16" s="1"/>
  <c r="K41" i="16"/>
  <c r="P23" i="10"/>
  <c r="M23" i="10"/>
  <c r="AY700" i="13"/>
  <c r="AG700" i="13"/>
  <c r="AK700" i="13" s="1"/>
  <c r="AH700" i="13"/>
  <c r="AL700" i="13" s="1"/>
  <c r="AI700" i="13"/>
  <c r="AJ700" i="13"/>
  <c r="AN700" i="13" s="1"/>
  <c r="AY680" i="13"/>
  <c r="AG680" i="13"/>
  <c r="AK680" i="13" s="1"/>
  <c r="AH680" i="13"/>
  <c r="AL680" i="13" s="1"/>
  <c r="AI680" i="13"/>
  <c r="AJ680" i="13"/>
  <c r="AN680" i="13" s="1"/>
  <c r="AY668" i="13"/>
  <c r="AG668" i="13"/>
  <c r="AK668" i="13" s="1"/>
  <c r="AH668" i="13"/>
  <c r="AL668" i="13" s="1"/>
  <c r="AI668" i="13"/>
  <c r="AJ668" i="13"/>
  <c r="AN668" i="13" s="1"/>
  <c r="AY648" i="13"/>
  <c r="AG648" i="13"/>
  <c r="AK648" i="13" s="1"/>
  <c r="AH648" i="13"/>
  <c r="AL648" i="13" s="1"/>
  <c r="AI648" i="13"/>
  <c r="AJ648" i="13"/>
  <c r="AN648" i="13" s="1"/>
  <c r="AY632" i="13"/>
  <c r="AG632" i="13"/>
  <c r="AK632" i="13" s="1"/>
  <c r="AH632" i="13"/>
  <c r="AL632" i="13" s="1"/>
  <c r="AI632" i="13"/>
  <c r="AJ632" i="13"/>
  <c r="AN632" i="13" s="1"/>
  <c r="AY620" i="13"/>
  <c r="AG620" i="13"/>
  <c r="AK620" i="13" s="1"/>
  <c r="AH620" i="13"/>
  <c r="AL620" i="13" s="1"/>
  <c r="AI620" i="13"/>
  <c r="AJ620" i="13"/>
  <c r="AN620" i="13" s="1"/>
  <c r="AY600" i="13"/>
  <c r="AG600" i="13"/>
  <c r="AK600" i="13" s="1"/>
  <c r="AH600" i="13"/>
  <c r="AL600" i="13" s="1"/>
  <c r="AI600" i="13"/>
  <c r="AJ600" i="13"/>
  <c r="AN600" i="13" s="1"/>
  <c r="AY588" i="13"/>
  <c r="AG588" i="13"/>
  <c r="AK588" i="13" s="1"/>
  <c r="AH588" i="13"/>
  <c r="AL588" i="13" s="1"/>
  <c r="AI588" i="13"/>
  <c r="AJ588" i="13"/>
  <c r="AN588" i="13" s="1"/>
  <c r="AY572" i="13"/>
  <c r="AG572" i="13"/>
  <c r="AK572" i="13" s="1"/>
  <c r="AH572" i="13"/>
  <c r="AL572" i="13" s="1"/>
  <c r="AI572" i="13"/>
  <c r="AJ572" i="13"/>
  <c r="AN572" i="13" s="1"/>
  <c r="AY552" i="13"/>
  <c r="AG552" i="13"/>
  <c r="AK552" i="13" s="1"/>
  <c r="AH552" i="13"/>
  <c r="AL552" i="13" s="1"/>
  <c r="AI552" i="13"/>
  <c r="AJ552" i="13"/>
  <c r="AN552" i="13" s="1"/>
  <c r="AY540" i="13"/>
  <c r="AG540" i="13"/>
  <c r="AK540" i="13" s="1"/>
  <c r="AH540" i="13"/>
  <c r="AL540" i="13" s="1"/>
  <c r="AI540" i="13"/>
  <c r="AJ540" i="13"/>
  <c r="AN540" i="13" s="1"/>
  <c r="AY532" i="13"/>
  <c r="AG532" i="13"/>
  <c r="AK532" i="13" s="1"/>
  <c r="AH532" i="13"/>
  <c r="AL532" i="13" s="1"/>
  <c r="AI532" i="13"/>
  <c r="AJ532" i="13"/>
  <c r="AN532" i="13" s="1"/>
  <c r="AY520" i="13"/>
  <c r="AG520" i="13"/>
  <c r="AK520" i="13" s="1"/>
  <c r="AH520" i="13"/>
  <c r="AL520" i="13" s="1"/>
  <c r="AI520" i="13"/>
  <c r="AJ520" i="13"/>
  <c r="AN520" i="13" s="1"/>
  <c r="AY508" i="13"/>
  <c r="AG508" i="13"/>
  <c r="AK508" i="13" s="1"/>
  <c r="AH508" i="13"/>
  <c r="AL508" i="13" s="1"/>
  <c r="AI508" i="13"/>
  <c r="AJ508" i="13"/>
  <c r="AN508" i="13" s="1"/>
  <c r="AY496" i="13"/>
  <c r="AG496" i="13"/>
  <c r="AK496" i="13" s="1"/>
  <c r="AH496" i="13"/>
  <c r="AL496" i="13" s="1"/>
  <c r="AI496" i="13"/>
  <c r="AJ496" i="13"/>
  <c r="AN496" i="13" s="1"/>
  <c r="AY484" i="13"/>
  <c r="AG484" i="13"/>
  <c r="AK484" i="13" s="1"/>
  <c r="AH484" i="13"/>
  <c r="AL484" i="13" s="1"/>
  <c r="AI484" i="13"/>
  <c r="AJ484" i="13"/>
  <c r="AN484" i="13" s="1"/>
  <c r="AY472" i="13"/>
  <c r="AG472" i="13"/>
  <c r="AK472" i="13" s="1"/>
  <c r="AH472" i="13"/>
  <c r="AL472" i="13" s="1"/>
  <c r="AI472" i="13"/>
  <c r="AJ472" i="13"/>
  <c r="AN472" i="13" s="1"/>
  <c r="AY464" i="13"/>
  <c r="AG464" i="13"/>
  <c r="AK464" i="13" s="1"/>
  <c r="AH464" i="13"/>
  <c r="AL464" i="13" s="1"/>
  <c r="AI464" i="13"/>
  <c r="AJ464" i="13"/>
  <c r="AN464" i="13" s="1"/>
  <c r="AY452" i="13"/>
  <c r="AG452" i="13"/>
  <c r="AK452" i="13" s="1"/>
  <c r="AH452" i="13"/>
  <c r="AL452" i="13" s="1"/>
  <c r="AI452" i="13"/>
  <c r="AJ452" i="13"/>
  <c r="AN452" i="13" s="1"/>
  <c r="AY440" i="13"/>
  <c r="AG440" i="13"/>
  <c r="AK440" i="13" s="1"/>
  <c r="AH440" i="13"/>
  <c r="AL440" i="13" s="1"/>
  <c r="AI440" i="13"/>
  <c r="AJ440" i="13"/>
  <c r="AN440" i="13" s="1"/>
  <c r="AY432" i="13"/>
  <c r="AG432" i="13"/>
  <c r="AK432" i="13" s="1"/>
  <c r="AH432" i="13"/>
  <c r="AL432" i="13" s="1"/>
  <c r="AI432" i="13"/>
  <c r="AJ432" i="13"/>
  <c r="AN432" i="13" s="1"/>
  <c r="AY416" i="13"/>
  <c r="AG416" i="13"/>
  <c r="AK416" i="13" s="1"/>
  <c r="AH416" i="13"/>
  <c r="AL416" i="13" s="1"/>
  <c r="AI416" i="13"/>
  <c r="AJ416" i="13"/>
  <c r="AN416" i="13" s="1"/>
  <c r="AY404" i="13"/>
  <c r="AG404" i="13"/>
  <c r="AK404" i="13" s="1"/>
  <c r="AH404" i="13"/>
  <c r="AL404" i="13" s="1"/>
  <c r="AI404" i="13"/>
  <c r="AJ404" i="13"/>
  <c r="AN404" i="13" s="1"/>
  <c r="AY392" i="13"/>
  <c r="AG392" i="13"/>
  <c r="AK392" i="13" s="1"/>
  <c r="AH392" i="13"/>
  <c r="AL392" i="13" s="1"/>
  <c r="AI392" i="13"/>
  <c r="AJ392" i="13"/>
  <c r="AN392" i="13" s="1"/>
  <c r="AY384" i="13"/>
  <c r="AG384" i="13"/>
  <c r="AK384" i="13" s="1"/>
  <c r="AH384" i="13"/>
  <c r="AL384" i="13" s="1"/>
  <c r="AI384" i="13"/>
  <c r="AJ384" i="13"/>
  <c r="AN384" i="13" s="1"/>
  <c r="AY372" i="13"/>
  <c r="AH372" i="13"/>
  <c r="AL372" i="13" s="1"/>
  <c r="AI372" i="13"/>
  <c r="AJ372" i="13"/>
  <c r="AN372" i="13" s="1"/>
  <c r="AG372" i="13"/>
  <c r="AK372" i="13" s="1"/>
  <c r="AY356" i="13"/>
  <c r="AH356" i="13"/>
  <c r="AL356" i="13" s="1"/>
  <c r="AI356" i="13"/>
  <c r="AJ356" i="13"/>
  <c r="AN356" i="13" s="1"/>
  <c r="AG356" i="13"/>
  <c r="AK356" i="13" s="1"/>
  <c r="AY348" i="13"/>
  <c r="AH348" i="13"/>
  <c r="AL348" i="13" s="1"/>
  <c r="AI348" i="13"/>
  <c r="AJ348" i="13"/>
  <c r="AN348" i="13" s="1"/>
  <c r="AG348" i="13"/>
  <c r="AK348" i="13" s="1"/>
  <c r="AY324" i="13"/>
  <c r="AH324" i="13"/>
  <c r="AL324" i="13" s="1"/>
  <c r="AI324" i="13"/>
  <c r="AJ324" i="13"/>
  <c r="AN324" i="13" s="1"/>
  <c r="AG324" i="13"/>
  <c r="AK324" i="13" s="1"/>
  <c r="AY698" i="13"/>
  <c r="AG698" i="13"/>
  <c r="AK698" i="13" s="1"/>
  <c r="AH698" i="13"/>
  <c r="AL698" i="13" s="1"/>
  <c r="AI698" i="13"/>
  <c r="AJ698" i="13"/>
  <c r="AN698" i="13" s="1"/>
  <c r="AY694" i="13"/>
  <c r="AG694" i="13"/>
  <c r="AK694" i="13" s="1"/>
  <c r="AH694" i="13"/>
  <c r="AL694" i="13" s="1"/>
  <c r="AI694" i="13"/>
  <c r="AJ694" i="13"/>
  <c r="AN694" i="13" s="1"/>
  <c r="AY690" i="13"/>
  <c r="AG690" i="13"/>
  <c r="AK690" i="13" s="1"/>
  <c r="AH690" i="13"/>
  <c r="AL690" i="13" s="1"/>
  <c r="AI690" i="13"/>
  <c r="AJ690" i="13"/>
  <c r="AN690" i="13" s="1"/>
  <c r="AY686" i="13"/>
  <c r="AG686" i="13"/>
  <c r="AK686" i="13" s="1"/>
  <c r="AH686" i="13"/>
  <c r="AL686" i="13" s="1"/>
  <c r="AI686" i="13"/>
  <c r="AJ686" i="13"/>
  <c r="AN686" i="13" s="1"/>
  <c r="AY682" i="13"/>
  <c r="AG682" i="13"/>
  <c r="AK682" i="13" s="1"/>
  <c r="AH682" i="13"/>
  <c r="AL682" i="13" s="1"/>
  <c r="AI682" i="13"/>
  <c r="AJ682" i="13"/>
  <c r="AN682" i="13" s="1"/>
  <c r="AY678" i="13"/>
  <c r="AG678" i="13"/>
  <c r="AK678" i="13" s="1"/>
  <c r="AH678" i="13"/>
  <c r="AL678" i="13" s="1"/>
  <c r="AI678" i="13"/>
  <c r="AJ678" i="13"/>
  <c r="AN678" i="13" s="1"/>
  <c r="AY674" i="13"/>
  <c r="AG674" i="13"/>
  <c r="AK674" i="13" s="1"/>
  <c r="AH674" i="13"/>
  <c r="AL674" i="13" s="1"/>
  <c r="AI674" i="13"/>
  <c r="AJ674" i="13"/>
  <c r="AN674" i="13" s="1"/>
  <c r="AY670" i="13"/>
  <c r="AG670" i="13"/>
  <c r="AK670" i="13" s="1"/>
  <c r="AH670" i="13"/>
  <c r="AL670" i="13" s="1"/>
  <c r="AI670" i="13"/>
  <c r="AJ670" i="13"/>
  <c r="AN670" i="13" s="1"/>
  <c r="AY666" i="13"/>
  <c r="AG666" i="13"/>
  <c r="AK666" i="13" s="1"/>
  <c r="AH666" i="13"/>
  <c r="AL666" i="13" s="1"/>
  <c r="AI666" i="13"/>
  <c r="AJ666" i="13"/>
  <c r="AN666" i="13" s="1"/>
  <c r="AY662" i="13"/>
  <c r="AG662" i="13"/>
  <c r="AK662" i="13" s="1"/>
  <c r="AH662" i="13"/>
  <c r="AL662" i="13" s="1"/>
  <c r="AI662" i="13"/>
  <c r="AJ662" i="13"/>
  <c r="AN662" i="13" s="1"/>
  <c r="AY658" i="13"/>
  <c r="AG658" i="13"/>
  <c r="AK658" i="13" s="1"/>
  <c r="AH658" i="13"/>
  <c r="AL658" i="13" s="1"/>
  <c r="AI658" i="13"/>
  <c r="AJ658" i="13"/>
  <c r="AN658" i="13" s="1"/>
  <c r="AY654" i="13"/>
  <c r="AG654" i="13"/>
  <c r="AK654" i="13" s="1"/>
  <c r="AH654" i="13"/>
  <c r="AL654" i="13" s="1"/>
  <c r="AI654" i="13"/>
  <c r="AJ654" i="13"/>
  <c r="AN654" i="13" s="1"/>
  <c r="AY650" i="13"/>
  <c r="AG650" i="13"/>
  <c r="AK650" i="13" s="1"/>
  <c r="AH650" i="13"/>
  <c r="AL650" i="13" s="1"/>
  <c r="AI650" i="13"/>
  <c r="AJ650" i="13"/>
  <c r="AN650" i="13" s="1"/>
  <c r="AY646" i="13"/>
  <c r="AG646" i="13"/>
  <c r="AK646" i="13" s="1"/>
  <c r="AH646" i="13"/>
  <c r="AL646" i="13" s="1"/>
  <c r="AI646" i="13"/>
  <c r="AJ646" i="13"/>
  <c r="AN646" i="13" s="1"/>
  <c r="AY642" i="13"/>
  <c r="AG642" i="13"/>
  <c r="AK642" i="13" s="1"/>
  <c r="AH642" i="13"/>
  <c r="AL642" i="13" s="1"/>
  <c r="AI642" i="13"/>
  <c r="AJ642" i="13"/>
  <c r="AN642" i="13" s="1"/>
  <c r="AY638" i="13"/>
  <c r="AG638" i="13"/>
  <c r="AK638" i="13" s="1"/>
  <c r="AH638" i="13"/>
  <c r="AL638" i="13" s="1"/>
  <c r="AI638" i="13"/>
  <c r="AJ638" i="13"/>
  <c r="AN638" i="13" s="1"/>
  <c r="AY634" i="13"/>
  <c r="AG634" i="13"/>
  <c r="AK634" i="13" s="1"/>
  <c r="AH634" i="13"/>
  <c r="AL634" i="13" s="1"/>
  <c r="AI634" i="13"/>
  <c r="AJ634" i="13"/>
  <c r="AN634" i="13" s="1"/>
  <c r="AY630" i="13"/>
  <c r="AG630" i="13"/>
  <c r="AK630" i="13" s="1"/>
  <c r="AH630" i="13"/>
  <c r="AL630" i="13" s="1"/>
  <c r="AI630" i="13"/>
  <c r="AJ630" i="13"/>
  <c r="AN630" i="13" s="1"/>
  <c r="AY626" i="13"/>
  <c r="AG626" i="13"/>
  <c r="AK626" i="13" s="1"/>
  <c r="AH626" i="13"/>
  <c r="AL626" i="13" s="1"/>
  <c r="AI626" i="13"/>
  <c r="AJ626" i="13"/>
  <c r="AN626" i="13" s="1"/>
  <c r="AY622" i="13"/>
  <c r="AG622" i="13"/>
  <c r="AK622" i="13" s="1"/>
  <c r="AH622" i="13"/>
  <c r="AL622" i="13" s="1"/>
  <c r="AI622" i="13"/>
  <c r="AJ622" i="13"/>
  <c r="AN622" i="13" s="1"/>
  <c r="AY618" i="13"/>
  <c r="AG618" i="13"/>
  <c r="AK618" i="13" s="1"/>
  <c r="AH618" i="13"/>
  <c r="AL618" i="13" s="1"/>
  <c r="AI618" i="13"/>
  <c r="AJ618" i="13"/>
  <c r="AN618" i="13" s="1"/>
  <c r="AY614" i="13"/>
  <c r="AG614" i="13"/>
  <c r="AK614" i="13" s="1"/>
  <c r="AH614" i="13"/>
  <c r="AL614" i="13" s="1"/>
  <c r="AI614" i="13"/>
  <c r="AJ614" i="13"/>
  <c r="AN614" i="13" s="1"/>
  <c r="AY610" i="13"/>
  <c r="AG610" i="13"/>
  <c r="AK610" i="13" s="1"/>
  <c r="AH610" i="13"/>
  <c r="AL610" i="13" s="1"/>
  <c r="AI610" i="13"/>
  <c r="AJ610" i="13"/>
  <c r="AN610" i="13" s="1"/>
  <c r="AY606" i="13"/>
  <c r="AG606" i="13"/>
  <c r="AK606" i="13" s="1"/>
  <c r="AH606" i="13"/>
  <c r="AL606" i="13" s="1"/>
  <c r="AI606" i="13"/>
  <c r="AJ606" i="13"/>
  <c r="AN606" i="13" s="1"/>
  <c r="AY602" i="13"/>
  <c r="AG602" i="13"/>
  <c r="AK602" i="13" s="1"/>
  <c r="AH602" i="13"/>
  <c r="AL602" i="13" s="1"/>
  <c r="AI602" i="13"/>
  <c r="AJ602" i="13"/>
  <c r="AN602" i="13" s="1"/>
  <c r="AY598" i="13"/>
  <c r="AG598" i="13"/>
  <c r="AK598" i="13" s="1"/>
  <c r="AH598" i="13"/>
  <c r="AL598" i="13" s="1"/>
  <c r="AI598" i="13"/>
  <c r="AJ598" i="13"/>
  <c r="AN598" i="13" s="1"/>
  <c r="AY594" i="13"/>
  <c r="AG594" i="13"/>
  <c r="AK594" i="13" s="1"/>
  <c r="AH594" i="13"/>
  <c r="AL594" i="13" s="1"/>
  <c r="AI594" i="13"/>
  <c r="AJ594" i="13"/>
  <c r="AN594" i="13" s="1"/>
  <c r="AY590" i="13"/>
  <c r="AG590" i="13"/>
  <c r="AK590" i="13" s="1"/>
  <c r="AH590" i="13"/>
  <c r="AL590" i="13" s="1"/>
  <c r="AI590" i="13"/>
  <c r="AJ590" i="13"/>
  <c r="AN590" i="13" s="1"/>
  <c r="AY586" i="13"/>
  <c r="AG586" i="13"/>
  <c r="AK586" i="13" s="1"/>
  <c r="AH586" i="13"/>
  <c r="AL586" i="13" s="1"/>
  <c r="AI586" i="13"/>
  <c r="AJ586" i="13"/>
  <c r="AN586" i="13" s="1"/>
  <c r="AY582" i="13"/>
  <c r="AG582" i="13"/>
  <c r="AK582" i="13" s="1"/>
  <c r="AH582" i="13"/>
  <c r="AL582" i="13" s="1"/>
  <c r="AI582" i="13"/>
  <c r="AJ582" i="13"/>
  <c r="AN582" i="13" s="1"/>
  <c r="AY578" i="13"/>
  <c r="AG578" i="13"/>
  <c r="AK578" i="13" s="1"/>
  <c r="AH578" i="13"/>
  <c r="AL578" i="13" s="1"/>
  <c r="AI578" i="13"/>
  <c r="AJ578" i="13"/>
  <c r="AN578" i="13" s="1"/>
  <c r="AY574" i="13"/>
  <c r="AG574" i="13"/>
  <c r="AK574" i="13" s="1"/>
  <c r="AH574" i="13"/>
  <c r="AL574" i="13" s="1"/>
  <c r="AI574" i="13"/>
  <c r="AJ574" i="13"/>
  <c r="AN574" i="13" s="1"/>
  <c r="AY570" i="13"/>
  <c r="AG570" i="13"/>
  <c r="AK570" i="13" s="1"/>
  <c r="AH570" i="13"/>
  <c r="AL570" i="13" s="1"/>
  <c r="AI570" i="13"/>
  <c r="AJ570" i="13"/>
  <c r="AN570" i="13" s="1"/>
  <c r="AY566" i="13"/>
  <c r="AG566" i="13"/>
  <c r="AK566" i="13" s="1"/>
  <c r="AH566" i="13"/>
  <c r="AL566" i="13" s="1"/>
  <c r="AI566" i="13"/>
  <c r="AJ566" i="13"/>
  <c r="AN566" i="13" s="1"/>
  <c r="AY562" i="13"/>
  <c r="AG562" i="13"/>
  <c r="AK562" i="13" s="1"/>
  <c r="AH562" i="13"/>
  <c r="AL562" i="13" s="1"/>
  <c r="AI562" i="13"/>
  <c r="AJ562" i="13"/>
  <c r="AN562" i="13" s="1"/>
  <c r="AY558" i="13"/>
  <c r="AG558" i="13"/>
  <c r="AK558" i="13" s="1"/>
  <c r="AH558" i="13"/>
  <c r="AL558" i="13" s="1"/>
  <c r="AI558" i="13"/>
  <c r="AJ558" i="13"/>
  <c r="AN558" i="13" s="1"/>
  <c r="AY554" i="13"/>
  <c r="AG554" i="13"/>
  <c r="AK554" i="13" s="1"/>
  <c r="AH554" i="13"/>
  <c r="AL554" i="13" s="1"/>
  <c r="AI554" i="13"/>
  <c r="AJ554" i="13"/>
  <c r="AN554" i="13" s="1"/>
  <c r="AY550" i="13"/>
  <c r="AG550" i="13"/>
  <c r="AK550" i="13" s="1"/>
  <c r="AH550" i="13"/>
  <c r="AL550" i="13" s="1"/>
  <c r="AI550" i="13"/>
  <c r="AJ550" i="13"/>
  <c r="AN550" i="13" s="1"/>
  <c r="AY546" i="13"/>
  <c r="AG546" i="13"/>
  <c r="AK546" i="13" s="1"/>
  <c r="AH546" i="13"/>
  <c r="AL546" i="13" s="1"/>
  <c r="AI546" i="13"/>
  <c r="AJ546" i="13"/>
  <c r="AN546" i="13" s="1"/>
  <c r="AY542" i="13"/>
  <c r="AG542" i="13"/>
  <c r="AK542" i="13" s="1"/>
  <c r="AH542" i="13"/>
  <c r="AL542" i="13" s="1"/>
  <c r="AI542" i="13"/>
  <c r="AJ542" i="13"/>
  <c r="AN542" i="13" s="1"/>
  <c r="AY538" i="13"/>
  <c r="AG538" i="13"/>
  <c r="AK538" i="13" s="1"/>
  <c r="AH538" i="13"/>
  <c r="AL538" i="13" s="1"/>
  <c r="AI538" i="13"/>
  <c r="AJ538" i="13"/>
  <c r="AN538" i="13" s="1"/>
  <c r="AY534" i="13"/>
  <c r="AG534" i="13"/>
  <c r="AK534" i="13" s="1"/>
  <c r="AH534" i="13"/>
  <c r="AL534" i="13" s="1"/>
  <c r="AI534" i="13"/>
  <c r="AJ534" i="13"/>
  <c r="AN534" i="13" s="1"/>
  <c r="AY530" i="13"/>
  <c r="AG530" i="13"/>
  <c r="AK530" i="13" s="1"/>
  <c r="AH530" i="13"/>
  <c r="AL530" i="13" s="1"/>
  <c r="AI530" i="13"/>
  <c r="AJ530" i="13"/>
  <c r="AN530" i="13" s="1"/>
  <c r="AY526" i="13"/>
  <c r="AG526" i="13"/>
  <c r="AK526" i="13" s="1"/>
  <c r="AH526" i="13"/>
  <c r="AL526" i="13" s="1"/>
  <c r="AI526" i="13"/>
  <c r="AJ526" i="13"/>
  <c r="AN526" i="13" s="1"/>
  <c r="AY522" i="13"/>
  <c r="AG522" i="13"/>
  <c r="AK522" i="13" s="1"/>
  <c r="AH522" i="13"/>
  <c r="AL522" i="13" s="1"/>
  <c r="AI522" i="13"/>
  <c r="AJ522" i="13"/>
  <c r="AN522" i="13" s="1"/>
  <c r="AY518" i="13"/>
  <c r="AG518" i="13"/>
  <c r="AK518" i="13" s="1"/>
  <c r="AH518" i="13"/>
  <c r="AL518" i="13" s="1"/>
  <c r="AI518" i="13"/>
  <c r="AJ518" i="13"/>
  <c r="AN518" i="13" s="1"/>
  <c r="AY514" i="13"/>
  <c r="AG514" i="13"/>
  <c r="AK514" i="13" s="1"/>
  <c r="AH514" i="13"/>
  <c r="AL514" i="13" s="1"/>
  <c r="AI514" i="13"/>
  <c r="AJ514" i="13"/>
  <c r="AN514" i="13" s="1"/>
  <c r="AY510" i="13"/>
  <c r="AG510" i="13"/>
  <c r="AK510" i="13" s="1"/>
  <c r="AH510" i="13"/>
  <c r="AL510" i="13" s="1"/>
  <c r="AI510" i="13"/>
  <c r="AJ510" i="13"/>
  <c r="AN510" i="13" s="1"/>
  <c r="AY506" i="13"/>
  <c r="AG506" i="13"/>
  <c r="AK506" i="13" s="1"/>
  <c r="AH506" i="13"/>
  <c r="AL506" i="13" s="1"/>
  <c r="AI506" i="13"/>
  <c r="AJ506" i="13"/>
  <c r="AN506" i="13" s="1"/>
  <c r="AY502" i="13"/>
  <c r="AG502" i="13"/>
  <c r="AK502" i="13" s="1"/>
  <c r="AH502" i="13"/>
  <c r="AL502" i="13" s="1"/>
  <c r="AI502" i="13"/>
  <c r="AJ502" i="13"/>
  <c r="AN502" i="13" s="1"/>
  <c r="AY498" i="13"/>
  <c r="AG498" i="13"/>
  <c r="AK498" i="13" s="1"/>
  <c r="AH498" i="13"/>
  <c r="AL498" i="13" s="1"/>
  <c r="AI498" i="13"/>
  <c r="AJ498" i="13"/>
  <c r="AN498" i="13" s="1"/>
  <c r="AY494" i="13"/>
  <c r="AG494" i="13"/>
  <c r="AK494" i="13" s="1"/>
  <c r="AH494" i="13"/>
  <c r="AL494" i="13" s="1"/>
  <c r="AI494" i="13"/>
  <c r="AJ494" i="13"/>
  <c r="AN494" i="13" s="1"/>
  <c r="AY490" i="13"/>
  <c r="AG490" i="13"/>
  <c r="AK490" i="13" s="1"/>
  <c r="AH490" i="13"/>
  <c r="AL490" i="13" s="1"/>
  <c r="AI490" i="13"/>
  <c r="AJ490" i="13"/>
  <c r="AN490" i="13" s="1"/>
  <c r="AY486" i="13"/>
  <c r="AG486" i="13"/>
  <c r="AK486" i="13" s="1"/>
  <c r="AH486" i="13"/>
  <c r="AL486" i="13" s="1"/>
  <c r="AI486" i="13"/>
  <c r="AJ486" i="13"/>
  <c r="AN486" i="13" s="1"/>
  <c r="AY482" i="13"/>
  <c r="AG482" i="13"/>
  <c r="AK482" i="13" s="1"/>
  <c r="AH482" i="13"/>
  <c r="AL482" i="13" s="1"/>
  <c r="AI482" i="13"/>
  <c r="AJ482" i="13"/>
  <c r="AN482" i="13" s="1"/>
  <c r="AY478" i="13"/>
  <c r="AG478" i="13"/>
  <c r="AK478" i="13" s="1"/>
  <c r="AH478" i="13"/>
  <c r="AL478" i="13" s="1"/>
  <c r="AI478" i="13"/>
  <c r="AJ478" i="13"/>
  <c r="AN478" i="13" s="1"/>
  <c r="AY474" i="13"/>
  <c r="AG474" i="13"/>
  <c r="AK474" i="13" s="1"/>
  <c r="AH474" i="13"/>
  <c r="AL474" i="13" s="1"/>
  <c r="AI474" i="13"/>
  <c r="AJ474" i="13"/>
  <c r="AN474" i="13" s="1"/>
  <c r="AY470" i="13"/>
  <c r="AG470" i="13"/>
  <c r="AK470" i="13" s="1"/>
  <c r="AH470" i="13"/>
  <c r="AL470" i="13" s="1"/>
  <c r="AI470" i="13"/>
  <c r="AJ470" i="13"/>
  <c r="AN470" i="13" s="1"/>
  <c r="AY466" i="13"/>
  <c r="AG466" i="13"/>
  <c r="AK466" i="13" s="1"/>
  <c r="AH466" i="13"/>
  <c r="AL466" i="13" s="1"/>
  <c r="AI466" i="13"/>
  <c r="AJ466" i="13"/>
  <c r="AN466" i="13" s="1"/>
  <c r="AY462" i="13"/>
  <c r="AG462" i="13"/>
  <c r="AK462" i="13" s="1"/>
  <c r="AH462" i="13"/>
  <c r="AL462" i="13" s="1"/>
  <c r="AI462" i="13"/>
  <c r="AJ462" i="13"/>
  <c r="AN462" i="13" s="1"/>
  <c r="AY458" i="13"/>
  <c r="AG458" i="13"/>
  <c r="AK458" i="13" s="1"/>
  <c r="AH458" i="13"/>
  <c r="AL458" i="13" s="1"/>
  <c r="AI458" i="13"/>
  <c r="AJ458" i="13"/>
  <c r="AN458" i="13" s="1"/>
  <c r="AY454" i="13"/>
  <c r="AG454" i="13"/>
  <c r="AK454" i="13" s="1"/>
  <c r="AH454" i="13"/>
  <c r="AL454" i="13" s="1"/>
  <c r="AI454" i="13"/>
  <c r="AJ454" i="13"/>
  <c r="AN454" i="13" s="1"/>
  <c r="AY450" i="13"/>
  <c r="AG450" i="13"/>
  <c r="AK450" i="13" s="1"/>
  <c r="AH450" i="13"/>
  <c r="AL450" i="13" s="1"/>
  <c r="AI450" i="13"/>
  <c r="AJ450" i="13"/>
  <c r="AN450" i="13" s="1"/>
  <c r="AY446" i="13"/>
  <c r="AG446" i="13"/>
  <c r="AK446" i="13" s="1"/>
  <c r="AH446" i="13"/>
  <c r="AL446" i="13" s="1"/>
  <c r="AI446" i="13"/>
  <c r="AJ446" i="13"/>
  <c r="AN446" i="13" s="1"/>
  <c r="AY442" i="13"/>
  <c r="AG442" i="13"/>
  <c r="AK442" i="13" s="1"/>
  <c r="AH442" i="13"/>
  <c r="AL442" i="13" s="1"/>
  <c r="AI442" i="13"/>
  <c r="AJ442" i="13"/>
  <c r="AN442" i="13" s="1"/>
  <c r="AY438" i="13"/>
  <c r="AG438" i="13"/>
  <c r="AK438" i="13" s="1"/>
  <c r="AH438" i="13"/>
  <c r="AL438" i="13" s="1"/>
  <c r="AI438" i="13"/>
  <c r="AJ438" i="13"/>
  <c r="AN438" i="13" s="1"/>
  <c r="AY434" i="13"/>
  <c r="AG434" i="13"/>
  <c r="AK434" i="13" s="1"/>
  <c r="AH434" i="13"/>
  <c r="AL434" i="13" s="1"/>
  <c r="AI434" i="13"/>
  <c r="AJ434" i="13"/>
  <c r="AN434" i="13" s="1"/>
  <c r="AY430" i="13"/>
  <c r="AG430" i="13"/>
  <c r="AK430" i="13" s="1"/>
  <c r="AH430" i="13"/>
  <c r="AL430" i="13" s="1"/>
  <c r="AI430" i="13"/>
  <c r="AJ430" i="13"/>
  <c r="AN430" i="13" s="1"/>
  <c r="AY426" i="13"/>
  <c r="AG426" i="13"/>
  <c r="AK426" i="13" s="1"/>
  <c r="AH426" i="13"/>
  <c r="AL426" i="13" s="1"/>
  <c r="AI426" i="13"/>
  <c r="AJ426" i="13"/>
  <c r="AN426" i="13" s="1"/>
  <c r="AY422" i="13"/>
  <c r="AG422" i="13"/>
  <c r="AK422" i="13" s="1"/>
  <c r="AH422" i="13"/>
  <c r="AL422" i="13" s="1"/>
  <c r="AI422" i="13"/>
  <c r="AJ422" i="13"/>
  <c r="AN422" i="13" s="1"/>
  <c r="AY418" i="13"/>
  <c r="AG418" i="13"/>
  <c r="AK418" i="13" s="1"/>
  <c r="AH418" i="13"/>
  <c r="AL418" i="13" s="1"/>
  <c r="AI418" i="13"/>
  <c r="AJ418" i="13"/>
  <c r="AN418" i="13" s="1"/>
  <c r="AY414" i="13"/>
  <c r="AG414" i="13"/>
  <c r="AK414" i="13" s="1"/>
  <c r="AH414" i="13"/>
  <c r="AL414" i="13" s="1"/>
  <c r="AI414" i="13"/>
  <c r="AJ414" i="13"/>
  <c r="AN414" i="13" s="1"/>
  <c r="AY410" i="13"/>
  <c r="AG410" i="13"/>
  <c r="AK410" i="13" s="1"/>
  <c r="AH410" i="13"/>
  <c r="AL410" i="13" s="1"/>
  <c r="AI410" i="13"/>
  <c r="AJ410" i="13"/>
  <c r="AN410" i="13" s="1"/>
  <c r="AY406" i="13"/>
  <c r="AG406" i="13"/>
  <c r="AK406" i="13" s="1"/>
  <c r="AH406" i="13"/>
  <c r="AL406" i="13" s="1"/>
  <c r="AI406" i="13"/>
  <c r="AJ406" i="13"/>
  <c r="AN406" i="13" s="1"/>
  <c r="AY402" i="13"/>
  <c r="AG402" i="13"/>
  <c r="AK402" i="13" s="1"/>
  <c r="AH402" i="13"/>
  <c r="AL402" i="13" s="1"/>
  <c r="AI402" i="13"/>
  <c r="AJ402" i="13"/>
  <c r="AN402" i="13" s="1"/>
  <c r="AY398" i="13"/>
  <c r="AG398" i="13"/>
  <c r="AK398" i="13" s="1"/>
  <c r="AH398" i="13"/>
  <c r="AL398" i="13" s="1"/>
  <c r="AI398" i="13"/>
  <c r="AJ398" i="13"/>
  <c r="AN398" i="13" s="1"/>
  <c r="AY394" i="13"/>
  <c r="AG394" i="13"/>
  <c r="AK394" i="13" s="1"/>
  <c r="AH394" i="13"/>
  <c r="AL394" i="13" s="1"/>
  <c r="AI394" i="13"/>
  <c r="AJ394" i="13"/>
  <c r="AN394" i="13" s="1"/>
  <c r="AY390" i="13"/>
  <c r="AG390" i="13"/>
  <c r="AK390" i="13" s="1"/>
  <c r="AH390" i="13"/>
  <c r="AL390" i="13" s="1"/>
  <c r="AI390" i="13"/>
  <c r="AJ390" i="13"/>
  <c r="AN390" i="13" s="1"/>
  <c r="AY386" i="13"/>
  <c r="AG386" i="13"/>
  <c r="AK386" i="13" s="1"/>
  <c r="AH386" i="13"/>
  <c r="AL386" i="13" s="1"/>
  <c r="AI386" i="13"/>
  <c r="AJ386" i="13"/>
  <c r="AN386" i="13" s="1"/>
  <c r="AY382" i="13"/>
  <c r="AG382" i="13"/>
  <c r="AK382" i="13" s="1"/>
  <c r="AH382" i="13"/>
  <c r="AL382" i="13" s="1"/>
  <c r="AI382" i="13"/>
  <c r="AJ382" i="13"/>
  <c r="AN382" i="13" s="1"/>
  <c r="AY378" i="13"/>
  <c r="AG378" i="13"/>
  <c r="AK378" i="13" s="1"/>
  <c r="AH378" i="13"/>
  <c r="AL378" i="13" s="1"/>
  <c r="AI378" i="13"/>
  <c r="AJ378" i="13"/>
  <c r="AN378" i="13" s="1"/>
  <c r="AY374" i="13"/>
  <c r="AG374" i="13"/>
  <c r="AK374" i="13" s="1"/>
  <c r="AH374" i="13"/>
  <c r="AL374" i="13" s="1"/>
  <c r="AI374" i="13"/>
  <c r="AJ374" i="13"/>
  <c r="AN374" i="13" s="1"/>
  <c r="AY370" i="13"/>
  <c r="AH370" i="13"/>
  <c r="AL370" i="13" s="1"/>
  <c r="AI370" i="13"/>
  <c r="AJ370" i="13"/>
  <c r="AN370" i="13" s="1"/>
  <c r="AG370" i="13"/>
  <c r="AK370" i="13" s="1"/>
  <c r="AY366" i="13"/>
  <c r="AH366" i="13"/>
  <c r="AL366" i="13" s="1"/>
  <c r="AI366" i="13"/>
  <c r="AJ366" i="13"/>
  <c r="AN366" i="13" s="1"/>
  <c r="AG366" i="13"/>
  <c r="AK366" i="13" s="1"/>
  <c r="AY362" i="13"/>
  <c r="AH362" i="13"/>
  <c r="AL362" i="13" s="1"/>
  <c r="AI362" i="13"/>
  <c r="AJ362" i="13"/>
  <c r="AN362" i="13" s="1"/>
  <c r="AG362" i="13"/>
  <c r="AK362" i="13" s="1"/>
  <c r="AY358" i="13"/>
  <c r="AH358" i="13"/>
  <c r="AL358" i="13" s="1"/>
  <c r="AI358" i="13"/>
  <c r="AJ358" i="13"/>
  <c r="AN358" i="13" s="1"/>
  <c r="AG358" i="13"/>
  <c r="AK358" i="13" s="1"/>
  <c r="AY354" i="13"/>
  <c r="AH354" i="13"/>
  <c r="AL354" i="13" s="1"/>
  <c r="AI354" i="13"/>
  <c r="AJ354" i="13"/>
  <c r="AN354" i="13" s="1"/>
  <c r="AG354" i="13"/>
  <c r="AK354" i="13" s="1"/>
  <c r="AY350" i="13"/>
  <c r="AH350" i="13"/>
  <c r="AL350" i="13" s="1"/>
  <c r="AI350" i="13"/>
  <c r="AJ350" i="13"/>
  <c r="AN350" i="13" s="1"/>
  <c r="AG350" i="13"/>
  <c r="AK350" i="13" s="1"/>
  <c r="AY346" i="13"/>
  <c r="AH346" i="13"/>
  <c r="AL346" i="13" s="1"/>
  <c r="AI346" i="13"/>
  <c r="AJ346" i="13"/>
  <c r="AN346" i="13" s="1"/>
  <c r="AG346" i="13"/>
  <c r="AK346" i="13" s="1"/>
  <c r="AY342" i="13"/>
  <c r="AH342" i="13"/>
  <c r="AL342" i="13" s="1"/>
  <c r="AI342" i="13"/>
  <c r="AJ342" i="13"/>
  <c r="AN342" i="13" s="1"/>
  <c r="AG342" i="13"/>
  <c r="AK342" i="13" s="1"/>
  <c r="AY338" i="13"/>
  <c r="AH338" i="13"/>
  <c r="AL338" i="13" s="1"/>
  <c r="AI338" i="13"/>
  <c r="AJ338" i="13"/>
  <c r="AN338" i="13" s="1"/>
  <c r="AG338" i="13"/>
  <c r="AK338" i="13" s="1"/>
  <c r="AY334" i="13"/>
  <c r="AH334" i="13"/>
  <c r="AL334" i="13" s="1"/>
  <c r="AI334" i="13"/>
  <c r="AJ334" i="13"/>
  <c r="AN334" i="13" s="1"/>
  <c r="AG334" i="13"/>
  <c r="AK334" i="13" s="1"/>
  <c r="AY330" i="13"/>
  <c r="AH330" i="13"/>
  <c r="AL330" i="13" s="1"/>
  <c r="AI330" i="13"/>
  <c r="AJ330" i="13"/>
  <c r="AN330" i="13" s="1"/>
  <c r="AG330" i="13"/>
  <c r="AK330" i="13" s="1"/>
  <c r="AY326" i="13"/>
  <c r="AH326" i="13"/>
  <c r="AL326" i="13" s="1"/>
  <c r="AI326" i="13"/>
  <c r="AJ326" i="13"/>
  <c r="AN326" i="13" s="1"/>
  <c r="AG326" i="13"/>
  <c r="AK326" i="13" s="1"/>
  <c r="AY322" i="13"/>
  <c r="AH322" i="13"/>
  <c r="AL322" i="13" s="1"/>
  <c r="AI322" i="13"/>
  <c r="AJ322" i="13"/>
  <c r="AN322" i="13" s="1"/>
  <c r="AG322" i="13"/>
  <c r="AK322" i="13" s="1"/>
  <c r="AY318" i="13"/>
  <c r="AH318" i="13"/>
  <c r="AL318" i="13" s="1"/>
  <c r="AI318" i="13"/>
  <c r="AJ318" i="13"/>
  <c r="AN318" i="13" s="1"/>
  <c r="AG318" i="13"/>
  <c r="AK318" i="13" s="1"/>
  <c r="AY314" i="13"/>
  <c r="AH314" i="13"/>
  <c r="AL314" i="13" s="1"/>
  <c r="AI314" i="13"/>
  <c r="AJ314" i="13"/>
  <c r="AN314" i="13" s="1"/>
  <c r="AG314" i="13"/>
  <c r="AK314" i="13" s="1"/>
  <c r="AY310" i="13"/>
  <c r="AH310" i="13"/>
  <c r="AL310" i="13" s="1"/>
  <c r="AI310" i="13"/>
  <c r="AJ310" i="13"/>
  <c r="AN310" i="13" s="1"/>
  <c r="AG310" i="13"/>
  <c r="AK310" i="13" s="1"/>
  <c r="AY306" i="13"/>
  <c r="AH306" i="13"/>
  <c r="AL306" i="13" s="1"/>
  <c r="AI306" i="13"/>
  <c r="AJ306" i="13"/>
  <c r="AN306" i="13" s="1"/>
  <c r="AG306" i="13"/>
  <c r="AK306" i="13" s="1"/>
  <c r="AY302" i="13"/>
  <c r="AH302" i="13"/>
  <c r="AL302" i="13" s="1"/>
  <c r="AI302" i="13"/>
  <c r="AJ302" i="13"/>
  <c r="AN302" i="13" s="1"/>
  <c r="AG302" i="13"/>
  <c r="AK302" i="13" s="1"/>
  <c r="AY298" i="13"/>
  <c r="AH298" i="13"/>
  <c r="AL298" i="13" s="1"/>
  <c r="AI298" i="13"/>
  <c r="AJ298" i="13"/>
  <c r="AN298" i="13" s="1"/>
  <c r="AG298" i="13"/>
  <c r="AK298" i="13" s="1"/>
  <c r="AY294" i="13"/>
  <c r="AH294" i="13"/>
  <c r="AL294" i="13" s="1"/>
  <c r="AI294" i="13"/>
  <c r="AJ294" i="13"/>
  <c r="AN294" i="13" s="1"/>
  <c r="AG294" i="13"/>
  <c r="AK294" i="13" s="1"/>
  <c r="AY290" i="13"/>
  <c r="AH290" i="13"/>
  <c r="AL290" i="13" s="1"/>
  <c r="AI290" i="13"/>
  <c r="AJ290" i="13"/>
  <c r="AN290" i="13" s="1"/>
  <c r="AG290" i="13"/>
  <c r="AK290" i="13" s="1"/>
  <c r="AY286" i="13"/>
  <c r="AH286" i="13"/>
  <c r="AL286" i="13" s="1"/>
  <c r="AI286" i="13"/>
  <c r="AJ286" i="13"/>
  <c r="AN286" i="13" s="1"/>
  <c r="AG286" i="13"/>
  <c r="AK286" i="13" s="1"/>
  <c r="AY282" i="13"/>
  <c r="AH282" i="13"/>
  <c r="AL282" i="13" s="1"/>
  <c r="AI282" i="13"/>
  <c r="AJ282" i="13"/>
  <c r="AN282" i="13" s="1"/>
  <c r="AG282" i="13"/>
  <c r="AK282" i="13" s="1"/>
  <c r="AY278" i="13"/>
  <c r="AH278" i="13"/>
  <c r="AL278" i="13" s="1"/>
  <c r="AI278" i="13"/>
  <c r="AJ278" i="13"/>
  <c r="AN278" i="13" s="1"/>
  <c r="AG278" i="13"/>
  <c r="AK278" i="13" s="1"/>
  <c r="AY274" i="13"/>
  <c r="AH274" i="13"/>
  <c r="AL274" i="13" s="1"/>
  <c r="AI274" i="13"/>
  <c r="AJ274" i="13"/>
  <c r="AN274" i="13" s="1"/>
  <c r="AG274" i="13"/>
  <c r="AK274" i="13" s="1"/>
  <c r="AY270" i="13"/>
  <c r="AH270" i="13"/>
  <c r="AL270" i="13" s="1"/>
  <c r="AI270" i="13"/>
  <c r="AJ270" i="13"/>
  <c r="AN270" i="13" s="1"/>
  <c r="AG270" i="13"/>
  <c r="AK270" i="13" s="1"/>
  <c r="AY266" i="13"/>
  <c r="AH266" i="13"/>
  <c r="AL266" i="13" s="1"/>
  <c r="AI266" i="13"/>
  <c r="AJ266" i="13"/>
  <c r="AN266" i="13" s="1"/>
  <c r="AG266" i="13"/>
  <c r="AK266" i="13" s="1"/>
  <c r="AY262" i="13"/>
  <c r="AH262" i="13"/>
  <c r="AL262" i="13" s="1"/>
  <c r="AI262" i="13"/>
  <c r="AJ262" i="13"/>
  <c r="AN262" i="13" s="1"/>
  <c r="AG262" i="13"/>
  <c r="AK262" i="13" s="1"/>
  <c r="AY258" i="13"/>
  <c r="AH258" i="13"/>
  <c r="AL258" i="13" s="1"/>
  <c r="AI258" i="13"/>
  <c r="AJ258" i="13"/>
  <c r="AN258" i="13" s="1"/>
  <c r="AG258" i="13"/>
  <c r="AK258" i="13" s="1"/>
  <c r="AY254" i="13"/>
  <c r="AH254" i="13"/>
  <c r="AL254" i="13" s="1"/>
  <c r="AI254" i="13"/>
  <c r="AJ254" i="13"/>
  <c r="AN254" i="13" s="1"/>
  <c r="AG254" i="13"/>
  <c r="AK254" i="13" s="1"/>
  <c r="AY250" i="13"/>
  <c r="AH250" i="13"/>
  <c r="AL250" i="13" s="1"/>
  <c r="AI250" i="13"/>
  <c r="AJ250" i="13"/>
  <c r="AN250" i="13" s="1"/>
  <c r="AG250" i="13"/>
  <c r="AK250" i="13" s="1"/>
  <c r="AH246" i="13"/>
  <c r="AL246" i="13" s="1"/>
  <c r="AI246" i="13"/>
  <c r="AJ246" i="13"/>
  <c r="AN246" i="13" s="1"/>
  <c r="AG246" i="13"/>
  <c r="AK246" i="13" s="1"/>
  <c r="AY242" i="13"/>
  <c r="AH242" i="13"/>
  <c r="AL242" i="13" s="1"/>
  <c r="AI242" i="13"/>
  <c r="AJ242" i="13"/>
  <c r="AN242" i="13" s="1"/>
  <c r="AG242" i="13"/>
  <c r="AK242" i="13" s="1"/>
  <c r="AY238" i="13"/>
  <c r="AH238" i="13"/>
  <c r="AL238" i="13" s="1"/>
  <c r="AI238" i="13"/>
  <c r="AJ238" i="13"/>
  <c r="AN238" i="13" s="1"/>
  <c r="AG238" i="13"/>
  <c r="AK238" i="13" s="1"/>
  <c r="AY234" i="13"/>
  <c r="AH234" i="13"/>
  <c r="AL234" i="13" s="1"/>
  <c r="AI234" i="13"/>
  <c r="AJ234" i="13"/>
  <c r="AN234" i="13" s="1"/>
  <c r="AG234" i="13"/>
  <c r="AK234" i="13" s="1"/>
  <c r="AY230" i="13"/>
  <c r="AH230" i="13"/>
  <c r="AL230" i="13" s="1"/>
  <c r="AI230" i="13"/>
  <c r="AJ230" i="13"/>
  <c r="AN230" i="13" s="1"/>
  <c r="AG230" i="13"/>
  <c r="AK230" i="13" s="1"/>
  <c r="AY226" i="13"/>
  <c r="AH226" i="13"/>
  <c r="AL226" i="13" s="1"/>
  <c r="AI226" i="13"/>
  <c r="AJ226" i="13"/>
  <c r="AN226" i="13" s="1"/>
  <c r="AG226" i="13"/>
  <c r="AK226" i="13" s="1"/>
  <c r="AY222" i="13"/>
  <c r="AH222" i="13"/>
  <c r="AL222" i="13" s="1"/>
  <c r="AI222" i="13"/>
  <c r="AJ222" i="13"/>
  <c r="AN222" i="13" s="1"/>
  <c r="AG222" i="13"/>
  <c r="AK222" i="13" s="1"/>
  <c r="AY218" i="13"/>
  <c r="AH218" i="13"/>
  <c r="AL218" i="13" s="1"/>
  <c r="AI218" i="13"/>
  <c r="AJ218" i="13"/>
  <c r="AN218" i="13" s="1"/>
  <c r="AG218" i="13"/>
  <c r="AK218" i="13" s="1"/>
  <c r="AY214" i="13"/>
  <c r="AH214" i="13"/>
  <c r="AL214" i="13" s="1"/>
  <c r="AI214" i="13"/>
  <c r="AJ214" i="13"/>
  <c r="AN214" i="13" s="1"/>
  <c r="AG214" i="13"/>
  <c r="AK214" i="13" s="1"/>
  <c r="AY210" i="13"/>
  <c r="AH210" i="13"/>
  <c r="AL210" i="13" s="1"/>
  <c r="AI210" i="13"/>
  <c r="AJ210" i="13"/>
  <c r="AN210" i="13" s="1"/>
  <c r="AG210" i="13"/>
  <c r="AK210" i="13" s="1"/>
  <c r="AY206" i="13"/>
  <c r="AH206" i="13"/>
  <c r="AL206" i="13" s="1"/>
  <c r="AI206" i="13"/>
  <c r="AJ206" i="13"/>
  <c r="AN206" i="13" s="1"/>
  <c r="AG206" i="13"/>
  <c r="AK206" i="13" s="1"/>
  <c r="AY202" i="13"/>
  <c r="AH202" i="13"/>
  <c r="AL202" i="13" s="1"/>
  <c r="AI202" i="13"/>
  <c r="AJ202" i="13"/>
  <c r="AN202" i="13" s="1"/>
  <c r="AG202" i="13"/>
  <c r="AK202" i="13" s="1"/>
  <c r="AY198" i="13"/>
  <c r="AH198" i="13"/>
  <c r="AL198" i="13" s="1"/>
  <c r="AI198" i="13"/>
  <c r="AJ198" i="13"/>
  <c r="AN198" i="13" s="1"/>
  <c r="AG198" i="13"/>
  <c r="AK198" i="13" s="1"/>
  <c r="AY194" i="13"/>
  <c r="AH194" i="13"/>
  <c r="AL194" i="13" s="1"/>
  <c r="AI194" i="13"/>
  <c r="AJ194" i="13"/>
  <c r="AN194" i="13" s="1"/>
  <c r="AG194" i="13"/>
  <c r="AK194" i="13" s="1"/>
  <c r="AY190" i="13"/>
  <c r="AH190" i="13"/>
  <c r="AL190" i="13" s="1"/>
  <c r="AI190" i="13"/>
  <c r="AJ190" i="13"/>
  <c r="AN190" i="13" s="1"/>
  <c r="AG190" i="13"/>
  <c r="AK190" i="13" s="1"/>
  <c r="AY186" i="13"/>
  <c r="AH186" i="13"/>
  <c r="AL186" i="13" s="1"/>
  <c r="AI186" i="13"/>
  <c r="AJ186" i="13"/>
  <c r="AN186" i="13" s="1"/>
  <c r="AG186" i="13"/>
  <c r="AK186" i="13" s="1"/>
  <c r="AY182" i="13"/>
  <c r="AH182" i="13"/>
  <c r="AL182" i="13" s="1"/>
  <c r="AI182" i="13"/>
  <c r="AJ182" i="13"/>
  <c r="AN182" i="13" s="1"/>
  <c r="AG182" i="13"/>
  <c r="AK182" i="13" s="1"/>
  <c r="AY178" i="13"/>
  <c r="AH178" i="13"/>
  <c r="AL178" i="13" s="1"/>
  <c r="AI178" i="13"/>
  <c r="AJ178" i="13"/>
  <c r="AN178" i="13" s="1"/>
  <c r="AG178" i="13"/>
  <c r="AK178" i="13" s="1"/>
  <c r="AY174" i="13"/>
  <c r="AH174" i="13"/>
  <c r="AL174" i="13" s="1"/>
  <c r="AI174" i="13"/>
  <c r="AJ174" i="13"/>
  <c r="AN174" i="13" s="1"/>
  <c r="AG174" i="13"/>
  <c r="AK174" i="13" s="1"/>
  <c r="AY170" i="13"/>
  <c r="AH170" i="13"/>
  <c r="AL170" i="13" s="1"/>
  <c r="AI170" i="13"/>
  <c r="AJ170" i="13"/>
  <c r="AN170" i="13" s="1"/>
  <c r="AG170" i="13"/>
  <c r="AK170" i="13" s="1"/>
  <c r="AY166" i="13"/>
  <c r="AH166" i="13"/>
  <c r="AL166" i="13" s="1"/>
  <c r="AI166" i="13"/>
  <c r="AJ166" i="13"/>
  <c r="AN166" i="13" s="1"/>
  <c r="AG166" i="13"/>
  <c r="AK166" i="13" s="1"/>
  <c r="AY162" i="13"/>
  <c r="AH162" i="13"/>
  <c r="AL162" i="13" s="1"/>
  <c r="AI162" i="13"/>
  <c r="AJ162" i="13"/>
  <c r="AN162" i="13" s="1"/>
  <c r="AG162" i="13"/>
  <c r="AK162" i="13" s="1"/>
  <c r="AY158" i="13"/>
  <c r="AH158" i="13"/>
  <c r="AL158" i="13" s="1"/>
  <c r="AI158" i="13"/>
  <c r="AJ158" i="13"/>
  <c r="AN158" i="13" s="1"/>
  <c r="AG158" i="13"/>
  <c r="AK158" i="13" s="1"/>
  <c r="AY154" i="13"/>
  <c r="AH154" i="13"/>
  <c r="AL154" i="13" s="1"/>
  <c r="AI154" i="13"/>
  <c r="AJ154" i="13"/>
  <c r="AN154" i="13" s="1"/>
  <c r="AG154" i="13"/>
  <c r="AK154" i="13" s="1"/>
  <c r="AY150" i="13"/>
  <c r="AH150" i="13"/>
  <c r="AL150" i="13" s="1"/>
  <c r="AI150" i="13"/>
  <c r="AJ150" i="13"/>
  <c r="AN150" i="13" s="1"/>
  <c r="AG150" i="13"/>
  <c r="AK150" i="13" s="1"/>
  <c r="AY146" i="13"/>
  <c r="AH146" i="13"/>
  <c r="AL146" i="13" s="1"/>
  <c r="AI146" i="13"/>
  <c r="AJ146" i="13"/>
  <c r="AN146" i="13" s="1"/>
  <c r="AG146" i="13"/>
  <c r="AK146" i="13" s="1"/>
  <c r="AY142" i="13"/>
  <c r="AH142" i="13"/>
  <c r="AL142" i="13" s="1"/>
  <c r="AI142" i="13"/>
  <c r="AJ142" i="13"/>
  <c r="AN142" i="13" s="1"/>
  <c r="AG142" i="13"/>
  <c r="AK142" i="13" s="1"/>
  <c r="AY138" i="13"/>
  <c r="AH138" i="13"/>
  <c r="AL138" i="13" s="1"/>
  <c r="AI138" i="13"/>
  <c r="AJ138" i="13"/>
  <c r="AN138" i="13" s="1"/>
  <c r="AG138" i="13"/>
  <c r="AK138" i="13" s="1"/>
  <c r="AY134" i="13"/>
  <c r="AH134" i="13"/>
  <c r="AL134" i="13" s="1"/>
  <c r="AI134" i="13"/>
  <c r="AJ134" i="13"/>
  <c r="AN134" i="13" s="1"/>
  <c r="AG134" i="13"/>
  <c r="AK134" i="13" s="1"/>
  <c r="AY130" i="13"/>
  <c r="AH130" i="13"/>
  <c r="AL130" i="13" s="1"/>
  <c r="AI130" i="13"/>
  <c r="AJ130" i="13"/>
  <c r="AN130" i="13" s="1"/>
  <c r="AG130" i="13"/>
  <c r="AK130" i="13" s="1"/>
  <c r="AY126" i="13"/>
  <c r="AH126" i="13"/>
  <c r="AL126" i="13" s="1"/>
  <c r="AI126" i="13"/>
  <c r="AJ126" i="13"/>
  <c r="AN126" i="13" s="1"/>
  <c r="AG126" i="13"/>
  <c r="AK126" i="13" s="1"/>
  <c r="AY122" i="13"/>
  <c r="AH122" i="13"/>
  <c r="AL122" i="13" s="1"/>
  <c r="AI122" i="13"/>
  <c r="AJ122" i="13"/>
  <c r="AN122" i="13" s="1"/>
  <c r="AG122" i="13"/>
  <c r="AK122" i="13" s="1"/>
  <c r="AY118" i="13"/>
  <c r="AH118" i="13"/>
  <c r="AL118" i="13" s="1"/>
  <c r="AI118" i="13"/>
  <c r="AJ118" i="13"/>
  <c r="AN118" i="13" s="1"/>
  <c r="AG118" i="13"/>
  <c r="AK118" i="13" s="1"/>
  <c r="AY114" i="13"/>
  <c r="AH114" i="13"/>
  <c r="AL114" i="13" s="1"/>
  <c r="AI114" i="13"/>
  <c r="AJ114" i="13"/>
  <c r="AN114" i="13" s="1"/>
  <c r="AG114" i="13"/>
  <c r="AK114" i="13" s="1"/>
  <c r="AY110" i="13"/>
  <c r="AH110" i="13"/>
  <c r="AL110" i="13" s="1"/>
  <c r="AI110" i="13"/>
  <c r="AJ110" i="13"/>
  <c r="AN110" i="13" s="1"/>
  <c r="AG110" i="13"/>
  <c r="AK110" i="13" s="1"/>
  <c r="AY106" i="13"/>
  <c r="AH106" i="13"/>
  <c r="AL106" i="13" s="1"/>
  <c r="AI106" i="13"/>
  <c r="AJ106" i="13"/>
  <c r="AN106" i="13" s="1"/>
  <c r="AG106" i="13"/>
  <c r="AK106" i="13" s="1"/>
  <c r="AY102" i="13"/>
  <c r="AH102" i="13"/>
  <c r="AL102" i="13" s="1"/>
  <c r="AI102" i="13"/>
  <c r="AJ102" i="13"/>
  <c r="AN102" i="13" s="1"/>
  <c r="AG102" i="13"/>
  <c r="AK102" i="13" s="1"/>
  <c r="AY98" i="13"/>
  <c r="AH98" i="13"/>
  <c r="AL98" i="13" s="1"/>
  <c r="AI98" i="13"/>
  <c r="AJ98" i="13"/>
  <c r="AN98" i="13" s="1"/>
  <c r="AG98" i="13"/>
  <c r="AK98" i="13" s="1"/>
  <c r="AY94" i="13"/>
  <c r="AH94" i="13"/>
  <c r="AL94" i="13" s="1"/>
  <c r="AI94" i="13"/>
  <c r="AJ94" i="13"/>
  <c r="AN94" i="13" s="1"/>
  <c r="AG94" i="13"/>
  <c r="AK94" i="13" s="1"/>
  <c r="AY90" i="13"/>
  <c r="AH90" i="13"/>
  <c r="AL90" i="13" s="1"/>
  <c r="AI90" i="13"/>
  <c r="AJ90" i="13"/>
  <c r="AN90" i="13" s="1"/>
  <c r="AG90" i="13"/>
  <c r="AK90" i="13" s="1"/>
  <c r="AY86" i="13"/>
  <c r="AH86" i="13"/>
  <c r="AL86" i="13" s="1"/>
  <c r="AI86" i="13"/>
  <c r="AJ86" i="13"/>
  <c r="AN86" i="13" s="1"/>
  <c r="AG86" i="13"/>
  <c r="AK86" i="13" s="1"/>
  <c r="AY82" i="13"/>
  <c r="AH82" i="13"/>
  <c r="AL82" i="13" s="1"/>
  <c r="AI82" i="13"/>
  <c r="AJ82" i="13"/>
  <c r="AN82" i="13" s="1"/>
  <c r="AG82" i="13"/>
  <c r="AK82" i="13" s="1"/>
  <c r="AY78" i="13"/>
  <c r="AH78" i="13"/>
  <c r="AL78" i="13" s="1"/>
  <c r="AI78" i="13"/>
  <c r="AJ78" i="13"/>
  <c r="AN78" i="13" s="1"/>
  <c r="AG78" i="13"/>
  <c r="AK78" i="13" s="1"/>
  <c r="AY74" i="13"/>
  <c r="AG74" i="13"/>
  <c r="AK74" i="13" s="1"/>
  <c r="AH74" i="13"/>
  <c r="AL74" i="13" s="1"/>
  <c r="AI74" i="13"/>
  <c r="AJ74" i="13"/>
  <c r="AN74" i="13" s="1"/>
  <c r="AY70" i="13"/>
  <c r="AJ70" i="13"/>
  <c r="AN70" i="13" s="1"/>
  <c r="AG70" i="13"/>
  <c r="AK70" i="13" s="1"/>
  <c r="AH70" i="13"/>
  <c r="AL70" i="13" s="1"/>
  <c r="AI70" i="13"/>
  <c r="AY66" i="13"/>
  <c r="AJ66" i="13"/>
  <c r="AN66" i="13" s="1"/>
  <c r="AG66" i="13"/>
  <c r="AK66" i="13" s="1"/>
  <c r="AH66" i="13"/>
  <c r="AL66" i="13" s="1"/>
  <c r="AI66" i="13"/>
  <c r="AY62" i="13"/>
  <c r="AJ62" i="13"/>
  <c r="AN62" i="13" s="1"/>
  <c r="AG62" i="13"/>
  <c r="AK62" i="13" s="1"/>
  <c r="AH62" i="13"/>
  <c r="AL62" i="13" s="1"/>
  <c r="AI62" i="13"/>
  <c r="AY58" i="13"/>
  <c r="AJ58" i="13"/>
  <c r="AN58" i="13" s="1"/>
  <c r="AG58" i="13"/>
  <c r="AK58" i="13" s="1"/>
  <c r="AH58" i="13"/>
  <c r="AL58" i="13" s="1"/>
  <c r="AI58" i="13"/>
  <c r="AY54" i="13"/>
  <c r="AJ54" i="13"/>
  <c r="AN54" i="13" s="1"/>
  <c r="AG54" i="13"/>
  <c r="AK54" i="13" s="1"/>
  <c r="AH54" i="13"/>
  <c r="AL54" i="13" s="1"/>
  <c r="AI54" i="13"/>
  <c r="AY50" i="13"/>
  <c r="AJ50" i="13"/>
  <c r="AN50" i="13" s="1"/>
  <c r="AG50" i="13"/>
  <c r="AK50" i="13" s="1"/>
  <c r="AH50" i="13"/>
  <c r="AL50" i="13" s="1"/>
  <c r="AI50" i="13"/>
  <c r="AY46" i="13"/>
  <c r="AJ46" i="13"/>
  <c r="AN46" i="13" s="1"/>
  <c r="AG46" i="13"/>
  <c r="AK46" i="13" s="1"/>
  <c r="AH46" i="13"/>
  <c r="AL46" i="13" s="1"/>
  <c r="AI46" i="13"/>
  <c r="AY42" i="13"/>
  <c r="AJ42" i="13"/>
  <c r="AN42" i="13" s="1"/>
  <c r="AG42" i="13"/>
  <c r="AK42" i="13" s="1"/>
  <c r="AH42" i="13"/>
  <c r="AL42" i="13" s="1"/>
  <c r="AI42" i="13"/>
  <c r="AY38" i="13"/>
  <c r="AJ38" i="13"/>
  <c r="AN38" i="13" s="1"/>
  <c r="AG38" i="13"/>
  <c r="AK38" i="13" s="1"/>
  <c r="AH38" i="13"/>
  <c r="AL38" i="13" s="1"/>
  <c r="AI38" i="13"/>
  <c r="AY34" i="13"/>
  <c r="AJ34" i="13"/>
  <c r="AN34" i="13" s="1"/>
  <c r="AG34" i="13"/>
  <c r="AK34" i="13" s="1"/>
  <c r="AH34" i="13"/>
  <c r="AL34" i="13" s="1"/>
  <c r="AI34" i="13"/>
  <c r="AY30" i="13"/>
  <c r="AJ30" i="13"/>
  <c r="AN30" i="13" s="1"/>
  <c r="AG30" i="13"/>
  <c r="AK30" i="13" s="1"/>
  <c r="AH30" i="13"/>
  <c r="AL30" i="13" s="1"/>
  <c r="AI30" i="13"/>
  <c r="AY26" i="13"/>
  <c r="AJ26" i="13"/>
  <c r="AN26" i="13" s="1"/>
  <c r="AG26" i="13"/>
  <c r="AK26" i="13" s="1"/>
  <c r="AH26" i="13"/>
  <c r="AL26" i="13" s="1"/>
  <c r="AI26" i="13"/>
  <c r="AY22" i="13"/>
  <c r="AJ22" i="13"/>
  <c r="AN22" i="13" s="1"/>
  <c r="AG22" i="13"/>
  <c r="AK22" i="13" s="1"/>
  <c r="AH22" i="13"/>
  <c r="AL22" i="13" s="1"/>
  <c r="AI22" i="13"/>
  <c r="AY18" i="13"/>
  <c r="AJ18" i="13"/>
  <c r="AN18" i="13" s="1"/>
  <c r="AG18" i="13"/>
  <c r="AK18" i="13" s="1"/>
  <c r="AH18" i="13"/>
  <c r="AL18" i="13" s="1"/>
  <c r="AI18" i="13"/>
  <c r="AY14" i="13"/>
  <c r="AJ14" i="13"/>
  <c r="AN14" i="13" s="1"/>
  <c r="AG14" i="13"/>
  <c r="AK14" i="13" s="1"/>
  <c r="AH14" i="13"/>
  <c r="AL14" i="13" s="1"/>
  <c r="AI14" i="13"/>
  <c r="AY10" i="13"/>
  <c r="AJ10" i="13"/>
  <c r="AN10" i="13" s="1"/>
  <c r="AG10" i="13"/>
  <c r="AK10" i="13" s="1"/>
  <c r="AH10" i="13"/>
  <c r="AL10" i="13" s="1"/>
  <c r="AI10" i="13"/>
  <c r="AY6" i="13"/>
  <c r="AJ6" i="13"/>
  <c r="AN6" i="13" s="1"/>
  <c r="AG6" i="13"/>
  <c r="AK6" i="13" s="1"/>
  <c r="AH6" i="13"/>
  <c r="AL6" i="13" s="1"/>
  <c r="AI6" i="13"/>
  <c r="AY692" i="13"/>
  <c r="AG692" i="13"/>
  <c r="AK692" i="13" s="1"/>
  <c r="AH692" i="13"/>
  <c r="AL692" i="13" s="1"/>
  <c r="AI692" i="13"/>
  <c r="AJ692" i="13"/>
  <c r="AN692" i="13" s="1"/>
  <c r="AY676" i="13"/>
  <c r="AG676" i="13"/>
  <c r="AK676" i="13" s="1"/>
  <c r="AH676" i="13"/>
  <c r="AL676" i="13" s="1"/>
  <c r="AI676" i="13"/>
  <c r="AJ676" i="13"/>
  <c r="AN676" i="13" s="1"/>
  <c r="AY660" i="13"/>
  <c r="AG660" i="13"/>
  <c r="AK660" i="13" s="1"/>
  <c r="AH660" i="13"/>
  <c r="AL660" i="13" s="1"/>
  <c r="AI660" i="13"/>
  <c r="AJ660" i="13"/>
  <c r="AN660" i="13" s="1"/>
  <c r="AY644" i="13"/>
  <c r="AG644" i="13"/>
  <c r="AK644" i="13" s="1"/>
  <c r="AH644" i="13"/>
  <c r="AL644" i="13" s="1"/>
  <c r="AI644" i="13"/>
  <c r="AJ644" i="13"/>
  <c r="AN644" i="13" s="1"/>
  <c r="AY624" i="13"/>
  <c r="AG624" i="13"/>
  <c r="AK624" i="13" s="1"/>
  <c r="AH624" i="13"/>
  <c r="AL624" i="13" s="1"/>
  <c r="AI624" i="13"/>
  <c r="AJ624" i="13"/>
  <c r="AN624" i="13" s="1"/>
  <c r="AY612" i="13"/>
  <c r="AG612" i="13"/>
  <c r="AK612" i="13" s="1"/>
  <c r="AH612" i="13"/>
  <c r="AL612" i="13" s="1"/>
  <c r="AI612" i="13"/>
  <c r="AJ612" i="13"/>
  <c r="AN612" i="13" s="1"/>
  <c r="AY596" i="13"/>
  <c r="AG596" i="13"/>
  <c r="AK596" i="13" s="1"/>
  <c r="AH596" i="13"/>
  <c r="AL596" i="13" s="1"/>
  <c r="AI596" i="13"/>
  <c r="AJ596" i="13"/>
  <c r="AN596" i="13" s="1"/>
  <c r="AY580" i="13"/>
  <c r="AG580" i="13"/>
  <c r="AK580" i="13" s="1"/>
  <c r="AH580" i="13"/>
  <c r="AL580" i="13" s="1"/>
  <c r="AI580" i="13"/>
  <c r="AJ580" i="13"/>
  <c r="AN580" i="13" s="1"/>
  <c r="AY560" i="13"/>
  <c r="AG560" i="13"/>
  <c r="AK560" i="13" s="1"/>
  <c r="AH560" i="13"/>
  <c r="AL560" i="13" s="1"/>
  <c r="AI560" i="13"/>
  <c r="AJ560" i="13"/>
  <c r="AN560" i="13" s="1"/>
  <c r="AY524" i="13"/>
  <c r="AG524" i="13"/>
  <c r="AK524" i="13" s="1"/>
  <c r="AH524" i="13"/>
  <c r="AL524" i="13" s="1"/>
  <c r="AI524" i="13"/>
  <c r="AJ524" i="13"/>
  <c r="AN524" i="13" s="1"/>
  <c r="AY701" i="13"/>
  <c r="AG701" i="13"/>
  <c r="AK701" i="13" s="1"/>
  <c r="AH701" i="13"/>
  <c r="AL701" i="13" s="1"/>
  <c r="AI701" i="13"/>
  <c r="AJ701" i="13"/>
  <c r="AN701" i="13" s="1"/>
  <c r="AY697" i="13"/>
  <c r="AG697" i="13"/>
  <c r="AK697" i="13" s="1"/>
  <c r="AH697" i="13"/>
  <c r="AL697" i="13" s="1"/>
  <c r="AI697" i="13"/>
  <c r="AJ697" i="13"/>
  <c r="AN697" i="13" s="1"/>
  <c r="AY693" i="13"/>
  <c r="AG693" i="13"/>
  <c r="AK693" i="13" s="1"/>
  <c r="AH693" i="13"/>
  <c r="AL693" i="13" s="1"/>
  <c r="AI693" i="13"/>
  <c r="AJ693" i="13"/>
  <c r="AN693" i="13" s="1"/>
  <c r="AY689" i="13"/>
  <c r="AG689" i="13"/>
  <c r="AK689" i="13" s="1"/>
  <c r="AH689" i="13"/>
  <c r="AL689" i="13" s="1"/>
  <c r="AI689" i="13"/>
  <c r="AJ689" i="13"/>
  <c r="AN689" i="13" s="1"/>
  <c r="AY685" i="13"/>
  <c r="AG685" i="13"/>
  <c r="AK685" i="13" s="1"/>
  <c r="AH685" i="13"/>
  <c r="AL685" i="13" s="1"/>
  <c r="AI685" i="13"/>
  <c r="AJ685" i="13"/>
  <c r="AN685" i="13" s="1"/>
  <c r="AY681" i="13"/>
  <c r="AG681" i="13"/>
  <c r="AK681" i="13" s="1"/>
  <c r="AH681" i="13"/>
  <c r="AL681" i="13" s="1"/>
  <c r="AI681" i="13"/>
  <c r="AJ681" i="13"/>
  <c r="AN681" i="13" s="1"/>
  <c r="AY677" i="13"/>
  <c r="AG677" i="13"/>
  <c r="AK677" i="13" s="1"/>
  <c r="AH677" i="13"/>
  <c r="AL677" i="13" s="1"/>
  <c r="AI677" i="13"/>
  <c r="AJ677" i="13"/>
  <c r="AN677" i="13" s="1"/>
  <c r="AY673" i="13"/>
  <c r="AG673" i="13"/>
  <c r="AK673" i="13" s="1"/>
  <c r="AH673" i="13"/>
  <c r="AL673" i="13" s="1"/>
  <c r="AI673" i="13"/>
  <c r="AJ673" i="13"/>
  <c r="AN673" i="13" s="1"/>
  <c r="AY669" i="13"/>
  <c r="AG669" i="13"/>
  <c r="AK669" i="13" s="1"/>
  <c r="AH669" i="13"/>
  <c r="AL669" i="13" s="1"/>
  <c r="AI669" i="13"/>
  <c r="AJ669" i="13"/>
  <c r="AN669" i="13" s="1"/>
  <c r="AY665" i="13"/>
  <c r="AG665" i="13"/>
  <c r="AK665" i="13" s="1"/>
  <c r="AH665" i="13"/>
  <c r="AL665" i="13" s="1"/>
  <c r="AI665" i="13"/>
  <c r="AJ665" i="13"/>
  <c r="AN665" i="13" s="1"/>
  <c r="AY661" i="13"/>
  <c r="AG661" i="13"/>
  <c r="AK661" i="13" s="1"/>
  <c r="AH661" i="13"/>
  <c r="AL661" i="13" s="1"/>
  <c r="AI661" i="13"/>
  <c r="AJ661" i="13"/>
  <c r="AN661" i="13" s="1"/>
  <c r="AY657" i="13"/>
  <c r="AG657" i="13"/>
  <c r="AK657" i="13" s="1"/>
  <c r="AH657" i="13"/>
  <c r="AL657" i="13" s="1"/>
  <c r="AI657" i="13"/>
  <c r="AJ657" i="13"/>
  <c r="AN657" i="13" s="1"/>
  <c r="AY653" i="13"/>
  <c r="AG653" i="13"/>
  <c r="AK653" i="13" s="1"/>
  <c r="AH653" i="13"/>
  <c r="AL653" i="13" s="1"/>
  <c r="AI653" i="13"/>
  <c r="AJ653" i="13"/>
  <c r="AN653" i="13" s="1"/>
  <c r="AY649" i="13"/>
  <c r="AG649" i="13"/>
  <c r="AK649" i="13" s="1"/>
  <c r="AH649" i="13"/>
  <c r="AL649" i="13" s="1"/>
  <c r="AI649" i="13"/>
  <c r="AJ649" i="13"/>
  <c r="AN649" i="13" s="1"/>
  <c r="AY645" i="13"/>
  <c r="AG645" i="13"/>
  <c r="AK645" i="13" s="1"/>
  <c r="AH645" i="13"/>
  <c r="AL645" i="13" s="1"/>
  <c r="AI645" i="13"/>
  <c r="AJ645" i="13"/>
  <c r="AN645" i="13" s="1"/>
  <c r="AY641" i="13"/>
  <c r="AG641" i="13"/>
  <c r="AK641" i="13" s="1"/>
  <c r="AH641" i="13"/>
  <c r="AL641" i="13" s="1"/>
  <c r="AI641" i="13"/>
  <c r="AJ641" i="13"/>
  <c r="AN641" i="13" s="1"/>
  <c r="AY637" i="13"/>
  <c r="AG637" i="13"/>
  <c r="AK637" i="13" s="1"/>
  <c r="AH637" i="13"/>
  <c r="AL637" i="13" s="1"/>
  <c r="AI637" i="13"/>
  <c r="AJ637" i="13"/>
  <c r="AN637" i="13" s="1"/>
  <c r="AY633" i="13"/>
  <c r="AG633" i="13"/>
  <c r="AK633" i="13" s="1"/>
  <c r="AH633" i="13"/>
  <c r="AL633" i="13" s="1"/>
  <c r="AI633" i="13"/>
  <c r="AJ633" i="13"/>
  <c r="AN633" i="13" s="1"/>
  <c r="AY629" i="13"/>
  <c r="AG629" i="13"/>
  <c r="AK629" i="13" s="1"/>
  <c r="AH629" i="13"/>
  <c r="AL629" i="13" s="1"/>
  <c r="AI629" i="13"/>
  <c r="AJ629" i="13"/>
  <c r="AN629" i="13" s="1"/>
  <c r="AY625" i="13"/>
  <c r="AG625" i="13"/>
  <c r="AK625" i="13" s="1"/>
  <c r="AH625" i="13"/>
  <c r="AL625" i="13" s="1"/>
  <c r="AI625" i="13"/>
  <c r="AJ625" i="13"/>
  <c r="AN625" i="13" s="1"/>
  <c r="AY621" i="13"/>
  <c r="AG621" i="13"/>
  <c r="AK621" i="13" s="1"/>
  <c r="AH621" i="13"/>
  <c r="AL621" i="13" s="1"/>
  <c r="AI621" i="13"/>
  <c r="AJ621" i="13"/>
  <c r="AN621" i="13" s="1"/>
  <c r="AY617" i="13"/>
  <c r="AG617" i="13"/>
  <c r="AK617" i="13" s="1"/>
  <c r="AH617" i="13"/>
  <c r="AL617" i="13" s="1"/>
  <c r="AI617" i="13"/>
  <c r="AJ617" i="13"/>
  <c r="AN617" i="13" s="1"/>
  <c r="AY613" i="13"/>
  <c r="AG613" i="13"/>
  <c r="AK613" i="13" s="1"/>
  <c r="AH613" i="13"/>
  <c r="AL613" i="13" s="1"/>
  <c r="AI613" i="13"/>
  <c r="AJ613" i="13"/>
  <c r="AN613" i="13" s="1"/>
  <c r="AY609" i="13"/>
  <c r="AG609" i="13"/>
  <c r="AK609" i="13" s="1"/>
  <c r="AH609" i="13"/>
  <c r="AL609" i="13" s="1"/>
  <c r="AI609" i="13"/>
  <c r="AJ609" i="13"/>
  <c r="AN609" i="13" s="1"/>
  <c r="AY605" i="13"/>
  <c r="AG605" i="13"/>
  <c r="AK605" i="13" s="1"/>
  <c r="AH605" i="13"/>
  <c r="AL605" i="13" s="1"/>
  <c r="AI605" i="13"/>
  <c r="AJ605" i="13"/>
  <c r="AN605" i="13" s="1"/>
  <c r="AY601" i="13"/>
  <c r="AG601" i="13"/>
  <c r="AK601" i="13" s="1"/>
  <c r="AH601" i="13"/>
  <c r="AL601" i="13" s="1"/>
  <c r="AI601" i="13"/>
  <c r="AJ601" i="13"/>
  <c r="AN601" i="13" s="1"/>
  <c r="AY597" i="13"/>
  <c r="AG597" i="13"/>
  <c r="AK597" i="13" s="1"/>
  <c r="AH597" i="13"/>
  <c r="AL597" i="13" s="1"/>
  <c r="AI597" i="13"/>
  <c r="AJ597" i="13"/>
  <c r="AN597" i="13" s="1"/>
  <c r="AY593" i="13"/>
  <c r="AG593" i="13"/>
  <c r="AK593" i="13" s="1"/>
  <c r="AH593" i="13"/>
  <c r="AL593" i="13" s="1"/>
  <c r="AI593" i="13"/>
  <c r="AJ593" i="13"/>
  <c r="AN593" i="13" s="1"/>
  <c r="AY589" i="13"/>
  <c r="AG589" i="13"/>
  <c r="AK589" i="13" s="1"/>
  <c r="AH589" i="13"/>
  <c r="AL589" i="13" s="1"/>
  <c r="AI589" i="13"/>
  <c r="AJ589" i="13"/>
  <c r="AN589" i="13" s="1"/>
  <c r="AY585" i="13"/>
  <c r="AG585" i="13"/>
  <c r="AK585" i="13" s="1"/>
  <c r="AH585" i="13"/>
  <c r="AL585" i="13" s="1"/>
  <c r="AI585" i="13"/>
  <c r="AJ585" i="13"/>
  <c r="AN585" i="13" s="1"/>
  <c r="AY581" i="13"/>
  <c r="AG581" i="13"/>
  <c r="AK581" i="13" s="1"/>
  <c r="AH581" i="13"/>
  <c r="AL581" i="13" s="1"/>
  <c r="AI581" i="13"/>
  <c r="AJ581" i="13"/>
  <c r="AN581" i="13" s="1"/>
  <c r="AY577" i="13"/>
  <c r="AG577" i="13"/>
  <c r="AK577" i="13" s="1"/>
  <c r="AH577" i="13"/>
  <c r="AL577" i="13" s="1"/>
  <c r="AI577" i="13"/>
  <c r="AJ577" i="13"/>
  <c r="AN577" i="13" s="1"/>
  <c r="AY573" i="13"/>
  <c r="AG573" i="13"/>
  <c r="AK573" i="13" s="1"/>
  <c r="AH573" i="13"/>
  <c r="AL573" i="13" s="1"/>
  <c r="AI573" i="13"/>
  <c r="AJ573" i="13"/>
  <c r="AN573" i="13" s="1"/>
  <c r="AY569" i="13"/>
  <c r="AG569" i="13"/>
  <c r="AK569" i="13" s="1"/>
  <c r="AH569" i="13"/>
  <c r="AL569" i="13" s="1"/>
  <c r="AI569" i="13"/>
  <c r="AJ569" i="13"/>
  <c r="AN569" i="13" s="1"/>
  <c r="AY565" i="13"/>
  <c r="AG565" i="13"/>
  <c r="AK565" i="13" s="1"/>
  <c r="AH565" i="13"/>
  <c r="AL565" i="13" s="1"/>
  <c r="AI565" i="13"/>
  <c r="AJ565" i="13"/>
  <c r="AN565" i="13" s="1"/>
  <c r="AY561" i="13"/>
  <c r="AG561" i="13"/>
  <c r="AK561" i="13" s="1"/>
  <c r="AH561" i="13"/>
  <c r="AL561" i="13" s="1"/>
  <c r="AI561" i="13"/>
  <c r="AJ561" i="13"/>
  <c r="AN561" i="13" s="1"/>
  <c r="AY557" i="13"/>
  <c r="AG557" i="13"/>
  <c r="AK557" i="13" s="1"/>
  <c r="AH557" i="13"/>
  <c r="AL557" i="13" s="1"/>
  <c r="AI557" i="13"/>
  <c r="AJ557" i="13"/>
  <c r="AN557" i="13" s="1"/>
  <c r="AY553" i="13"/>
  <c r="AG553" i="13"/>
  <c r="AK553" i="13" s="1"/>
  <c r="AH553" i="13"/>
  <c r="AL553" i="13" s="1"/>
  <c r="AI553" i="13"/>
  <c r="AJ553" i="13"/>
  <c r="AN553" i="13" s="1"/>
  <c r="AY549" i="13"/>
  <c r="AG549" i="13"/>
  <c r="AK549" i="13" s="1"/>
  <c r="AH549" i="13"/>
  <c r="AL549" i="13" s="1"/>
  <c r="AI549" i="13"/>
  <c r="AJ549" i="13"/>
  <c r="AN549" i="13" s="1"/>
  <c r="AY545" i="13"/>
  <c r="AG545" i="13"/>
  <c r="AK545" i="13" s="1"/>
  <c r="AH545" i="13"/>
  <c r="AL545" i="13" s="1"/>
  <c r="AI545" i="13"/>
  <c r="AJ545" i="13"/>
  <c r="AN545" i="13" s="1"/>
  <c r="AY541" i="13"/>
  <c r="AG541" i="13"/>
  <c r="AK541" i="13" s="1"/>
  <c r="AH541" i="13"/>
  <c r="AL541" i="13" s="1"/>
  <c r="AI541" i="13"/>
  <c r="AJ541" i="13"/>
  <c r="AN541" i="13" s="1"/>
  <c r="AY537" i="13"/>
  <c r="AG537" i="13"/>
  <c r="AK537" i="13" s="1"/>
  <c r="AH537" i="13"/>
  <c r="AL537" i="13" s="1"/>
  <c r="AI537" i="13"/>
  <c r="AJ537" i="13"/>
  <c r="AN537" i="13" s="1"/>
  <c r="AY533" i="13"/>
  <c r="AG533" i="13"/>
  <c r="AK533" i="13" s="1"/>
  <c r="AH533" i="13"/>
  <c r="AL533" i="13" s="1"/>
  <c r="AI533" i="13"/>
  <c r="AJ533" i="13"/>
  <c r="AN533" i="13" s="1"/>
  <c r="AY529" i="13"/>
  <c r="AG529" i="13"/>
  <c r="AK529" i="13" s="1"/>
  <c r="AH529" i="13"/>
  <c r="AL529" i="13" s="1"/>
  <c r="AI529" i="13"/>
  <c r="AJ529" i="13"/>
  <c r="AN529" i="13" s="1"/>
  <c r="AY525" i="13"/>
  <c r="AG525" i="13"/>
  <c r="AK525" i="13" s="1"/>
  <c r="AH525" i="13"/>
  <c r="AL525" i="13" s="1"/>
  <c r="AI525" i="13"/>
  <c r="AJ525" i="13"/>
  <c r="AN525" i="13" s="1"/>
  <c r="AY521" i="13"/>
  <c r="AG521" i="13"/>
  <c r="AK521" i="13" s="1"/>
  <c r="AH521" i="13"/>
  <c r="AL521" i="13" s="1"/>
  <c r="AI521" i="13"/>
  <c r="AJ521" i="13"/>
  <c r="AN521" i="13" s="1"/>
  <c r="AY517" i="13"/>
  <c r="AG517" i="13"/>
  <c r="AK517" i="13" s="1"/>
  <c r="AH517" i="13"/>
  <c r="AL517" i="13" s="1"/>
  <c r="AI517" i="13"/>
  <c r="AJ517" i="13"/>
  <c r="AN517" i="13" s="1"/>
  <c r="AY513" i="13"/>
  <c r="AG513" i="13"/>
  <c r="AK513" i="13" s="1"/>
  <c r="AH513" i="13"/>
  <c r="AL513" i="13" s="1"/>
  <c r="AI513" i="13"/>
  <c r="AJ513" i="13"/>
  <c r="AN513" i="13" s="1"/>
  <c r="AY509" i="13"/>
  <c r="AG509" i="13"/>
  <c r="AK509" i="13" s="1"/>
  <c r="AH509" i="13"/>
  <c r="AL509" i="13" s="1"/>
  <c r="AI509" i="13"/>
  <c r="AJ509" i="13"/>
  <c r="AN509" i="13" s="1"/>
  <c r="AY505" i="13"/>
  <c r="AG505" i="13"/>
  <c r="AK505" i="13" s="1"/>
  <c r="AH505" i="13"/>
  <c r="AL505" i="13" s="1"/>
  <c r="AI505" i="13"/>
  <c r="AJ505" i="13"/>
  <c r="AN505" i="13" s="1"/>
  <c r="AY501" i="13"/>
  <c r="AG501" i="13"/>
  <c r="AK501" i="13" s="1"/>
  <c r="AH501" i="13"/>
  <c r="AL501" i="13" s="1"/>
  <c r="AI501" i="13"/>
  <c r="AJ501" i="13"/>
  <c r="AN501" i="13" s="1"/>
  <c r="AY497" i="13"/>
  <c r="AG497" i="13"/>
  <c r="AK497" i="13" s="1"/>
  <c r="AH497" i="13"/>
  <c r="AL497" i="13" s="1"/>
  <c r="AI497" i="13"/>
  <c r="AJ497" i="13"/>
  <c r="AN497" i="13" s="1"/>
  <c r="AY493" i="13"/>
  <c r="AG493" i="13"/>
  <c r="AK493" i="13" s="1"/>
  <c r="AH493" i="13"/>
  <c r="AL493" i="13" s="1"/>
  <c r="AI493" i="13"/>
  <c r="AJ493" i="13"/>
  <c r="AN493" i="13" s="1"/>
  <c r="AY489" i="13"/>
  <c r="AG489" i="13"/>
  <c r="AK489" i="13" s="1"/>
  <c r="AH489" i="13"/>
  <c r="AL489" i="13" s="1"/>
  <c r="AI489" i="13"/>
  <c r="AJ489" i="13"/>
  <c r="AN489" i="13" s="1"/>
  <c r="AY485" i="13"/>
  <c r="AG485" i="13"/>
  <c r="AK485" i="13" s="1"/>
  <c r="AH485" i="13"/>
  <c r="AL485" i="13" s="1"/>
  <c r="AI485" i="13"/>
  <c r="AJ485" i="13"/>
  <c r="AN485" i="13" s="1"/>
  <c r="AY481" i="13"/>
  <c r="AG481" i="13"/>
  <c r="AK481" i="13" s="1"/>
  <c r="AH481" i="13"/>
  <c r="AL481" i="13" s="1"/>
  <c r="AI481" i="13"/>
  <c r="AJ481" i="13"/>
  <c r="AN481" i="13" s="1"/>
  <c r="AY477" i="13"/>
  <c r="AG477" i="13"/>
  <c r="AK477" i="13" s="1"/>
  <c r="AH477" i="13"/>
  <c r="AL477" i="13" s="1"/>
  <c r="AI477" i="13"/>
  <c r="AJ477" i="13"/>
  <c r="AN477" i="13" s="1"/>
  <c r="AY473" i="13"/>
  <c r="AG473" i="13"/>
  <c r="AK473" i="13" s="1"/>
  <c r="AH473" i="13"/>
  <c r="AL473" i="13" s="1"/>
  <c r="AI473" i="13"/>
  <c r="AJ473" i="13"/>
  <c r="AN473" i="13" s="1"/>
  <c r="AY469" i="13"/>
  <c r="AG469" i="13"/>
  <c r="AK469" i="13" s="1"/>
  <c r="AH469" i="13"/>
  <c r="AL469" i="13" s="1"/>
  <c r="AI469" i="13"/>
  <c r="AJ469" i="13"/>
  <c r="AN469" i="13" s="1"/>
  <c r="AY465" i="13"/>
  <c r="AG465" i="13"/>
  <c r="AK465" i="13" s="1"/>
  <c r="AH465" i="13"/>
  <c r="AL465" i="13" s="1"/>
  <c r="AI465" i="13"/>
  <c r="AJ465" i="13"/>
  <c r="AN465" i="13" s="1"/>
  <c r="AY461" i="13"/>
  <c r="AG461" i="13"/>
  <c r="AK461" i="13" s="1"/>
  <c r="AH461" i="13"/>
  <c r="AL461" i="13" s="1"/>
  <c r="AI461" i="13"/>
  <c r="AJ461" i="13"/>
  <c r="AN461" i="13" s="1"/>
  <c r="AY457" i="13"/>
  <c r="AG457" i="13"/>
  <c r="AK457" i="13" s="1"/>
  <c r="AH457" i="13"/>
  <c r="AL457" i="13" s="1"/>
  <c r="AI457" i="13"/>
  <c r="AJ457" i="13"/>
  <c r="AN457" i="13" s="1"/>
  <c r="AY453" i="13"/>
  <c r="AG453" i="13"/>
  <c r="AK453" i="13" s="1"/>
  <c r="AH453" i="13"/>
  <c r="AL453" i="13" s="1"/>
  <c r="AI453" i="13"/>
  <c r="AJ453" i="13"/>
  <c r="AN453" i="13" s="1"/>
  <c r="AY449" i="13"/>
  <c r="AG449" i="13"/>
  <c r="AK449" i="13" s="1"/>
  <c r="AH449" i="13"/>
  <c r="AL449" i="13" s="1"/>
  <c r="AI449" i="13"/>
  <c r="AJ449" i="13"/>
  <c r="AN449" i="13" s="1"/>
  <c r="AY445" i="13"/>
  <c r="AG445" i="13"/>
  <c r="AK445" i="13" s="1"/>
  <c r="AH445" i="13"/>
  <c r="AL445" i="13" s="1"/>
  <c r="AI445" i="13"/>
  <c r="AJ445" i="13"/>
  <c r="AN445" i="13" s="1"/>
  <c r="AY441" i="13"/>
  <c r="AG441" i="13"/>
  <c r="AK441" i="13" s="1"/>
  <c r="AH441" i="13"/>
  <c r="AL441" i="13" s="1"/>
  <c r="AI441" i="13"/>
  <c r="AJ441" i="13"/>
  <c r="AN441" i="13" s="1"/>
  <c r="AY437" i="13"/>
  <c r="AG437" i="13"/>
  <c r="AK437" i="13" s="1"/>
  <c r="AH437" i="13"/>
  <c r="AL437" i="13" s="1"/>
  <c r="AI437" i="13"/>
  <c r="AJ437" i="13"/>
  <c r="AN437" i="13" s="1"/>
  <c r="AY433" i="13"/>
  <c r="AG433" i="13"/>
  <c r="AK433" i="13" s="1"/>
  <c r="AH433" i="13"/>
  <c r="AL433" i="13" s="1"/>
  <c r="AI433" i="13"/>
  <c r="AJ433" i="13"/>
  <c r="AN433" i="13" s="1"/>
  <c r="AY429" i="13"/>
  <c r="AG429" i="13"/>
  <c r="AK429" i="13" s="1"/>
  <c r="AH429" i="13"/>
  <c r="AL429" i="13" s="1"/>
  <c r="AI429" i="13"/>
  <c r="AJ429" i="13"/>
  <c r="AN429" i="13" s="1"/>
  <c r="AY425" i="13"/>
  <c r="AG425" i="13"/>
  <c r="AK425" i="13" s="1"/>
  <c r="AH425" i="13"/>
  <c r="AL425" i="13" s="1"/>
  <c r="AI425" i="13"/>
  <c r="AJ425" i="13"/>
  <c r="AN425" i="13" s="1"/>
  <c r="AY421" i="13"/>
  <c r="AG421" i="13"/>
  <c r="AK421" i="13" s="1"/>
  <c r="AH421" i="13"/>
  <c r="AL421" i="13" s="1"/>
  <c r="AI421" i="13"/>
  <c r="AJ421" i="13"/>
  <c r="AN421" i="13" s="1"/>
  <c r="AY417" i="13"/>
  <c r="AG417" i="13"/>
  <c r="AK417" i="13" s="1"/>
  <c r="AH417" i="13"/>
  <c r="AL417" i="13" s="1"/>
  <c r="AI417" i="13"/>
  <c r="AJ417" i="13"/>
  <c r="AN417" i="13" s="1"/>
  <c r="AY413" i="13"/>
  <c r="AG413" i="13"/>
  <c r="AK413" i="13" s="1"/>
  <c r="AH413" i="13"/>
  <c r="AL413" i="13" s="1"/>
  <c r="AI413" i="13"/>
  <c r="AJ413" i="13"/>
  <c r="AN413" i="13" s="1"/>
  <c r="AY409" i="13"/>
  <c r="AG409" i="13"/>
  <c r="AK409" i="13" s="1"/>
  <c r="AH409" i="13"/>
  <c r="AL409" i="13" s="1"/>
  <c r="AI409" i="13"/>
  <c r="AJ409" i="13"/>
  <c r="AN409" i="13" s="1"/>
  <c r="AY405" i="13"/>
  <c r="AG405" i="13"/>
  <c r="AK405" i="13" s="1"/>
  <c r="AH405" i="13"/>
  <c r="AL405" i="13" s="1"/>
  <c r="AI405" i="13"/>
  <c r="AJ405" i="13"/>
  <c r="AN405" i="13" s="1"/>
  <c r="AY401" i="13"/>
  <c r="AG401" i="13"/>
  <c r="AK401" i="13" s="1"/>
  <c r="AH401" i="13"/>
  <c r="AL401" i="13" s="1"/>
  <c r="AI401" i="13"/>
  <c r="AJ401" i="13"/>
  <c r="AN401" i="13" s="1"/>
  <c r="AY397" i="13"/>
  <c r="AG397" i="13"/>
  <c r="AK397" i="13" s="1"/>
  <c r="AH397" i="13"/>
  <c r="AL397" i="13" s="1"/>
  <c r="AI397" i="13"/>
  <c r="AJ397" i="13"/>
  <c r="AN397" i="13" s="1"/>
  <c r="AY393" i="13"/>
  <c r="AG393" i="13"/>
  <c r="AK393" i="13" s="1"/>
  <c r="AH393" i="13"/>
  <c r="AL393" i="13" s="1"/>
  <c r="AI393" i="13"/>
  <c r="AJ393" i="13"/>
  <c r="AN393" i="13" s="1"/>
  <c r="AY389" i="13"/>
  <c r="AG389" i="13"/>
  <c r="AK389" i="13" s="1"/>
  <c r="AH389" i="13"/>
  <c r="AL389" i="13" s="1"/>
  <c r="AI389" i="13"/>
  <c r="AJ389" i="13"/>
  <c r="AN389" i="13" s="1"/>
  <c r="AY385" i="13"/>
  <c r="AG385" i="13"/>
  <c r="AK385" i="13" s="1"/>
  <c r="AH385" i="13"/>
  <c r="AL385" i="13" s="1"/>
  <c r="AI385" i="13"/>
  <c r="AJ385" i="13"/>
  <c r="AN385" i="13" s="1"/>
  <c r="AY381" i="13"/>
  <c r="AG381" i="13"/>
  <c r="AK381" i="13" s="1"/>
  <c r="AH381" i="13"/>
  <c r="AL381" i="13" s="1"/>
  <c r="AI381" i="13"/>
  <c r="AJ381" i="13"/>
  <c r="AN381" i="13" s="1"/>
  <c r="AY377" i="13"/>
  <c r="AG377" i="13"/>
  <c r="AK377" i="13" s="1"/>
  <c r="AH377" i="13"/>
  <c r="AL377" i="13" s="1"/>
  <c r="AI377" i="13"/>
  <c r="AJ377" i="13"/>
  <c r="AN377" i="13" s="1"/>
  <c r="AY373" i="13"/>
  <c r="AG373" i="13"/>
  <c r="AK373" i="13" s="1"/>
  <c r="AH373" i="13"/>
  <c r="AL373" i="13" s="1"/>
  <c r="AI373" i="13"/>
  <c r="AJ373" i="13"/>
  <c r="AN373" i="13" s="1"/>
  <c r="AY369" i="13"/>
  <c r="AH369" i="13"/>
  <c r="AL369" i="13" s="1"/>
  <c r="AI369" i="13"/>
  <c r="AJ369" i="13"/>
  <c r="AN369" i="13" s="1"/>
  <c r="AG369" i="13"/>
  <c r="AK369" i="13" s="1"/>
  <c r="AY365" i="13"/>
  <c r="AH365" i="13"/>
  <c r="AL365" i="13" s="1"/>
  <c r="AI365" i="13"/>
  <c r="AJ365" i="13"/>
  <c r="AN365" i="13" s="1"/>
  <c r="AG365" i="13"/>
  <c r="AK365" i="13" s="1"/>
  <c r="AY361" i="13"/>
  <c r="AH361" i="13"/>
  <c r="AL361" i="13" s="1"/>
  <c r="AI361" i="13"/>
  <c r="AJ361" i="13"/>
  <c r="AN361" i="13" s="1"/>
  <c r="AG361" i="13"/>
  <c r="AK361" i="13" s="1"/>
  <c r="AY357" i="13"/>
  <c r="AH357" i="13"/>
  <c r="AL357" i="13" s="1"/>
  <c r="AI357" i="13"/>
  <c r="AJ357" i="13"/>
  <c r="AN357" i="13" s="1"/>
  <c r="AG357" i="13"/>
  <c r="AK357" i="13" s="1"/>
  <c r="AY353" i="13"/>
  <c r="AH353" i="13"/>
  <c r="AL353" i="13" s="1"/>
  <c r="AI353" i="13"/>
  <c r="AJ353" i="13"/>
  <c r="AN353" i="13" s="1"/>
  <c r="AG353" i="13"/>
  <c r="AK353" i="13" s="1"/>
  <c r="AY349" i="13"/>
  <c r="AH349" i="13"/>
  <c r="AL349" i="13" s="1"/>
  <c r="AI349" i="13"/>
  <c r="AJ349" i="13"/>
  <c r="AN349" i="13" s="1"/>
  <c r="AG349" i="13"/>
  <c r="AK349" i="13" s="1"/>
  <c r="AY345" i="13"/>
  <c r="AH345" i="13"/>
  <c r="AL345" i="13" s="1"/>
  <c r="AI345" i="13"/>
  <c r="AJ345" i="13"/>
  <c r="AN345" i="13" s="1"/>
  <c r="AG345" i="13"/>
  <c r="AK345" i="13" s="1"/>
  <c r="AY341" i="13"/>
  <c r="AH341" i="13"/>
  <c r="AL341" i="13" s="1"/>
  <c r="AI341" i="13"/>
  <c r="AJ341" i="13"/>
  <c r="AN341" i="13" s="1"/>
  <c r="AG341" i="13"/>
  <c r="AK341" i="13" s="1"/>
  <c r="AY337" i="13"/>
  <c r="AH337" i="13"/>
  <c r="AL337" i="13" s="1"/>
  <c r="AI337" i="13"/>
  <c r="AJ337" i="13"/>
  <c r="AN337" i="13" s="1"/>
  <c r="AG337" i="13"/>
  <c r="AK337" i="13" s="1"/>
  <c r="AY333" i="13"/>
  <c r="AH333" i="13"/>
  <c r="AL333" i="13" s="1"/>
  <c r="AI333" i="13"/>
  <c r="AJ333" i="13"/>
  <c r="AN333" i="13" s="1"/>
  <c r="AG333" i="13"/>
  <c r="AK333" i="13" s="1"/>
  <c r="AY329" i="13"/>
  <c r="AH329" i="13"/>
  <c r="AL329" i="13" s="1"/>
  <c r="AI329" i="13"/>
  <c r="AJ329" i="13"/>
  <c r="AN329" i="13" s="1"/>
  <c r="AG329" i="13"/>
  <c r="AK329" i="13" s="1"/>
  <c r="AY325" i="13"/>
  <c r="AH325" i="13"/>
  <c r="AL325" i="13" s="1"/>
  <c r="AI325" i="13"/>
  <c r="AJ325" i="13"/>
  <c r="AN325" i="13" s="1"/>
  <c r="AG325" i="13"/>
  <c r="AK325" i="13" s="1"/>
  <c r="AY321" i="13"/>
  <c r="AH321" i="13"/>
  <c r="AL321" i="13" s="1"/>
  <c r="AI321" i="13"/>
  <c r="AJ321" i="13"/>
  <c r="AN321" i="13" s="1"/>
  <c r="AG321" i="13"/>
  <c r="AK321" i="13" s="1"/>
  <c r="AY317" i="13"/>
  <c r="AH317" i="13"/>
  <c r="AL317" i="13" s="1"/>
  <c r="AI317" i="13"/>
  <c r="AJ317" i="13"/>
  <c r="AN317" i="13" s="1"/>
  <c r="AG317" i="13"/>
  <c r="AK317" i="13" s="1"/>
  <c r="AY313" i="13"/>
  <c r="AH313" i="13"/>
  <c r="AL313" i="13" s="1"/>
  <c r="AI313" i="13"/>
  <c r="AJ313" i="13"/>
  <c r="AN313" i="13" s="1"/>
  <c r="AG313" i="13"/>
  <c r="AK313" i="13" s="1"/>
  <c r="AY309" i="13"/>
  <c r="AH309" i="13"/>
  <c r="AL309" i="13" s="1"/>
  <c r="AI309" i="13"/>
  <c r="AJ309" i="13"/>
  <c r="AN309" i="13" s="1"/>
  <c r="AG309" i="13"/>
  <c r="AK309" i="13" s="1"/>
  <c r="AY305" i="13"/>
  <c r="AH305" i="13"/>
  <c r="AL305" i="13" s="1"/>
  <c r="AI305" i="13"/>
  <c r="AJ305" i="13"/>
  <c r="AN305" i="13" s="1"/>
  <c r="AG305" i="13"/>
  <c r="AK305" i="13" s="1"/>
  <c r="AY301" i="13"/>
  <c r="AH301" i="13"/>
  <c r="AL301" i="13" s="1"/>
  <c r="AI301" i="13"/>
  <c r="AJ301" i="13"/>
  <c r="AN301" i="13" s="1"/>
  <c r="AG301" i="13"/>
  <c r="AK301" i="13" s="1"/>
  <c r="AY297" i="13"/>
  <c r="AH297" i="13"/>
  <c r="AL297" i="13" s="1"/>
  <c r="AI297" i="13"/>
  <c r="AJ297" i="13"/>
  <c r="AN297" i="13" s="1"/>
  <c r="AG297" i="13"/>
  <c r="AK297" i="13" s="1"/>
  <c r="AY293" i="13"/>
  <c r="AH293" i="13"/>
  <c r="AL293" i="13" s="1"/>
  <c r="AI293" i="13"/>
  <c r="AJ293" i="13"/>
  <c r="AN293" i="13" s="1"/>
  <c r="AG293" i="13"/>
  <c r="AK293" i="13" s="1"/>
  <c r="AY289" i="13"/>
  <c r="AH289" i="13"/>
  <c r="AL289" i="13" s="1"/>
  <c r="AI289" i="13"/>
  <c r="AJ289" i="13"/>
  <c r="AN289" i="13" s="1"/>
  <c r="AG289" i="13"/>
  <c r="AK289" i="13" s="1"/>
  <c r="AY285" i="13"/>
  <c r="AH285" i="13"/>
  <c r="AL285" i="13" s="1"/>
  <c r="AI285" i="13"/>
  <c r="AJ285" i="13"/>
  <c r="AN285" i="13" s="1"/>
  <c r="AG285" i="13"/>
  <c r="AK285" i="13" s="1"/>
  <c r="AY281" i="13"/>
  <c r="AH281" i="13"/>
  <c r="AL281" i="13" s="1"/>
  <c r="AI281" i="13"/>
  <c r="AJ281" i="13"/>
  <c r="AN281" i="13" s="1"/>
  <c r="AG281" i="13"/>
  <c r="AK281" i="13" s="1"/>
  <c r="AY277" i="13"/>
  <c r="AH277" i="13"/>
  <c r="AL277" i="13" s="1"/>
  <c r="AI277" i="13"/>
  <c r="AJ277" i="13"/>
  <c r="AN277" i="13" s="1"/>
  <c r="AG277" i="13"/>
  <c r="AK277" i="13" s="1"/>
  <c r="AY273" i="13"/>
  <c r="AH273" i="13"/>
  <c r="AL273" i="13" s="1"/>
  <c r="AI273" i="13"/>
  <c r="AJ273" i="13"/>
  <c r="AN273" i="13" s="1"/>
  <c r="AG273" i="13"/>
  <c r="AK273" i="13" s="1"/>
  <c r="AY269" i="13"/>
  <c r="AH269" i="13"/>
  <c r="AL269" i="13" s="1"/>
  <c r="AI269" i="13"/>
  <c r="AJ269" i="13"/>
  <c r="AN269" i="13" s="1"/>
  <c r="AG269" i="13"/>
  <c r="AK269" i="13" s="1"/>
  <c r="AY265" i="13"/>
  <c r="AH265" i="13"/>
  <c r="AL265" i="13" s="1"/>
  <c r="AI265" i="13"/>
  <c r="AJ265" i="13"/>
  <c r="AN265" i="13" s="1"/>
  <c r="AG265" i="13"/>
  <c r="AK265" i="13" s="1"/>
  <c r="AY261" i="13"/>
  <c r="AH261" i="13"/>
  <c r="AL261" i="13" s="1"/>
  <c r="AI261" i="13"/>
  <c r="AJ261" i="13"/>
  <c r="AN261" i="13" s="1"/>
  <c r="AG261" i="13"/>
  <c r="AK261" i="13" s="1"/>
  <c r="AY257" i="13"/>
  <c r="AH257" i="13"/>
  <c r="AL257" i="13" s="1"/>
  <c r="AI257" i="13"/>
  <c r="AJ257" i="13"/>
  <c r="AN257" i="13" s="1"/>
  <c r="AG257" i="13"/>
  <c r="AK257" i="13" s="1"/>
  <c r="AY253" i="13"/>
  <c r="AH253" i="13"/>
  <c r="AL253" i="13" s="1"/>
  <c r="AI253" i="13"/>
  <c r="AJ253" i="13"/>
  <c r="AN253" i="13" s="1"/>
  <c r="AG253" i="13"/>
  <c r="AK253" i="13" s="1"/>
  <c r="AY249" i="13"/>
  <c r="AH249" i="13"/>
  <c r="AL249" i="13" s="1"/>
  <c r="AI249" i="13"/>
  <c r="AJ249" i="13"/>
  <c r="AN249" i="13" s="1"/>
  <c r="AG249" i="13"/>
  <c r="AK249" i="13" s="1"/>
  <c r="AH245" i="13"/>
  <c r="AL245" i="13" s="1"/>
  <c r="AI245" i="13"/>
  <c r="AJ245" i="13"/>
  <c r="AN245" i="13" s="1"/>
  <c r="AG245" i="13"/>
  <c r="AK245" i="13" s="1"/>
  <c r="AY241" i="13"/>
  <c r="AH241" i="13"/>
  <c r="AL241" i="13" s="1"/>
  <c r="AI241" i="13"/>
  <c r="AJ241" i="13"/>
  <c r="AN241" i="13" s="1"/>
  <c r="AG241" i="13"/>
  <c r="AK241" i="13" s="1"/>
  <c r="AY237" i="13"/>
  <c r="AH237" i="13"/>
  <c r="AL237" i="13" s="1"/>
  <c r="AI237" i="13"/>
  <c r="AJ237" i="13"/>
  <c r="AN237" i="13" s="1"/>
  <c r="AG237" i="13"/>
  <c r="AK237" i="13" s="1"/>
  <c r="AY233" i="13"/>
  <c r="AH233" i="13"/>
  <c r="AL233" i="13" s="1"/>
  <c r="AI233" i="13"/>
  <c r="AJ233" i="13"/>
  <c r="AN233" i="13" s="1"/>
  <c r="AG233" i="13"/>
  <c r="AK233" i="13" s="1"/>
  <c r="AY229" i="13"/>
  <c r="AH229" i="13"/>
  <c r="AL229" i="13" s="1"/>
  <c r="AI229" i="13"/>
  <c r="AJ229" i="13"/>
  <c r="AN229" i="13" s="1"/>
  <c r="AG229" i="13"/>
  <c r="AK229" i="13" s="1"/>
  <c r="AY225" i="13"/>
  <c r="AH225" i="13"/>
  <c r="AL225" i="13" s="1"/>
  <c r="AI225" i="13"/>
  <c r="AJ225" i="13"/>
  <c r="AN225" i="13" s="1"/>
  <c r="AG225" i="13"/>
  <c r="AK225" i="13" s="1"/>
  <c r="AY221" i="13"/>
  <c r="AH221" i="13"/>
  <c r="AL221" i="13" s="1"/>
  <c r="AI221" i="13"/>
  <c r="AJ221" i="13"/>
  <c r="AN221" i="13" s="1"/>
  <c r="AG221" i="13"/>
  <c r="AK221" i="13" s="1"/>
  <c r="AY217" i="13"/>
  <c r="AH217" i="13"/>
  <c r="AL217" i="13" s="1"/>
  <c r="AI217" i="13"/>
  <c r="AJ217" i="13"/>
  <c r="AN217" i="13" s="1"/>
  <c r="AG217" i="13"/>
  <c r="AK217" i="13" s="1"/>
  <c r="AY213" i="13"/>
  <c r="AH213" i="13"/>
  <c r="AL213" i="13" s="1"/>
  <c r="AI213" i="13"/>
  <c r="AJ213" i="13"/>
  <c r="AN213" i="13" s="1"/>
  <c r="AG213" i="13"/>
  <c r="AK213" i="13" s="1"/>
  <c r="AY209" i="13"/>
  <c r="AH209" i="13"/>
  <c r="AL209" i="13" s="1"/>
  <c r="AI209" i="13"/>
  <c r="AJ209" i="13"/>
  <c r="AN209" i="13" s="1"/>
  <c r="AG209" i="13"/>
  <c r="AK209" i="13" s="1"/>
  <c r="AY205" i="13"/>
  <c r="AH205" i="13"/>
  <c r="AL205" i="13" s="1"/>
  <c r="AI205" i="13"/>
  <c r="AJ205" i="13"/>
  <c r="AN205" i="13" s="1"/>
  <c r="AG205" i="13"/>
  <c r="AK205" i="13" s="1"/>
  <c r="AY201" i="13"/>
  <c r="AH201" i="13"/>
  <c r="AL201" i="13" s="1"/>
  <c r="AI201" i="13"/>
  <c r="AJ201" i="13"/>
  <c r="AN201" i="13" s="1"/>
  <c r="AG201" i="13"/>
  <c r="AK201" i="13" s="1"/>
  <c r="AY197" i="13"/>
  <c r="AH197" i="13"/>
  <c r="AL197" i="13" s="1"/>
  <c r="AI197" i="13"/>
  <c r="AJ197" i="13"/>
  <c r="AN197" i="13" s="1"/>
  <c r="AG197" i="13"/>
  <c r="AK197" i="13" s="1"/>
  <c r="AY193" i="13"/>
  <c r="AH193" i="13"/>
  <c r="AL193" i="13" s="1"/>
  <c r="AI193" i="13"/>
  <c r="AJ193" i="13"/>
  <c r="AN193" i="13" s="1"/>
  <c r="AG193" i="13"/>
  <c r="AK193" i="13" s="1"/>
  <c r="AY189" i="13"/>
  <c r="AH189" i="13"/>
  <c r="AL189" i="13" s="1"/>
  <c r="AI189" i="13"/>
  <c r="AJ189" i="13"/>
  <c r="AN189" i="13" s="1"/>
  <c r="AG189" i="13"/>
  <c r="AK189" i="13" s="1"/>
  <c r="AY185" i="13"/>
  <c r="AH185" i="13"/>
  <c r="AL185" i="13" s="1"/>
  <c r="AI185" i="13"/>
  <c r="AJ185" i="13"/>
  <c r="AN185" i="13" s="1"/>
  <c r="AG185" i="13"/>
  <c r="AK185" i="13" s="1"/>
  <c r="AY181" i="13"/>
  <c r="AH181" i="13"/>
  <c r="AL181" i="13" s="1"/>
  <c r="AI181" i="13"/>
  <c r="AJ181" i="13"/>
  <c r="AN181" i="13" s="1"/>
  <c r="AG181" i="13"/>
  <c r="AK181" i="13" s="1"/>
  <c r="AY177" i="13"/>
  <c r="AH177" i="13"/>
  <c r="AL177" i="13" s="1"/>
  <c r="AI177" i="13"/>
  <c r="AJ177" i="13"/>
  <c r="AN177" i="13" s="1"/>
  <c r="AG177" i="13"/>
  <c r="AK177" i="13" s="1"/>
  <c r="AY173" i="13"/>
  <c r="AH173" i="13"/>
  <c r="AL173" i="13" s="1"/>
  <c r="AI173" i="13"/>
  <c r="AJ173" i="13"/>
  <c r="AN173" i="13" s="1"/>
  <c r="AG173" i="13"/>
  <c r="AK173" i="13" s="1"/>
  <c r="AY169" i="13"/>
  <c r="AH169" i="13"/>
  <c r="AL169" i="13" s="1"/>
  <c r="AI169" i="13"/>
  <c r="AJ169" i="13"/>
  <c r="AN169" i="13" s="1"/>
  <c r="AG169" i="13"/>
  <c r="AK169" i="13" s="1"/>
  <c r="AY165" i="13"/>
  <c r="AH165" i="13"/>
  <c r="AL165" i="13" s="1"/>
  <c r="AI165" i="13"/>
  <c r="AJ165" i="13"/>
  <c r="AN165" i="13" s="1"/>
  <c r="AG165" i="13"/>
  <c r="AK165" i="13" s="1"/>
  <c r="AY161" i="13"/>
  <c r="AH161" i="13"/>
  <c r="AL161" i="13" s="1"/>
  <c r="AI161" i="13"/>
  <c r="AJ161" i="13"/>
  <c r="AN161" i="13" s="1"/>
  <c r="AG161" i="13"/>
  <c r="AK161" i="13" s="1"/>
  <c r="AY157" i="13"/>
  <c r="AH157" i="13"/>
  <c r="AL157" i="13" s="1"/>
  <c r="AI157" i="13"/>
  <c r="AJ157" i="13"/>
  <c r="AN157" i="13" s="1"/>
  <c r="AG157" i="13"/>
  <c r="AK157" i="13" s="1"/>
  <c r="AY153" i="13"/>
  <c r="AH153" i="13"/>
  <c r="AL153" i="13" s="1"/>
  <c r="AI153" i="13"/>
  <c r="AJ153" i="13"/>
  <c r="AN153" i="13" s="1"/>
  <c r="AG153" i="13"/>
  <c r="AK153" i="13" s="1"/>
  <c r="AY149" i="13"/>
  <c r="AH149" i="13"/>
  <c r="AL149" i="13" s="1"/>
  <c r="AI149" i="13"/>
  <c r="AJ149" i="13"/>
  <c r="AN149" i="13" s="1"/>
  <c r="AG149" i="13"/>
  <c r="AK149" i="13" s="1"/>
  <c r="AY145" i="13"/>
  <c r="AH145" i="13"/>
  <c r="AL145" i="13" s="1"/>
  <c r="AI145" i="13"/>
  <c r="AJ145" i="13"/>
  <c r="AN145" i="13" s="1"/>
  <c r="AG145" i="13"/>
  <c r="AK145" i="13" s="1"/>
  <c r="AY141" i="13"/>
  <c r="AH141" i="13"/>
  <c r="AL141" i="13" s="1"/>
  <c r="AI141" i="13"/>
  <c r="AJ141" i="13"/>
  <c r="AN141" i="13" s="1"/>
  <c r="AG141" i="13"/>
  <c r="AK141" i="13" s="1"/>
  <c r="AY137" i="13"/>
  <c r="AH137" i="13"/>
  <c r="AL137" i="13" s="1"/>
  <c r="AI137" i="13"/>
  <c r="AJ137" i="13"/>
  <c r="AN137" i="13" s="1"/>
  <c r="AG137" i="13"/>
  <c r="AK137" i="13" s="1"/>
  <c r="AY133" i="13"/>
  <c r="AH133" i="13"/>
  <c r="AL133" i="13" s="1"/>
  <c r="AI133" i="13"/>
  <c r="AJ133" i="13"/>
  <c r="AN133" i="13" s="1"/>
  <c r="AG133" i="13"/>
  <c r="AK133" i="13" s="1"/>
  <c r="AY129" i="13"/>
  <c r="AH129" i="13"/>
  <c r="AL129" i="13" s="1"/>
  <c r="AI129" i="13"/>
  <c r="AJ129" i="13"/>
  <c r="AN129" i="13" s="1"/>
  <c r="AG129" i="13"/>
  <c r="AK129" i="13" s="1"/>
  <c r="AY125" i="13"/>
  <c r="AH125" i="13"/>
  <c r="AL125" i="13" s="1"/>
  <c r="AI125" i="13"/>
  <c r="AJ125" i="13"/>
  <c r="AN125" i="13" s="1"/>
  <c r="AG125" i="13"/>
  <c r="AK125" i="13" s="1"/>
  <c r="AY121" i="13"/>
  <c r="AH121" i="13"/>
  <c r="AL121" i="13" s="1"/>
  <c r="AI121" i="13"/>
  <c r="AJ121" i="13"/>
  <c r="AN121" i="13" s="1"/>
  <c r="AG121" i="13"/>
  <c r="AK121" i="13" s="1"/>
  <c r="AY117" i="13"/>
  <c r="AH117" i="13"/>
  <c r="AL117" i="13" s="1"/>
  <c r="AI117" i="13"/>
  <c r="AJ117" i="13"/>
  <c r="AN117" i="13" s="1"/>
  <c r="AG117" i="13"/>
  <c r="AK117" i="13" s="1"/>
  <c r="AY113" i="13"/>
  <c r="AH113" i="13"/>
  <c r="AL113" i="13" s="1"/>
  <c r="AI113" i="13"/>
  <c r="AJ113" i="13"/>
  <c r="AN113" i="13" s="1"/>
  <c r="AG113" i="13"/>
  <c r="AK113" i="13" s="1"/>
  <c r="AY109" i="13"/>
  <c r="AH109" i="13"/>
  <c r="AL109" i="13" s="1"/>
  <c r="AI109" i="13"/>
  <c r="AJ109" i="13"/>
  <c r="AN109" i="13" s="1"/>
  <c r="AG109" i="13"/>
  <c r="AK109" i="13" s="1"/>
  <c r="AY105" i="13"/>
  <c r="AH105" i="13"/>
  <c r="AL105" i="13" s="1"/>
  <c r="AI105" i="13"/>
  <c r="AJ105" i="13"/>
  <c r="AN105" i="13" s="1"/>
  <c r="AG105" i="13"/>
  <c r="AK105" i="13" s="1"/>
  <c r="AY101" i="13"/>
  <c r="AH101" i="13"/>
  <c r="AL101" i="13" s="1"/>
  <c r="AI101" i="13"/>
  <c r="AJ101" i="13"/>
  <c r="AN101" i="13" s="1"/>
  <c r="AG101" i="13"/>
  <c r="AK101" i="13" s="1"/>
  <c r="AY97" i="13"/>
  <c r="AH97" i="13"/>
  <c r="AL97" i="13" s="1"/>
  <c r="AI97" i="13"/>
  <c r="AJ97" i="13"/>
  <c r="AN97" i="13" s="1"/>
  <c r="AG97" i="13"/>
  <c r="AK97" i="13" s="1"/>
  <c r="AY93" i="13"/>
  <c r="AH93" i="13"/>
  <c r="AL93" i="13" s="1"/>
  <c r="AI93" i="13"/>
  <c r="AJ93" i="13"/>
  <c r="AN93" i="13" s="1"/>
  <c r="AG93" i="13"/>
  <c r="AK93" i="13" s="1"/>
  <c r="AY89" i="13"/>
  <c r="AH89" i="13"/>
  <c r="AL89" i="13" s="1"/>
  <c r="AI89" i="13"/>
  <c r="AJ89" i="13"/>
  <c r="AN89" i="13" s="1"/>
  <c r="AG89" i="13"/>
  <c r="AK89" i="13" s="1"/>
  <c r="AY85" i="13"/>
  <c r="AH85" i="13"/>
  <c r="AL85" i="13" s="1"/>
  <c r="AI85" i="13"/>
  <c r="AJ85" i="13"/>
  <c r="AN85" i="13" s="1"/>
  <c r="AG85" i="13"/>
  <c r="AK85" i="13" s="1"/>
  <c r="AY81" i="13"/>
  <c r="AH81" i="13"/>
  <c r="AL81" i="13" s="1"/>
  <c r="AI81" i="13"/>
  <c r="AJ81" i="13"/>
  <c r="AN81" i="13" s="1"/>
  <c r="AG81" i="13"/>
  <c r="AK81" i="13" s="1"/>
  <c r="AY77" i="13"/>
  <c r="AH77" i="13"/>
  <c r="AL77" i="13" s="1"/>
  <c r="AI77" i="13"/>
  <c r="AJ77" i="13"/>
  <c r="AN77" i="13" s="1"/>
  <c r="AG77" i="13"/>
  <c r="AK77" i="13" s="1"/>
  <c r="AY73" i="13"/>
  <c r="AJ73" i="13"/>
  <c r="AN73" i="13" s="1"/>
  <c r="AG73" i="13"/>
  <c r="AK73" i="13" s="1"/>
  <c r="AH73" i="13"/>
  <c r="AL73" i="13" s="1"/>
  <c r="AI73" i="13"/>
  <c r="AY69" i="13"/>
  <c r="AJ69" i="13"/>
  <c r="AN69" i="13" s="1"/>
  <c r="AG69" i="13"/>
  <c r="AK69" i="13" s="1"/>
  <c r="AH69" i="13"/>
  <c r="AL69" i="13" s="1"/>
  <c r="AI69" i="13"/>
  <c r="AY65" i="13"/>
  <c r="AJ65" i="13"/>
  <c r="AN65" i="13" s="1"/>
  <c r="AG65" i="13"/>
  <c r="AK65" i="13" s="1"/>
  <c r="AH65" i="13"/>
  <c r="AL65" i="13" s="1"/>
  <c r="AI65" i="13"/>
  <c r="AY61" i="13"/>
  <c r="AJ61" i="13"/>
  <c r="AN61" i="13" s="1"/>
  <c r="AG61" i="13"/>
  <c r="AK61" i="13" s="1"/>
  <c r="AH61" i="13"/>
  <c r="AL61" i="13" s="1"/>
  <c r="AI61" i="13"/>
  <c r="AY57" i="13"/>
  <c r="AJ57" i="13"/>
  <c r="AN57" i="13" s="1"/>
  <c r="AG57" i="13"/>
  <c r="AK57" i="13" s="1"/>
  <c r="AH57" i="13"/>
  <c r="AL57" i="13" s="1"/>
  <c r="AI57" i="13"/>
  <c r="AY53" i="13"/>
  <c r="AJ53" i="13"/>
  <c r="AN53" i="13" s="1"/>
  <c r="AG53" i="13"/>
  <c r="AK53" i="13" s="1"/>
  <c r="AH53" i="13"/>
  <c r="AL53" i="13" s="1"/>
  <c r="AI53" i="13"/>
  <c r="AY49" i="13"/>
  <c r="AJ49" i="13"/>
  <c r="AN49" i="13" s="1"/>
  <c r="AG49" i="13"/>
  <c r="AK49" i="13" s="1"/>
  <c r="AH49" i="13"/>
  <c r="AL49" i="13" s="1"/>
  <c r="AI49" i="13"/>
  <c r="AY45" i="13"/>
  <c r="AJ45" i="13"/>
  <c r="AN45" i="13" s="1"/>
  <c r="AG45" i="13"/>
  <c r="AK45" i="13" s="1"/>
  <c r="AH45" i="13"/>
  <c r="AL45" i="13" s="1"/>
  <c r="AI45" i="13"/>
  <c r="AY41" i="13"/>
  <c r="AJ41" i="13"/>
  <c r="AN41" i="13" s="1"/>
  <c r="AG41" i="13"/>
  <c r="AK41" i="13" s="1"/>
  <c r="AH41" i="13"/>
  <c r="AL41" i="13" s="1"/>
  <c r="AI41" i="13"/>
  <c r="AY37" i="13"/>
  <c r="AJ37" i="13"/>
  <c r="AN37" i="13" s="1"/>
  <c r="AG37" i="13"/>
  <c r="AK37" i="13" s="1"/>
  <c r="AH37" i="13"/>
  <c r="AL37" i="13" s="1"/>
  <c r="AI37" i="13"/>
  <c r="AY33" i="13"/>
  <c r="AJ33" i="13"/>
  <c r="AN33" i="13" s="1"/>
  <c r="AG33" i="13"/>
  <c r="AK33" i="13" s="1"/>
  <c r="AH33" i="13"/>
  <c r="AL33" i="13" s="1"/>
  <c r="AI33" i="13"/>
  <c r="AY29" i="13"/>
  <c r="AJ29" i="13"/>
  <c r="AN29" i="13" s="1"/>
  <c r="AG29" i="13"/>
  <c r="AK29" i="13" s="1"/>
  <c r="AH29" i="13"/>
  <c r="AL29" i="13" s="1"/>
  <c r="AI29" i="13"/>
  <c r="AY25" i="13"/>
  <c r="AJ25" i="13"/>
  <c r="AN25" i="13" s="1"/>
  <c r="AG25" i="13"/>
  <c r="AK25" i="13" s="1"/>
  <c r="AH25" i="13"/>
  <c r="AL25" i="13" s="1"/>
  <c r="AI25" i="13"/>
  <c r="AY21" i="13"/>
  <c r="AJ21" i="13"/>
  <c r="AN21" i="13" s="1"/>
  <c r="AG21" i="13"/>
  <c r="AK21" i="13" s="1"/>
  <c r="AH21" i="13"/>
  <c r="AL21" i="13" s="1"/>
  <c r="AI21" i="13"/>
  <c r="AY17" i="13"/>
  <c r="AJ17" i="13"/>
  <c r="AN17" i="13" s="1"/>
  <c r="AG17" i="13"/>
  <c r="AK17" i="13" s="1"/>
  <c r="AH17" i="13"/>
  <c r="AL17" i="13" s="1"/>
  <c r="AI17" i="13"/>
  <c r="AY13" i="13"/>
  <c r="AJ13" i="13"/>
  <c r="AN13" i="13" s="1"/>
  <c r="AG13" i="13"/>
  <c r="AK13" i="13" s="1"/>
  <c r="AH13" i="13"/>
  <c r="AL13" i="13" s="1"/>
  <c r="AI13" i="13"/>
  <c r="AY9" i="13"/>
  <c r="AJ9" i="13"/>
  <c r="AN9" i="13" s="1"/>
  <c r="AG9" i="13"/>
  <c r="AK9" i="13" s="1"/>
  <c r="AH9" i="13"/>
  <c r="AL9" i="13" s="1"/>
  <c r="AI9" i="13"/>
  <c r="AY5" i="13"/>
  <c r="AJ5" i="13"/>
  <c r="AN5" i="13" s="1"/>
  <c r="AG5" i="13"/>
  <c r="AK5" i="13" s="1"/>
  <c r="AH5" i="13"/>
  <c r="AL5" i="13" s="1"/>
  <c r="AI5" i="13"/>
  <c r="AY688" i="13"/>
  <c r="AG688" i="13"/>
  <c r="AK688" i="13" s="1"/>
  <c r="AH688" i="13"/>
  <c r="AL688" i="13" s="1"/>
  <c r="AI688" i="13"/>
  <c r="AJ688" i="13"/>
  <c r="AN688" i="13" s="1"/>
  <c r="AY672" i="13"/>
  <c r="AG672" i="13"/>
  <c r="AK672" i="13" s="1"/>
  <c r="AH672" i="13"/>
  <c r="AL672" i="13" s="1"/>
  <c r="AI672" i="13"/>
  <c r="AJ672" i="13"/>
  <c r="AN672" i="13" s="1"/>
  <c r="AY656" i="13"/>
  <c r="AG656" i="13"/>
  <c r="AK656" i="13" s="1"/>
  <c r="AH656" i="13"/>
  <c r="AL656" i="13" s="1"/>
  <c r="AI656" i="13"/>
  <c r="AJ656" i="13"/>
  <c r="AN656" i="13" s="1"/>
  <c r="AY640" i="13"/>
  <c r="AG640" i="13"/>
  <c r="AK640" i="13" s="1"/>
  <c r="AH640" i="13"/>
  <c r="AL640" i="13" s="1"/>
  <c r="AI640" i="13"/>
  <c r="AJ640" i="13"/>
  <c r="AN640" i="13" s="1"/>
  <c r="AY628" i="13"/>
  <c r="AG628" i="13"/>
  <c r="AK628" i="13" s="1"/>
  <c r="AH628" i="13"/>
  <c r="AL628" i="13" s="1"/>
  <c r="AI628" i="13"/>
  <c r="AJ628" i="13"/>
  <c r="AN628" i="13" s="1"/>
  <c r="AY608" i="13"/>
  <c r="AG608" i="13"/>
  <c r="AK608" i="13" s="1"/>
  <c r="AH608" i="13"/>
  <c r="AL608" i="13" s="1"/>
  <c r="AI608" i="13"/>
  <c r="AJ608" i="13"/>
  <c r="AN608" i="13" s="1"/>
  <c r="AY592" i="13"/>
  <c r="AG592" i="13"/>
  <c r="AK592" i="13" s="1"/>
  <c r="AH592" i="13"/>
  <c r="AL592" i="13" s="1"/>
  <c r="AI592" i="13"/>
  <c r="AJ592" i="13"/>
  <c r="AN592" i="13" s="1"/>
  <c r="AY576" i="13"/>
  <c r="AG576" i="13"/>
  <c r="AK576" i="13" s="1"/>
  <c r="AH576" i="13"/>
  <c r="AL576" i="13" s="1"/>
  <c r="AI576" i="13"/>
  <c r="AJ576" i="13"/>
  <c r="AN576" i="13" s="1"/>
  <c r="AY564" i="13"/>
  <c r="AG564" i="13"/>
  <c r="AK564" i="13" s="1"/>
  <c r="AH564" i="13"/>
  <c r="AL564" i="13" s="1"/>
  <c r="AI564" i="13"/>
  <c r="AJ564" i="13"/>
  <c r="AN564" i="13" s="1"/>
  <c r="AY548" i="13"/>
  <c r="AG548" i="13"/>
  <c r="AK548" i="13" s="1"/>
  <c r="AH548" i="13"/>
  <c r="AL548" i="13" s="1"/>
  <c r="AI548" i="13"/>
  <c r="AJ548" i="13"/>
  <c r="AN548" i="13" s="1"/>
  <c r="AY536" i="13"/>
  <c r="AG536" i="13"/>
  <c r="AK536" i="13" s="1"/>
  <c r="AH536" i="13"/>
  <c r="AL536" i="13" s="1"/>
  <c r="AI536" i="13"/>
  <c r="AJ536" i="13"/>
  <c r="AN536" i="13" s="1"/>
  <c r="AY516" i="13"/>
  <c r="AG516" i="13"/>
  <c r="AK516" i="13" s="1"/>
  <c r="AH516" i="13"/>
  <c r="AL516" i="13" s="1"/>
  <c r="AI516" i="13"/>
  <c r="AJ516" i="13"/>
  <c r="AN516" i="13" s="1"/>
  <c r="AY500" i="13"/>
  <c r="AG500" i="13"/>
  <c r="AK500" i="13" s="1"/>
  <c r="AH500" i="13"/>
  <c r="AL500" i="13" s="1"/>
  <c r="AI500" i="13"/>
  <c r="AJ500" i="13"/>
  <c r="AN500" i="13" s="1"/>
  <c r="AY488" i="13"/>
  <c r="AG488" i="13"/>
  <c r="AK488" i="13" s="1"/>
  <c r="AH488" i="13"/>
  <c r="AL488" i="13" s="1"/>
  <c r="AI488" i="13"/>
  <c r="AJ488" i="13"/>
  <c r="AN488" i="13" s="1"/>
  <c r="AY476" i="13"/>
  <c r="AG476" i="13"/>
  <c r="AK476" i="13" s="1"/>
  <c r="AH476" i="13"/>
  <c r="AL476" i="13" s="1"/>
  <c r="AI476" i="13"/>
  <c r="AJ476" i="13"/>
  <c r="AN476" i="13" s="1"/>
  <c r="AY460" i="13"/>
  <c r="AG460" i="13"/>
  <c r="AK460" i="13" s="1"/>
  <c r="AH460" i="13"/>
  <c r="AL460" i="13" s="1"/>
  <c r="AI460" i="13"/>
  <c r="AJ460" i="13"/>
  <c r="AN460" i="13" s="1"/>
  <c r="AY448" i="13"/>
  <c r="AG448" i="13"/>
  <c r="AK448" i="13" s="1"/>
  <c r="AH448" i="13"/>
  <c r="AL448" i="13" s="1"/>
  <c r="AI448" i="13"/>
  <c r="AJ448" i="13"/>
  <c r="AN448" i="13" s="1"/>
  <c r="AY436" i="13"/>
  <c r="AG436" i="13"/>
  <c r="AK436" i="13" s="1"/>
  <c r="AH436" i="13"/>
  <c r="AL436" i="13" s="1"/>
  <c r="AI436" i="13"/>
  <c r="AJ436" i="13"/>
  <c r="AN436" i="13" s="1"/>
  <c r="AY424" i="13"/>
  <c r="AG424" i="13"/>
  <c r="AK424" i="13" s="1"/>
  <c r="AH424" i="13"/>
  <c r="AL424" i="13" s="1"/>
  <c r="AI424" i="13"/>
  <c r="AJ424" i="13"/>
  <c r="AN424" i="13" s="1"/>
  <c r="AY412" i="13"/>
  <c r="AG412" i="13"/>
  <c r="AK412" i="13" s="1"/>
  <c r="AH412" i="13"/>
  <c r="AL412" i="13" s="1"/>
  <c r="AI412" i="13"/>
  <c r="AJ412" i="13"/>
  <c r="AN412" i="13" s="1"/>
  <c r="AY400" i="13"/>
  <c r="AG400" i="13"/>
  <c r="AK400" i="13" s="1"/>
  <c r="AH400" i="13"/>
  <c r="AL400" i="13" s="1"/>
  <c r="AI400" i="13"/>
  <c r="AJ400" i="13"/>
  <c r="AN400" i="13" s="1"/>
  <c r="AY388" i="13"/>
  <c r="AG388" i="13"/>
  <c r="AK388" i="13" s="1"/>
  <c r="AH388" i="13"/>
  <c r="AL388" i="13" s="1"/>
  <c r="AI388" i="13"/>
  <c r="AJ388" i="13"/>
  <c r="AN388" i="13" s="1"/>
  <c r="AY376" i="13"/>
  <c r="AG376" i="13"/>
  <c r="AK376" i="13" s="1"/>
  <c r="AH376" i="13"/>
  <c r="AL376" i="13" s="1"/>
  <c r="AI376" i="13"/>
  <c r="AJ376" i="13"/>
  <c r="AN376" i="13" s="1"/>
  <c r="AY364" i="13"/>
  <c r="AH364" i="13"/>
  <c r="AL364" i="13" s="1"/>
  <c r="AI364" i="13"/>
  <c r="AJ364" i="13"/>
  <c r="AN364" i="13" s="1"/>
  <c r="AG364" i="13"/>
  <c r="AK364" i="13" s="1"/>
  <c r="AY352" i="13"/>
  <c r="AH352" i="13"/>
  <c r="AL352" i="13" s="1"/>
  <c r="AI352" i="13"/>
  <c r="AJ352" i="13"/>
  <c r="AN352" i="13" s="1"/>
  <c r="AG352" i="13"/>
  <c r="AK352" i="13" s="1"/>
  <c r="AY340" i="13"/>
  <c r="AH340" i="13"/>
  <c r="AL340" i="13" s="1"/>
  <c r="AI340" i="13"/>
  <c r="AJ340" i="13"/>
  <c r="AN340" i="13" s="1"/>
  <c r="AG340" i="13"/>
  <c r="AK340" i="13" s="1"/>
  <c r="AY336" i="13"/>
  <c r="AH336" i="13"/>
  <c r="AL336" i="13" s="1"/>
  <c r="AI336" i="13"/>
  <c r="AJ336" i="13"/>
  <c r="AN336" i="13" s="1"/>
  <c r="AG336" i="13"/>
  <c r="AK336" i="13" s="1"/>
  <c r="AY332" i="13"/>
  <c r="AH332" i="13"/>
  <c r="AL332" i="13" s="1"/>
  <c r="AI332" i="13"/>
  <c r="AJ332" i="13"/>
  <c r="AN332" i="13" s="1"/>
  <c r="AG332" i="13"/>
  <c r="AK332" i="13" s="1"/>
  <c r="AY328" i="13"/>
  <c r="AH328" i="13"/>
  <c r="AL328" i="13" s="1"/>
  <c r="AI328" i="13"/>
  <c r="AJ328" i="13"/>
  <c r="AN328" i="13" s="1"/>
  <c r="AG328" i="13"/>
  <c r="AK328" i="13" s="1"/>
  <c r="AY316" i="13"/>
  <c r="AH316" i="13"/>
  <c r="AL316" i="13" s="1"/>
  <c r="AI316" i="13"/>
  <c r="AJ316" i="13"/>
  <c r="AN316" i="13" s="1"/>
  <c r="AG316" i="13"/>
  <c r="AK316" i="13" s="1"/>
  <c r="AY312" i="13"/>
  <c r="AH312" i="13"/>
  <c r="AL312" i="13" s="1"/>
  <c r="AI312" i="13"/>
  <c r="AJ312" i="13"/>
  <c r="AN312" i="13" s="1"/>
  <c r="AG312" i="13"/>
  <c r="AK312" i="13" s="1"/>
  <c r="AY308" i="13"/>
  <c r="AH308" i="13"/>
  <c r="AL308" i="13" s="1"/>
  <c r="AI308" i="13"/>
  <c r="AJ308" i="13"/>
  <c r="AN308" i="13" s="1"/>
  <c r="AG308" i="13"/>
  <c r="AK308" i="13" s="1"/>
  <c r="AY304" i="13"/>
  <c r="AH304" i="13"/>
  <c r="AL304" i="13" s="1"/>
  <c r="AI304" i="13"/>
  <c r="AJ304" i="13"/>
  <c r="AN304" i="13" s="1"/>
  <c r="AG304" i="13"/>
  <c r="AK304" i="13" s="1"/>
  <c r="AY300" i="13"/>
  <c r="AH300" i="13"/>
  <c r="AL300" i="13" s="1"/>
  <c r="AI300" i="13"/>
  <c r="AJ300" i="13"/>
  <c r="AN300" i="13" s="1"/>
  <c r="AG300" i="13"/>
  <c r="AK300" i="13" s="1"/>
  <c r="AY296" i="13"/>
  <c r="AH296" i="13"/>
  <c r="AL296" i="13" s="1"/>
  <c r="AI296" i="13"/>
  <c r="AJ296" i="13"/>
  <c r="AN296" i="13" s="1"/>
  <c r="AG296" i="13"/>
  <c r="AK296" i="13" s="1"/>
  <c r="AY292" i="13"/>
  <c r="AH292" i="13"/>
  <c r="AL292" i="13" s="1"/>
  <c r="AI292" i="13"/>
  <c r="AJ292" i="13"/>
  <c r="AN292" i="13" s="1"/>
  <c r="AG292" i="13"/>
  <c r="AK292" i="13" s="1"/>
  <c r="AY288" i="13"/>
  <c r="AH288" i="13"/>
  <c r="AL288" i="13" s="1"/>
  <c r="AI288" i="13"/>
  <c r="AJ288" i="13"/>
  <c r="AN288" i="13" s="1"/>
  <c r="AG288" i="13"/>
  <c r="AK288" i="13" s="1"/>
  <c r="AY284" i="13"/>
  <c r="AH284" i="13"/>
  <c r="AL284" i="13" s="1"/>
  <c r="AI284" i="13"/>
  <c r="AJ284" i="13"/>
  <c r="AN284" i="13" s="1"/>
  <c r="AG284" i="13"/>
  <c r="AK284" i="13" s="1"/>
  <c r="AY280" i="13"/>
  <c r="AH280" i="13"/>
  <c r="AL280" i="13" s="1"/>
  <c r="AI280" i="13"/>
  <c r="AJ280" i="13"/>
  <c r="AN280" i="13" s="1"/>
  <c r="AG280" i="13"/>
  <c r="AK280" i="13" s="1"/>
  <c r="AY276" i="13"/>
  <c r="AH276" i="13"/>
  <c r="AL276" i="13" s="1"/>
  <c r="AI276" i="13"/>
  <c r="AJ276" i="13"/>
  <c r="AN276" i="13" s="1"/>
  <c r="AG276" i="13"/>
  <c r="AK276" i="13" s="1"/>
  <c r="AY272" i="13"/>
  <c r="AH272" i="13"/>
  <c r="AL272" i="13" s="1"/>
  <c r="AI272" i="13"/>
  <c r="AJ272" i="13"/>
  <c r="AN272" i="13" s="1"/>
  <c r="AG272" i="13"/>
  <c r="AK272" i="13" s="1"/>
  <c r="AY268" i="13"/>
  <c r="AH268" i="13"/>
  <c r="AL268" i="13" s="1"/>
  <c r="AI268" i="13"/>
  <c r="AJ268" i="13"/>
  <c r="AN268" i="13" s="1"/>
  <c r="AG268" i="13"/>
  <c r="AK268" i="13" s="1"/>
  <c r="AY264" i="13"/>
  <c r="AH264" i="13"/>
  <c r="AL264" i="13" s="1"/>
  <c r="AI264" i="13"/>
  <c r="AJ264" i="13"/>
  <c r="AN264" i="13" s="1"/>
  <c r="AG264" i="13"/>
  <c r="AK264" i="13" s="1"/>
  <c r="AY260" i="13"/>
  <c r="AH260" i="13"/>
  <c r="AL260" i="13" s="1"/>
  <c r="AI260" i="13"/>
  <c r="AJ260" i="13"/>
  <c r="AN260" i="13" s="1"/>
  <c r="AG260" i="13"/>
  <c r="AK260" i="13" s="1"/>
  <c r="AY256" i="13"/>
  <c r="AH256" i="13"/>
  <c r="AL256" i="13" s="1"/>
  <c r="AI256" i="13"/>
  <c r="AJ256" i="13"/>
  <c r="AN256" i="13" s="1"/>
  <c r="AG256" i="13"/>
  <c r="AK256" i="13" s="1"/>
  <c r="AY252" i="13"/>
  <c r="AH252" i="13"/>
  <c r="AL252" i="13" s="1"/>
  <c r="AI252" i="13"/>
  <c r="AJ252" i="13"/>
  <c r="AN252" i="13" s="1"/>
  <c r="AG252" i="13"/>
  <c r="AK252" i="13" s="1"/>
  <c r="AY248" i="13"/>
  <c r="AH248" i="13"/>
  <c r="AL248" i="13" s="1"/>
  <c r="AI248" i="13"/>
  <c r="AJ248" i="13"/>
  <c r="AN248" i="13" s="1"/>
  <c r="AG248" i="13"/>
  <c r="AK248" i="13" s="1"/>
  <c r="AH244" i="13"/>
  <c r="AL244" i="13" s="1"/>
  <c r="AI244" i="13"/>
  <c r="AJ244" i="13"/>
  <c r="AN244" i="13" s="1"/>
  <c r="AG244" i="13"/>
  <c r="AK244" i="13" s="1"/>
  <c r="AY240" i="13"/>
  <c r="AH240" i="13"/>
  <c r="AL240" i="13" s="1"/>
  <c r="AI240" i="13"/>
  <c r="AJ240" i="13"/>
  <c r="AN240" i="13" s="1"/>
  <c r="AG240" i="13"/>
  <c r="AK240" i="13" s="1"/>
  <c r="AY236" i="13"/>
  <c r="AH236" i="13"/>
  <c r="AL236" i="13" s="1"/>
  <c r="AI236" i="13"/>
  <c r="AJ236" i="13"/>
  <c r="AN236" i="13" s="1"/>
  <c r="AG236" i="13"/>
  <c r="AK236" i="13" s="1"/>
  <c r="AY232" i="13"/>
  <c r="AH232" i="13"/>
  <c r="AL232" i="13" s="1"/>
  <c r="AI232" i="13"/>
  <c r="AJ232" i="13"/>
  <c r="AN232" i="13" s="1"/>
  <c r="AG232" i="13"/>
  <c r="AK232" i="13" s="1"/>
  <c r="AY228" i="13"/>
  <c r="AH228" i="13"/>
  <c r="AL228" i="13" s="1"/>
  <c r="AI228" i="13"/>
  <c r="AJ228" i="13"/>
  <c r="AN228" i="13" s="1"/>
  <c r="AG228" i="13"/>
  <c r="AK228" i="13" s="1"/>
  <c r="AY224" i="13"/>
  <c r="AH224" i="13"/>
  <c r="AL224" i="13" s="1"/>
  <c r="AI224" i="13"/>
  <c r="AJ224" i="13"/>
  <c r="AN224" i="13" s="1"/>
  <c r="AG224" i="13"/>
  <c r="AK224" i="13" s="1"/>
  <c r="AY220" i="13"/>
  <c r="AH220" i="13"/>
  <c r="AL220" i="13" s="1"/>
  <c r="AI220" i="13"/>
  <c r="AJ220" i="13"/>
  <c r="AN220" i="13" s="1"/>
  <c r="AG220" i="13"/>
  <c r="AK220" i="13" s="1"/>
  <c r="AY216" i="13"/>
  <c r="AH216" i="13"/>
  <c r="AL216" i="13" s="1"/>
  <c r="AI216" i="13"/>
  <c r="AJ216" i="13"/>
  <c r="AN216" i="13" s="1"/>
  <c r="AG216" i="13"/>
  <c r="AK216" i="13" s="1"/>
  <c r="AY212" i="13"/>
  <c r="AH212" i="13"/>
  <c r="AL212" i="13" s="1"/>
  <c r="AI212" i="13"/>
  <c r="AJ212" i="13"/>
  <c r="AN212" i="13" s="1"/>
  <c r="AG212" i="13"/>
  <c r="AK212" i="13" s="1"/>
  <c r="AY208" i="13"/>
  <c r="AH208" i="13"/>
  <c r="AL208" i="13" s="1"/>
  <c r="AI208" i="13"/>
  <c r="AJ208" i="13"/>
  <c r="AN208" i="13" s="1"/>
  <c r="AG208" i="13"/>
  <c r="AK208" i="13" s="1"/>
  <c r="AY204" i="13"/>
  <c r="AH204" i="13"/>
  <c r="AL204" i="13" s="1"/>
  <c r="AI204" i="13"/>
  <c r="AJ204" i="13"/>
  <c r="AN204" i="13" s="1"/>
  <c r="AG204" i="13"/>
  <c r="AK204" i="13" s="1"/>
  <c r="AY200" i="13"/>
  <c r="AH200" i="13"/>
  <c r="AL200" i="13" s="1"/>
  <c r="AI200" i="13"/>
  <c r="AJ200" i="13"/>
  <c r="AN200" i="13" s="1"/>
  <c r="AG200" i="13"/>
  <c r="AK200" i="13" s="1"/>
  <c r="AY196" i="13"/>
  <c r="AH196" i="13"/>
  <c r="AL196" i="13" s="1"/>
  <c r="AI196" i="13"/>
  <c r="AJ196" i="13"/>
  <c r="AN196" i="13" s="1"/>
  <c r="AG196" i="13"/>
  <c r="AK196" i="13" s="1"/>
  <c r="AY192" i="13"/>
  <c r="AH192" i="13"/>
  <c r="AL192" i="13" s="1"/>
  <c r="AI192" i="13"/>
  <c r="AJ192" i="13"/>
  <c r="AN192" i="13" s="1"/>
  <c r="AG192" i="13"/>
  <c r="AK192" i="13" s="1"/>
  <c r="AY188" i="13"/>
  <c r="AH188" i="13"/>
  <c r="AL188" i="13" s="1"/>
  <c r="AI188" i="13"/>
  <c r="AJ188" i="13"/>
  <c r="AN188" i="13" s="1"/>
  <c r="AG188" i="13"/>
  <c r="AK188" i="13" s="1"/>
  <c r="AY184" i="13"/>
  <c r="AH184" i="13"/>
  <c r="AL184" i="13" s="1"/>
  <c r="AI184" i="13"/>
  <c r="AJ184" i="13"/>
  <c r="AN184" i="13" s="1"/>
  <c r="AG184" i="13"/>
  <c r="AK184" i="13" s="1"/>
  <c r="AY180" i="13"/>
  <c r="AH180" i="13"/>
  <c r="AL180" i="13" s="1"/>
  <c r="AI180" i="13"/>
  <c r="AJ180" i="13"/>
  <c r="AN180" i="13" s="1"/>
  <c r="AG180" i="13"/>
  <c r="AK180" i="13" s="1"/>
  <c r="AY176" i="13"/>
  <c r="AH176" i="13"/>
  <c r="AL176" i="13" s="1"/>
  <c r="AI176" i="13"/>
  <c r="AJ176" i="13"/>
  <c r="AN176" i="13" s="1"/>
  <c r="AG176" i="13"/>
  <c r="AK176" i="13" s="1"/>
  <c r="AY172" i="13"/>
  <c r="AH172" i="13"/>
  <c r="AL172" i="13" s="1"/>
  <c r="AI172" i="13"/>
  <c r="AJ172" i="13"/>
  <c r="AN172" i="13" s="1"/>
  <c r="AG172" i="13"/>
  <c r="AK172" i="13" s="1"/>
  <c r="AY168" i="13"/>
  <c r="AH168" i="13"/>
  <c r="AL168" i="13" s="1"/>
  <c r="AI168" i="13"/>
  <c r="AJ168" i="13"/>
  <c r="AN168" i="13" s="1"/>
  <c r="AG168" i="13"/>
  <c r="AK168" i="13" s="1"/>
  <c r="AY164" i="13"/>
  <c r="AH164" i="13"/>
  <c r="AL164" i="13" s="1"/>
  <c r="AI164" i="13"/>
  <c r="AJ164" i="13"/>
  <c r="AN164" i="13" s="1"/>
  <c r="AG164" i="13"/>
  <c r="AK164" i="13" s="1"/>
  <c r="AY160" i="13"/>
  <c r="AH160" i="13"/>
  <c r="AL160" i="13" s="1"/>
  <c r="AI160" i="13"/>
  <c r="AJ160" i="13"/>
  <c r="AN160" i="13" s="1"/>
  <c r="AG160" i="13"/>
  <c r="AK160" i="13" s="1"/>
  <c r="AY156" i="13"/>
  <c r="AH156" i="13"/>
  <c r="AL156" i="13" s="1"/>
  <c r="AI156" i="13"/>
  <c r="AJ156" i="13"/>
  <c r="AN156" i="13" s="1"/>
  <c r="AG156" i="13"/>
  <c r="AK156" i="13" s="1"/>
  <c r="AY152" i="13"/>
  <c r="AH152" i="13"/>
  <c r="AL152" i="13" s="1"/>
  <c r="AI152" i="13"/>
  <c r="AJ152" i="13"/>
  <c r="AN152" i="13" s="1"/>
  <c r="AG152" i="13"/>
  <c r="AK152" i="13" s="1"/>
  <c r="AY148" i="13"/>
  <c r="AH148" i="13"/>
  <c r="AL148" i="13" s="1"/>
  <c r="AI148" i="13"/>
  <c r="AJ148" i="13"/>
  <c r="AN148" i="13" s="1"/>
  <c r="AG148" i="13"/>
  <c r="AK148" i="13" s="1"/>
  <c r="AY144" i="13"/>
  <c r="AH144" i="13"/>
  <c r="AL144" i="13" s="1"/>
  <c r="AI144" i="13"/>
  <c r="AJ144" i="13"/>
  <c r="AN144" i="13" s="1"/>
  <c r="AG144" i="13"/>
  <c r="AK144" i="13" s="1"/>
  <c r="AY140" i="13"/>
  <c r="AH140" i="13"/>
  <c r="AL140" i="13" s="1"/>
  <c r="AI140" i="13"/>
  <c r="AJ140" i="13"/>
  <c r="AN140" i="13" s="1"/>
  <c r="AG140" i="13"/>
  <c r="AK140" i="13" s="1"/>
  <c r="AY136" i="13"/>
  <c r="AH136" i="13"/>
  <c r="AL136" i="13" s="1"/>
  <c r="AI136" i="13"/>
  <c r="AJ136" i="13"/>
  <c r="AN136" i="13" s="1"/>
  <c r="AG136" i="13"/>
  <c r="AK136" i="13" s="1"/>
  <c r="AY132" i="13"/>
  <c r="AH132" i="13"/>
  <c r="AL132" i="13" s="1"/>
  <c r="AI132" i="13"/>
  <c r="AJ132" i="13"/>
  <c r="AN132" i="13" s="1"/>
  <c r="AG132" i="13"/>
  <c r="AK132" i="13" s="1"/>
  <c r="AY128" i="13"/>
  <c r="AH128" i="13"/>
  <c r="AL128" i="13" s="1"/>
  <c r="AI128" i="13"/>
  <c r="AJ128" i="13"/>
  <c r="AN128" i="13" s="1"/>
  <c r="AG128" i="13"/>
  <c r="AK128" i="13" s="1"/>
  <c r="AY124" i="13"/>
  <c r="AH124" i="13"/>
  <c r="AL124" i="13" s="1"/>
  <c r="AI124" i="13"/>
  <c r="AJ124" i="13"/>
  <c r="AN124" i="13" s="1"/>
  <c r="AG124" i="13"/>
  <c r="AK124" i="13" s="1"/>
  <c r="AY120" i="13"/>
  <c r="AH120" i="13"/>
  <c r="AL120" i="13" s="1"/>
  <c r="AI120" i="13"/>
  <c r="AJ120" i="13"/>
  <c r="AN120" i="13" s="1"/>
  <c r="AG120" i="13"/>
  <c r="AK120" i="13" s="1"/>
  <c r="AY116" i="13"/>
  <c r="AH116" i="13"/>
  <c r="AL116" i="13" s="1"/>
  <c r="AI116" i="13"/>
  <c r="AJ116" i="13"/>
  <c r="AN116" i="13" s="1"/>
  <c r="AG116" i="13"/>
  <c r="AK116" i="13" s="1"/>
  <c r="AY112" i="13"/>
  <c r="AH112" i="13"/>
  <c r="AL112" i="13" s="1"/>
  <c r="AI112" i="13"/>
  <c r="AJ112" i="13"/>
  <c r="AN112" i="13" s="1"/>
  <c r="AG112" i="13"/>
  <c r="AK112" i="13" s="1"/>
  <c r="AY108" i="13"/>
  <c r="AH108" i="13"/>
  <c r="AL108" i="13" s="1"/>
  <c r="AI108" i="13"/>
  <c r="AJ108" i="13"/>
  <c r="AN108" i="13" s="1"/>
  <c r="AG108" i="13"/>
  <c r="AK108" i="13" s="1"/>
  <c r="AY104" i="13"/>
  <c r="AH104" i="13"/>
  <c r="AL104" i="13" s="1"/>
  <c r="AI104" i="13"/>
  <c r="AJ104" i="13"/>
  <c r="AN104" i="13" s="1"/>
  <c r="AG104" i="13"/>
  <c r="AK104" i="13" s="1"/>
  <c r="AY100" i="13"/>
  <c r="AH100" i="13"/>
  <c r="AL100" i="13" s="1"/>
  <c r="AI100" i="13"/>
  <c r="AJ100" i="13"/>
  <c r="AN100" i="13" s="1"/>
  <c r="AG100" i="13"/>
  <c r="AK100" i="13" s="1"/>
  <c r="AY96" i="13"/>
  <c r="AH96" i="13"/>
  <c r="AL96" i="13" s="1"/>
  <c r="AI96" i="13"/>
  <c r="AJ96" i="13"/>
  <c r="AN96" i="13" s="1"/>
  <c r="AG96" i="13"/>
  <c r="AK96" i="13" s="1"/>
  <c r="AY92" i="13"/>
  <c r="AH92" i="13"/>
  <c r="AL92" i="13" s="1"/>
  <c r="AI92" i="13"/>
  <c r="AJ92" i="13"/>
  <c r="AN92" i="13" s="1"/>
  <c r="AG92" i="13"/>
  <c r="AK92" i="13" s="1"/>
  <c r="AY88" i="13"/>
  <c r="AH88" i="13"/>
  <c r="AL88" i="13" s="1"/>
  <c r="AI88" i="13"/>
  <c r="AJ88" i="13"/>
  <c r="AN88" i="13" s="1"/>
  <c r="AG88" i="13"/>
  <c r="AK88" i="13" s="1"/>
  <c r="AY84" i="13"/>
  <c r="AH84" i="13"/>
  <c r="AL84" i="13" s="1"/>
  <c r="AI84" i="13"/>
  <c r="AJ84" i="13"/>
  <c r="AN84" i="13" s="1"/>
  <c r="AG84" i="13"/>
  <c r="AK84" i="13" s="1"/>
  <c r="AY80" i="13"/>
  <c r="AH80" i="13"/>
  <c r="AL80" i="13" s="1"/>
  <c r="AI80" i="13"/>
  <c r="AJ80" i="13"/>
  <c r="AN80" i="13" s="1"/>
  <c r="AG80" i="13"/>
  <c r="AK80" i="13" s="1"/>
  <c r="AY76" i="13"/>
  <c r="AH76" i="13"/>
  <c r="AL76" i="13" s="1"/>
  <c r="AI76" i="13"/>
  <c r="AJ76" i="13"/>
  <c r="AN76" i="13" s="1"/>
  <c r="AG76" i="13"/>
  <c r="AK76" i="13" s="1"/>
  <c r="AY72" i="13"/>
  <c r="AJ72" i="13"/>
  <c r="AN72" i="13" s="1"/>
  <c r="AG72" i="13"/>
  <c r="AK72" i="13" s="1"/>
  <c r="AH72" i="13"/>
  <c r="AL72" i="13" s="1"/>
  <c r="AI72" i="13"/>
  <c r="AY68" i="13"/>
  <c r="AJ68" i="13"/>
  <c r="AN68" i="13" s="1"/>
  <c r="AG68" i="13"/>
  <c r="AK68" i="13" s="1"/>
  <c r="AH68" i="13"/>
  <c r="AL68" i="13" s="1"/>
  <c r="AI68" i="13"/>
  <c r="AY64" i="13"/>
  <c r="AJ64" i="13"/>
  <c r="AN64" i="13" s="1"/>
  <c r="AG64" i="13"/>
  <c r="AK64" i="13" s="1"/>
  <c r="AH64" i="13"/>
  <c r="AL64" i="13" s="1"/>
  <c r="AI64" i="13"/>
  <c r="AY60" i="13"/>
  <c r="AJ60" i="13"/>
  <c r="AN60" i="13" s="1"/>
  <c r="AG60" i="13"/>
  <c r="AK60" i="13" s="1"/>
  <c r="AH60" i="13"/>
  <c r="AL60" i="13" s="1"/>
  <c r="AI60" i="13"/>
  <c r="AY56" i="13"/>
  <c r="AJ56" i="13"/>
  <c r="AN56" i="13" s="1"/>
  <c r="AG56" i="13"/>
  <c r="AK56" i="13" s="1"/>
  <c r="AH56" i="13"/>
  <c r="AL56" i="13" s="1"/>
  <c r="AI56" i="13"/>
  <c r="AY52" i="13"/>
  <c r="AJ52" i="13"/>
  <c r="AN52" i="13" s="1"/>
  <c r="AG52" i="13"/>
  <c r="AK52" i="13" s="1"/>
  <c r="AH52" i="13"/>
  <c r="AL52" i="13" s="1"/>
  <c r="AI52" i="13"/>
  <c r="AY48" i="13"/>
  <c r="AJ48" i="13"/>
  <c r="AN48" i="13" s="1"/>
  <c r="AG48" i="13"/>
  <c r="AK48" i="13" s="1"/>
  <c r="AH48" i="13"/>
  <c r="AL48" i="13" s="1"/>
  <c r="AI48" i="13"/>
  <c r="AY44" i="13"/>
  <c r="AJ44" i="13"/>
  <c r="AN44" i="13" s="1"/>
  <c r="AG44" i="13"/>
  <c r="AK44" i="13" s="1"/>
  <c r="AH44" i="13"/>
  <c r="AL44" i="13" s="1"/>
  <c r="AI44" i="13"/>
  <c r="AY40" i="13"/>
  <c r="AJ40" i="13"/>
  <c r="AN40" i="13" s="1"/>
  <c r="AG40" i="13"/>
  <c r="AK40" i="13" s="1"/>
  <c r="AH40" i="13"/>
  <c r="AL40" i="13" s="1"/>
  <c r="AI40" i="13"/>
  <c r="AY36" i="13"/>
  <c r="AJ36" i="13"/>
  <c r="AN36" i="13" s="1"/>
  <c r="AG36" i="13"/>
  <c r="AK36" i="13" s="1"/>
  <c r="AH36" i="13"/>
  <c r="AL36" i="13" s="1"/>
  <c r="AI36" i="13"/>
  <c r="AY32" i="13"/>
  <c r="AJ32" i="13"/>
  <c r="AN32" i="13" s="1"/>
  <c r="AG32" i="13"/>
  <c r="AK32" i="13" s="1"/>
  <c r="AH32" i="13"/>
  <c r="AL32" i="13" s="1"/>
  <c r="AI32" i="13"/>
  <c r="AY28" i="13"/>
  <c r="AJ28" i="13"/>
  <c r="AN28" i="13" s="1"/>
  <c r="AG28" i="13"/>
  <c r="AK28" i="13" s="1"/>
  <c r="AH28" i="13"/>
  <c r="AL28" i="13" s="1"/>
  <c r="AI28" i="13"/>
  <c r="AY24" i="13"/>
  <c r="AJ24" i="13"/>
  <c r="AN24" i="13" s="1"/>
  <c r="AG24" i="13"/>
  <c r="AK24" i="13" s="1"/>
  <c r="AH24" i="13"/>
  <c r="AL24" i="13" s="1"/>
  <c r="AI24" i="13"/>
  <c r="AY20" i="13"/>
  <c r="AJ20" i="13"/>
  <c r="AN20" i="13" s="1"/>
  <c r="AG20" i="13"/>
  <c r="AK20" i="13" s="1"/>
  <c r="AH20" i="13"/>
  <c r="AL20" i="13" s="1"/>
  <c r="AI20" i="13"/>
  <c r="AY16" i="13"/>
  <c r="AJ16" i="13"/>
  <c r="AN16" i="13" s="1"/>
  <c r="AG16" i="13"/>
  <c r="AK16" i="13" s="1"/>
  <c r="AH16" i="13"/>
  <c r="AL16" i="13" s="1"/>
  <c r="AI16" i="13"/>
  <c r="AY12" i="13"/>
  <c r="AJ12" i="13"/>
  <c r="AN12" i="13" s="1"/>
  <c r="AG12" i="13"/>
  <c r="AK12" i="13" s="1"/>
  <c r="AH12" i="13"/>
  <c r="AL12" i="13" s="1"/>
  <c r="AI12" i="13"/>
  <c r="AY8" i="13"/>
  <c r="AJ8" i="13"/>
  <c r="AN8" i="13" s="1"/>
  <c r="AG8" i="13"/>
  <c r="AK8" i="13" s="1"/>
  <c r="AH8" i="13"/>
  <c r="AL8" i="13" s="1"/>
  <c r="AI8" i="13"/>
  <c r="AY4" i="13"/>
  <c r="AJ4" i="13"/>
  <c r="AN4" i="13" s="1"/>
  <c r="AG4" i="13"/>
  <c r="AK4" i="13" s="1"/>
  <c r="AH4" i="13"/>
  <c r="AL4" i="13" s="1"/>
  <c r="AI4" i="13"/>
  <c r="AY696" i="13"/>
  <c r="AG696" i="13"/>
  <c r="AK696" i="13" s="1"/>
  <c r="AH696" i="13"/>
  <c r="AL696" i="13" s="1"/>
  <c r="AI696" i="13"/>
  <c r="AJ696" i="13"/>
  <c r="AN696" i="13" s="1"/>
  <c r="AY684" i="13"/>
  <c r="AG684" i="13"/>
  <c r="AK684" i="13" s="1"/>
  <c r="AH684" i="13"/>
  <c r="AL684" i="13" s="1"/>
  <c r="AI684" i="13"/>
  <c r="AJ684" i="13"/>
  <c r="AN684" i="13" s="1"/>
  <c r="AY664" i="13"/>
  <c r="AG664" i="13"/>
  <c r="AK664" i="13" s="1"/>
  <c r="AH664" i="13"/>
  <c r="AL664" i="13" s="1"/>
  <c r="AI664" i="13"/>
  <c r="AJ664" i="13"/>
  <c r="AN664" i="13" s="1"/>
  <c r="AY652" i="13"/>
  <c r="AG652" i="13"/>
  <c r="AK652" i="13" s="1"/>
  <c r="AH652" i="13"/>
  <c r="AL652" i="13" s="1"/>
  <c r="AI652" i="13"/>
  <c r="AJ652" i="13"/>
  <c r="AN652" i="13" s="1"/>
  <c r="AY636" i="13"/>
  <c r="AG636" i="13"/>
  <c r="AK636" i="13" s="1"/>
  <c r="AH636" i="13"/>
  <c r="AL636" i="13" s="1"/>
  <c r="AI636" i="13"/>
  <c r="AJ636" i="13"/>
  <c r="AN636" i="13" s="1"/>
  <c r="AY616" i="13"/>
  <c r="AG616" i="13"/>
  <c r="AK616" i="13" s="1"/>
  <c r="AH616" i="13"/>
  <c r="AL616" i="13" s="1"/>
  <c r="AI616" i="13"/>
  <c r="AJ616" i="13"/>
  <c r="AN616" i="13" s="1"/>
  <c r="AY604" i="13"/>
  <c r="AG604" i="13"/>
  <c r="AK604" i="13" s="1"/>
  <c r="AH604" i="13"/>
  <c r="AL604" i="13" s="1"/>
  <c r="AI604" i="13"/>
  <c r="AJ604" i="13"/>
  <c r="AN604" i="13" s="1"/>
  <c r="AY584" i="13"/>
  <c r="AG584" i="13"/>
  <c r="AK584" i="13" s="1"/>
  <c r="AH584" i="13"/>
  <c r="AL584" i="13" s="1"/>
  <c r="AI584" i="13"/>
  <c r="AJ584" i="13"/>
  <c r="AN584" i="13" s="1"/>
  <c r="AY568" i="13"/>
  <c r="AG568" i="13"/>
  <c r="AK568" i="13" s="1"/>
  <c r="AH568" i="13"/>
  <c r="AL568" i="13" s="1"/>
  <c r="AI568" i="13"/>
  <c r="AJ568" i="13"/>
  <c r="AN568" i="13" s="1"/>
  <c r="AY556" i="13"/>
  <c r="AG556" i="13"/>
  <c r="AK556" i="13" s="1"/>
  <c r="AH556" i="13"/>
  <c r="AL556" i="13" s="1"/>
  <c r="AI556" i="13"/>
  <c r="AJ556" i="13"/>
  <c r="AN556" i="13" s="1"/>
  <c r="AY544" i="13"/>
  <c r="AG544" i="13"/>
  <c r="AK544" i="13" s="1"/>
  <c r="AH544" i="13"/>
  <c r="AL544" i="13" s="1"/>
  <c r="AI544" i="13"/>
  <c r="AJ544" i="13"/>
  <c r="AN544" i="13" s="1"/>
  <c r="AY528" i="13"/>
  <c r="AG528" i="13"/>
  <c r="AK528" i="13" s="1"/>
  <c r="AH528" i="13"/>
  <c r="AL528" i="13" s="1"/>
  <c r="AI528" i="13"/>
  <c r="AJ528" i="13"/>
  <c r="AN528" i="13" s="1"/>
  <c r="AY512" i="13"/>
  <c r="AG512" i="13"/>
  <c r="AK512" i="13" s="1"/>
  <c r="AH512" i="13"/>
  <c r="AL512" i="13" s="1"/>
  <c r="AI512" i="13"/>
  <c r="AJ512" i="13"/>
  <c r="AN512" i="13" s="1"/>
  <c r="AY504" i="13"/>
  <c r="AG504" i="13"/>
  <c r="AK504" i="13" s="1"/>
  <c r="AH504" i="13"/>
  <c r="AL504" i="13" s="1"/>
  <c r="AI504" i="13"/>
  <c r="AJ504" i="13"/>
  <c r="AN504" i="13" s="1"/>
  <c r="AY492" i="13"/>
  <c r="AG492" i="13"/>
  <c r="AK492" i="13" s="1"/>
  <c r="AH492" i="13"/>
  <c r="AL492" i="13" s="1"/>
  <c r="AI492" i="13"/>
  <c r="AJ492" i="13"/>
  <c r="AN492" i="13" s="1"/>
  <c r="AY480" i="13"/>
  <c r="AG480" i="13"/>
  <c r="AK480" i="13" s="1"/>
  <c r="AH480" i="13"/>
  <c r="AL480" i="13" s="1"/>
  <c r="AI480" i="13"/>
  <c r="AJ480" i="13"/>
  <c r="AN480" i="13" s="1"/>
  <c r="AY468" i="13"/>
  <c r="AG468" i="13"/>
  <c r="AK468" i="13" s="1"/>
  <c r="AH468" i="13"/>
  <c r="AL468" i="13" s="1"/>
  <c r="AI468" i="13"/>
  <c r="AJ468" i="13"/>
  <c r="AN468" i="13" s="1"/>
  <c r="AY456" i="13"/>
  <c r="AG456" i="13"/>
  <c r="AK456" i="13" s="1"/>
  <c r="AH456" i="13"/>
  <c r="AL456" i="13" s="1"/>
  <c r="AI456" i="13"/>
  <c r="AJ456" i="13"/>
  <c r="AN456" i="13" s="1"/>
  <c r="AY444" i="13"/>
  <c r="AG444" i="13"/>
  <c r="AK444" i="13" s="1"/>
  <c r="AH444" i="13"/>
  <c r="AL444" i="13" s="1"/>
  <c r="AI444" i="13"/>
  <c r="AJ444" i="13"/>
  <c r="AN444" i="13" s="1"/>
  <c r="AY428" i="13"/>
  <c r="AG428" i="13"/>
  <c r="AK428" i="13" s="1"/>
  <c r="AH428" i="13"/>
  <c r="AL428" i="13" s="1"/>
  <c r="AI428" i="13"/>
  <c r="AJ428" i="13"/>
  <c r="AN428" i="13" s="1"/>
  <c r="AY420" i="13"/>
  <c r="AG420" i="13"/>
  <c r="AK420" i="13" s="1"/>
  <c r="AH420" i="13"/>
  <c r="AL420" i="13" s="1"/>
  <c r="AI420" i="13"/>
  <c r="AJ420" i="13"/>
  <c r="AN420" i="13" s="1"/>
  <c r="AY408" i="13"/>
  <c r="AG408" i="13"/>
  <c r="AK408" i="13" s="1"/>
  <c r="AH408" i="13"/>
  <c r="AL408" i="13" s="1"/>
  <c r="AI408" i="13"/>
  <c r="AJ408" i="13"/>
  <c r="AN408" i="13" s="1"/>
  <c r="AY396" i="13"/>
  <c r="AG396" i="13"/>
  <c r="AK396" i="13" s="1"/>
  <c r="AH396" i="13"/>
  <c r="AL396" i="13" s="1"/>
  <c r="AI396" i="13"/>
  <c r="AJ396" i="13"/>
  <c r="AN396" i="13" s="1"/>
  <c r="AY380" i="13"/>
  <c r="AG380" i="13"/>
  <c r="AK380" i="13" s="1"/>
  <c r="AH380" i="13"/>
  <c r="AL380" i="13" s="1"/>
  <c r="AI380" i="13"/>
  <c r="AJ380" i="13"/>
  <c r="AN380" i="13" s="1"/>
  <c r="AY368" i="13"/>
  <c r="AH368" i="13"/>
  <c r="AL368" i="13" s="1"/>
  <c r="AI368" i="13"/>
  <c r="AJ368" i="13"/>
  <c r="AN368" i="13" s="1"/>
  <c r="AG368" i="13"/>
  <c r="AK368" i="13" s="1"/>
  <c r="AY360" i="13"/>
  <c r="AH360" i="13"/>
  <c r="AL360" i="13" s="1"/>
  <c r="AI360" i="13"/>
  <c r="AJ360" i="13"/>
  <c r="AN360" i="13" s="1"/>
  <c r="AG360" i="13"/>
  <c r="AK360" i="13" s="1"/>
  <c r="AY344" i="13"/>
  <c r="AH344" i="13"/>
  <c r="AL344" i="13" s="1"/>
  <c r="AI344" i="13"/>
  <c r="AJ344" i="13"/>
  <c r="AN344" i="13" s="1"/>
  <c r="AG344" i="13"/>
  <c r="AK344" i="13" s="1"/>
  <c r="AY320" i="13"/>
  <c r="AH320" i="13"/>
  <c r="AL320" i="13" s="1"/>
  <c r="AI320" i="13"/>
  <c r="AJ320" i="13"/>
  <c r="AN320" i="13" s="1"/>
  <c r="AG320" i="13"/>
  <c r="AK320" i="13" s="1"/>
  <c r="AY699" i="13"/>
  <c r="AG699" i="13"/>
  <c r="AK699" i="13" s="1"/>
  <c r="AH699" i="13"/>
  <c r="AL699" i="13" s="1"/>
  <c r="AI699" i="13"/>
  <c r="AJ699" i="13"/>
  <c r="AN699" i="13" s="1"/>
  <c r="AY695" i="13"/>
  <c r="AG695" i="13"/>
  <c r="AK695" i="13" s="1"/>
  <c r="AH695" i="13"/>
  <c r="AL695" i="13" s="1"/>
  <c r="AI695" i="13"/>
  <c r="AJ695" i="13"/>
  <c r="AN695" i="13" s="1"/>
  <c r="AY691" i="13"/>
  <c r="AG691" i="13"/>
  <c r="AK691" i="13" s="1"/>
  <c r="AH691" i="13"/>
  <c r="AL691" i="13" s="1"/>
  <c r="AI691" i="13"/>
  <c r="AJ691" i="13"/>
  <c r="AN691" i="13" s="1"/>
  <c r="AY687" i="13"/>
  <c r="AG687" i="13"/>
  <c r="AK687" i="13" s="1"/>
  <c r="AH687" i="13"/>
  <c r="AL687" i="13" s="1"/>
  <c r="AI687" i="13"/>
  <c r="AJ687" i="13"/>
  <c r="AN687" i="13" s="1"/>
  <c r="AY683" i="13"/>
  <c r="AG683" i="13"/>
  <c r="AK683" i="13" s="1"/>
  <c r="AH683" i="13"/>
  <c r="AL683" i="13" s="1"/>
  <c r="AI683" i="13"/>
  <c r="AJ683" i="13"/>
  <c r="AN683" i="13" s="1"/>
  <c r="AY679" i="13"/>
  <c r="AG679" i="13"/>
  <c r="AK679" i="13" s="1"/>
  <c r="AH679" i="13"/>
  <c r="AL679" i="13" s="1"/>
  <c r="AI679" i="13"/>
  <c r="AJ679" i="13"/>
  <c r="AN679" i="13" s="1"/>
  <c r="AY675" i="13"/>
  <c r="AG675" i="13"/>
  <c r="AK675" i="13" s="1"/>
  <c r="AH675" i="13"/>
  <c r="AL675" i="13" s="1"/>
  <c r="AI675" i="13"/>
  <c r="AJ675" i="13"/>
  <c r="AN675" i="13" s="1"/>
  <c r="AY671" i="13"/>
  <c r="AG671" i="13"/>
  <c r="AK671" i="13" s="1"/>
  <c r="AH671" i="13"/>
  <c r="AL671" i="13" s="1"/>
  <c r="AI671" i="13"/>
  <c r="AJ671" i="13"/>
  <c r="AN671" i="13" s="1"/>
  <c r="AY667" i="13"/>
  <c r="AG667" i="13"/>
  <c r="AK667" i="13" s="1"/>
  <c r="AH667" i="13"/>
  <c r="AL667" i="13" s="1"/>
  <c r="AI667" i="13"/>
  <c r="AJ667" i="13"/>
  <c r="AN667" i="13" s="1"/>
  <c r="AY663" i="13"/>
  <c r="AG663" i="13"/>
  <c r="AK663" i="13" s="1"/>
  <c r="AH663" i="13"/>
  <c r="AL663" i="13" s="1"/>
  <c r="AI663" i="13"/>
  <c r="AJ663" i="13"/>
  <c r="AN663" i="13" s="1"/>
  <c r="AY659" i="13"/>
  <c r="AG659" i="13"/>
  <c r="AK659" i="13" s="1"/>
  <c r="AH659" i="13"/>
  <c r="AL659" i="13" s="1"/>
  <c r="AI659" i="13"/>
  <c r="AJ659" i="13"/>
  <c r="AN659" i="13" s="1"/>
  <c r="AY655" i="13"/>
  <c r="AG655" i="13"/>
  <c r="AK655" i="13" s="1"/>
  <c r="AH655" i="13"/>
  <c r="AL655" i="13" s="1"/>
  <c r="AI655" i="13"/>
  <c r="AJ655" i="13"/>
  <c r="AN655" i="13" s="1"/>
  <c r="AY651" i="13"/>
  <c r="AG651" i="13"/>
  <c r="AK651" i="13" s="1"/>
  <c r="AH651" i="13"/>
  <c r="AL651" i="13" s="1"/>
  <c r="AI651" i="13"/>
  <c r="AJ651" i="13"/>
  <c r="AN651" i="13" s="1"/>
  <c r="AY647" i="13"/>
  <c r="AG647" i="13"/>
  <c r="AK647" i="13" s="1"/>
  <c r="AH647" i="13"/>
  <c r="AL647" i="13" s="1"/>
  <c r="AI647" i="13"/>
  <c r="AJ647" i="13"/>
  <c r="AN647" i="13" s="1"/>
  <c r="AY643" i="13"/>
  <c r="AG643" i="13"/>
  <c r="AK643" i="13" s="1"/>
  <c r="AH643" i="13"/>
  <c r="AL643" i="13" s="1"/>
  <c r="AI643" i="13"/>
  <c r="AJ643" i="13"/>
  <c r="AN643" i="13" s="1"/>
  <c r="AY639" i="13"/>
  <c r="AG639" i="13"/>
  <c r="AK639" i="13" s="1"/>
  <c r="AH639" i="13"/>
  <c r="AL639" i="13" s="1"/>
  <c r="AI639" i="13"/>
  <c r="AJ639" i="13"/>
  <c r="AN639" i="13" s="1"/>
  <c r="AY635" i="13"/>
  <c r="AG635" i="13"/>
  <c r="AK635" i="13" s="1"/>
  <c r="AH635" i="13"/>
  <c r="AL635" i="13" s="1"/>
  <c r="AI635" i="13"/>
  <c r="AJ635" i="13"/>
  <c r="AN635" i="13" s="1"/>
  <c r="AY631" i="13"/>
  <c r="AG631" i="13"/>
  <c r="AK631" i="13" s="1"/>
  <c r="AH631" i="13"/>
  <c r="AL631" i="13" s="1"/>
  <c r="AI631" i="13"/>
  <c r="AJ631" i="13"/>
  <c r="AN631" i="13" s="1"/>
  <c r="AY627" i="13"/>
  <c r="AG627" i="13"/>
  <c r="AK627" i="13" s="1"/>
  <c r="AH627" i="13"/>
  <c r="AL627" i="13" s="1"/>
  <c r="AI627" i="13"/>
  <c r="AJ627" i="13"/>
  <c r="AN627" i="13" s="1"/>
  <c r="AY623" i="13"/>
  <c r="AG623" i="13"/>
  <c r="AK623" i="13" s="1"/>
  <c r="AH623" i="13"/>
  <c r="AL623" i="13" s="1"/>
  <c r="AI623" i="13"/>
  <c r="AJ623" i="13"/>
  <c r="AN623" i="13" s="1"/>
  <c r="AY619" i="13"/>
  <c r="AG619" i="13"/>
  <c r="AK619" i="13" s="1"/>
  <c r="AH619" i="13"/>
  <c r="AL619" i="13" s="1"/>
  <c r="AI619" i="13"/>
  <c r="AJ619" i="13"/>
  <c r="AN619" i="13" s="1"/>
  <c r="AY615" i="13"/>
  <c r="AG615" i="13"/>
  <c r="AK615" i="13" s="1"/>
  <c r="AH615" i="13"/>
  <c r="AL615" i="13" s="1"/>
  <c r="AI615" i="13"/>
  <c r="AJ615" i="13"/>
  <c r="AN615" i="13" s="1"/>
  <c r="AY611" i="13"/>
  <c r="AG611" i="13"/>
  <c r="AK611" i="13" s="1"/>
  <c r="AH611" i="13"/>
  <c r="AL611" i="13" s="1"/>
  <c r="AI611" i="13"/>
  <c r="AJ611" i="13"/>
  <c r="AN611" i="13" s="1"/>
  <c r="AY607" i="13"/>
  <c r="AG607" i="13"/>
  <c r="AK607" i="13" s="1"/>
  <c r="AH607" i="13"/>
  <c r="AL607" i="13" s="1"/>
  <c r="AI607" i="13"/>
  <c r="AJ607" i="13"/>
  <c r="AN607" i="13" s="1"/>
  <c r="AY603" i="13"/>
  <c r="AG603" i="13"/>
  <c r="AK603" i="13" s="1"/>
  <c r="AH603" i="13"/>
  <c r="AL603" i="13" s="1"/>
  <c r="AI603" i="13"/>
  <c r="AJ603" i="13"/>
  <c r="AN603" i="13" s="1"/>
  <c r="AY599" i="13"/>
  <c r="AG599" i="13"/>
  <c r="AK599" i="13" s="1"/>
  <c r="AH599" i="13"/>
  <c r="AL599" i="13" s="1"/>
  <c r="AI599" i="13"/>
  <c r="AJ599" i="13"/>
  <c r="AN599" i="13" s="1"/>
  <c r="AY595" i="13"/>
  <c r="AG595" i="13"/>
  <c r="AK595" i="13" s="1"/>
  <c r="AH595" i="13"/>
  <c r="AL595" i="13" s="1"/>
  <c r="AI595" i="13"/>
  <c r="AJ595" i="13"/>
  <c r="AN595" i="13" s="1"/>
  <c r="AY591" i="13"/>
  <c r="AG591" i="13"/>
  <c r="AK591" i="13" s="1"/>
  <c r="AH591" i="13"/>
  <c r="AL591" i="13" s="1"/>
  <c r="AI591" i="13"/>
  <c r="AJ591" i="13"/>
  <c r="AN591" i="13" s="1"/>
  <c r="AY587" i="13"/>
  <c r="AG587" i="13"/>
  <c r="AK587" i="13" s="1"/>
  <c r="AH587" i="13"/>
  <c r="AL587" i="13" s="1"/>
  <c r="AI587" i="13"/>
  <c r="AJ587" i="13"/>
  <c r="AN587" i="13" s="1"/>
  <c r="AY583" i="13"/>
  <c r="AG583" i="13"/>
  <c r="AK583" i="13" s="1"/>
  <c r="AH583" i="13"/>
  <c r="AL583" i="13" s="1"/>
  <c r="AI583" i="13"/>
  <c r="AJ583" i="13"/>
  <c r="AN583" i="13" s="1"/>
  <c r="AY579" i="13"/>
  <c r="AG579" i="13"/>
  <c r="AK579" i="13" s="1"/>
  <c r="AH579" i="13"/>
  <c r="AL579" i="13" s="1"/>
  <c r="AI579" i="13"/>
  <c r="AJ579" i="13"/>
  <c r="AN579" i="13" s="1"/>
  <c r="AY575" i="13"/>
  <c r="AG575" i="13"/>
  <c r="AK575" i="13" s="1"/>
  <c r="AH575" i="13"/>
  <c r="AL575" i="13" s="1"/>
  <c r="AI575" i="13"/>
  <c r="AJ575" i="13"/>
  <c r="AN575" i="13" s="1"/>
  <c r="AY571" i="13"/>
  <c r="AG571" i="13"/>
  <c r="AK571" i="13" s="1"/>
  <c r="AH571" i="13"/>
  <c r="AL571" i="13" s="1"/>
  <c r="AI571" i="13"/>
  <c r="AJ571" i="13"/>
  <c r="AN571" i="13" s="1"/>
  <c r="AY567" i="13"/>
  <c r="AG567" i="13"/>
  <c r="AK567" i="13" s="1"/>
  <c r="AH567" i="13"/>
  <c r="AL567" i="13" s="1"/>
  <c r="AI567" i="13"/>
  <c r="AJ567" i="13"/>
  <c r="AN567" i="13" s="1"/>
  <c r="AY563" i="13"/>
  <c r="AG563" i="13"/>
  <c r="AK563" i="13" s="1"/>
  <c r="AH563" i="13"/>
  <c r="AL563" i="13" s="1"/>
  <c r="AI563" i="13"/>
  <c r="AJ563" i="13"/>
  <c r="AN563" i="13" s="1"/>
  <c r="AY559" i="13"/>
  <c r="AG559" i="13"/>
  <c r="AK559" i="13" s="1"/>
  <c r="AH559" i="13"/>
  <c r="AL559" i="13" s="1"/>
  <c r="AI559" i="13"/>
  <c r="AJ559" i="13"/>
  <c r="AN559" i="13" s="1"/>
  <c r="AY555" i="13"/>
  <c r="AG555" i="13"/>
  <c r="AK555" i="13" s="1"/>
  <c r="AH555" i="13"/>
  <c r="AL555" i="13" s="1"/>
  <c r="AI555" i="13"/>
  <c r="AJ555" i="13"/>
  <c r="AN555" i="13" s="1"/>
  <c r="AY551" i="13"/>
  <c r="AG551" i="13"/>
  <c r="AK551" i="13" s="1"/>
  <c r="AH551" i="13"/>
  <c r="AL551" i="13" s="1"/>
  <c r="AI551" i="13"/>
  <c r="AJ551" i="13"/>
  <c r="AN551" i="13" s="1"/>
  <c r="AY547" i="13"/>
  <c r="AG547" i="13"/>
  <c r="AK547" i="13" s="1"/>
  <c r="AH547" i="13"/>
  <c r="AL547" i="13" s="1"/>
  <c r="AI547" i="13"/>
  <c r="AJ547" i="13"/>
  <c r="AN547" i="13" s="1"/>
  <c r="AY543" i="13"/>
  <c r="AG543" i="13"/>
  <c r="AK543" i="13" s="1"/>
  <c r="AH543" i="13"/>
  <c r="AL543" i="13" s="1"/>
  <c r="AI543" i="13"/>
  <c r="AJ543" i="13"/>
  <c r="AN543" i="13" s="1"/>
  <c r="AY539" i="13"/>
  <c r="AG539" i="13"/>
  <c r="AK539" i="13" s="1"/>
  <c r="AH539" i="13"/>
  <c r="AL539" i="13" s="1"/>
  <c r="AI539" i="13"/>
  <c r="AJ539" i="13"/>
  <c r="AN539" i="13" s="1"/>
  <c r="AY535" i="13"/>
  <c r="AG535" i="13"/>
  <c r="AK535" i="13" s="1"/>
  <c r="AH535" i="13"/>
  <c r="AL535" i="13" s="1"/>
  <c r="AI535" i="13"/>
  <c r="AJ535" i="13"/>
  <c r="AN535" i="13" s="1"/>
  <c r="AY531" i="13"/>
  <c r="AG531" i="13"/>
  <c r="AK531" i="13" s="1"/>
  <c r="AH531" i="13"/>
  <c r="AL531" i="13" s="1"/>
  <c r="AI531" i="13"/>
  <c r="AJ531" i="13"/>
  <c r="AN531" i="13" s="1"/>
  <c r="AY527" i="13"/>
  <c r="AG527" i="13"/>
  <c r="AK527" i="13" s="1"/>
  <c r="AH527" i="13"/>
  <c r="AL527" i="13" s="1"/>
  <c r="AI527" i="13"/>
  <c r="AJ527" i="13"/>
  <c r="AN527" i="13" s="1"/>
  <c r="AY523" i="13"/>
  <c r="AG523" i="13"/>
  <c r="AK523" i="13" s="1"/>
  <c r="AH523" i="13"/>
  <c r="AL523" i="13" s="1"/>
  <c r="AI523" i="13"/>
  <c r="AJ523" i="13"/>
  <c r="AN523" i="13" s="1"/>
  <c r="AY519" i="13"/>
  <c r="AG519" i="13"/>
  <c r="AK519" i="13" s="1"/>
  <c r="AH519" i="13"/>
  <c r="AL519" i="13" s="1"/>
  <c r="AI519" i="13"/>
  <c r="AJ519" i="13"/>
  <c r="AN519" i="13" s="1"/>
  <c r="AY515" i="13"/>
  <c r="AG515" i="13"/>
  <c r="AK515" i="13" s="1"/>
  <c r="AH515" i="13"/>
  <c r="AL515" i="13" s="1"/>
  <c r="AI515" i="13"/>
  <c r="AJ515" i="13"/>
  <c r="AN515" i="13" s="1"/>
  <c r="AY511" i="13"/>
  <c r="AG511" i="13"/>
  <c r="AK511" i="13" s="1"/>
  <c r="AH511" i="13"/>
  <c r="AL511" i="13" s="1"/>
  <c r="AI511" i="13"/>
  <c r="AJ511" i="13"/>
  <c r="AN511" i="13" s="1"/>
  <c r="AY507" i="13"/>
  <c r="AG507" i="13"/>
  <c r="AK507" i="13" s="1"/>
  <c r="AH507" i="13"/>
  <c r="AL507" i="13" s="1"/>
  <c r="AI507" i="13"/>
  <c r="AJ507" i="13"/>
  <c r="AN507" i="13" s="1"/>
  <c r="AY503" i="13"/>
  <c r="AG503" i="13"/>
  <c r="AK503" i="13" s="1"/>
  <c r="AH503" i="13"/>
  <c r="AL503" i="13" s="1"/>
  <c r="AI503" i="13"/>
  <c r="AJ503" i="13"/>
  <c r="AN503" i="13" s="1"/>
  <c r="AY499" i="13"/>
  <c r="AG499" i="13"/>
  <c r="AK499" i="13" s="1"/>
  <c r="AH499" i="13"/>
  <c r="AL499" i="13" s="1"/>
  <c r="AI499" i="13"/>
  <c r="AJ499" i="13"/>
  <c r="AN499" i="13" s="1"/>
  <c r="AY495" i="13"/>
  <c r="AG495" i="13"/>
  <c r="AK495" i="13" s="1"/>
  <c r="AH495" i="13"/>
  <c r="AL495" i="13" s="1"/>
  <c r="AI495" i="13"/>
  <c r="AJ495" i="13"/>
  <c r="AN495" i="13" s="1"/>
  <c r="AY491" i="13"/>
  <c r="AG491" i="13"/>
  <c r="AK491" i="13" s="1"/>
  <c r="AH491" i="13"/>
  <c r="AL491" i="13" s="1"/>
  <c r="AI491" i="13"/>
  <c r="AJ491" i="13"/>
  <c r="AN491" i="13" s="1"/>
  <c r="AY487" i="13"/>
  <c r="AG487" i="13"/>
  <c r="AK487" i="13" s="1"/>
  <c r="AH487" i="13"/>
  <c r="AL487" i="13" s="1"/>
  <c r="AI487" i="13"/>
  <c r="AJ487" i="13"/>
  <c r="AN487" i="13" s="1"/>
  <c r="AY483" i="13"/>
  <c r="AG483" i="13"/>
  <c r="AK483" i="13" s="1"/>
  <c r="AH483" i="13"/>
  <c r="AL483" i="13" s="1"/>
  <c r="AI483" i="13"/>
  <c r="AJ483" i="13"/>
  <c r="AN483" i="13" s="1"/>
  <c r="AY479" i="13"/>
  <c r="AG479" i="13"/>
  <c r="AK479" i="13" s="1"/>
  <c r="AH479" i="13"/>
  <c r="AL479" i="13" s="1"/>
  <c r="AI479" i="13"/>
  <c r="AJ479" i="13"/>
  <c r="AN479" i="13" s="1"/>
  <c r="AY475" i="13"/>
  <c r="AG475" i="13"/>
  <c r="AK475" i="13" s="1"/>
  <c r="AH475" i="13"/>
  <c r="AL475" i="13" s="1"/>
  <c r="AI475" i="13"/>
  <c r="AJ475" i="13"/>
  <c r="AN475" i="13" s="1"/>
  <c r="AY471" i="13"/>
  <c r="AG471" i="13"/>
  <c r="AK471" i="13" s="1"/>
  <c r="AH471" i="13"/>
  <c r="AL471" i="13" s="1"/>
  <c r="AI471" i="13"/>
  <c r="AJ471" i="13"/>
  <c r="AN471" i="13" s="1"/>
  <c r="AY467" i="13"/>
  <c r="AG467" i="13"/>
  <c r="AK467" i="13" s="1"/>
  <c r="AH467" i="13"/>
  <c r="AL467" i="13" s="1"/>
  <c r="AI467" i="13"/>
  <c r="AJ467" i="13"/>
  <c r="AN467" i="13" s="1"/>
  <c r="AY463" i="13"/>
  <c r="AG463" i="13"/>
  <c r="AK463" i="13" s="1"/>
  <c r="AH463" i="13"/>
  <c r="AL463" i="13" s="1"/>
  <c r="AI463" i="13"/>
  <c r="AJ463" i="13"/>
  <c r="AN463" i="13" s="1"/>
  <c r="AY459" i="13"/>
  <c r="AG459" i="13"/>
  <c r="AK459" i="13" s="1"/>
  <c r="AH459" i="13"/>
  <c r="AL459" i="13" s="1"/>
  <c r="AI459" i="13"/>
  <c r="AJ459" i="13"/>
  <c r="AN459" i="13" s="1"/>
  <c r="AY455" i="13"/>
  <c r="AG455" i="13"/>
  <c r="AK455" i="13" s="1"/>
  <c r="AH455" i="13"/>
  <c r="AL455" i="13" s="1"/>
  <c r="AI455" i="13"/>
  <c r="AJ455" i="13"/>
  <c r="AN455" i="13" s="1"/>
  <c r="AY451" i="13"/>
  <c r="AG451" i="13"/>
  <c r="AK451" i="13" s="1"/>
  <c r="AH451" i="13"/>
  <c r="AL451" i="13" s="1"/>
  <c r="AI451" i="13"/>
  <c r="AJ451" i="13"/>
  <c r="AN451" i="13" s="1"/>
  <c r="AY447" i="13"/>
  <c r="AG447" i="13"/>
  <c r="AK447" i="13" s="1"/>
  <c r="AH447" i="13"/>
  <c r="AL447" i="13" s="1"/>
  <c r="AI447" i="13"/>
  <c r="AJ447" i="13"/>
  <c r="AN447" i="13" s="1"/>
  <c r="AY443" i="13"/>
  <c r="AG443" i="13"/>
  <c r="AK443" i="13" s="1"/>
  <c r="AH443" i="13"/>
  <c r="AL443" i="13" s="1"/>
  <c r="AI443" i="13"/>
  <c r="AJ443" i="13"/>
  <c r="AN443" i="13" s="1"/>
  <c r="AY439" i="13"/>
  <c r="AG439" i="13"/>
  <c r="AK439" i="13" s="1"/>
  <c r="AH439" i="13"/>
  <c r="AL439" i="13" s="1"/>
  <c r="AI439" i="13"/>
  <c r="AJ439" i="13"/>
  <c r="AN439" i="13" s="1"/>
  <c r="AY435" i="13"/>
  <c r="AG435" i="13"/>
  <c r="AK435" i="13" s="1"/>
  <c r="AH435" i="13"/>
  <c r="AL435" i="13" s="1"/>
  <c r="AI435" i="13"/>
  <c r="AJ435" i="13"/>
  <c r="AN435" i="13" s="1"/>
  <c r="AY431" i="13"/>
  <c r="AG431" i="13"/>
  <c r="AK431" i="13" s="1"/>
  <c r="AH431" i="13"/>
  <c r="AL431" i="13" s="1"/>
  <c r="AI431" i="13"/>
  <c r="AJ431" i="13"/>
  <c r="AN431" i="13" s="1"/>
  <c r="AY427" i="13"/>
  <c r="AG427" i="13"/>
  <c r="AK427" i="13" s="1"/>
  <c r="AH427" i="13"/>
  <c r="AL427" i="13" s="1"/>
  <c r="AI427" i="13"/>
  <c r="AJ427" i="13"/>
  <c r="AN427" i="13" s="1"/>
  <c r="AY423" i="13"/>
  <c r="AG423" i="13"/>
  <c r="AK423" i="13" s="1"/>
  <c r="AH423" i="13"/>
  <c r="AL423" i="13" s="1"/>
  <c r="AI423" i="13"/>
  <c r="AJ423" i="13"/>
  <c r="AN423" i="13" s="1"/>
  <c r="AY419" i="13"/>
  <c r="AG419" i="13"/>
  <c r="AK419" i="13" s="1"/>
  <c r="AH419" i="13"/>
  <c r="AL419" i="13" s="1"/>
  <c r="AI419" i="13"/>
  <c r="AJ419" i="13"/>
  <c r="AN419" i="13" s="1"/>
  <c r="AY415" i="13"/>
  <c r="AG415" i="13"/>
  <c r="AK415" i="13" s="1"/>
  <c r="AH415" i="13"/>
  <c r="AL415" i="13" s="1"/>
  <c r="AI415" i="13"/>
  <c r="AJ415" i="13"/>
  <c r="AN415" i="13" s="1"/>
  <c r="AY411" i="13"/>
  <c r="AG411" i="13"/>
  <c r="AK411" i="13" s="1"/>
  <c r="AH411" i="13"/>
  <c r="AL411" i="13" s="1"/>
  <c r="AI411" i="13"/>
  <c r="AJ411" i="13"/>
  <c r="AN411" i="13" s="1"/>
  <c r="AY407" i="13"/>
  <c r="AG407" i="13"/>
  <c r="AK407" i="13" s="1"/>
  <c r="AH407" i="13"/>
  <c r="AL407" i="13" s="1"/>
  <c r="AI407" i="13"/>
  <c r="AJ407" i="13"/>
  <c r="AN407" i="13" s="1"/>
  <c r="AY403" i="13"/>
  <c r="AG403" i="13"/>
  <c r="AK403" i="13" s="1"/>
  <c r="AH403" i="13"/>
  <c r="AL403" i="13" s="1"/>
  <c r="AI403" i="13"/>
  <c r="AJ403" i="13"/>
  <c r="AN403" i="13" s="1"/>
  <c r="AY399" i="13"/>
  <c r="AG399" i="13"/>
  <c r="AK399" i="13" s="1"/>
  <c r="AH399" i="13"/>
  <c r="AL399" i="13" s="1"/>
  <c r="AI399" i="13"/>
  <c r="AJ399" i="13"/>
  <c r="AN399" i="13" s="1"/>
  <c r="AY395" i="13"/>
  <c r="AG395" i="13"/>
  <c r="AK395" i="13" s="1"/>
  <c r="AH395" i="13"/>
  <c r="AL395" i="13" s="1"/>
  <c r="AI395" i="13"/>
  <c r="AJ395" i="13"/>
  <c r="AN395" i="13" s="1"/>
  <c r="AY391" i="13"/>
  <c r="AG391" i="13"/>
  <c r="AK391" i="13" s="1"/>
  <c r="AH391" i="13"/>
  <c r="AL391" i="13" s="1"/>
  <c r="AI391" i="13"/>
  <c r="AJ391" i="13"/>
  <c r="AN391" i="13" s="1"/>
  <c r="AY387" i="13"/>
  <c r="AG387" i="13"/>
  <c r="AK387" i="13" s="1"/>
  <c r="AH387" i="13"/>
  <c r="AL387" i="13" s="1"/>
  <c r="AI387" i="13"/>
  <c r="AJ387" i="13"/>
  <c r="AN387" i="13" s="1"/>
  <c r="AY383" i="13"/>
  <c r="AG383" i="13"/>
  <c r="AK383" i="13" s="1"/>
  <c r="AH383" i="13"/>
  <c r="AL383" i="13" s="1"/>
  <c r="AI383" i="13"/>
  <c r="AJ383" i="13"/>
  <c r="AN383" i="13" s="1"/>
  <c r="AY379" i="13"/>
  <c r="AG379" i="13"/>
  <c r="AK379" i="13" s="1"/>
  <c r="AH379" i="13"/>
  <c r="AL379" i="13" s="1"/>
  <c r="AI379" i="13"/>
  <c r="AJ379" i="13"/>
  <c r="AN379" i="13" s="1"/>
  <c r="AY375" i="13"/>
  <c r="AG375" i="13"/>
  <c r="AK375" i="13" s="1"/>
  <c r="AH375" i="13"/>
  <c r="AL375" i="13" s="1"/>
  <c r="AI375" i="13"/>
  <c r="AJ375" i="13"/>
  <c r="AN375" i="13" s="1"/>
  <c r="AY371" i="13"/>
  <c r="AH371" i="13"/>
  <c r="AL371" i="13" s="1"/>
  <c r="AI371" i="13"/>
  <c r="AJ371" i="13"/>
  <c r="AN371" i="13" s="1"/>
  <c r="AG371" i="13"/>
  <c r="AK371" i="13" s="1"/>
  <c r="AY367" i="13"/>
  <c r="AH367" i="13"/>
  <c r="AL367" i="13" s="1"/>
  <c r="AI367" i="13"/>
  <c r="AJ367" i="13"/>
  <c r="AN367" i="13" s="1"/>
  <c r="AG367" i="13"/>
  <c r="AK367" i="13" s="1"/>
  <c r="AY363" i="13"/>
  <c r="AH363" i="13"/>
  <c r="AL363" i="13" s="1"/>
  <c r="AI363" i="13"/>
  <c r="AJ363" i="13"/>
  <c r="AN363" i="13" s="1"/>
  <c r="AG363" i="13"/>
  <c r="AK363" i="13" s="1"/>
  <c r="AY359" i="13"/>
  <c r="AH359" i="13"/>
  <c r="AL359" i="13" s="1"/>
  <c r="AI359" i="13"/>
  <c r="AJ359" i="13"/>
  <c r="AN359" i="13" s="1"/>
  <c r="AG359" i="13"/>
  <c r="AK359" i="13" s="1"/>
  <c r="AY355" i="13"/>
  <c r="AH355" i="13"/>
  <c r="AL355" i="13" s="1"/>
  <c r="AI355" i="13"/>
  <c r="AJ355" i="13"/>
  <c r="AN355" i="13" s="1"/>
  <c r="AG355" i="13"/>
  <c r="AK355" i="13" s="1"/>
  <c r="AY351" i="13"/>
  <c r="AH351" i="13"/>
  <c r="AL351" i="13" s="1"/>
  <c r="AI351" i="13"/>
  <c r="AJ351" i="13"/>
  <c r="AN351" i="13" s="1"/>
  <c r="AG351" i="13"/>
  <c r="AK351" i="13" s="1"/>
  <c r="AY347" i="13"/>
  <c r="AH347" i="13"/>
  <c r="AL347" i="13" s="1"/>
  <c r="AI347" i="13"/>
  <c r="AJ347" i="13"/>
  <c r="AN347" i="13" s="1"/>
  <c r="AG347" i="13"/>
  <c r="AK347" i="13" s="1"/>
  <c r="AY343" i="13"/>
  <c r="AH343" i="13"/>
  <c r="AL343" i="13" s="1"/>
  <c r="AI343" i="13"/>
  <c r="AJ343" i="13"/>
  <c r="AN343" i="13" s="1"/>
  <c r="AG343" i="13"/>
  <c r="AK343" i="13" s="1"/>
  <c r="AY339" i="13"/>
  <c r="AH339" i="13"/>
  <c r="AL339" i="13" s="1"/>
  <c r="AI339" i="13"/>
  <c r="AJ339" i="13"/>
  <c r="AN339" i="13" s="1"/>
  <c r="AG339" i="13"/>
  <c r="AK339" i="13" s="1"/>
  <c r="AY335" i="13"/>
  <c r="AH335" i="13"/>
  <c r="AL335" i="13" s="1"/>
  <c r="AI335" i="13"/>
  <c r="AJ335" i="13"/>
  <c r="AN335" i="13" s="1"/>
  <c r="AG335" i="13"/>
  <c r="AK335" i="13" s="1"/>
  <c r="AY331" i="13"/>
  <c r="AH331" i="13"/>
  <c r="AL331" i="13" s="1"/>
  <c r="AI331" i="13"/>
  <c r="AJ331" i="13"/>
  <c r="AN331" i="13" s="1"/>
  <c r="AG331" i="13"/>
  <c r="AK331" i="13" s="1"/>
  <c r="AY327" i="13"/>
  <c r="AH327" i="13"/>
  <c r="AL327" i="13" s="1"/>
  <c r="AI327" i="13"/>
  <c r="AJ327" i="13"/>
  <c r="AN327" i="13" s="1"/>
  <c r="AG327" i="13"/>
  <c r="AK327" i="13" s="1"/>
  <c r="AY323" i="13"/>
  <c r="AH323" i="13"/>
  <c r="AL323" i="13" s="1"/>
  <c r="AI323" i="13"/>
  <c r="AJ323" i="13"/>
  <c r="AN323" i="13" s="1"/>
  <c r="AG323" i="13"/>
  <c r="AK323" i="13" s="1"/>
  <c r="AY319" i="13"/>
  <c r="AH319" i="13"/>
  <c r="AL319" i="13" s="1"/>
  <c r="AI319" i="13"/>
  <c r="AJ319" i="13"/>
  <c r="AN319" i="13" s="1"/>
  <c r="AG319" i="13"/>
  <c r="AK319" i="13" s="1"/>
  <c r="AY315" i="13"/>
  <c r="AH315" i="13"/>
  <c r="AL315" i="13" s="1"/>
  <c r="AI315" i="13"/>
  <c r="AJ315" i="13"/>
  <c r="AN315" i="13" s="1"/>
  <c r="AG315" i="13"/>
  <c r="AK315" i="13" s="1"/>
  <c r="AY311" i="13"/>
  <c r="AH311" i="13"/>
  <c r="AL311" i="13" s="1"/>
  <c r="AI311" i="13"/>
  <c r="AJ311" i="13"/>
  <c r="AN311" i="13" s="1"/>
  <c r="AG311" i="13"/>
  <c r="AK311" i="13" s="1"/>
  <c r="AY307" i="13"/>
  <c r="AH307" i="13"/>
  <c r="AL307" i="13" s="1"/>
  <c r="AI307" i="13"/>
  <c r="AJ307" i="13"/>
  <c r="AN307" i="13" s="1"/>
  <c r="AG307" i="13"/>
  <c r="AK307" i="13" s="1"/>
  <c r="AY303" i="13"/>
  <c r="AH303" i="13"/>
  <c r="AL303" i="13" s="1"/>
  <c r="AI303" i="13"/>
  <c r="AJ303" i="13"/>
  <c r="AN303" i="13" s="1"/>
  <c r="AG303" i="13"/>
  <c r="AK303" i="13" s="1"/>
  <c r="AY299" i="13"/>
  <c r="AH299" i="13"/>
  <c r="AL299" i="13" s="1"/>
  <c r="AI299" i="13"/>
  <c r="AJ299" i="13"/>
  <c r="AN299" i="13" s="1"/>
  <c r="AG299" i="13"/>
  <c r="AK299" i="13" s="1"/>
  <c r="AY295" i="13"/>
  <c r="AH295" i="13"/>
  <c r="AL295" i="13" s="1"/>
  <c r="AI295" i="13"/>
  <c r="AJ295" i="13"/>
  <c r="AN295" i="13" s="1"/>
  <c r="AG295" i="13"/>
  <c r="AK295" i="13" s="1"/>
  <c r="AY291" i="13"/>
  <c r="AH291" i="13"/>
  <c r="AL291" i="13" s="1"/>
  <c r="AI291" i="13"/>
  <c r="AJ291" i="13"/>
  <c r="AN291" i="13" s="1"/>
  <c r="AG291" i="13"/>
  <c r="AK291" i="13" s="1"/>
  <c r="AY287" i="13"/>
  <c r="AH287" i="13"/>
  <c r="AL287" i="13" s="1"/>
  <c r="AI287" i="13"/>
  <c r="AJ287" i="13"/>
  <c r="AN287" i="13" s="1"/>
  <c r="AG287" i="13"/>
  <c r="AK287" i="13" s="1"/>
  <c r="AY283" i="13"/>
  <c r="AH283" i="13"/>
  <c r="AL283" i="13" s="1"/>
  <c r="AI283" i="13"/>
  <c r="AJ283" i="13"/>
  <c r="AN283" i="13" s="1"/>
  <c r="AG283" i="13"/>
  <c r="AK283" i="13" s="1"/>
  <c r="AY279" i="13"/>
  <c r="AH279" i="13"/>
  <c r="AL279" i="13" s="1"/>
  <c r="AI279" i="13"/>
  <c r="AJ279" i="13"/>
  <c r="AN279" i="13" s="1"/>
  <c r="AG279" i="13"/>
  <c r="AK279" i="13" s="1"/>
  <c r="AY275" i="13"/>
  <c r="AH275" i="13"/>
  <c r="AL275" i="13" s="1"/>
  <c r="AI275" i="13"/>
  <c r="AJ275" i="13"/>
  <c r="AN275" i="13" s="1"/>
  <c r="AG275" i="13"/>
  <c r="AK275" i="13" s="1"/>
  <c r="AY271" i="13"/>
  <c r="AH271" i="13"/>
  <c r="AL271" i="13" s="1"/>
  <c r="AI271" i="13"/>
  <c r="AJ271" i="13"/>
  <c r="AN271" i="13" s="1"/>
  <c r="AG271" i="13"/>
  <c r="AK271" i="13" s="1"/>
  <c r="AY267" i="13"/>
  <c r="AH267" i="13"/>
  <c r="AL267" i="13" s="1"/>
  <c r="AI267" i="13"/>
  <c r="AJ267" i="13"/>
  <c r="AN267" i="13" s="1"/>
  <c r="AG267" i="13"/>
  <c r="AK267" i="13" s="1"/>
  <c r="AY263" i="13"/>
  <c r="AH263" i="13"/>
  <c r="AL263" i="13" s="1"/>
  <c r="AI263" i="13"/>
  <c r="AJ263" i="13"/>
  <c r="AN263" i="13" s="1"/>
  <c r="AG263" i="13"/>
  <c r="AK263" i="13" s="1"/>
  <c r="AY259" i="13"/>
  <c r="AH259" i="13"/>
  <c r="AL259" i="13" s="1"/>
  <c r="AI259" i="13"/>
  <c r="AJ259" i="13"/>
  <c r="AN259" i="13" s="1"/>
  <c r="AG259" i="13"/>
  <c r="AK259" i="13" s="1"/>
  <c r="AY255" i="13"/>
  <c r="AH255" i="13"/>
  <c r="AL255" i="13" s="1"/>
  <c r="AI255" i="13"/>
  <c r="AJ255" i="13"/>
  <c r="AN255" i="13" s="1"/>
  <c r="AG255" i="13"/>
  <c r="AK255" i="13" s="1"/>
  <c r="AY251" i="13"/>
  <c r="AH251" i="13"/>
  <c r="AL251" i="13" s="1"/>
  <c r="AI251" i="13"/>
  <c r="AJ251" i="13"/>
  <c r="AN251" i="13" s="1"/>
  <c r="AG251" i="13"/>
  <c r="AK251" i="13" s="1"/>
  <c r="AY247" i="13"/>
  <c r="AH247" i="13"/>
  <c r="AL247" i="13" s="1"/>
  <c r="AI247" i="13"/>
  <c r="AJ247" i="13"/>
  <c r="AN247" i="13" s="1"/>
  <c r="AG247" i="13"/>
  <c r="AK247" i="13" s="1"/>
  <c r="AH243" i="13"/>
  <c r="AL243" i="13" s="1"/>
  <c r="AI243" i="13"/>
  <c r="AJ243" i="13"/>
  <c r="AN243" i="13" s="1"/>
  <c r="AG243" i="13"/>
  <c r="AK243" i="13" s="1"/>
  <c r="AY239" i="13"/>
  <c r="AH239" i="13"/>
  <c r="AL239" i="13" s="1"/>
  <c r="AI239" i="13"/>
  <c r="AJ239" i="13"/>
  <c r="AN239" i="13" s="1"/>
  <c r="AG239" i="13"/>
  <c r="AK239" i="13" s="1"/>
  <c r="AY235" i="13"/>
  <c r="AH235" i="13"/>
  <c r="AL235" i="13" s="1"/>
  <c r="AI235" i="13"/>
  <c r="AJ235" i="13"/>
  <c r="AN235" i="13" s="1"/>
  <c r="AG235" i="13"/>
  <c r="AK235" i="13" s="1"/>
  <c r="AY231" i="13"/>
  <c r="AH231" i="13"/>
  <c r="AL231" i="13" s="1"/>
  <c r="AI231" i="13"/>
  <c r="AJ231" i="13"/>
  <c r="AN231" i="13" s="1"/>
  <c r="AG231" i="13"/>
  <c r="AK231" i="13" s="1"/>
  <c r="AY227" i="13"/>
  <c r="AH227" i="13"/>
  <c r="AL227" i="13" s="1"/>
  <c r="AI227" i="13"/>
  <c r="AJ227" i="13"/>
  <c r="AN227" i="13" s="1"/>
  <c r="AG227" i="13"/>
  <c r="AK227" i="13" s="1"/>
  <c r="AY223" i="13"/>
  <c r="AH223" i="13"/>
  <c r="AL223" i="13" s="1"/>
  <c r="AI223" i="13"/>
  <c r="AJ223" i="13"/>
  <c r="AN223" i="13" s="1"/>
  <c r="AG223" i="13"/>
  <c r="AK223" i="13" s="1"/>
  <c r="AY219" i="13"/>
  <c r="AH219" i="13"/>
  <c r="AL219" i="13" s="1"/>
  <c r="AI219" i="13"/>
  <c r="AJ219" i="13"/>
  <c r="AN219" i="13" s="1"/>
  <c r="AG219" i="13"/>
  <c r="AK219" i="13" s="1"/>
  <c r="AY215" i="13"/>
  <c r="AH215" i="13"/>
  <c r="AL215" i="13" s="1"/>
  <c r="AI215" i="13"/>
  <c r="AJ215" i="13"/>
  <c r="AN215" i="13" s="1"/>
  <c r="AG215" i="13"/>
  <c r="AK215" i="13" s="1"/>
  <c r="AY211" i="13"/>
  <c r="AH211" i="13"/>
  <c r="AL211" i="13" s="1"/>
  <c r="AI211" i="13"/>
  <c r="AJ211" i="13"/>
  <c r="AN211" i="13" s="1"/>
  <c r="AG211" i="13"/>
  <c r="AK211" i="13" s="1"/>
  <c r="AY207" i="13"/>
  <c r="AH207" i="13"/>
  <c r="AL207" i="13" s="1"/>
  <c r="AI207" i="13"/>
  <c r="AJ207" i="13"/>
  <c r="AN207" i="13" s="1"/>
  <c r="AG207" i="13"/>
  <c r="AK207" i="13" s="1"/>
  <c r="AY203" i="13"/>
  <c r="AH203" i="13"/>
  <c r="AL203" i="13" s="1"/>
  <c r="AI203" i="13"/>
  <c r="AJ203" i="13"/>
  <c r="AN203" i="13" s="1"/>
  <c r="AG203" i="13"/>
  <c r="AK203" i="13" s="1"/>
  <c r="AY199" i="13"/>
  <c r="AH199" i="13"/>
  <c r="AL199" i="13" s="1"/>
  <c r="AI199" i="13"/>
  <c r="AJ199" i="13"/>
  <c r="AN199" i="13" s="1"/>
  <c r="AG199" i="13"/>
  <c r="AK199" i="13" s="1"/>
  <c r="AY195" i="13"/>
  <c r="AH195" i="13"/>
  <c r="AL195" i="13" s="1"/>
  <c r="AI195" i="13"/>
  <c r="AJ195" i="13"/>
  <c r="AN195" i="13" s="1"/>
  <c r="AG195" i="13"/>
  <c r="AK195" i="13" s="1"/>
  <c r="AY191" i="13"/>
  <c r="AH191" i="13"/>
  <c r="AL191" i="13" s="1"/>
  <c r="AI191" i="13"/>
  <c r="AJ191" i="13"/>
  <c r="AN191" i="13" s="1"/>
  <c r="AG191" i="13"/>
  <c r="AK191" i="13" s="1"/>
  <c r="AY187" i="13"/>
  <c r="AH187" i="13"/>
  <c r="AL187" i="13" s="1"/>
  <c r="AI187" i="13"/>
  <c r="AJ187" i="13"/>
  <c r="AN187" i="13" s="1"/>
  <c r="AG187" i="13"/>
  <c r="AK187" i="13" s="1"/>
  <c r="AY183" i="13"/>
  <c r="AH183" i="13"/>
  <c r="AL183" i="13" s="1"/>
  <c r="AI183" i="13"/>
  <c r="AJ183" i="13"/>
  <c r="AN183" i="13" s="1"/>
  <c r="AG183" i="13"/>
  <c r="AK183" i="13" s="1"/>
  <c r="AY179" i="13"/>
  <c r="AH179" i="13"/>
  <c r="AL179" i="13" s="1"/>
  <c r="AI179" i="13"/>
  <c r="AJ179" i="13"/>
  <c r="AN179" i="13" s="1"/>
  <c r="AG179" i="13"/>
  <c r="AK179" i="13" s="1"/>
  <c r="AY175" i="13"/>
  <c r="AH175" i="13"/>
  <c r="AL175" i="13" s="1"/>
  <c r="AI175" i="13"/>
  <c r="AJ175" i="13"/>
  <c r="AN175" i="13" s="1"/>
  <c r="AG175" i="13"/>
  <c r="AK175" i="13" s="1"/>
  <c r="AY171" i="13"/>
  <c r="AH171" i="13"/>
  <c r="AL171" i="13" s="1"/>
  <c r="AI171" i="13"/>
  <c r="AJ171" i="13"/>
  <c r="AN171" i="13" s="1"/>
  <c r="AG171" i="13"/>
  <c r="AK171" i="13" s="1"/>
  <c r="AY167" i="13"/>
  <c r="AH167" i="13"/>
  <c r="AL167" i="13" s="1"/>
  <c r="AI167" i="13"/>
  <c r="AJ167" i="13"/>
  <c r="AN167" i="13" s="1"/>
  <c r="AG167" i="13"/>
  <c r="AK167" i="13" s="1"/>
  <c r="AY163" i="13"/>
  <c r="AH163" i="13"/>
  <c r="AL163" i="13" s="1"/>
  <c r="AI163" i="13"/>
  <c r="AJ163" i="13"/>
  <c r="AN163" i="13" s="1"/>
  <c r="AG163" i="13"/>
  <c r="AK163" i="13" s="1"/>
  <c r="AY159" i="13"/>
  <c r="AH159" i="13"/>
  <c r="AL159" i="13" s="1"/>
  <c r="AI159" i="13"/>
  <c r="AJ159" i="13"/>
  <c r="AN159" i="13" s="1"/>
  <c r="AG159" i="13"/>
  <c r="AK159" i="13" s="1"/>
  <c r="AY155" i="13"/>
  <c r="AH155" i="13"/>
  <c r="AL155" i="13" s="1"/>
  <c r="AI155" i="13"/>
  <c r="AJ155" i="13"/>
  <c r="AN155" i="13" s="1"/>
  <c r="AG155" i="13"/>
  <c r="AK155" i="13" s="1"/>
  <c r="AY151" i="13"/>
  <c r="AH151" i="13"/>
  <c r="AL151" i="13" s="1"/>
  <c r="AI151" i="13"/>
  <c r="AJ151" i="13"/>
  <c r="AN151" i="13" s="1"/>
  <c r="AG151" i="13"/>
  <c r="AK151" i="13" s="1"/>
  <c r="AY147" i="13"/>
  <c r="AH147" i="13"/>
  <c r="AL147" i="13" s="1"/>
  <c r="AI147" i="13"/>
  <c r="AJ147" i="13"/>
  <c r="AN147" i="13" s="1"/>
  <c r="AG147" i="13"/>
  <c r="AK147" i="13" s="1"/>
  <c r="AY143" i="13"/>
  <c r="AH143" i="13"/>
  <c r="AL143" i="13" s="1"/>
  <c r="AI143" i="13"/>
  <c r="AJ143" i="13"/>
  <c r="AN143" i="13" s="1"/>
  <c r="AG143" i="13"/>
  <c r="AK143" i="13" s="1"/>
  <c r="AY139" i="13"/>
  <c r="AH139" i="13"/>
  <c r="AL139" i="13" s="1"/>
  <c r="AI139" i="13"/>
  <c r="AJ139" i="13"/>
  <c r="AN139" i="13" s="1"/>
  <c r="AG139" i="13"/>
  <c r="AK139" i="13" s="1"/>
  <c r="AY135" i="13"/>
  <c r="AH135" i="13"/>
  <c r="AL135" i="13" s="1"/>
  <c r="AI135" i="13"/>
  <c r="AJ135" i="13"/>
  <c r="AN135" i="13" s="1"/>
  <c r="AG135" i="13"/>
  <c r="AK135" i="13" s="1"/>
  <c r="AY131" i="13"/>
  <c r="AH131" i="13"/>
  <c r="AL131" i="13" s="1"/>
  <c r="AI131" i="13"/>
  <c r="AJ131" i="13"/>
  <c r="AN131" i="13" s="1"/>
  <c r="AG131" i="13"/>
  <c r="AK131" i="13" s="1"/>
  <c r="AY127" i="13"/>
  <c r="AH127" i="13"/>
  <c r="AL127" i="13" s="1"/>
  <c r="AI127" i="13"/>
  <c r="AJ127" i="13"/>
  <c r="AN127" i="13" s="1"/>
  <c r="AG127" i="13"/>
  <c r="AK127" i="13" s="1"/>
  <c r="AY123" i="13"/>
  <c r="AH123" i="13"/>
  <c r="AL123" i="13" s="1"/>
  <c r="AI123" i="13"/>
  <c r="AJ123" i="13"/>
  <c r="AN123" i="13" s="1"/>
  <c r="AG123" i="13"/>
  <c r="AK123" i="13" s="1"/>
  <c r="AY119" i="13"/>
  <c r="AH119" i="13"/>
  <c r="AL119" i="13" s="1"/>
  <c r="AI119" i="13"/>
  <c r="AJ119" i="13"/>
  <c r="AN119" i="13" s="1"/>
  <c r="AG119" i="13"/>
  <c r="AK119" i="13" s="1"/>
  <c r="AY115" i="13"/>
  <c r="AH115" i="13"/>
  <c r="AL115" i="13" s="1"/>
  <c r="AI115" i="13"/>
  <c r="AJ115" i="13"/>
  <c r="AN115" i="13" s="1"/>
  <c r="AG115" i="13"/>
  <c r="AK115" i="13" s="1"/>
  <c r="AY111" i="13"/>
  <c r="AH111" i="13"/>
  <c r="AL111" i="13" s="1"/>
  <c r="AI111" i="13"/>
  <c r="AJ111" i="13"/>
  <c r="AN111" i="13" s="1"/>
  <c r="AG111" i="13"/>
  <c r="AK111" i="13" s="1"/>
  <c r="AY107" i="13"/>
  <c r="AH107" i="13"/>
  <c r="AL107" i="13" s="1"/>
  <c r="AI107" i="13"/>
  <c r="AJ107" i="13"/>
  <c r="AN107" i="13" s="1"/>
  <c r="AG107" i="13"/>
  <c r="AK107" i="13" s="1"/>
  <c r="AY103" i="13"/>
  <c r="AH103" i="13"/>
  <c r="AL103" i="13" s="1"/>
  <c r="AI103" i="13"/>
  <c r="AJ103" i="13"/>
  <c r="AN103" i="13" s="1"/>
  <c r="AG103" i="13"/>
  <c r="AK103" i="13" s="1"/>
  <c r="AY99" i="13"/>
  <c r="AH99" i="13"/>
  <c r="AL99" i="13" s="1"/>
  <c r="AI99" i="13"/>
  <c r="AJ99" i="13"/>
  <c r="AN99" i="13" s="1"/>
  <c r="AG99" i="13"/>
  <c r="AK99" i="13" s="1"/>
  <c r="AY95" i="13"/>
  <c r="AH95" i="13"/>
  <c r="AL95" i="13" s="1"/>
  <c r="AI95" i="13"/>
  <c r="AJ95" i="13"/>
  <c r="AN95" i="13" s="1"/>
  <c r="AG95" i="13"/>
  <c r="AK95" i="13" s="1"/>
  <c r="AY91" i="13"/>
  <c r="AH91" i="13"/>
  <c r="AL91" i="13" s="1"/>
  <c r="AI91" i="13"/>
  <c r="AJ91" i="13"/>
  <c r="AN91" i="13" s="1"/>
  <c r="AG91" i="13"/>
  <c r="AK91" i="13" s="1"/>
  <c r="AY87" i="13"/>
  <c r="AH87" i="13"/>
  <c r="AL87" i="13" s="1"/>
  <c r="AI87" i="13"/>
  <c r="AJ87" i="13"/>
  <c r="AN87" i="13" s="1"/>
  <c r="AG87" i="13"/>
  <c r="AK87" i="13" s="1"/>
  <c r="AY83" i="13"/>
  <c r="AH83" i="13"/>
  <c r="AL83" i="13" s="1"/>
  <c r="AI83" i="13"/>
  <c r="AJ83" i="13"/>
  <c r="AN83" i="13" s="1"/>
  <c r="AG83" i="13"/>
  <c r="AK83" i="13" s="1"/>
  <c r="AY79" i="13"/>
  <c r="AH79" i="13"/>
  <c r="AL79" i="13" s="1"/>
  <c r="AI79" i="13"/>
  <c r="AJ79" i="13"/>
  <c r="AN79" i="13" s="1"/>
  <c r="AG79" i="13"/>
  <c r="AK79" i="13" s="1"/>
  <c r="AY75" i="13"/>
  <c r="AH75" i="13"/>
  <c r="AL75" i="13" s="1"/>
  <c r="AI75" i="13"/>
  <c r="AJ75" i="13"/>
  <c r="AN75" i="13" s="1"/>
  <c r="AG75" i="13"/>
  <c r="AK75" i="13" s="1"/>
  <c r="AY71" i="13"/>
  <c r="AJ71" i="13"/>
  <c r="AN71" i="13" s="1"/>
  <c r="AG71" i="13"/>
  <c r="AK71" i="13" s="1"/>
  <c r="AH71" i="13"/>
  <c r="AL71" i="13" s="1"/>
  <c r="AI71" i="13"/>
  <c r="AY67" i="13"/>
  <c r="AJ67" i="13"/>
  <c r="AN67" i="13" s="1"/>
  <c r="AG67" i="13"/>
  <c r="AK67" i="13" s="1"/>
  <c r="AH67" i="13"/>
  <c r="AL67" i="13" s="1"/>
  <c r="AI67" i="13"/>
  <c r="AY63" i="13"/>
  <c r="AJ63" i="13"/>
  <c r="AN63" i="13" s="1"/>
  <c r="AG63" i="13"/>
  <c r="AK63" i="13" s="1"/>
  <c r="AH63" i="13"/>
  <c r="AL63" i="13" s="1"/>
  <c r="AI63" i="13"/>
  <c r="AY59" i="13"/>
  <c r="AJ59" i="13"/>
  <c r="AN59" i="13" s="1"/>
  <c r="AG59" i="13"/>
  <c r="AK59" i="13" s="1"/>
  <c r="AH59" i="13"/>
  <c r="AL59" i="13" s="1"/>
  <c r="AI59" i="13"/>
  <c r="AY55" i="13"/>
  <c r="AJ55" i="13"/>
  <c r="AN55" i="13" s="1"/>
  <c r="AG55" i="13"/>
  <c r="AK55" i="13" s="1"/>
  <c r="AH55" i="13"/>
  <c r="AL55" i="13" s="1"/>
  <c r="AI55" i="13"/>
  <c r="AY51" i="13"/>
  <c r="AJ51" i="13"/>
  <c r="AN51" i="13" s="1"/>
  <c r="AG51" i="13"/>
  <c r="AK51" i="13" s="1"/>
  <c r="AH51" i="13"/>
  <c r="AL51" i="13" s="1"/>
  <c r="AI51" i="13"/>
  <c r="AY47" i="13"/>
  <c r="AJ47" i="13"/>
  <c r="AN47" i="13" s="1"/>
  <c r="AG47" i="13"/>
  <c r="AK47" i="13" s="1"/>
  <c r="AH47" i="13"/>
  <c r="AL47" i="13" s="1"/>
  <c r="AI47" i="13"/>
  <c r="AY43" i="13"/>
  <c r="AJ43" i="13"/>
  <c r="AN43" i="13" s="1"/>
  <c r="AG43" i="13"/>
  <c r="AK43" i="13" s="1"/>
  <c r="AH43" i="13"/>
  <c r="AL43" i="13" s="1"/>
  <c r="AI43" i="13"/>
  <c r="AY39" i="13"/>
  <c r="AJ39" i="13"/>
  <c r="AN39" i="13" s="1"/>
  <c r="AG39" i="13"/>
  <c r="AK39" i="13" s="1"/>
  <c r="AH39" i="13"/>
  <c r="AL39" i="13" s="1"/>
  <c r="AI39" i="13"/>
  <c r="AY35" i="13"/>
  <c r="AJ35" i="13"/>
  <c r="AN35" i="13" s="1"/>
  <c r="AG35" i="13"/>
  <c r="AK35" i="13" s="1"/>
  <c r="AH35" i="13"/>
  <c r="AL35" i="13" s="1"/>
  <c r="AI35" i="13"/>
  <c r="AY31" i="13"/>
  <c r="AJ31" i="13"/>
  <c r="AN31" i="13" s="1"/>
  <c r="AG31" i="13"/>
  <c r="AK31" i="13" s="1"/>
  <c r="AH31" i="13"/>
  <c r="AL31" i="13" s="1"/>
  <c r="AI31" i="13"/>
  <c r="AY27" i="13"/>
  <c r="AJ27" i="13"/>
  <c r="AN27" i="13" s="1"/>
  <c r="AG27" i="13"/>
  <c r="AK27" i="13" s="1"/>
  <c r="AH27" i="13"/>
  <c r="AL27" i="13" s="1"/>
  <c r="AI27" i="13"/>
  <c r="AY23" i="13"/>
  <c r="AJ23" i="13"/>
  <c r="AN23" i="13" s="1"/>
  <c r="AG23" i="13"/>
  <c r="AK23" i="13" s="1"/>
  <c r="AH23" i="13"/>
  <c r="AL23" i="13" s="1"/>
  <c r="AI23" i="13"/>
  <c r="AY19" i="13"/>
  <c r="AJ19" i="13"/>
  <c r="AN19" i="13" s="1"/>
  <c r="AG19" i="13"/>
  <c r="AK19" i="13" s="1"/>
  <c r="AH19" i="13"/>
  <c r="AL19" i="13" s="1"/>
  <c r="AI19" i="13"/>
  <c r="AY15" i="13"/>
  <c r="AJ15" i="13"/>
  <c r="AN15" i="13" s="1"/>
  <c r="AG15" i="13"/>
  <c r="AK15" i="13" s="1"/>
  <c r="AH15" i="13"/>
  <c r="AL15" i="13" s="1"/>
  <c r="AI15" i="13"/>
  <c r="AY11" i="13"/>
  <c r="AJ11" i="13"/>
  <c r="AN11" i="13" s="1"/>
  <c r="AG11" i="13"/>
  <c r="AK11" i="13" s="1"/>
  <c r="AH11" i="13"/>
  <c r="AL11" i="13" s="1"/>
  <c r="AI11" i="13"/>
  <c r="AY7" i="13"/>
  <c r="AJ7" i="13"/>
  <c r="AN7" i="13" s="1"/>
  <c r="AG7" i="13"/>
  <c r="AK7" i="13" s="1"/>
  <c r="AH7" i="13"/>
  <c r="AL7" i="13" s="1"/>
  <c r="AI7" i="13"/>
  <c r="AY244" i="13"/>
  <c r="AY243" i="13"/>
  <c r="AY246" i="13"/>
  <c r="AY245" i="13"/>
  <c r="C684" i="3"/>
  <c r="C692" i="3"/>
  <c r="C680" i="3"/>
  <c r="C700" i="3"/>
  <c r="C696" i="3"/>
  <c r="D696" i="3" s="1"/>
  <c r="C688" i="3"/>
  <c r="C676" i="3"/>
  <c r="D676" i="3" s="1"/>
  <c r="C480" i="3"/>
  <c r="D480" i="3" s="1"/>
  <c r="C476" i="3"/>
  <c r="C472" i="3"/>
  <c r="D472" i="3" s="1"/>
  <c r="C468" i="3"/>
  <c r="C464" i="3"/>
  <c r="C460" i="3"/>
  <c r="C456" i="3"/>
  <c r="C452" i="3"/>
  <c r="D452" i="3" s="1"/>
  <c r="C448" i="3"/>
  <c r="C444" i="3"/>
  <c r="D444" i="3" s="1"/>
  <c r="C440" i="3"/>
  <c r="C436" i="3"/>
  <c r="C432" i="3"/>
  <c r="C428" i="3"/>
  <c r="C424" i="3"/>
  <c r="D424" i="3" s="1"/>
  <c r="C420" i="3"/>
  <c r="C416" i="3"/>
  <c r="D416" i="3" s="1"/>
  <c r="C412" i="3"/>
  <c r="C408" i="3"/>
  <c r="C404" i="3"/>
  <c r="C400" i="3"/>
  <c r="C396" i="3"/>
  <c r="D396" i="3" s="1"/>
  <c r="C392" i="3"/>
  <c r="C388" i="3"/>
  <c r="D388" i="3" s="1"/>
  <c r="C384" i="3"/>
  <c r="C380" i="3"/>
  <c r="C376" i="3"/>
  <c r="C372" i="3"/>
  <c r="C368" i="3"/>
  <c r="D368" i="3" s="1"/>
  <c r="C364" i="3"/>
  <c r="C360" i="3"/>
  <c r="D360" i="3" s="1"/>
  <c r="C356" i="3"/>
  <c r="C352" i="3"/>
  <c r="C348" i="3"/>
  <c r="C344" i="3"/>
  <c r="C340" i="3"/>
  <c r="D340" i="3" s="1"/>
  <c r="C336" i="3"/>
  <c r="C332" i="3"/>
  <c r="D332" i="3" s="1"/>
  <c r="C328" i="3"/>
  <c r="C324" i="3"/>
  <c r="C320" i="3"/>
  <c r="C316" i="3"/>
  <c r="C312" i="3"/>
  <c r="D312" i="3" s="1"/>
  <c r="C308" i="3"/>
  <c r="C304" i="3"/>
  <c r="D304" i="3" s="1"/>
  <c r="C300" i="3"/>
  <c r="C296" i="3"/>
  <c r="C292" i="3"/>
  <c r="C288" i="3"/>
  <c r="C284" i="3"/>
  <c r="D284" i="3" s="1"/>
  <c r="C280" i="3"/>
  <c r="C276" i="3"/>
  <c r="D276" i="3" s="1"/>
  <c r="C272" i="3"/>
  <c r="C268" i="3"/>
  <c r="C264" i="3"/>
  <c r="C260" i="3"/>
  <c r="C256" i="3"/>
  <c r="D256" i="3" s="1"/>
  <c r="C252" i="3"/>
  <c r="C248" i="3"/>
  <c r="D248" i="3" s="1"/>
  <c r="C672" i="3"/>
  <c r="C660" i="3"/>
  <c r="C652" i="3"/>
  <c r="C640" i="3"/>
  <c r="D640" i="3" s="1"/>
  <c r="C628" i="3"/>
  <c r="C616" i="3"/>
  <c r="C604" i="3"/>
  <c r="C592" i="3"/>
  <c r="D592" i="3" s="1"/>
  <c r="C584" i="3"/>
  <c r="D584" i="3" s="1"/>
  <c r="C568" i="3"/>
  <c r="C556" i="3"/>
  <c r="D556" i="3" s="1"/>
  <c r="C544" i="3"/>
  <c r="C532" i="3"/>
  <c r="C520" i="3"/>
  <c r="C508" i="3"/>
  <c r="D508" i="3" s="1"/>
  <c r="C496" i="3"/>
  <c r="C492" i="3"/>
  <c r="C695" i="3"/>
  <c r="C683" i="3"/>
  <c r="D683" i="3" s="1"/>
  <c r="C671" i="3"/>
  <c r="C663" i="3"/>
  <c r="C659" i="3"/>
  <c r="C655" i="3"/>
  <c r="D655" i="3" s="1"/>
  <c r="C643" i="3"/>
  <c r="C639" i="3"/>
  <c r="C635" i="3"/>
  <c r="C631" i="3"/>
  <c r="C627" i="3"/>
  <c r="D627" i="3" s="1"/>
  <c r="C623" i="3"/>
  <c r="C619" i="3"/>
  <c r="D619" i="3" s="1"/>
  <c r="C615" i="3"/>
  <c r="C611" i="3"/>
  <c r="C607" i="3"/>
  <c r="C603" i="3"/>
  <c r="C599" i="3"/>
  <c r="D599" i="3" s="1"/>
  <c r="C595" i="3"/>
  <c r="C591" i="3"/>
  <c r="D591" i="3" s="1"/>
  <c r="C587" i="3"/>
  <c r="C583" i="3"/>
  <c r="C579" i="3"/>
  <c r="C575" i="3"/>
  <c r="C571" i="3"/>
  <c r="D571" i="3" s="1"/>
  <c r="C567" i="3"/>
  <c r="C563" i="3"/>
  <c r="D563" i="3" s="1"/>
  <c r="C559" i="3"/>
  <c r="C555" i="3"/>
  <c r="C551" i="3"/>
  <c r="C547" i="3"/>
  <c r="C543" i="3"/>
  <c r="D543" i="3" s="1"/>
  <c r="C539" i="3"/>
  <c r="C535" i="3"/>
  <c r="D535" i="3" s="1"/>
  <c r="C531" i="3"/>
  <c r="C527" i="3"/>
  <c r="C523" i="3"/>
  <c r="C519" i="3"/>
  <c r="C515" i="3"/>
  <c r="D515" i="3" s="1"/>
  <c r="C511" i="3"/>
  <c r="C507" i="3"/>
  <c r="D507" i="3" s="1"/>
  <c r="C503" i="3"/>
  <c r="C499" i="3"/>
  <c r="C495" i="3"/>
  <c r="C491" i="3"/>
  <c r="C487" i="3"/>
  <c r="D487" i="3" s="1"/>
  <c r="C483" i="3"/>
  <c r="C479" i="3"/>
  <c r="D479" i="3" s="1"/>
  <c r="C475" i="3"/>
  <c r="C471" i="3"/>
  <c r="C467" i="3"/>
  <c r="C463" i="3"/>
  <c r="C459" i="3"/>
  <c r="D459" i="3" s="1"/>
  <c r="C455" i="3"/>
  <c r="C451" i="3"/>
  <c r="D451" i="3" s="1"/>
  <c r="C447" i="3"/>
  <c r="C443" i="3"/>
  <c r="C439" i="3"/>
  <c r="C435" i="3"/>
  <c r="C431" i="3"/>
  <c r="D431" i="3" s="1"/>
  <c r="C427" i="3"/>
  <c r="C423" i="3"/>
  <c r="D423" i="3" s="1"/>
  <c r="C419" i="3"/>
  <c r="C415" i="3"/>
  <c r="C411" i="3"/>
  <c r="C407" i="3"/>
  <c r="C403" i="3"/>
  <c r="D403" i="3" s="1"/>
  <c r="C399" i="3"/>
  <c r="C395" i="3"/>
  <c r="D395" i="3" s="1"/>
  <c r="C391" i="3"/>
  <c r="C387" i="3"/>
  <c r="C383" i="3"/>
  <c r="C379" i="3"/>
  <c r="C375" i="3"/>
  <c r="D375" i="3" s="1"/>
  <c r="C371" i="3"/>
  <c r="C367" i="3"/>
  <c r="D367" i="3" s="1"/>
  <c r="C363" i="3"/>
  <c r="C359" i="3"/>
  <c r="C355" i="3"/>
  <c r="C351" i="3"/>
  <c r="C347" i="3"/>
  <c r="D347" i="3" s="1"/>
  <c r="C343" i="3"/>
  <c r="C339" i="3"/>
  <c r="D339" i="3" s="1"/>
  <c r="C335" i="3"/>
  <c r="C331" i="3"/>
  <c r="C327" i="3"/>
  <c r="C323" i="3"/>
  <c r="C319" i="3"/>
  <c r="D319" i="3" s="1"/>
  <c r="C315" i="3"/>
  <c r="C311" i="3"/>
  <c r="D311" i="3" s="1"/>
  <c r="C307" i="3"/>
  <c r="C303" i="3"/>
  <c r="C299" i="3"/>
  <c r="C295" i="3"/>
  <c r="C291" i="3"/>
  <c r="D291" i="3" s="1"/>
  <c r="C287" i="3"/>
  <c r="C283" i="3"/>
  <c r="D283" i="3" s="1"/>
  <c r="C279" i="3"/>
  <c r="C275" i="3"/>
  <c r="C271" i="3"/>
  <c r="C267" i="3"/>
  <c r="C263" i="3"/>
  <c r="D263" i="3" s="1"/>
  <c r="C259" i="3"/>
  <c r="C255" i="3"/>
  <c r="D255" i="3" s="1"/>
  <c r="C251" i="3"/>
  <c r="C247" i="3"/>
  <c r="C664" i="3"/>
  <c r="C648" i="3"/>
  <c r="D648" i="3" s="1"/>
  <c r="C636" i="3"/>
  <c r="C624" i="3"/>
  <c r="C612" i="3"/>
  <c r="D612" i="3" s="1"/>
  <c r="C600" i="3"/>
  <c r="C588" i="3"/>
  <c r="C576" i="3"/>
  <c r="C564" i="3"/>
  <c r="D564" i="3" s="1"/>
  <c r="C552" i="3"/>
  <c r="C540" i="3"/>
  <c r="C528" i="3"/>
  <c r="D528" i="3" s="1"/>
  <c r="C516" i="3"/>
  <c r="C504" i="3"/>
  <c r="C488" i="3"/>
  <c r="C699" i="3"/>
  <c r="C687" i="3"/>
  <c r="C675" i="3"/>
  <c r="D675" i="3" s="1"/>
  <c r="C651" i="3"/>
  <c r="C698" i="3"/>
  <c r="C694" i="3"/>
  <c r="C690" i="3"/>
  <c r="D690" i="3" s="1"/>
  <c r="C686" i="3"/>
  <c r="C682" i="3"/>
  <c r="D682" i="3" s="1"/>
  <c r="C678" i="3"/>
  <c r="C674" i="3"/>
  <c r="C670" i="3"/>
  <c r="C666" i="3"/>
  <c r="C662" i="3"/>
  <c r="D662" i="3" s="1"/>
  <c r="C658" i="3"/>
  <c r="C654" i="3"/>
  <c r="D654" i="3" s="1"/>
  <c r="C650" i="3"/>
  <c r="C646" i="3"/>
  <c r="C642" i="3"/>
  <c r="C638" i="3"/>
  <c r="C634" i="3"/>
  <c r="D634" i="3" s="1"/>
  <c r="C630" i="3"/>
  <c r="C626" i="3"/>
  <c r="D626" i="3" s="1"/>
  <c r="C622" i="3"/>
  <c r="C618" i="3"/>
  <c r="C614" i="3"/>
  <c r="C610" i="3"/>
  <c r="C606" i="3"/>
  <c r="D606" i="3" s="1"/>
  <c r="C602" i="3"/>
  <c r="C598" i="3"/>
  <c r="D598" i="3" s="1"/>
  <c r="C594" i="3"/>
  <c r="C590" i="3"/>
  <c r="C586" i="3"/>
  <c r="C582" i="3"/>
  <c r="C578" i="3"/>
  <c r="D578" i="3" s="1"/>
  <c r="C574" i="3"/>
  <c r="C570" i="3"/>
  <c r="D570" i="3" s="1"/>
  <c r="C566" i="3"/>
  <c r="C562" i="3"/>
  <c r="C558" i="3"/>
  <c r="C554" i="3"/>
  <c r="C550" i="3"/>
  <c r="D550" i="3" s="1"/>
  <c r="C546" i="3"/>
  <c r="C542" i="3"/>
  <c r="D542" i="3" s="1"/>
  <c r="C538" i="3"/>
  <c r="C534" i="3"/>
  <c r="C530" i="3"/>
  <c r="C526" i="3"/>
  <c r="C522" i="3"/>
  <c r="D522" i="3" s="1"/>
  <c r="C518" i="3"/>
  <c r="C514" i="3"/>
  <c r="D514" i="3" s="1"/>
  <c r="C510" i="3"/>
  <c r="C506" i="3"/>
  <c r="C502" i="3"/>
  <c r="C498" i="3"/>
  <c r="C494" i="3"/>
  <c r="D494" i="3" s="1"/>
  <c r="C490" i="3"/>
  <c r="C486" i="3"/>
  <c r="D486" i="3" s="1"/>
  <c r="C482" i="3"/>
  <c r="C478" i="3"/>
  <c r="C474" i="3"/>
  <c r="C470" i="3"/>
  <c r="C466" i="3"/>
  <c r="D466" i="3" s="1"/>
  <c r="C462" i="3"/>
  <c r="C458" i="3"/>
  <c r="D458" i="3" s="1"/>
  <c r="C454" i="3"/>
  <c r="C450" i="3"/>
  <c r="C446" i="3"/>
  <c r="C442" i="3"/>
  <c r="C438" i="3"/>
  <c r="D438" i="3" s="1"/>
  <c r="C434" i="3"/>
  <c r="C430" i="3"/>
  <c r="D430" i="3" s="1"/>
  <c r="C426" i="3"/>
  <c r="C422" i="3"/>
  <c r="C418" i="3"/>
  <c r="C414" i="3"/>
  <c r="C410" i="3"/>
  <c r="D410" i="3" s="1"/>
  <c r="C406" i="3"/>
  <c r="C402" i="3"/>
  <c r="D402" i="3" s="1"/>
  <c r="C398" i="3"/>
  <c r="C394" i="3"/>
  <c r="C390" i="3"/>
  <c r="C386" i="3"/>
  <c r="C382" i="3"/>
  <c r="D382" i="3" s="1"/>
  <c r="C378" i="3"/>
  <c r="C374" i="3"/>
  <c r="D374" i="3" s="1"/>
  <c r="C370" i="3"/>
  <c r="C366" i="3"/>
  <c r="C362" i="3"/>
  <c r="C358" i="3"/>
  <c r="C354" i="3"/>
  <c r="D354" i="3" s="1"/>
  <c r="C350" i="3"/>
  <c r="C346" i="3"/>
  <c r="D346" i="3" s="1"/>
  <c r="C342" i="3"/>
  <c r="C338" i="3"/>
  <c r="C334" i="3"/>
  <c r="C330" i="3"/>
  <c r="C326" i="3"/>
  <c r="D326" i="3" s="1"/>
  <c r="C322" i="3"/>
  <c r="C318" i="3"/>
  <c r="D318" i="3" s="1"/>
  <c r="C314" i="3"/>
  <c r="C310" i="3"/>
  <c r="C306" i="3"/>
  <c r="C302" i="3"/>
  <c r="C298" i="3"/>
  <c r="D298" i="3" s="1"/>
  <c r="C294" i="3"/>
  <c r="C290" i="3"/>
  <c r="D290" i="3" s="1"/>
  <c r="C286" i="3"/>
  <c r="C282" i="3"/>
  <c r="C278" i="3"/>
  <c r="C274" i="3"/>
  <c r="C270" i="3"/>
  <c r="D270" i="3" s="1"/>
  <c r="C266" i="3"/>
  <c r="C262" i="3"/>
  <c r="D262" i="3" s="1"/>
  <c r="C258" i="3"/>
  <c r="C254" i="3"/>
  <c r="C250" i="3"/>
  <c r="C668" i="3"/>
  <c r="D668" i="3" s="1"/>
  <c r="C656" i="3"/>
  <c r="C644" i="3"/>
  <c r="C632" i="3"/>
  <c r="C620" i="3"/>
  <c r="D620" i="3" s="1"/>
  <c r="C608" i="3"/>
  <c r="C596" i="3"/>
  <c r="C580" i="3"/>
  <c r="C572" i="3"/>
  <c r="C560" i="3"/>
  <c r="C548" i="3"/>
  <c r="C536" i="3"/>
  <c r="D536" i="3" s="1"/>
  <c r="C524" i="3"/>
  <c r="C512" i="3"/>
  <c r="C500" i="3"/>
  <c r="D500" i="3" s="1"/>
  <c r="C484" i="3"/>
  <c r="C691" i="3"/>
  <c r="C679" i="3"/>
  <c r="C667" i="3"/>
  <c r="C647" i="3"/>
  <c r="D647" i="3" s="1"/>
  <c r="C701" i="3"/>
  <c r="C697" i="3"/>
  <c r="D697" i="3" s="1"/>
  <c r="C693" i="3"/>
  <c r="C689" i="3"/>
  <c r="D689" i="3" s="1"/>
  <c r="C685" i="3"/>
  <c r="C681" i="3"/>
  <c r="C677" i="3"/>
  <c r="C673" i="3"/>
  <c r="C669" i="3"/>
  <c r="D669" i="3" s="1"/>
  <c r="C665" i="3"/>
  <c r="C661" i="3"/>
  <c r="D661" i="3" s="1"/>
  <c r="C657" i="3"/>
  <c r="C653" i="3"/>
  <c r="C649" i="3"/>
  <c r="C645" i="3"/>
  <c r="C641" i="3"/>
  <c r="D641" i="3" s="1"/>
  <c r="C637" i="3"/>
  <c r="C633" i="3"/>
  <c r="D633" i="3" s="1"/>
  <c r="C629" i="3"/>
  <c r="C625" i="3"/>
  <c r="C621" i="3"/>
  <c r="C617" i="3"/>
  <c r="C613" i="3"/>
  <c r="D613" i="3" s="1"/>
  <c r="C609" i="3"/>
  <c r="C605" i="3"/>
  <c r="D605" i="3" s="1"/>
  <c r="C601" i="3"/>
  <c r="C597" i="3"/>
  <c r="C593" i="3"/>
  <c r="C589" i="3"/>
  <c r="C585" i="3"/>
  <c r="D585" i="3" s="1"/>
  <c r="C581" i="3"/>
  <c r="C577" i="3"/>
  <c r="D577" i="3" s="1"/>
  <c r="C573" i="3"/>
  <c r="C569" i="3"/>
  <c r="C565" i="3"/>
  <c r="C561" i="3"/>
  <c r="C557" i="3"/>
  <c r="D557" i="3" s="1"/>
  <c r="C553" i="3"/>
  <c r="C549" i="3"/>
  <c r="D549" i="3" s="1"/>
  <c r="C545" i="3"/>
  <c r="C541" i="3"/>
  <c r="C537" i="3"/>
  <c r="C533" i="3"/>
  <c r="C529" i="3"/>
  <c r="D529" i="3" s="1"/>
  <c r="C525" i="3"/>
  <c r="C521" i="3"/>
  <c r="D521" i="3" s="1"/>
  <c r="C517" i="3"/>
  <c r="C513" i="3"/>
  <c r="C509" i="3"/>
  <c r="C505" i="3"/>
  <c r="C501" i="3"/>
  <c r="D501" i="3" s="1"/>
  <c r="C497" i="3"/>
  <c r="C493" i="3"/>
  <c r="D493" i="3" s="1"/>
  <c r="C489" i="3"/>
  <c r="C485" i="3"/>
  <c r="C481" i="3"/>
  <c r="C477" i="3"/>
  <c r="C473" i="3"/>
  <c r="D473" i="3" s="1"/>
  <c r="C469" i="3"/>
  <c r="C465" i="3"/>
  <c r="D465" i="3" s="1"/>
  <c r="C461" i="3"/>
  <c r="C457" i="3"/>
  <c r="C453" i="3"/>
  <c r="C449" i="3"/>
  <c r="C445" i="3"/>
  <c r="D445" i="3" s="1"/>
  <c r="C441" i="3"/>
  <c r="C437" i="3"/>
  <c r="D437" i="3" s="1"/>
  <c r="C433" i="3"/>
  <c r="C429" i="3"/>
  <c r="C425" i="3"/>
  <c r="C421" i="3"/>
  <c r="C417" i="3"/>
  <c r="D417" i="3" s="1"/>
  <c r="C413" i="3"/>
  <c r="C409" i="3"/>
  <c r="D409" i="3" s="1"/>
  <c r="C405" i="3"/>
  <c r="C401" i="3"/>
  <c r="C397" i="3"/>
  <c r="C393" i="3"/>
  <c r="C389" i="3"/>
  <c r="D389" i="3" s="1"/>
  <c r="C385" i="3"/>
  <c r="C381" i="3"/>
  <c r="D381" i="3" s="1"/>
  <c r="C377" i="3"/>
  <c r="C373" i="3"/>
  <c r="C369" i="3"/>
  <c r="C365" i="3"/>
  <c r="C361" i="3"/>
  <c r="D361" i="3" s="1"/>
  <c r="C357" i="3"/>
  <c r="C353" i="3"/>
  <c r="D353" i="3" s="1"/>
  <c r="C349" i="3"/>
  <c r="C345" i="3"/>
  <c r="C341" i="3"/>
  <c r="C337" i="3"/>
  <c r="C333" i="3"/>
  <c r="D333" i="3" s="1"/>
  <c r="C329" i="3"/>
  <c r="C325" i="3"/>
  <c r="D325" i="3" s="1"/>
  <c r="C321" i="3"/>
  <c r="C317" i="3"/>
  <c r="C313" i="3"/>
  <c r="C309" i="3"/>
  <c r="C305" i="3"/>
  <c r="D305" i="3" s="1"/>
  <c r="C301" i="3"/>
  <c r="C297" i="3"/>
  <c r="D297" i="3" s="1"/>
  <c r="C293" i="3"/>
  <c r="C289" i="3"/>
  <c r="C285" i="3"/>
  <c r="C281" i="3"/>
  <c r="C277" i="3"/>
  <c r="D277" i="3" s="1"/>
  <c r="C273" i="3"/>
  <c r="C269" i="3"/>
  <c r="D269" i="3" s="1"/>
  <c r="C265" i="3"/>
  <c r="C261" i="3"/>
  <c r="C257" i="3"/>
  <c r="C253" i="3"/>
  <c r="C249" i="3"/>
  <c r="D249" i="3" s="1"/>
  <c r="T3" i="2"/>
  <c r="T4" i="2"/>
  <c r="T5" i="2"/>
  <c r="T2" i="2"/>
  <c r="M40" i="16" l="1"/>
  <c r="B43" i="16"/>
  <c r="D42" i="16"/>
  <c r="H42" i="16"/>
  <c r="G42" i="16"/>
  <c r="I42" i="16" s="1"/>
  <c r="W42" i="16" s="1"/>
  <c r="Q41" i="16"/>
  <c r="P41" i="16"/>
  <c r="R40" i="16"/>
  <c r="X40" i="16" s="1"/>
  <c r="K42" i="16"/>
  <c r="BB91" i="13"/>
  <c r="BF91" i="13"/>
  <c r="BJ91" i="13"/>
  <c r="BN91" i="13"/>
  <c r="BC91" i="13"/>
  <c r="BG91" i="13"/>
  <c r="BK91" i="13"/>
  <c r="BO91" i="13"/>
  <c r="BA91" i="13"/>
  <c r="BE91" i="13"/>
  <c r="BI91" i="13"/>
  <c r="BM91" i="13"/>
  <c r="AZ91" i="13"/>
  <c r="BP91" i="13"/>
  <c r="BD91" i="13"/>
  <c r="BL91" i="13"/>
  <c r="BH91" i="13"/>
  <c r="BA107" i="13"/>
  <c r="BE107" i="13"/>
  <c r="BI107" i="13"/>
  <c r="BM107" i="13"/>
  <c r="BB107" i="13"/>
  <c r="BG107" i="13"/>
  <c r="BL107" i="13"/>
  <c r="BC107" i="13"/>
  <c r="BH107" i="13"/>
  <c r="BN107" i="13"/>
  <c r="AZ107" i="13"/>
  <c r="BF107" i="13"/>
  <c r="BK107" i="13"/>
  <c r="BP107" i="13"/>
  <c r="BJ107" i="13"/>
  <c r="BO107" i="13"/>
  <c r="BD107" i="13"/>
  <c r="BS123" i="13"/>
  <c r="BA123" i="13"/>
  <c r="BE123" i="13"/>
  <c r="BI123" i="13"/>
  <c r="BM123" i="13"/>
  <c r="BB123" i="13"/>
  <c r="BG123" i="13"/>
  <c r="BL123" i="13"/>
  <c r="BC123" i="13"/>
  <c r="BH123" i="13"/>
  <c r="BN123" i="13"/>
  <c r="AZ123" i="13"/>
  <c r="BF123" i="13"/>
  <c r="BK123" i="13"/>
  <c r="BP123" i="13"/>
  <c r="BO123" i="13"/>
  <c r="BJ123" i="13"/>
  <c r="BD123" i="13"/>
  <c r="BA139" i="13"/>
  <c r="BE139" i="13"/>
  <c r="BI139" i="13"/>
  <c r="BM139" i="13"/>
  <c r="AZ139" i="13"/>
  <c r="BF139" i="13"/>
  <c r="BK139" i="13"/>
  <c r="BP139" i="13"/>
  <c r="BC139" i="13"/>
  <c r="BJ139" i="13"/>
  <c r="BD139" i="13"/>
  <c r="BL139" i="13"/>
  <c r="BB139" i="13"/>
  <c r="BH139" i="13"/>
  <c r="BO139" i="13"/>
  <c r="BN139" i="13"/>
  <c r="BG139" i="13"/>
  <c r="BC155" i="13"/>
  <c r="BG155" i="13"/>
  <c r="BK155" i="13"/>
  <c r="BO155" i="13"/>
  <c r="BD155" i="13"/>
  <c r="BI155" i="13"/>
  <c r="BN155" i="13"/>
  <c r="AZ155" i="13"/>
  <c r="BE155" i="13"/>
  <c r="BJ155" i="13"/>
  <c r="BP155" i="13"/>
  <c r="BB155" i="13"/>
  <c r="BH155" i="13"/>
  <c r="BM155" i="13"/>
  <c r="BL155" i="13"/>
  <c r="BF155" i="13"/>
  <c r="BA155" i="13"/>
  <c r="BS171" i="13"/>
  <c r="BC171" i="13"/>
  <c r="BG171" i="13"/>
  <c r="BK171" i="13"/>
  <c r="BO171" i="13"/>
  <c r="BD171" i="13"/>
  <c r="BI171" i="13"/>
  <c r="BN171" i="13"/>
  <c r="AZ171" i="13"/>
  <c r="BE171" i="13"/>
  <c r="BJ171" i="13"/>
  <c r="BP171" i="13"/>
  <c r="BB171" i="13"/>
  <c r="BH171" i="13"/>
  <c r="BM171" i="13"/>
  <c r="BA171" i="13"/>
  <c r="BL171" i="13"/>
  <c r="BF171" i="13"/>
  <c r="AZ203" i="13"/>
  <c r="BD203" i="13"/>
  <c r="BH203" i="13"/>
  <c r="BL203" i="13"/>
  <c r="BP203" i="13"/>
  <c r="BB203" i="13"/>
  <c r="BG203" i="13"/>
  <c r="BM203" i="13"/>
  <c r="BC203" i="13"/>
  <c r="BI203" i="13"/>
  <c r="BN203" i="13"/>
  <c r="BA203" i="13"/>
  <c r="BF203" i="13"/>
  <c r="BK203" i="13"/>
  <c r="BE203" i="13"/>
  <c r="BJ203" i="13"/>
  <c r="BO203" i="13"/>
  <c r="BC383" i="13"/>
  <c r="BG383" i="13"/>
  <c r="BK383" i="13"/>
  <c r="BO383" i="13"/>
  <c r="BD383" i="13"/>
  <c r="BI383" i="13"/>
  <c r="BN383" i="13"/>
  <c r="AZ383" i="13"/>
  <c r="BE383" i="13"/>
  <c r="BJ383" i="13"/>
  <c r="BP383" i="13"/>
  <c r="BB383" i="13"/>
  <c r="BH383" i="13"/>
  <c r="BM383" i="13"/>
  <c r="BA383" i="13"/>
  <c r="BL383" i="13"/>
  <c r="BF383" i="13"/>
  <c r="BS431" i="13"/>
  <c r="AZ431" i="13"/>
  <c r="BD431" i="13"/>
  <c r="BH431" i="13"/>
  <c r="BL431" i="13"/>
  <c r="BP431" i="13"/>
  <c r="BA431" i="13"/>
  <c r="BE431" i="13"/>
  <c r="BI431" i="13"/>
  <c r="BM431" i="13"/>
  <c r="BC431" i="13"/>
  <c r="BG431" i="13"/>
  <c r="BK431" i="13"/>
  <c r="BO431" i="13"/>
  <c r="BJ431" i="13"/>
  <c r="BB431" i="13"/>
  <c r="BF431" i="13"/>
  <c r="BN431" i="13"/>
  <c r="AZ447" i="13"/>
  <c r="BD447" i="13"/>
  <c r="BH447" i="13"/>
  <c r="BL447" i="13"/>
  <c r="BP447" i="13"/>
  <c r="BA447" i="13"/>
  <c r="BE447" i="13"/>
  <c r="BI447" i="13"/>
  <c r="BM447" i="13"/>
  <c r="BC447" i="13"/>
  <c r="BG447" i="13"/>
  <c r="BK447" i="13"/>
  <c r="BO447" i="13"/>
  <c r="BJ447" i="13"/>
  <c r="BB447" i="13"/>
  <c r="BF447" i="13"/>
  <c r="BN447" i="13"/>
  <c r="BS479" i="13"/>
  <c r="AZ479" i="13"/>
  <c r="BA479" i="13"/>
  <c r="BE479" i="13"/>
  <c r="BC479" i="13"/>
  <c r="BG479" i="13"/>
  <c r="BK479" i="13"/>
  <c r="BO479" i="13"/>
  <c r="BF479" i="13"/>
  <c r="BL479" i="13"/>
  <c r="BB479" i="13"/>
  <c r="BI479" i="13"/>
  <c r="BN479" i="13"/>
  <c r="BD479" i="13"/>
  <c r="BP479" i="13"/>
  <c r="BH479" i="13"/>
  <c r="BJ479" i="13"/>
  <c r="BM479" i="13"/>
  <c r="BA527" i="13"/>
  <c r="BE527" i="13"/>
  <c r="BI527" i="13"/>
  <c r="BM527" i="13"/>
  <c r="BC527" i="13"/>
  <c r="BG527" i="13"/>
  <c r="BK527" i="13"/>
  <c r="BO527" i="13"/>
  <c r="AZ527" i="13"/>
  <c r="BH527" i="13"/>
  <c r="BP527" i="13"/>
  <c r="BB527" i="13"/>
  <c r="BJ527" i="13"/>
  <c r="BD527" i="13"/>
  <c r="BF527" i="13"/>
  <c r="BL527" i="13"/>
  <c r="BN527" i="13"/>
  <c r="AZ623" i="13"/>
  <c r="BD623" i="13"/>
  <c r="BH623" i="13"/>
  <c r="BL623" i="13"/>
  <c r="BP623" i="13"/>
  <c r="BA623" i="13"/>
  <c r="BE623" i="13"/>
  <c r="BI623" i="13"/>
  <c r="BM623" i="13"/>
  <c r="BF623" i="13"/>
  <c r="BN623" i="13"/>
  <c r="BB623" i="13"/>
  <c r="BG623" i="13"/>
  <c r="BO623" i="13"/>
  <c r="BJ623" i="13"/>
  <c r="BC623" i="13"/>
  <c r="BK623" i="13"/>
  <c r="BC320" i="13"/>
  <c r="BG320" i="13"/>
  <c r="BK320" i="13"/>
  <c r="BO320" i="13"/>
  <c r="AZ320" i="13"/>
  <c r="BD320" i="13"/>
  <c r="BH320" i="13"/>
  <c r="BL320" i="13"/>
  <c r="BP320" i="13"/>
  <c r="BB320" i="13"/>
  <c r="BF320" i="13"/>
  <c r="BJ320" i="13"/>
  <c r="BN320" i="13"/>
  <c r="BA320" i="13"/>
  <c r="BE320" i="13"/>
  <c r="BM320" i="13"/>
  <c r="BI320" i="13"/>
  <c r="BC428" i="13"/>
  <c r="BG428" i="13"/>
  <c r="BK428" i="13"/>
  <c r="BO428" i="13"/>
  <c r="AZ428" i="13"/>
  <c r="BD428" i="13"/>
  <c r="BH428" i="13"/>
  <c r="BL428" i="13"/>
  <c r="BP428" i="13"/>
  <c r="BB428" i="13"/>
  <c r="BF428" i="13"/>
  <c r="BJ428" i="13"/>
  <c r="BN428" i="13"/>
  <c r="BM428" i="13"/>
  <c r="BE428" i="13"/>
  <c r="BI428" i="13"/>
  <c r="BA428" i="13"/>
  <c r="BC652" i="13"/>
  <c r="BG652" i="13"/>
  <c r="BK652" i="13"/>
  <c r="BO652" i="13"/>
  <c r="AZ652" i="13"/>
  <c r="BD652" i="13"/>
  <c r="BH652" i="13"/>
  <c r="BL652" i="13"/>
  <c r="BP652" i="13"/>
  <c r="BA652" i="13"/>
  <c r="BI652" i="13"/>
  <c r="BJ652" i="13"/>
  <c r="BE652" i="13"/>
  <c r="BB652" i="13"/>
  <c r="BM652" i="13"/>
  <c r="BF652" i="13"/>
  <c r="BN652" i="13"/>
  <c r="AZ132" i="13"/>
  <c r="BD132" i="13"/>
  <c r="BH132" i="13"/>
  <c r="BL132" i="13"/>
  <c r="BP132" i="13"/>
  <c r="BC132" i="13"/>
  <c r="BI132" i="13"/>
  <c r="BN132" i="13"/>
  <c r="BE132" i="13"/>
  <c r="BJ132" i="13"/>
  <c r="BO132" i="13"/>
  <c r="BB132" i="13"/>
  <c r="BG132" i="13"/>
  <c r="BM132" i="13"/>
  <c r="BK132" i="13"/>
  <c r="BF132" i="13"/>
  <c r="BA132" i="13"/>
  <c r="AZ148" i="13"/>
  <c r="BB148" i="13"/>
  <c r="BF148" i="13"/>
  <c r="BJ148" i="13"/>
  <c r="BN148" i="13"/>
  <c r="BE148" i="13"/>
  <c r="BK148" i="13"/>
  <c r="BP148" i="13"/>
  <c r="BA148" i="13"/>
  <c r="BG148" i="13"/>
  <c r="BL148" i="13"/>
  <c r="BD148" i="13"/>
  <c r="BI148" i="13"/>
  <c r="BO148" i="13"/>
  <c r="BC148" i="13"/>
  <c r="BH148" i="13"/>
  <c r="BM148" i="13"/>
  <c r="BS164" i="13"/>
  <c r="BB164" i="13"/>
  <c r="BF164" i="13"/>
  <c r="BJ164" i="13"/>
  <c r="BN164" i="13"/>
  <c r="AZ164" i="13"/>
  <c r="BE164" i="13"/>
  <c r="BK164" i="13"/>
  <c r="BP164" i="13"/>
  <c r="BA164" i="13"/>
  <c r="BG164" i="13"/>
  <c r="BL164" i="13"/>
  <c r="BD164" i="13"/>
  <c r="BI164" i="13"/>
  <c r="BO164" i="13"/>
  <c r="BH164" i="13"/>
  <c r="BM164" i="13"/>
  <c r="BC164" i="13"/>
  <c r="BC196" i="13"/>
  <c r="BG196" i="13"/>
  <c r="BK196" i="13"/>
  <c r="BO196" i="13"/>
  <c r="BD196" i="13"/>
  <c r="BI196" i="13"/>
  <c r="BN196" i="13"/>
  <c r="AZ196" i="13"/>
  <c r="BE196" i="13"/>
  <c r="BJ196" i="13"/>
  <c r="BP196" i="13"/>
  <c r="BB196" i="13"/>
  <c r="BH196" i="13"/>
  <c r="BM196" i="13"/>
  <c r="BA196" i="13"/>
  <c r="BL196" i="13"/>
  <c r="BF196" i="13"/>
  <c r="BC212" i="13"/>
  <c r="BG212" i="13"/>
  <c r="BK212" i="13"/>
  <c r="BO212" i="13"/>
  <c r="BD212" i="13"/>
  <c r="BI212" i="13"/>
  <c r="BN212" i="13"/>
  <c r="AZ212" i="13"/>
  <c r="BE212" i="13"/>
  <c r="BJ212" i="13"/>
  <c r="BP212" i="13"/>
  <c r="BB212" i="13"/>
  <c r="BH212" i="13"/>
  <c r="BM212" i="13"/>
  <c r="BA212" i="13"/>
  <c r="BF212" i="13"/>
  <c r="BL212" i="13"/>
  <c r="BS228" i="13"/>
  <c r="BC228" i="13"/>
  <c r="BG228" i="13"/>
  <c r="BK228" i="13"/>
  <c r="BO228" i="13"/>
  <c r="BD228" i="13"/>
  <c r="BI228" i="13"/>
  <c r="BN228" i="13"/>
  <c r="AZ228" i="13"/>
  <c r="BE228" i="13"/>
  <c r="BJ228" i="13"/>
  <c r="BP228" i="13"/>
  <c r="BB228" i="13"/>
  <c r="BH228" i="13"/>
  <c r="BM228" i="13"/>
  <c r="BF228" i="13"/>
  <c r="BL228" i="13"/>
  <c r="BA228" i="13"/>
  <c r="BA264" i="13"/>
  <c r="BE264" i="13"/>
  <c r="BI264" i="13"/>
  <c r="BM264" i="13"/>
  <c r="BC264" i="13"/>
  <c r="BG264" i="13"/>
  <c r="BK264" i="13"/>
  <c r="BO264" i="13"/>
  <c r="BF264" i="13"/>
  <c r="BN264" i="13"/>
  <c r="AZ264" i="13"/>
  <c r="BH264" i="13"/>
  <c r="BP264" i="13"/>
  <c r="BD264" i="13"/>
  <c r="BL264" i="13"/>
  <c r="BB264" i="13"/>
  <c r="BJ264" i="13"/>
  <c r="BC280" i="13"/>
  <c r="BG280" i="13"/>
  <c r="BK280" i="13"/>
  <c r="BO280" i="13"/>
  <c r="AZ280" i="13"/>
  <c r="BD280" i="13"/>
  <c r="BH280" i="13"/>
  <c r="BL280" i="13"/>
  <c r="BP280" i="13"/>
  <c r="BB280" i="13"/>
  <c r="BF280" i="13"/>
  <c r="BJ280" i="13"/>
  <c r="BN280" i="13"/>
  <c r="BI280" i="13"/>
  <c r="BM280" i="13"/>
  <c r="BE280" i="13"/>
  <c r="BA280" i="13"/>
  <c r="BS312" i="13"/>
  <c r="BC312" i="13"/>
  <c r="BG312" i="13"/>
  <c r="BK312" i="13"/>
  <c r="BO312" i="13"/>
  <c r="AZ312" i="13"/>
  <c r="BD312" i="13"/>
  <c r="BH312" i="13"/>
  <c r="BL312" i="13"/>
  <c r="BP312" i="13"/>
  <c r="BB312" i="13"/>
  <c r="BF312" i="13"/>
  <c r="BJ312" i="13"/>
  <c r="BN312" i="13"/>
  <c r="BI312" i="13"/>
  <c r="BM312" i="13"/>
  <c r="BE312" i="13"/>
  <c r="BA312" i="13"/>
  <c r="BB336" i="13"/>
  <c r="BF336" i="13"/>
  <c r="BJ336" i="13"/>
  <c r="BN336" i="13"/>
  <c r="BC336" i="13"/>
  <c r="BH336" i="13"/>
  <c r="BM336" i="13"/>
  <c r="BD336" i="13"/>
  <c r="BI336" i="13"/>
  <c r="BO336" i="13"/>
  <c r="BA336" i="13"/>
  <c r="BG336" i="13"/>
  <c r="BL336" i="13"/>
  <c r="BK336" i="13"/>
  <c r="AZ336" i="13"/>
  <c r="BE336" i="13"/>
  <c r="BP336" i="13"/>
  <c r="BS424" i="13"/>
  <c r="BC424" i="13"/>
  <c r="BG424" i="13"/>
  <c r="BK424" i="13"/>
  <c r="BO424" i="13"/>
  <c r="AZ424" i="13"/>
  <c r="BD424" i="13"/>
  <c r="BH424" i="13"/>
  <c r="BL424" i="13"/>
  <c r="BP424" i="13"/>
  <c r="BB424" i="13"/>
  <c r="BF424" i="13"/>
  <c r="BJ424" i="13"/>
  <c r="BN424" i="13"/>
  <c r="BA424" i="13"/>
  <c r="BI424" i="13"/>
  <c r="BM424" i="13"/>
  <c r="BE424" i="13"/>
  <c r="BS536" i="13"/>
  <c r="AZ536" i="13"/>
  <c r="BD536" i="13"/>
  <c r="BH536" i="13"/>
  <c r="BL536" i="13"/>
  <c r="BP536" i="13"/>
  <c r="BB536" i="13"/>
  <c r="BF536" i="13"/>
  <c r="BJ536" i="13"/>
  <c r="BN536" i="13"/>
  <c r="BG536" i="13"/>
  <c r="BO536" i="13"/>
  <c r="BA536" i="13"/>
  <c r="BI536" i="13"/>
  <c r="BK536" i="13"/>
  <c r="BM536" i="13"/>
  <c r="BC536" i="13"/>
  <c r="BE536" i="13"/>
  <c r="BC656" i="13"/>
  <c r="BG656" i="13"/>
  <c r="BK656" i="13"/>
  <c r="BO656" i="13"/>
  <c r="AZ656" i="13"/>
  <c r="BD656" i="13"/>
  <c r="BH656" i="13"/>
  <c r="BL656" i="13"/>
  <c r="BP656" i="13"/>
  <c r="BE656" i="13"/>
  <c r="BM656" i="13"/>
  <c r="BN656" i="13"/>
  <c r="BA656" i="13"/>
  <c r="BI656" i="13"/>
  <c r="BF656" i="13"/>
  <c r="BB656" i="13"/>
  <c r="BJ656" i="13"/>
  <c r="BS73" i="13"/>
  <c r="AZ73" i="13"/>
  <c r="BD73" i="13"/>
  <c r="BH73" i="13"/>
  <c r="BL73" i="13"/>
  <c r="BP73" i="13"/>
  <c r="BA73" i="13"/>
  <c r="BF73" i="13"/>
  <c r="BK73" i="13"/>
  <c r="BC73" i="13"/>
  <c r="BI73" i="13"/>
  <c r="BN73" i="13"/>
  <c r="BE73" i="13"/>
  <c r="BO73" i="13"/>
  <c r="BG73" i="13"/>
  <c r="BB73" i="13"/>
  <c r="BM73" i="13"/>
  <c r="BJ73" i="13"/>
  <c r="AZ89" i="13"/>
  <c r="BD89" i="13"/>
  <c r="BH89" i="13"/>
  <c r="BL89" i="13"/>
  <c r="BP89" i="13"/>
  <c r="BB89" i="13"/>
  <c r="BF89" i="13"/>
  <c r="BJ89" i="13"/>
  <c r="BN89" i="13"/>
  <c r="BC89" i="13"/>
  <c r="BK89" i="13"/>
  <c r="BE89" i="13"/>
  <c r="BM89" i="13"/>
  <c r="BA89" i="13"/>
  <c r="BI89" i="13"/>
  <c r="BG89" i="13"/>
  <c r="BO89" i="13"/>
  <c r="BC121" i="13"/>
  <c r="BG121" i="13"/>
  <c r="BK121" i="13"/>
  <c r="BO121" i="13"/>
  <c r="BD121" i="13"/>
  <c r="BI121" i="13"/>
  <c r="BN121" i="13"/>
  <c r="AZ121" i="13"/>
  <c r="BE121" i="13"/>
  <c r="BJ121" i="13"/>
  <c r="BP121" i="13"/>
  <c r="BB121" i="13"/>
  <c r="BH121" i="13"/>
  <c r="BM121" i="13"/>
  <c r="BF121" i="13"/>
  <c r="BL121" i="13"/>
  <c r="BA121" i="13"/>
  <c r="BS185" i="13"/>
  <c r="BB185" i="13"/>
  <c r="BF185" i="13"/>
  <c r="BJ185" i="13"/>
  <c r="BN185" i="13"/>
  <c r="BD185" i="13"/>
  <c r="BI185" i="13"/>
  <c r="BO185" i="13"/>
  <c r="AZ185" i="13"/>
  <c r="BE185" i="13"/>
  <c r="BK185" i="13"/>
  <c r="BP185" i="13"/>
  <c r="BC185" i="13"/>
  <c r="BH185" i="13"/>
  <c r="BM185" i="13"/>
  <c r="BL185" i="13"/>
  <c r="BG185" i="13"/>
  <c r="BA185" i="13"/>
  <c r="BC253" i="13"/>
  <c r="AZ253" i="13"/>
  <c r="BD253" i="13"/>
  <c r="BH253" i="13"/>
  <c r="BL253" i="13"/>
  <c r="BP253" i="13"/>
  <c r="BB253" i="13"/>
  <c r="BF253" i="13"/>
  <c r="BJ253" i="13"/>
  <c r="BN253" i="13"/>
  <c r="BI253" i="13"/>
  <c r="BA253" i="13"/>
  <c r="BK253" i="13"/>
  <c r="BG253" i="13"/>
  <c r="BO253" i="13"/>
  <c r="BE253" i="13"/>
  <c r="BM253" i="13"/>
  <c r="BB269" i="13"/>
  <c r="BF269" i="13"/>
  <c r="BJ269" i="13"/>
  <c r="BN269" i="13"/>
  <c r="AZ269" i="13"/>
  <c r="BE269" i="13"/>
  <c r="BK269" i="13"/>
  <c r="BP269" i="13"/>
  <c r="BA269" i="13"/>
  <c r="BG269" i="13"/>
  <c r="BL269" i="13"/>
  <c r="BD269" i="13"/>
  <c r="BI269" i="13"/>
  <c r="BO269" i="13"/>
  <c r="BC269" i="13"/>
  <c r="BH269" i="13"/>
  <c r="BM269" i="13"/>
  <c r="BA365" i="13"/>
  <c r="BE365" i="13"/>
  <c r="BI365" i="13"/>
  <c r="BM365" i="13"/>
  <c r="AZ365" i="13"/>
  <c r="BF365" i="13"/>
  <c r="BK365" i="13"/>
  <c r="BP365" i="13"/>
  <c r="BB365" i="13"/>
  <c r="BG365" i="13"/>
  <c r="BL365" i="13"/>
  <c r="BD365" i="13"/>
  <c r="BJ365" i="13"/>
  <c r="BO365" i="13"/>
  <c r="BH365" i="13"/>
  <c r="BC365" i="13"/>
  <c r="BN365" i="13"/>
  <c r="BB397" i="13"/>
  <c r="BF397" i="13"/>
  <c r="BJ397" i="13"/>
  <c r="BN397" i="13"/>
  <c r="BC397" i="13"/>
  <c r="BG397" i="13"/>
  <c r="BK397" i="13"/>
  <c r="BO397" i="13"/>
  <c r="BA397" i="13"/>
  <c r="BE397" i="13"/>
  <c r="BI397" i="13"/>
  <c r="BM397" i="13"/>
  <c r="BL397" i="13"/>
  <c r="BD397" i="13"/>
  <c r="AZ397" i="13"/>
  <c r="BH397" i="13"/>
  <c r="BP397" i="13"/>
  <c r="BB477" i="13"/>
  <c r="BF477" i="13"/>
  <c r="BJ477" i="13"/>
  <c r="BN477" i="13"/>
  <c r="BC477" i="13"/>
  <c r="BG477" i="13"/>
  <c r="BK477" i="13"/>
  <c r="BO477" i="13"/>
  <c r="BA477" i="13"/>
  <c r="BE477" i="13"/>
  <c r="BI477" i="13"/>
  <c r="BM477" i="13"/>
  <c r="BL477" i="13"/>
  <c r="BD477" i="13"/>
  <c r="BH477" i="13"/>
  <c r="BP477" i="13"/>
  <c r="AZ477" i="13"/>
  <c r="BC509" i="13"/>
  <c r="BG509" i="13"/>
  <c r="BK509" i="13"/>
  <c r="BO509" i="13"/>
  <c r="BA509" i="13"/>
  <c r="BE509" i="13"/>
  <c r="BI509" i="13"/>
  <c r="BM509" i="13"/>
  <c r="BB509" i="13"/>
  <c r="BJ509" i="13"/>
  <c r="BD509" i="13"/>
  <c r="BL509" i="13"/>
  <c r="BF509" i="13"/>
  <c r="BH509" i="13"/>
  <c r="BN509" i="13"/>
  <c r="AZ509" i="13"/>
  <c r="BP509" i="13"/>
  <c r="BC525" i="13"/>
  <c r="BG525" i="13"/>
  <c r="BK525" i="13"/>
  <c r="BO525" i="13"/>
  <c r="BA525" i="13"/>
  <c r="BE525" i="13"/>
  <c r="BI525" i="13"/>
  <c r="BM525" i="13"/>
  <c r="BB525" i="13"/>
  <c r="BJ525" i="13"/>
  <c r="BD525" i="13"/>
  <c r="BL525" i="13"/>
  <c r="BF525" i="13"/>
  <c r="BH525" i="13"/>
  <c r="BN525" i="13"/>
  <c r="AZ525" i="13"/>
  <c r="BP525" i="13"/>
  <c r="BS557" i="13"/>
  <c r="BC557" i="13"/>
  <c r="BG557" i="13"/>
  <c r="BK557" i="13"/>
  <c r="BO557" i="13"/>
  <c r="BA557" i="13"/>
  <c r="BE557" i="13"/>
  <c r="BI557" i="13"/>
  <c r="BM557" i="13"/>
  <c r="BB557" i="13"/>
  <c r="BJ557" i="13"/>
  <c r="BD557" i="13"/>
  <c r="BL557" i="13"/>
  <c r="BF557" i="13"/>
  <c r="BN557" i="13"/>
  <c r="BH557" i="13"/>
  <c r="AZ557" i="13"/>
  <c r="BP557" i="13"/>
  <c r="BC589" i="13"/>
  <c r="BG589" i="13"/>
  <c r="BK589" i="13"/>
  <c r="BO589" i="13"/>
  <c r="BA589" i="13"/>
  <c r="BE589" i="13"/>
  <c r="BI589" i="13"/>
  <c r="BM589" i="13"/>
  <c r="BB589" i="13"/>
  <c r="BJ589" i="13"/>
  <c r="BD589" i="13"/>
  <c r="BL589" i="13"/>
  <c r="BF589" i="13"/>
  <c r="BH589" i="13"/>
  <c r="BN589" i="13"/>
  <c r="AZ589" i="13"/>
  <c r="BP589" i="13"/>
  <c r="BB653" i="13"/>
  <c r="BF653" i="13"/>
  <c r="BJ653" i="13"/>
  <c r="BN653" i="13"/>
  <c r="BC653" i="13"/>
  <c r="BG653" i="13"/>
  <c r="BK653" i="13"/>
  <c r="BO653" i="13"/>
  <c r="AZ653" i="13"/>
  <c r="BH653" i="13"/>
  <c r="BP653" i="13"/>
  <c r="BI653" i="13"/>
  <c r="BD653" i="13"/>
  <c r="BA653" i="13"/>
  <c r="BL653" i="13"/>
  <c r="BE653" i="13"/>
  <c r="BM653" i="13"/>
  <c r="BB685" i="13"/>
  <c r="BF685" i="13"/>
  <c r="BJ685" i="13"/>
  <c r="BN685" i="13"/>
  <c r="BD685" i="13"/>
  <c r="BL685" i="13"/>
  <c r="BC685" i="13"/>
  <c r="BG685" i="13"/>
  <c r="BK685" i="13"/>
  <c r="BO685" i="13"/>
  <c r="AZ685" i="13"/>
  <c r="BH685" i="13"/>
  <c r="BP685" i="13"/>
  <c r="BA685" i="13"/>
  <c r="BE685" i="13"/>
  <c r="BI685" i="13"/>
  <c r="BM685" i="13"/>
  <c r="AZ596" i="13"/>
  <c r="BD596" i="13"/>
  <c r="BH596" i="13"/>
  <c r="BL596" i="13"/>
  <c r="BP596" i="13"/>
  <c r="BB596" i="13"/>
  <c r="BF596" i="13"/>
  <c r="BJ596" i="13"/>
  <c r="BN596" i="13"/>
  <c r="BC596" i="13"/>
  <c r="BK596" i="13"/>
  <c r="BE596" i="13"/>
  <c r="BM596" i="13"/>
  <c r="BO596" i="13"/>
  <c r="BA596" i="13"/>
  <c r="BG596" i="13"/>
  <c r="BI596" i="13"/>
  <c r="BS10" i="13"/>
  <c r="BB10" i="13"/>
  <c r="BF10" i="13"/>
  <c r="BJ10" i="13"/>
  <c r="BN10" i="13"/>
  <c r="BC10" i="13"/>
  <c r="BG10" i="13"/>
  <c r="BK10" i="13"/>
  <c r="BO10" i="13"/>
  <c r="BA10" i="13"/>
  <c r="BE10" i="13"/>
  <c r="BI10" i="13"/>
  <c r="BM10" i="13"/>
  <c r="BD10" i="13"/>
  <c r="AZ10" i="13"/>
  <c r="BH10" i="13"/>
  <c r="BP10" i="13"/>
  <c r="BL10" i="13"/>
  <c r="BC26" i="13"/>
  <c r="BG26" i="13"/>
  <c r="BK26" i="13"/>
  <c r="BO26" i="13"/>
  <c r="BA26" i="13"/>
  <c r="BF26" i="13"/>
  <c r="BL26" i="13"/>
  <c r="BB26" i="13"/>
  <c r="BH26" i="13"/>
  <c r="BM26" i="13"/>
  <c r="AZ26" i="13"/>
  <c r="BE26" i="13"/>
  <c r="BJ26" i="13"/>
  <c r="BP26" i="13"/>
  <c r="BD26" i="13"/>
  <c r="BI26" i="13"/>
  <c r="BN26" i="13"/>
  <c r="BC58" i="13"/>
  <c r="BG58" i="13"/>
  <c r="BK58" i="13"/>
  <c r="BO58" i="13"/>
  <c r="AZ58" i="13"/>
  <c r="BE58" i="13"/>
  <c r="BJ58" i="13"/>
  <c r="BP58" i="13"/>
  <c r="BB58" i="13"/>
  <c r="BH58" i="13"/>
  <c r="BM58" i="13"/>
  <c r="BD58" i="13"/>
  <c r="BN58" i="13"/>
  <c r="BF58" i="13"/>
  <c r="BA58" i="13"/>
  <c r="BL58" i="13"/>
  <c r="BI58" i="13"/>
  <c r="BS122" i="13"/>
  <c r="BB122" i="13"/>
  <c r="BF122" i="13"/>
  <c r="BJ122" i="13"/>
  <c r="BN122" i="13"/>
  <c r="BC122" i="13"/>
  <c r="BH122" i="13"/>
  <c r="BM122" i="13"/>
  <c r="BD122" i="13"/>
  <c r="BI122" i="13"/>
  <c r="BO122" i="13"/>
  <c r="BA122" i="13"/>
  <c r="BG122" i="13"/>
  <c r="BL122" i="13"/>
  <c r="BK122" i="13"/>
  <c r="BP122" i="13"/>
  <c r="BE122" i="13"/>
  <c r="AZ122" i="13"/>
  <c r="BB245" i="13"/>
  <c r="BF245" i="13"/>
  <c r="BJ245" i="13"/>
  <c r="BN245" i="13"/>
  <c r="BC245" i="13"/>
  <c r="BH245" i="13"/>
  <c r="BM245" i="13"/>
  <c r="BD245" i="13"/>
  <c r="BI245" i="13"/>
  <c r="BO245" i="13"/>
  <c r="BA245" i="13"/>
  <c r="BG245" i="13"/>
  <c r="BL245" i="13"/>
  <c r="BP245" i="13"/>
  <c r="AZ245" i="13"/>
  <c r="BK245" i="13"/>
  <c r="BE245" i="13"/>
  <c r="BA7" i="13"/>
  <c r="BE7" i="13"/>
  <c r="BI7" i="13"/>
  <c r="BM7" i="13"/>
  <c r="BB7" i="13"/>
  <c r="BF7" i="13"/>
  <c r="BJ7" i="13"/>
  <c r="BN7" i="13"/>
  <c r="AZ7" i="13"/>
  <c r="BD7" i="13"/>
  <c r="BH7" i="13"/>
  <c r="BL7" i="13"/>
  <c r="BP7" i="13"/>
  <c r="BG7" i="13"/>
  <c r="BK7" i="13"/>
  <c r="BO7" i="13"/>
  <c r="BC7" i="13"/>
  <c r="BB23" i="13"/>
  <c r="BF23" i="13"/>
  <c r="BJ23" i="13"/>
  <c r="BN23" i="13"/>
  <c r="BD23" i="13"/>
  <c r="BI23" i="13"/>
  <c r="BO23" i="13"/>
  <c r="AZ23" i="13"/>
  <c r="BE23" i="13"/>
  <c r="BK23" i="13"/>
  <c r="BP23" i="13"/>
  <c r="BC23" i="13"/>
  <c r="BH23" i="13"/>
  <c r="BM23" i="13"/>
  <c r="BL23" i="13"/>
  <c r="BG23" i="13"/>
  <c r="BA23" i="13"/>
  <c r="BS39" i="13"/>
  <c r="BB39" i="13"/>
  <c r="BF39" i="13"/>
  <c r="BJ39" i="13"/>
  <c r="BN39" i="13"/>
  <c r="BD39" i="13"/>
  <c r="BI39" i="13"/>
  <c r="BO39" i="13"/>
  <c r="AZ39" i="13"/>
  <c r="BE39" i="13"/>
  <c r="BK39" i="13"/>
  <c r="BP39" i="13"/>
  <c r="BC39" i="13"/>
  <c r="BH39" i="13"/>
  <c r="BM39" i="13"/>
  <c r="BA39" i="13"/>
  <c r="BL39" i="13"/>
  <c r="BG39" i="13"/>
  <c r="BB55" i="13"/>
  <c r="BF55" i="13"/>
  <c r="BJ55" i="13"/>
  <c r="BN55" i="13"/>
  <c r="BC55" i="13"/>
  <c r="BH55" i="13"/>
  <c r="BM55" i="13"/>
  <c r="BD55" i="13"/>
  <c r="BK55" i="13"/>
  <c r="BE55" i="13"/>
  <c r="BL55" i="13"/>
  <c r="BA55" i="13"/>
  <c r="BI55" i="13"/>
  <c r="BP55" i="13"/>
  <c r="BO55" i="13"/>
  <c r="BG55" i="13"/>
  <c r="AZ55" i="13"/>
  <c r="BB71" i="13"/>
  <c r="BF71" i="13"/>
  <c r="BJ71" i="13"/>
  <c r="BN71" i="13"/>
  <c r="BC71" i="13"/>
  <c r="BH71" i="13"/>
  <c r="BM71" i="13"/>
  <c r="AZ71" i="13"/>
  <c r="BE71" i="13"/>
  <c r="BK71" i="13"/>
  <c r="BP71" i="13"/>
  <c r="BG71" i="13"/>
  <c r="BI71" i="13"/>
  <c r="BD71" i="13"/>
  <c r="BO71" i="13"/>
  <c r="BA71" i="13"/>
  <c r="BL71" i="13"/>
  <c r="BS87" i="13"/>
  <c r="BB87" i="13"/>
  <c r="BF87" i="13"/>
  <c r="BJ87" i="13"/>
  <c r="BN87" i="13"/>
  <c r="AZ87" i="13"/>
  <c r="BD87" i="13"/>
  <c r="BH87" i="13"/>
  <c r="BL87" i="13"/>
  <c r="BP87" i="13"/>
  <c r="BE87" i="13"/>
  <c r="BM87" i="13"/>
  <c r="BG87" i="13"/>
  <c r="BO87" i="13"/>
  <c r="BC87" i="13"/>
  <c r="BK87" i="13"/>
  <c r="BI87" i="13"/>
  <c r="BA87" i="13"/>
  <c r="BA103" i="13"/>
  <c r="BE103" i="13"/>
  <c r="BI103" i="13"/>
  <c r="BM103" i="13"/>
  <c r="AZ103" i="13"/>
  <c r="BF103" i="13"/>
  <c r="BK103" i="13"/>
  <c r="BP103" i="13"/>
  <c r="BB103" i="13"/>
  <c r="BG103" i="13"/>
  <c r="BL103" i="13"/>
  <c r="BD103" i="13"/>
  <c r="BJ103" i="13"/>
  <c r="BO103" i="13"/>
  <c r="BN103" i="13"/>
  <c r="BH103" i="13"/>
  <c r="BC103" i="13"/>
  <c r="BA119" i="13"/>
  <c r="BE119" i="13"/>
  <c r="BI119" i="13"/>
  <c r="BM119" i="13"/>
  <c r="AZ119" i="13"/>
  <c r="BF119" i="13"/>
  <c r="BK119" i="13"/>
  <c r="BP119" i="13"/>
  <c r="BB119" i="13"/>
  <c r="BG119" i="13"/>
  <c r="BL119" i="13"/>
  <c r="BD119" i="13"/>
  <c r="BJ119" i="13"/>
  <c r="BO119" i="13"/>
  <c r="BC119" i="13"/>
  <c r="BN119" i="13"/>
  <c r="BH119" i="13"/>
  <c r="BA135" i="13"/>
  <c r="BE135" i="13"/>
  <c r="BI135" i="13"/>
  <c r="BM135" i="13"/>
  <c r="AZ135" i="13"/>
  <c r="BF135" i="13"/>
  <c r="BK135" i="13"/>
  <c r="BP135" i="13"/>
  <c r="BB135" i="13"/>
  <c r="BG135" i="13"/>
  <c r="BL135" i="13"/>
  <c r="BD135" i="13"/>
  <c r="BJ135" i="13"/>
  <c r="BO135" i="13"/>
  <c r="BC135" i="13"/>
  <c r="BH135" i="13"/>
  <c r="BN135" i="13"/>
  <c r="BS151" i="13"/>
  <c r="BC151" i="13"/>
  <c r="BG151" i="13"/>
  <c r="BK151" i="13"/>
  <c r="BO151" i="13"/>
  <c r="BB151" i="13"/>
  <c r="BH151" i="13"/>
  <c r="BM151" i="13"/>
  <c r="BD151" i="13"/>
  <c r="BI151" i="13"/>
  <c r="BN151" i="13"/>
  <c r="BA151" i="13"/>
  <c r="BF151" i="13"/>
  <c r="BL151" i="13"/>
  <c r="BP151" i="13"/>
  <c r="AZ151" i="13"/>
  <c r="BJ151" i="13"/>
  <c r="BE151" i="13"/>
  <c r="BC167" i="13"/>
  <c r="BG167" i="13"/>
  <c r="BK167" i="13"/>
  <c r="BO167" i="13"/>
  <c r="BB167" i="13"/>
  <c r="BH167" i="13"/>
  <c r="BM167" i="13"/>
  <c r="BD167" i="13"/>
  <c r="BI167" i="13"/>
  <c r="BN167" i="13"/>
  <c r="BA167" i="13"/>
  <c r="BF167" i="13"/>
  <c r="BL167" i="13"/>
  <c r="AZ167" i="13"/>
  <c r="BE167" i="13"/>
  <c r="BP167" i="13"/>
  <c r="BJ167" i="13"/>
  <c r="AZ183" i="13"/>
  <c r="BD183" i="13"/>
  <c r="BH183" i="13"/>
  <c r="BL183" i="13"/>
  <c r="BP183" i="13"/>
  <c r="BA183" i="13"/>
  <c r="BF183" i="13"/>
  <c r="BK183" i="13"/>
  <c r="BB183" i="13"/>
  <c r="BG183" i="13"/>
  <c r="BM183" i="13"/>
  <c r="BE183" i="13"/>
  <c r="BJ183" i="13"/>
  <c r="BO183" i="13"/>
  <c r="BC183" i="13"/>
  <c r="BI183" i="13"/>
  <c r="BN183" i="13"/>
  <c r="BS199" i="13"/>
  <c r="AZ199" i="13"/>
  <c r="BD199" i="13"/>
  <c r="BH199" i="13"/>
  <c r="BL199" i="13"/>
  <c r="BP199" i="13"/>
  <c r="BA199" i="13"/>
  <c r="BF199" i="13"/>
  <c r="BK199" i="13"/>
  <c r="BB199" i="13"/>
  <c r="BG199" i="13"/>
  <c r="BM199" i="13"/>
  <c r="BE199" i="13"/>
  <c r="BJ199" i="13"/>
  <c r="BO199" i="13"/>
  <c r="BI199" i="13"/>
  <c r="BN199" i="13"/>
  <c r="BC199" i="13"/>
  <c r="AZ215" i="13"/>
  <c r="BD215" i="13"/>
  <c r="BH215" i="13"/>
  <c r="BL215" i="13"/>
  <c r="BP215" i="13"/>
  <c r="BA215" i="13"/>
  <c r="BF215" i="13"/>
  <c r="BK215" i="13"/>
  <c r="BB215" i="13"/>
  <c r="BG215" i="13"/>
  <c r="BM215" i="13"/>
  <c r="BE215" i="13"/>
  <c r="BJ215" i="13"/>
  <c r="BO215" i="13"/>
  <c r="BN215" i="13"/>
  <c r="BI215" i="13"/>
  <c r="BC215" i="13"/>
  <c r="AZ231" i="13"/>
  <c r="BD231" i="13"/>
  <c r="BH231" i="13"/>
  <c r="BL231" i="13"/>
  <c r="BP231" i="13"/>
  <c r="BA231" i="13"/>
  <c r="BF231" i="13"/>
  <c r="BK231" i="13"/>
  <c r="BB231" i="13"/>
  <c r="BG231" i="13"/>
  <c r="BM231" i="13"/>
  <c r="BE231" i="13"/>
  <c r="BJ231" i="13"/>
  <c r="BO231" i="13"/>
  <c r="BC231" i="13"/>
  <c r="BN231" i="13"/>
  <c r="BI231" i="13"/>
  <c r="BA251" i="13"/>
  <c r="BE251" i="13"/>
  <c r="BI251" i="13"/>
  <c r="BM251" i="13"/>
  <c r="BB251" i="13"/>
  <c r="BF251" i="13"/>
  <c r="BJ251" i="13"/>
  <c r="BN251" i="13"/>
  <c r="AZ251" i="13"/>
  <c r="BD251" i="13"/>
  <c r="BH251" i="13"/>
  <c r="BL251" i="13"/>
  <c r="BP251" i="13"/>
  <c r="BO251" i="13"/>
  <c r="BC251" i="13"/>
  <c r="BK251" i="13"/>
  <c r="BG251" i="13"/>
  <c r="BB267" i="13"/>
  <c r="BF267" i="13"/>
  <c r="BJ267" i="13"/>
  <c r="BN267" i="13"/>
  <c r="AZ267" i="13"/>
  <c r="BD267" i="13"/>
  <c r="BH267" i="13"/>
  <c r="BL267" i="13"/>
  <c r="BP267" i="13"/>
  <c r="BC267" i="13"/>
  <c r="BK267" i="13"/>
  <c r="BE267" i="13"/>
  <c r="BM267" i="13"/>
  <c r="BA267" i="13"/>
  <c r="BI267" i="13"/>
  <c r="BO267" i="13"/>
  <c r="BG267" i="13"/>
  <c r="BS283" i="13"/>
  <c r="AZ283" i="13"/>
  <c r="BD283" i="13"/>
  <c r="BH283" i="13"/>
  <c r="BL283" i="13"/>
  <c r="BP283" i="13"/>
  <c r="BA283" i="13"/>
  <c r="BE283" i="13"/>
  <c r="BI283" i="13"/>
  <c r="BM283" i="13"/>
  <c r="BC283" i="13"/>
  <c r="BG283" i="13"/>
  <c r="BK283" i="13"/>
  <c r="BO283" i="13"/>
  <c r="BF283" i="13"/>
  <c r="BJ283" i="13"/>
  <c r="BB283" i="13"/>
  <c r="BN283" i="13"/>
  <c r="AZ299" i="13"/>
  <c r="BD299" i="13"/>
  <c r="BH299" i="13"/>
  <c r="BL299" i="13"/>
  <c r="BP299" i="13"/>
  <c r="BA299" i="13"/>
  <c r="BE299" i="13"/>
  <c r="BI299" i="13"/>
  <c r="BM299" i="13"/>
  <c r="BC299" i="13"/>
  <c r="BG299" i="13"/>
  <c r="BK299" i="13"/>
  <c r="BO299" i="13"/>
  <c r="BF299" i="13"/>
  <c r="BJ299" i="13"/>
  <c r="BB299" i="13"/>
  <c r="BN299" i="13"/>
  <c r="AZ315" i="13"/>
  <c r="BD315" i="13"/>
  <c r="BH315" i="13"/>
  <c r="BL315" i="13"/>
  <c r="BP315" i="13"/>
  <c r="BA315" i="13"/>
  <c r="BE315" i="13"/>
  <c r="BI315" i="13"/>
  <c r="BM315" i="13"/>
  <c r="BC315" i="13"/>
  <c r="BG315" i="13"/>
  <c r="BK315" i="13"/>
  <c r="BO315" i="13"/>
  <c r="BF315" i="13"/>
  <c r="BJ315" i="13"/>
  <c r="BB315" i="13"/>
  <c r="BN315" i="13"/>
  <c r="BC331" i="13"/>
  <c r="BG331" i="13"/>
  <c r="BK331" i="13"/>
  <c r="BO331" i="13"/>
  <c r="BB331" i="13"/>
  <c r="BH331" i="13"/>
  <c r="BM331" i="13"/>
  <c r="BD331" i="13"/>
  <c r="BI331" i="13"/>
  <c r="BN331" i="13"/>
  <c r="BA331" i="13"/>
  <c r="BF331" i="13"/>
  <c r="BL331" i="13"/>
  <c r="BJ331" i="13"/>
  <c r="AZ331" i="13"/>
  <c r="BE331" i="13"/>
  <c r="BP331" i="13"/>
  <c r="BS347" i="13"/>
  <c r="BC347" i="13"/>
  <c r="BG347" i="13"/>
  <c r="BK347" i="13"/>
  <c r="BO347" i="13"/>
  <c r="BB347" i="13"/>
  <c r="BH347" i="13"/>
  <c r="BM347" i="13"/>
  <c r="BD347" i="13"/>
  <c r="BI347" i="13"/>
  <c r="BN347" i="13"/>
  <c r="BA347" i="13"/>
  <c r="BF347" i="13"/>
  <c r="BL347" i="13"/>
  <c r="BP347" i="13"/>
  <c r="BE347" i="13"/>
  <c r="BJ347" i="13"/>
  <c r="AZ347" i="13"/>
  <c r="BC363" i="13"/>
  <c r="BG363" i="13"/>
  <c r="BK363" i="13"/>
  <c r="BO363" i="13"/>
  <c r="BB363" i="13"/>
  <c r="BH363" i="13"/>
  <c r="BM363" i="13"/>
  <c r="BD363" i="13"/>
  <c r="BI363" i="13"/>
  <c r="BN363" i="13"/>
  <c r="BA363" i="13"/>
  <c r="BF363" i="13"/>
  <c r="BL363" i="13"/>
  <c r="AZ363" i="13"/>
  <c r="BJ363" i="13"/>
  <c r="BE363" i="13"/>
  <c r="BP363" i="13"/>
  <c r="BC379" i="13"/>
  <c r="BG379" i="13"/>
  <c r="BK379" i="13"/>
  <c r="BO379" i="13"/>
  <c r="BB379" i="13"/>
  <c r="BH379" i="13"/>
  <c r="BM379" i="13"/>
  <c r="BD379" i="13"/>
  <c r="BI379" i="13"/>
  <c r="BN379" i="13"/>
  <c r="BA379" i="13"/>
  <c r="BF379" i="13"/>
  <c r="BL379" i="13"/>
  <c r="BE379" i="13"/>
  <c r="BP379" i="13"/>
  <c r="AZ379" i="13"/>
  <c r="BJ379" i="13"/>
  <c r="BS395" i="13"/>
  <c r="AZ395" i="13"/>
  <c r="BD395" i="13"/>
  <c r="BH395" i="13"/>
  <c r="BL395" i="13"/>
  <c r="BP395" i="13"/>
  <c r="BA395" i="13"/>
  <c r="BE395" i="13"/>
  <c r="BI395" i="13"/>
  <c r="BM395" i="13"/>
  <c r="BC395" i="13"/>
  <c r="BG395" i="13"/>
  <c r="BK395" i="13"/>
  <c r="BO395" i="13"/>
  <c r="BN395" i="13"/>
  <c r="BF395" i="13"/>
  <c r="BB395" i="13"/>
  <c r="BJ395" i="13"/>
  <c r="AZ411" i="13"/>
  <c r="BD411" i="13"/>
  <c r="BH411" i="13"/>
  <c r="BL411" i="13"/>
  <c r="BP411" i="13"/>
  <c r="BA411" i="13"/>
  <c r="BE411" i="13"/>
  <c r="BI411" i="13"/>
  <c r="BM411" i="13"/>
  <c r="BC411" i="13"/>
  <c r="BG411" i="13"/>
  <c r="BK411" i="13"/>
  <c r="BO411" i="13"/>
  <c r="BN411" i="13"/>
  <c r="BF411" i="13"/>
  <c r="BJ411" i="13"/>
  <c r="BB411" i="13"/>
  <c r="AZ427" i="13"/>
  <c r="BD427" i="13"/>
  <c r="BH427" i="13"/>
  <c r="BL427" i="13"/>
  <c r="BP427" i="13"/>
  <c r="BA427" i="13"/>
  <c r="BE427" i="13"/>
  <c r="BI427" i="13"/>
  <c r="BM427" i="13"/>
  <c r="BC427" i="13"/>
  <c r="BG427" i="13"/>
  <c r="BK427" i="13"/>
  <c r="BO427" i="13"/>
  <c r="BN427" i="13"/>
  <c r="BF427" i="13"/>
  <c r="BB427" i="13"/>
  <c r="BJ427" i="13"/>
  <c r="AZ443" i="13"/>
  <c r="BD443" i="13"/>
  <c r="BH443" i="13"/>
  <c r="BL443" i="13"/>
  <c r="BP443" i="13"/>
  <c r="BA443" i="13"/>
  <c r="BE443" i="13"/>
  <c r="BI443" i="13"/>
  <c r="BM443" i="13"/>
  <c r="BC443" i="13"/>
  <c r="BG443" i="13"/>
  <c r="BK443" i="13"/>
  <c r="BO443" i="13"/>
  <c r="BN443" i="13"/>
  <c r="BF443" i="13"/>
  <c r="BJ443" i="13"/>
  <c r="BB443" i="13"/>
  <c r="BS459" i="13"/>
  <c r="AZ459" i="13"/>
  <c r="BD459" i="13"/>
  <c r="BH459" i="13"/>
  <c r="BL459" i="13"/>
  <c r="BP459" i="13"/>
  <c r="BA459" i="13"/>
  <c r="BE459" i="13"/>
  <c r="BI459" i="13"/>
  <c r="BM459" i="13"/>
  <c r="BC459" i="13"/>
  <c r="BG459" i="13"/>
  <c r="BK459" i="13"/>
  <c r="BO459" i="13"/>
  <c r="BN459" i="13"/>
  <c r="BF459" i="13"/>
  <c r="BB459" i="13"/>
  <c r="BJ459" i="13"/>
  <c r="AZ475" i="13"/>
  <c r="BD475" i="13"/>
  <c r="BH475" i="13"/>
  <c r="BL475" i="13"/>
  <c r="BP475" i="13"/>
  <c r="BA475" i="13"/>
  <c r="BE475" i="13"/>
  <c r="BI475" i="13"/>
  <c r="BM475" i="13"/>
  <c r="BC475" i="13"/>
  <c r="BG475" i="13"/>
  <c r="BK475" i="13"/>
  <c r="BO475" i="13"/>
  <c r="BN475" i="13"/>
  <c r="BF475" i="13"/>
  <c r="BJ475" i="13"/>
  <c r="BB475" i="13"/>
  <c r="AZ491" i="13"/>
  <c r="BD491" i="13"/>
  <c r="BH491" i="13"/>
  <c r="BL491" i="13"/>
  <c r="BP491" i="13"/>
  <c r="BB491" i="13"/>
  <c r="BF491" i="13"/>
  <c r="BJ491" i="13"/>
  <c r="BN491" i="13"/>
  <c r="BC491" i="13"/>
  <c r="BK491" i="13"/>
  <c r="BE491" i="13"/>
  <c r="BM491" i="13"/>
  <c r="BG491" i="13"/>
  <c r="BO491" i="13"/>
  <c r="BI491" i="13"/>
  <c r="BA491" i="13"/>
  <c r="BS507" i="13"/>
  <c r="BA507" i="13"/>
  <c r="BE507" i="13"/>
  <c r="BI507" i="13"/>
  <c r="BM507" i="13"/>
  <c r="BC507" i="13"/>
  <c r="BG507" i="13"/>
  <c r="BK507" i="13"/>
  <c r="BO507" i="13"/>
  <c r="BD507" i="13"/>
  <c r="BL507" i="13"/>
  <c r="BF507" i="13"/>
  <c r="BN507" i="13"/>
  <c r="BH507" i="13"/>
  <c r="AZ507" i="13"/>
  <c r="BJ507" i="13"/>
  <c r="BP507" i="13"/>
  <c r="BB507" i="13"/>
  <c r="BA523" i="13"/>
  <c r="BE523" i="13"/>
  <c r="BI523" i="13"/>
  <c r="BM523" i="13"/>
  <c r="BC523" i="13"/>
  <c r="BG523" i="13"/>
  <c r="BK523" i="13"/>
  <c r="BO523" i="13"/>
  <c r="BD523" i="13"/>
  <c r="BL523" i="13"/>
  <c r="BF523" i="13"/>
  <c r="BN523" i="13"/>
  <c r="BH523" i="13"/>
  <c r="AZ523" i="13"/>
  <c r="BJ523" i="13"/>
  <c r="BP523" i="13"/>
  <c r="BB523" i="13"/>
  <c r="BA539" i="13"/>
  <c r="BE539" i="13"/>
  <c r="BI539" i="13"/>
  <c r="BM539" i="13"/>
  <c r="BC539" i="13"/>
  <c r="BG539" i="13"/>
  <c r="BK539" i="13"/>
  <c r="BO539" i="13"/>
  <c r="BD539" i="13"/>
  <c r="BL539" i="13"/>
  <c r="BF539" i="13"/>
  <c r="BN539" i="13"/>
  <c r="BH539" i="13"/>
  <c r="AZ539" i="13"/>
  <c r="BP539" i="13"/>
  <c r="BJ539" i="13"/>
  <c r="BB539" i="13"/>
  <c r="BA555" i="13"/>
  <c r="BE555" i="13"/>
  <c r="BI555" i="13"/>
  <c r="BM555" i="13"/>
  <c r="BC555" i="13"/>
  <c r="BG555" i="13"/>
  <c r="BK555" i="13"/>
  <c r="BO555" i="13"/>
  <c r="BD555" i="13"/>
  <c r="BL555" i="13"/>
  <c r="BF555" i="13"/>
  <c r="BN555" i="13"/>
  <c r="BH555" i="13"/>
  <c r="AZ555" i="13"/>
  <c r="BJ555" i="13"/>
  <c r="BP555" i="13"/>
  <c r="BB555" i="13"/>
  <c r="BS571" i="13"/>
  <c r="BA571" i="13"/>
  <c r="BE571" i="13"/>
  <c r="BI571" i="13"/>
  <c r="BM571" i="13"/>
  <c r="BC571" i="13"/>
  <c r="BG571" i="13"/>
  <c r="BK571" i="13"/>
  <c r="BO571" i="13"/>
  <c r="BD571" i="13"/>
  <c r="BL571" i="13"/>
  <c r="BF571" i="13"/>
  <c r="BN571" i="13"/>
  <c r="BH571" i="13"/>
  <c r="BP571" i="13"/>
  <c r="BJ571" i="13"/>
  <c r="AZ571" i="13"/>
  <c r="BB571" i="13"/>
  <c r="BA587" i="13"/>
  <c r="BE587" i="13"/>
  <c r="BI587" i="13"/>
  <c r="BM587" i="13"/>
  <c r="BC587" i="13"/>
  <c r="BG587" i="13"/>
  <c r="BK587" i="13"/>
  <c r="BO587" i="13"/>
  <c r="BD587" i="13"/>
  <c r="BL587" i="13"/>
  <c r="BF587" i="13"/>
  <c r="BN587" i="13"/>
  <c r="BH587" i="13"/>
  <c r="BJ587" i="13"/>
  <c r="AZ587" i="13"/>
  <c r="BP587" i="13"/>
  <c r="BB587" i="13"/>
  <c r="AZ603" i="13"/>
  <c r="BD603" i="13"/>
  <c r="BH603" i="13"/>
  <c r="BL603" i="13"/>
  <c r="BP603" i="13"/>
  <c r="BA603" i="13"/>
  <c r="BE603" i="13"/>
  <c r="BI603" i="13"/>
  <c r="BM603" i="13"/>
  <c r="BB603" i="13"/>
  <c r="BJ603" i="13"/>
  <c r="BC603" i="13"/>
  <c r="BK603" i="13"/>
  <c r="BF603" i="13"/>
  <c r="BN603" i="13"/>
  <c r="BG603" i="13"/>
  <c r="BO603" i="13"/>
  <c r="BS619" i="13"/>
  <c r="AZ619" i="13"/>
  <c r="BD619" i="13"/>
  <c r="BH619" i="13"/>
  <c r="BL619" i="13"/>
  <c r="BP619" i="13"/>
  <c r="BA619" i="13"/>
  <c r="BE619" i="13"/>
  <c r="BI619" i="13"/>
  <c r="BM619" i="13"/>
  <c r="BB619" i="13"/>
  <c r="BJ619" i="13"/>
  <c r="BF619" i="13"/>
  <c r="BC619" i="13"/>
  <c r="BK619" i="13"/>
  <c r="BN619" i="13"/>
  <c r="BG619" i="13"/>
  <c r="BO619" i="13"/>
  <c r="AZ635" i="13"/>
  <c r="BD635" i="13"/>
  <c r="BH635" i="13"/>
  <c r="BL635" i="13"/>
  <c r="BP635" i="13"/>
  <c r="BA635" i="13"/>
  <c r="BE635" i="13"/>
  <c r="BI635" i="13"/>
  <c r="BM635" i="13"/>
  <c r="BB635" i="13"/>
  <c r="BJ635" i="13"/>
  <c r="BF635" i="13"/>
  <c r="BC635" i="13"/>
  <c r="BK635" i="13"/>
  <c r="BN635" i="13"/>
  <c r="BG635" i="13"/>
  <c r="BO635" i="13"/>
  <c r="AZ651" i="13"/>
  <c r="BD651" i="13"/>
  <c r="BH651" i="13"/>
  <c r="BL651" i="13"/>
  <c r="BP651" i="13"/>
  <c r="BA651" i="13"/>
  <c r="BE651" i="13"/>
  <c r="BI651" i="13"/>
  <c r="BM651" i="13"/>
  <c r="BB651" i="13"/>
  <c r="BJ651" i="13"/>
  <c r="BK651" i="13"/>
  <c r="BF651" i="13"/>
  <c r="BC651" i="13"/>
  <c r="BN651" i="13"/>
  <c r="BG651" i="13"/>
  <c r="BO651" i="13"/>
  <c r="AZ667" i="13"/>
  <c r="BD667" i="13"/>
  <c r="BH667" i="13"/>
  <c r="BL667" i="13"/>
  <c r="BP667" i="13"/>
  <c r="BA667" i="13"/>
  <c r="BE667" i="13"/>
  <c r="BI667" i="13"/>
  <c r="BM667" i="13"/>
  <c r="BB667" i="13"/>
  <c r="BJ667" i="13"/>
  <c r="BF667" i="13"/>
  <c r="BC667" i="13"/>
  <c r="BK667" i="13"/>
  <c r="BN667" i="13"/>
  <c r="BG667" i="13"/>
  <c r="BO667" i="13"/>
  <c r="BS683" i="13"/>
  <c r="AZ683" i="13"/>
  <c r="BD683" i="13"/>
  <c r="BH683" i="13"/>
  <c r="BL683" i="13"/>
  <c r="BP683" i="13"/>
  <c r="BB683" i="13"/>
  <c r="BJ683" i="13"/>
  <c r="BA683" i="13"/>
  <c r="BE683" i="13"/>
  <c r="BI683" i="13"/>
  <c r="BM683" i="13"/>
  <c r="BF683" i="13"/>
  <c r="BN683" i="13"/>
  <c r="BC683" i="13"/>
  <c r="BG683" i="13"/>
  <c r="BK683" i="13"/>
  <c r="BO683" i="13"/>
  <c r="AZ699" i="13"/>
  <c r="BD699" i="13"/>
  <c r="BH699" i="13"/>
  <c r="BL699" i="13"/>
  <c r="BP699" i="13"/>
  <c r="BB699" i="13"/>
  <c r="BJ699" i="13"/>
  <c r="BA699" i="13"/>
  <c r="BE699" i="13"/>
  <c r="BI699" i="13"/>
  <c r="BM699" i="13"/>
  <c r="BF699" i="13"/>
  <c r="BN699" i="13"/>
  <c r="BC699" i="13"/>
  <c r="BG699" i="13"/>
  <c r="BK699" i="13"/>
  <c r="BO699" i="13"/>
  <c r="BS368" i="13"/>
  <c r="BB368" i="13"/>
  <c r="BF368" i="13"/>
  <c r="BJ368" i="13"/>
  <c r="BN368" i="13"/>
  <c r="BC368" i="13"/>
  <c r="BH368" i="13"/>
  <c r="BM368" i="13"/>
  <c r="BD368" i="13"/>
  <c r="BI368" i="13"/>
  <c r="BO368" i="13"/>
  <c r="BA368" i="13"/>
  <c r="BG368" i="13"/>
  <c r="BL368" i="13"/>
  <c r="AZ368" i="13"/>
  <c r="BK368" i="13"/>
  <c r="BE368" i="13"/>
  <c r="BP368" i="13"/>
  <c r="BC420" i="13"/>
  <c r="BG420" i="13"/>
  <c r="BK420" i="13"/>
  <c r="BO420" i="13"/>
  <c r="AZ420" i="13"/>
  <c r="BD420" i="13"/>
  <c r="BH420" i="13"/>
  <c r="BL420" i="13"/>
  <c r="BP420" i="13"/>
  <c r="BB420" i="13"/>
  <c r="BF420" i="13"/>
  <c r="BJ420" i="13"/>
  <c r="BN420" i="13"/>
  <c r="BE420" i="13"/>
  <c r="BM420" i="13"/>
  <c r="BA420" i="13"/>
  <c r="BI420" i="13"/>
  <c r="BC468" i="13"/>
  <c r="BG468" i="13"/>
  <c r="BK468" i="13"/>
  <c r="BO468" i="13"/>
  <c r="AZ468" i="13"/>
  <c r="BD468" i="13"/>
  <c r="BH468" i="13"/>
  <c r="BL468" i="13"/>
  <c r="BP468" i="13"/>
  <c r="BB468" i="13"/>
  <c r="BF468" i="13"/>
  <c r="BJ468" i="13"/>
  <c r="BN468" i="13"/>
  <c r="BE468" i="13"/>
  <c r="BM468" i="13"/>
  <c r="BA468" i="13"/>
  <c r="BI468" i="13"/>
  <c r="AZ512" i="13"/>
  <c r="BD512" i="13"/>
  <c r="BH512" i="13"/>
  <c r="BL512" i="13"/>
  <c r="BP512" i="13"/>
  <c r="BB512" i="13"/>
  <c r="BF512" i="13"/>
  <c r="BJ512" i="13"/>
  <c r="BN512" i="13"/>
  <c r="BG512" i="13"/>
  <c r="BO512" i="13"/>
  <c r="BA512" i="13"/>
  <c r="BI512" i="13"/>
  <c r="BC512" i="13"/>
  <c r="BK512" i="13"/>
  <c r="BE512" i="13"/>
  <c r="BM512" i="13"/>
  <c r="AZ568" i="13"/>
  <c r="BD568" i="13"/>
  <c r="BH568" i="13"/>
  <c r="BL568" i="13"/>
  <c r="BP568" i="13"/>
  <c r="BB568" i="13"/>
  <c r="BF568" i="13"/>
  <c r="BJ568" i="13"/>
  <c r="BN568" i="13"/>
  <c r="BG568" i="13"/>
  <c r="BO568" i="13"/>
  <c r="BA568" i="13"/>
  <c r="BI568" i="13"/>
  <c r="BK568" i="13"/>
  <c r="BC568" i="13"/>
  <c r="BM568" i="13"/>
  <c r="BE568" i="13"/>
  <c r="BC636" i="13"/>
  <c r="BG636" i="13"/>
  <c r="BK636" i="13"/>
  <c r="BO636" i="13"/>
  <c r="AZ636" i="13"/>
  <c r="BD636" i="13"/>
  <c r="BH636" i="13"/>
  <c r="BL636" i="13"/>
  <c r="BP636" i="13"/>
  <c r="BA636" i="13"/>
  <c r="BI636" i="13"/>
  <c r="BE636" i="13"/>
  <c r="BB636" i="13"/>
  <c r="BJ636" i="13"/>
  <c r="BM636" i="13"/>
  <c r="BF636" i="13"/>
  <c r="BN636" i="13"/>
  <c r="BS696" i="13"/>
  <c r="BC696" i="13"/>
  <c r="BG696" i="13"/>
  <c r="BK696" i="13"/>
  <c r="BO696" i="13"/>
  <c r="BA696" i="13"/>
  <c r="BI696" i="13"/>
  <c r="BM696" i="13"/>
  <c r="AZ696" i="13"/>
  <c r="BD696" i="13"/>
  <c r="BH696" i="13"/>
  <c r="BL696" i="13"/>
  <c r="BP696" i="13"/>
  <c r="BE696" i="13"/>
  <c r="BB696" i="13"/>
  <c r="BF696" i="13"/>
  <c r="BJ696" i="13"/>
  <c r="BN696" i="13"/>
  <c r="AZ16" i="13"/>
  <c r="BD16" i="13"/>
  <c r="BH16" i="13"/>
  <c r="BL16" i="13"/>
  <c r="BP16" i="13"/>
  <c r="BA16" i="13"/>
  <c r="BE16" i="13"/>
  <c r="BI16" i="13"/>
  <c r="BM16" i="13"/>
  <c r="BC16" i="13"/>
  <c r="BG16" i="13"/>
  <c r="BK16" i="13"/>
  <c r="BO16" i="13"/>
  <c r="BN16" i="13"/>
  <c r="BF16" i="13"/>
  <c r="BJ16" i="13"/>
  <c r="BB16" i="13"/>
  <c r="BS32" i="13"/>
  <c r="BA32" i="13"/>
  <c r="BE32" i="13"/>
  <c r="BI32" i="13"/>
  <c r="BM32" i="13"/>
  <c r="AZ32" i="13"/>
  <c r="BF32" i="13"/>
  <c r="BK32" i="13"/>
  <c r="BP32" i="13"/>
  <c r="BB32" i="13"/>
  <c r="BG32" i="13"/>
  <c r="BL32" i="13"/>
  <c r="BD32" i="13"/>
  <c r="BJ32" i="13"/>
  <c r="BO32" i="13"/>
  <c r="BH32" i="13"/>
  <c r="BN32" i="13"/>
  <c r="BC32" i="13"/>
  <c r="BA48" i="13"/>
  <c r="BE48" i="13"/>
  <c r="BI48" i="13"/>
  <c r="BM48" i="13"/>
  <c r="BD48" i="13"/>
  <c r="BJ48" i="13"/>
  <c r="BO48" i="13"/>
  <c r="BB48" i="13"/>
  <c r="BH48" i="13"/>
  <c r="BP48" i="13"/>
  <c r="BC48" i="13"/>
  <c r="BK48" i="13"/>
  <c r="AZ48" i="13"/>
  <c r="BG48" i="13"/>
  <c r="BN48" i="13"/>
  <c r="BL48" i="13"/>
  <c r="BF48" i="13"/>
  <c r="BA64" i="13"/>
  <c r="BE64" i="13"/>
  <c r="BI64" i="13"/>
  <c r="BM64" i="13"/>
  <c r="BD64" i="13"/>
  <c r="BJ64" i="13"/>
  <c r="BO64" i="13"/>
  <c r="BB64" i="13"/>
  <c r="BG64" i="13"/>
  <c r="BL64" i="13"/>
  <c r="BH64" i="13"/>
  <c r="AZ64" i="13"/>
  <c r="BK64" i="13"/>
  <c r="BF64" i="13"/>
  <c r="BP64" i="13"/>
  <c r="BC64" i="13"/>
  <c r="BN64" i="13"/>
  <c r="BS80" i="13"/>
  <c r="BA80" i="13"/>
  <c r="BE80" i="13"/>
  <c r="BI80" i="13"/>
  <c r="BM80" i="13"/>
  <c r="BD80" i="13"/>
  <c r="BJ80" i="13"/>
  <c r="BO80" i="13"/>
  <c r="BB80" i="13"/>
  <c r="BG80" i="13"/>
  <c r="BL80" i="13"/>
  <c r="BC80" i="13"/>
  <c r="BN80" i="13"/>
  <c r="BF80" i="13"/>
  <c r="BP80" i="13"/>
  <c r="AZ80" i="13"/>
  <c r="BK80" i="13"/>
  <c r="BH80" i="13"/>
  <c r="AZ96" i="13"/>
  <c r="BD96" i="13"/>
  <c r="BH96" i="13"/>
  <c r="BL96" i="13"/>
  <c r="BP96" i="13"/>
  <c r="BB96" i="13"/>
  <c r="BG96" i="13"/>
  <c r="BM96" i="13"/>
  <c r="BC96" i="13"/>
  <c r="BI96" i="13"/>
  <c r="BN96" i="13"/>
  <c r="BA96" i="13"/>
  <c r="BF96" i="13"/>
  <c r="BK96" i="13"/>
  <c r="BE96" i="13"/>
  <c r="BJ96" i="13"/>
  <c r="BO96" i="13"/>
  <c r="AZ112" i="13"/>
  <c r="BD112" i="13"/>
  <c r="BH112" i="13"/>
  <c r="BL112" i="13"/>
  <c r="BP112" i="13"/>
  <c r="BB112" i="13"/>
  <c r="BG112" i="13"/>
  <c r="BM112" i="13"/>
  <c r="BC112" i="13"/>
  <c r="BI112" i="13"/>
  <c r="BN112" i="13"/>
  <c r="BA112" i="13"/>
  <c r="BF112" i="13"/>
  <c r="BK112" i="13"/>
  <c r="BJ112" i="13"/>
  <c r="BO112" i="13"/>
  <c r="BE112" i="13"/>
  <c r="AZ128" i="13"/>
  <c r="BD128" i="13"/>
  <c r="BH128" i="13"/>
  <c r="BL128" i="13"/>
  <c r="BP128" i="13"/>
  <c r="BB128" i="13"/>
  <c r="BG128" i="13"/>
  <c r="BM128" i="13"/>
  <c r="BC128" i="13"/>
  <c r="BI128" i="13"/>
  <c r="BN128" i="13"/>
  <c r="BA128" i="13"/>
  <c r="BF128" i="13"/>
  <c r="BK128" i="13"/>
  <c r="BO128" i="13"/>
  <c r="BJ128" i="13"/>
  <c r="BE128" i="13"/>
  <c r="BS144" i="13"/>
  <c r="AZ144" i="13"/>
  <c r="BD144" i="13"/>
  <c r="BH144" i="13"/>
  <c r="BL144" i="13"/>
  <c r="BP144" i="13"/>
  <c r="BA144" i="13"/>
  <c r="BF144" i="13"/>
  <c r="BK144" i="13"/>
  <c r="BC144" i="13"/>
  <c r="BJ144" i="13"/>
  <c r="BE144" i="13"/>
  <c r="BM144" i="13"/>
  <c r="BB144" i="13"/>
  <c r="BI144" i="13"/>
  <c r="BO144" i="13"/>
  <c r="BN144" i="13"/>
  <c r="BG144" i="13"/>
  <c r="BB160" i="13"/>
  <c r="BF160" i="13"/>
  <c r="BJ160" i="13"/>
  <c r="BN160" i="13"/>
  <c r="BD160" i="13"/>
  <c r="BI160" i="13"/>
  <c r="BO160" i="13"/>
  <c r="AZ160" i="13"/>
  <c r="BE160" i="13"/>
  <c r="BK160" i="13"/>
  <c r="BP160" i="13"/>
  <c r="BC160" i="13"/>
  <c r="BH160" i="13"/>
  <c r="BM160" i="13"/>
  <c r="BL160" i="13"/>
  <c r="BG160" i="13"/>
  <c r="BA160" i="13"/>
  <c r="BB176" i="13"/>
  <c r="BF176" i="13"/>
  <c r="BJ176" i="13"/>
  <c r="BN176" i="13"/>
  <c r="BD176" i="13"/>
  <c r="BI176" i="13"/>
  <c r="BO176" i="13"/>
  <c r="AZ176" i="13"/>
  <c r="BE176" i="13"/>
  <c r="BK176" i="13"/>
  <c r="BP176" i="13"/>
  <c r="BC176" i="13"/>
  <c r="BH176" i="13"/>
  <c r="BM176" i="13"/>
  <c r="BA176" i="13"/>
  <c r="BL176" i="13"/>
  <c r="BG176" i="13"/>
  <c r="BS192" i="13"/>
  <c r="BC192" i="13"/>
  <c r="BG192" i="13"/>
  <c r="BK192" i="13"/>
  <c r="BO192" i="13"/>
  <c r="BB192" i="13"/>
  <c r="BH192" i="13"/>
  <c r="BM192" i="13"/>
  <c r="BD192" i="13"/>
  <c r="BI192" i="13"/>
  <c r="BN192" i="13"/>
  <c r="BA192" i="13"/>
  <c r="BF192" i="13"/>
  <c r="BL192" i="13"/>
  <c r="AZ192" i="13"/>
  <c r="BE192" i="13"/>
  <c r="BP192" i="13"/>
  <c r="BJ192" i="13"/>
  <c r="BC208" i="13"/>
  <c r="BG208" i="13"/>
  <c r="BK208" i="13"/>
  <c r="BO208" i="13"/>
  <c r="BB208" i="13"/>
  <c r="BH208" i="13"/>
  <c r="BM208" i="13"/>
  <c r="BD208" i="13"/>
  <c r="BI208" i="13"/>
  <c r="BN208" i="13"/>
  <c r="BA208" i="13"/>
  <c r="BF208" i="13"/>
  <c r="BL208" i="13"/>
  <c r="BE208" i="13"/>
  <c r="BJ208" i="13"/>
  <c r="AZ208" i="13"/>
  <c r="BP208" i="13"/>
  <c r="BC224" i="13"/>
  <c r="BG224" i="13"/>
  <c r="BK224" i="13"/>
  <c r="BO224" i="13"/>
  <c r="BB224" i="13"/>
  <c r="BH224" i="13"/>
  <c r="BM224" i="13"/>
  <c r="BD224" i="13"/>
  <c r="BI224" i="13"/>
  <c r="BN224" i="13"/>
  <c r="BA224" i="13"/>
  <c r="BF224" i="13"/>
  <c r="BL224" i="13"/>
  <c r="BJ224" i="13"/>
  <c r="BP224" i="13"/>
  <c r="BE224" i="13"/>
  <c r="AZ224" i="13"/>
  <c r="BC240" i="13"/>
  <c r="BG240" i="13"/>
  <c r="BK240" i="13"/>
  <c r="BO240" i="13"/>
  <c r="BB240" i="13"/>
  <c r="BH240" i="13"/>
  <c r="BM240" i="13"/>
  <c r="BD240" i="13"/>
  <c r="BI240" i="13"/>
  <c r="BN240" i="13"/>
  <c r="BA240" i="13"/>
  <c r="BF240" i="13"/>
  <c r="BL240" i="13"/>
  <c r="BP240" i="13"/>
  <c r="AZ240" i="13"/>
  <c r="BJ240" i="13"/>
  <c r="BE240" i="13"/>
  <c r="BA260" i="13"/>
  <c r="BE260" i="13"/>
  <c r="BI260" i="13"/>
  <c r="BM260" i="13"/>
  <c r="BC260" i="13"/>
  <c r="BG260" i="13"/>
  <c r="BK260" i="13"/>
  <c r="BO260" i="13"/>
  <c r="BB260" i="13"/>
  <c r="BJ260" i="13"/>
  <c r="BD260" i="13"/>
  <c r="BL260" i="13"/>
  <c r="AZ260" i="13"/>
  <c r="BH260" i="13"/>
  <c r="BP260" i="13"/>
  <c r="BF260" i="13"/>
  <c r="BN260" i="13"/>
  <c r="BC276" i="13"/>
  <c r="BG276" i="13"/>
  <c r="BK276" i="13"/>
  <c r="BO276" i="13"/>
  <c r="BD276" i="13"/>
  <c r="BI276" i="13"/>
  <c r="BN276" i="13"/>
  <c r="AZ276" i="13"/>
  <c r="BE276" i="13"/>
  <c r="BJ276" i="13"/>
  <c r="BP276" i="13"/>
  <c r="BB276" i="13"/>
  <c r="BH276" i="13"/>
  <c r="BM276" i="13"/>
  <c r="BL276" i="13"/>
  <c r="BF276" i="13"/>
  <c r="BA276" i="13"/>
  <c r="BC292" i="13"/>
  <c r="BG292" i="13"/>
  <c r="BK292" i="13"/>
  <c r="BO292" i="13"/>
  <c r="AZ292" i="13"/>
  <c r="BD292" i="13"/>
  <c r="BH292" i="13"/>
  <c r="BL292" i="13"/>
  <c r="BP292" i="13"/>
  <c r="BB292" i="13"/>
  <c r="BF292" i="13"/>
  <c r="BJ292" i="13"/>
  <c r="BN292" i="13"/>
  <c r="BM292" i="13"/>
  <c r="BA292" i="13"/>
  <c r="BI292" i="13"/>
  <c r="BE292" i="13"/>
  <c r="BC308" i="13"/>
  <c r="BG308" i="13"/>
  <c r="BK308" i="13"/>
  <c r="BO308" i="13"/>
  <c r="AZ308" i="13"/>
  <c r="BD308" i="13"/>
  <c r="BH308" i="13"/>
  <c r="BL308" i="13"/>
  <c r="BP308" i="13"/>
  <c r="BB308" i="13"/>
  <c r="BF308" i="13"/>
  <c r="BJ308" i="13"/>
  <c r="BN308" i="13"/>
  <c r="BM308" i="13"/>
  <c r="BA308" i="13"/>
  <c r="BI308" i="13"/>
  <c r="BE308" i="13"/>
  <c r="BS332" i="13"/>
  <c r="BB332" i="13"/>
  <c r="BF332" i="13"/>
  <c r="BJ332" i="13"/>
  <c r="BN332" i="13"/>
  <c r="BA332" i="13"/>
  <c r="BG332" i="13"/>
  <c r="BL332" i="13"/>
  <c r="BC332" i="13"/>
  <c r="BH332" i="13"/>
  <c r="BM332" i="13"/>
  <c r="AZ332" i="13"/>
  <c r="BE332" i="13"/>
  <c r="BK332" i="13"/>
  <c r="BP332" i="13"/>
  <c r="BO332" i="13"/>
  <c r="BD332" i="13"/>
  <c r="BI332" i="13"/>
  <c r="BB364" i="13"/>
  <c r="BF364" i="13"/>
  <c r="BJ364" i="13"/>
  <c r="BN364" i="13"/>
  <c r="BA364" i="13"/>
  <c r="BG364" i="13"/>
  <c r="BL364" i="13"/>
  <c r="BC364" i="13"/>
  <c r="BH364" i="13"/>
  <c r="BM364" i="13"/>
  <c r="AZ364" i="13"/>
  <c r="BE364" i="13"/>
  <c r="BK364" i="13"/>
  <c r="BP364" i="13"/>
  <c r="BD364" i="13"/>
  <c r="BO364" i="13"/>
  <c r="BI364" i="13"/>
  <c r="BC412" i="13"/>
  <c r="BG412" i="13"/>
  <c r="BK412" i="13"/>
  <c r="BO412" i="13"/>
  <c r="AZ412" i="13"/>
  <c r="BD412" i="13"/>
  <c r="BH412" i="13"/>
  <c r="BL412" i="13"/>
  <c r="BP412" i="13"/>
  <c r="BB412" i="13"/>
  <c r="BF412" i="13"/>
  <c r="BJ412" i="13"/>
  <c r="BN412" i="13"/>
  <c r="BM412" i="13"/>
  <c r="BE412" i="13"/>
  <c r="BA412" i="13"/>
  <c r="BI412" i="13"/>
  <c r="BC460" i="13"/>
  <c r="BG460" i="13"/>
  <c r="BK460" i="13"/>
  <c r="BO460" i="13"/>
  <c r="AZ460" i="13"/>
  <c r="BD460" i="13"/>
  <c r="BH460" i="13"/>
  <c r="BL460" i="13"/>
  <c r="BP460" i="13"/>
  <c r="BB460" i="13"/>
  <c r="BF460" i="13"/>
  <c r="BJ460" i="13"/>
  <c r="BN460" i="13"/>
  <c r="BM460" i="13"/>
  <c r="BE460" i="13"/>
  <c r="BI460" i="13"/>
  <c r="BA460" i="13"/>
  <c r="AZ516" i="13"/>
  <c r="BD516" i="13"/>
  <c r="BH516" i="13"/>
  <c r="BL516" i="13"/>
  <c r="BP516" i="13"/>
  <c r="BB516" i="13"/>
  <c r="BF516" i="13"/>
  <c r="BJ516" i="13"/>
  <c r="BN516" i="13"/>
  <c r="BC516" i="13"/>
  <c r="BK516" i="13"/>
  <c r="BE516" i="13"/>
  <c r="BM516" i="13"/>
  <c r="BO516" i="13"/>
  <c r="BG516" i="13"/>
  <c r="BA516" i="13"/>
  <c r="BI516" i="13"/>
  <c r="AZ576" i="13"/>
  <c r="BD576" i="13"/>
  <c r="BH576" i="13"/>
  <c r="BL576" i="13"/>
  <c r="BP576" i="13"/>
  <c r="BB576" i="13"/>
  <c r="BF576" i="13"/>
  <c r="BJ576" i="13"/>
  <c r="BN576" i="13"/>
  <c r="BG576" i="13"/>
  <c r="BO576" i="13"/>
  <c r="BA576" i="13"/>
  <c r="BI576" i="13"/>
  <c r="BC576" i="13"/>
  <c r="BK576" i="13"/>
  <c r="BE576" i="13"/>
  <c r="BM576" i="13"/>
  <c r="BS640" i="13"/>
  <c r="BC640" i="13"/>
  <c r="BG640" i="13"/>
  <c r="BK640" i="13"/>
  <c r="BO640" i="13"/>
  <c r="AZ640" i="13"/>
  <c r="BD640" i="13"/>
  <c r="BH640" i="13"/>
  <c r="BL640" i="13"/>
  <c r="BP640" i="13"/>
  <c r="BE640" i="13"/>
  <c r="BM640" i="13"/>
  <c r="BN640" i="13"/>
  <c r="BI640" i="13"/>
  <c r="BF640" i="13"/>
  <c r="BA640" i="13"/>
  <c r="BB640" i="13"/>
  <c r="BJ640" i="13"/>
  <c r="BC5" i="13"/>
  <c r="BG5" i="13"/>
  <c r="BK5" i="13"/>
  <c r="BO5" i="13"/>
  <c r="AZ5" i="13"/>
  <c r="BD5" i="13"/>
  <c r="BH5" i="13"/>
  <c r="BL5" i="13"/>
  <c r="BP5" i="13"/>
  <c r="BB5" i="13"/>
  <c r="BF5" i="13"/>
  <c r="BJ5" i="13"/>
  <c r="BN5" i="13"/>
  <c r="BI5" i="13"/>
  <c r="BA5" i="13"/>
  <c r="BE5" i="13"/>
  <c r="BM5" i="13"/>
  <c r="AZ21" i="13"/>
  <c r="BD21" i="13"/>
  <c r="BH21" i="13"/>
  <c r="BL21" i="13"/>
  <c r="BP21" i="13"/>
  <c r="BA21" i="13"/>
  <c r="BF21" i="13"/>
  <c r="BK21" i="13"/>
  <c r="BB21" i="13"/>
  <c r="BG21" i="13"/>
  <c r="BM21" i="13"/>
  <c r="BE21" i="13"/>
  <c r="BJ21" i="13"/>
  <c r="BO21" i="13"/>
  <c r="BC21" i="13"/>
  <c r="BI21" i="13"/>
  <c r="BN21" i="13"/>
  <c r="AZ37" i="13"/>
  <c r="BD37" i="13"/>
  <c r="BH37" i="13"/>
  <c r="BL37" i="13"/>
  <c r="BP37" i="13"/>
  <c r="BA37" i="13"/>
  <c r="BF37" i="13"/>
  <c r="BK37" i="13"/>
  <c r="BB37" i="13"/>
  <c r="BG37" i="13"/>
  <c r="BM37" i="13"/>
  <c r="BE37" i="13"/>
  <c r="BJ37" i="13"/>
  <c r="BO37" i="13"/>
  <c r="BI37" i="13"/>
  <c r="BN37" i="13"/>
  <c r="BC37" i="13"/>
  <c r="BS53" i="13"/>
  <c r="AZ53" i="13"/>
  <c r="BD53" i="13"/>
  <c r="BH53" i="13"/>
  <c r="BL53" i="13"/>
  <c r="BP53" i="13"/>
  <c r="BE53" i="13"/>
  <c r="BJ53" i="13"/>
  <c r="BO53" i="13"/>
  <c r="BB53" i="13"/>
  <c r="BI53" i="13"/>
  <c r="BC53" i="13"/>
  <c r="BK53" i="13"/>
  <c r="BA53" i="13"/>
  <c r="BG53" i="13"/>
  <c r="BN53" i="13"/>
  <c r="BM53" i="13"/>
  <c r="BF53" i="13"/>
  <c r="AZ69" i="13"/>
  <c r="BD69" i="13"/>
  <c r="BH69" i="13"/>
  <c r="BL69" i="13"/>
  <c r="BP69" i="13"/>
  <c r="BE69" i="13"/>
  <c r="BJ69" i="13"/>
  <c r="BO69" i="13"/>
  <c r="BB69" i="13"/>
  <c r="BG69" i="13"/>
  <c r="BM69" i="13"/>
  <c r="BI69" i="13"/>
  <c r="BA69" i="13"/>
  <c r="BK69" i="13"/>
  <c r="BF69" i="13"/>
  <c r="BC69" i="13"/>
  <c r="BN69" i="13"/>
  <c r="AZ85" i="13"/>
  <c r="BD85" i="13"/>
  <c r="BH85" i="13"/>
  <c r="BL85" i="13"/>
  <c r="BP85" i="13"/>
  <c r="BB85" i="13"/>
  <c r="BF85" i="13"/>
  <c r="BJ85" i="13"/>
  <c r="BN85" i="13"/>
  <c r="BG85" i="13"/>
  <c r="BO85" i="13"/>
  <c r="BA85" i="13"/>
  <c r="BI85" i="13"/>
  <c r="BE85" i="13"/>
  <c r="BM85" i="13"/>
  <c r="BK85" i="13"/>
  <c r="BC85" i="13"/>
  <c r="BS101" i="13"/>
  <c r="BC101" i="13"/>
  <c r="BG101" i="13"/>
  <c r="BK101" i="13"/>
  <c r="BO101" i="13"/>
  <c r="BB101" i="13"/>
  <c r="BH101" i="13"/>
  <c r="BM101" i="13"/>
  <c r="BD101" i="13"/>
  <c r="BI101" i="13"/>
  <c r="BN101" i="13"/>
  <c r="BA101" i="13"/>
  <c r="BF101" i="13"/>
  <c r="BL101" i="13"/>
  <c r="BE101" i="13"/>
  <c r="BJ101" i="13"/>
  <c r="AZ101" i="13"/>
  <c r="BP101" i="13"/>
  <c r="BC117" i="13"/>
  <c r="BG117" i="13"/>
  <c r="BK117" i="13"/>
  <c r="BO117" i="13"/>
  <c r="BB117" i="13"/>
  <c r="BH117" i="13"/>
  <c r="BM117" i="13"/>
  <c r="BD117" i="13"/>
  <c r="BI117" i="13"/>
  <c r="BN117" i="13"/>
  <c r="BA117" i="13"/>
  <c r="BF117" i="13"/>
  <c r="BL117" i="13"/>
  <c r="BJ117" i="13"/>
  <c r="BP117" i="13"/>
  <c r="BE117" i="13"/>
  <c r="AZ117" i="13"/>
  <c r="BC133" i="13"/>
  <c r="BG133" i="13"/>
  <c r="BK133" i="13"/>
  <c r="BO133" i="13"/>
  <c r="BB133" i="13"/>
  <c r="BH133" i="13"/>
  <c r="BM133" i="13"/>
  <c r="BD133" i="13"/>
  <c r="BI133" i="13"/>
  <c r="BN133" i="13"/>
  <c r="BA133" i="13"/>
  <c r="BF133" i="13"/>
  <c r="BL133" i="13"/>
  <c r="BP133" i="13"/>
  <c r="AZ133" i="13"/>
  <c r="BJ133" i="13"/>
  <c r="BE133" i="13"/>
  <c r="BA149" i="13"/>
  <c r="BE149" i="13"/>
  <c r="BI149" i="13"/>
  <c r="BM149" i="13"/>
  <c r="BD149" i="13"/>
  <c r="BJ149" i="13"/>
  <c r="BO149" i="13"/>
  <c r="AZ149" i="13"/>
  <c r="BF149" i="13"/>
  <c r="BK149" i="13"/>
  <c r="BP149" i="13"/>
  <c r="BC149" i="13"/>
  <c r="BH149" i="13"/>
  <c r="BN149" i="13"/>
  <c r="BG149" i="13"/>
  <c r="BL149" i="13"/>
  <c r="BB149" i="13"/>
  <c r="BA165" i="13"/>
  <c r="BE165" i="13"/>
  <c r="BI165" i="13"/>
  <c r="BM165" i="13"/>
  <c r="BD165" i="13"/>
  <c r="BJ165" i="13"/>
  <c r="BO165" i="13"/>
  <c r="AZ165" i="13"/>
  <c r="BF165" i="13"/>
  <c r="BK165" i="13"/>
  <c r="BP165" i="13"/>
  <c r="BC165" i="13"/>
  <c r="BH165" i="13"/>
  <c r="BN165" i="13"/>
  <c r="BL165" i="13"/>
  <c r="BG165" i="13"/>
  <c r="BB165" i="13"/>
  <c r="BA181" i="13"/>
  <c r="BE181" i="13"/>
  <c r="BI181" i="13"/>
  <c r="BM181" i="13"/>
  <c r="BC181" i="13"/>
  <c r="BH181" i="13"/>
  <c r="BN181" i="13"/>
  <c r="AZ181" i="13"/>
  <c r="BG181" i="13"/>
  <c r="BO181" i="13"/>
  <c r="BB181" i="13"/>
  <c r="BJ181" i="13"/>
  <c r="BP181" i="13"/>
  <c r="BF181" i="13"/>
  <c r="BL181" i="13"/>
  <c r="BK181" i="13"/>
  <c r="BD181" i="13"/>
  <c r="BB197" i="13"/>
  <c r="BF197" i="13"/>
  <c r="BJ197" i="13"/>
  <c r="BN197" i="13"/>
  <c r="BC197" i="13"/>
  <c r="BH197" i="13"/>
  <c r="BM197" i="13"/>
  <c r="BD197" i="13"/>
  <c r="BI197" i="13"/>
  <c r="BO197" i="13"/>
  <c r="BA197" i="13"/>
  <c r="BG197" i="13"/>
  <c r="BL197" i="13"/>
  <c r="AZ197" i="13"/>
  <c r="BE197" i="13"/>
  <c r="BP197" i="13"/>
  <c r="BK197" i="13"/>
  <c r="BS213" i="13"/>
  <c r="BB213" i="13"/>
  <c r="BF213" i="13"/>
  <c r="BJ213" i="13"/>
  <c r="BN213" i="13"/>
  <c r="BC213" i="13"/>
  <c r="BH213" i="13"/>
  <c r="BM213" i="13"/>
  <c r="BD213" i="13"/>
  <c r="BI213" i="13"/>
  <c r="BO213" i="13"/>
  <c r="BA213" i="13"/>
  <c r="BG213" i="13"/>
  <c r="BL213" i="13"/>
  <c r="BE213" i="13"/>
  <c r="BK213" i="13"/>
  <c r="AZ213" i="13"/>
  <c r="BP213" i="13"/>
  <c r="BB229" i="13"/>
  <c r="BF229" i="13"/>
  <c r="BJ229" i="13"/>
  <c r="BN229" i="13"/>
  <c r="BC229" i="13"/>
  <c r="BH229" i="13"/>
  <c r="BM229" i="13"/>
  <c r="BD229" i="13"/>
  <c r="BI229" i="13"/>
  <c r="BO229" i="13"/>
  <c r="BA229" i="13"/>
  <c r="BG229" i="13"/>
  <c r="BL229" i="13"/>
  <c r="BK229" i="13"/>
  <c r="BP229" i="13"/>
  <c r="BE229" i="13"/>
  <c r="AZ229" i="13"/>
  <c r="BC249" i="13"/>
  <c r="BG249" i="13"/>
  <c r="BK249" i="13"/>
  <c r="BO249" i="13"/>
  <c r="AZ249" i="13"/>
  <c r="BD249" i="13"/>
  <c r="BH249" i="13"/>
  <c r="BL249" i="13"/>
  <c r="BP249" i="13"/>
  <c r="BB249" i="13"/>
  <c r="BF249" i="13"/>
  <c r="BJ249" i="13"/>
  <c r="BN249" i="13"/>
  <c r="BA249" i="13"/>
  <c r="BE249" i="13"/>
  <c r="BM249" i="13"/>
  <c r="BI249" i="13"/>
  <c r="AZ265" i="13"/>
  <c r="BD265" i="13"/>
  <c r="BH265" i="13"/>
  <c r="BL265" i="13"/>
  <c r="BP265" i="13"/>
  <c r="BB265" i="13"/>
  <c r="BF265" i="13"/>
  <c r="BJ265" i="13"/>
  <c r="BN265" i="13"/>
  <c r="BE265" i="13"/>
  <c r="BM265" i="13"/>
  <c r="BG265" i="13"/>
  <c r="BO265" i="13"/>
  <c r="BC265" i="13"/>
  <c r="BK265" i="13"/>
  <c r="BI265" i="13"/>
  <c r="BA265" i="13"/>
  <c r="BB281" i="13"/>
  <c r="BF281" i="13"/>
  <c r="BJ281" i="13"/>
  <c r="BN281" i="13"/>
  <c r="BC281" i="13"/>
  <c r="BG281" i="13"/>
  <c r="BK281" i="13"/>
  <c r="BO281" i="13"/>
  <c r="BA281" i="13"/>
  <c r="BE281" i="13"/>
  <c r="BI281" i="13"/>
  <c r="BM281" i="13"/>
  <c r="BH281" i="13"/>
  <c r="BL281" i="13"/>
  <c r="BD281" i="13"/>
  <c r="BP281" i="13"/>
  <c r="AZ281" i="13"/>
  <c r="BS297" i="13"/>
  <c r="BB297" i="13"/>
  <c r="BF297" i="13"/>
  <c r="BJ297" i="13"/>
  <c r="BN297" i="13"/>
  <c r="BC297" i="13"/>
  <c r="BG297" i="13"/>
  <c r="BK297" i="13"/>
  <c r="BO297" i="13"/>
  <c r="BA297" i="13"/>
  <c r="BE297" i="13"/>
  <c r="BI297" i="13"/>
  <c r="BM297" i="13"/>
  <c r="BH297" i="13"/>
  <c r="BL297" i="13"/>
  <c r="BD297" i="13"/>
  <c r="AZ297" i="13"/>
  <c r="BP297" i="13"/>
  <c r="BB313" i="13"/>
  <c r="BF313" i="13"/>
  <c r="BJ313" i="13"/>
  <c r="BN313" i="13"/>
  <c r="BC313" i="13"/>
  <c r="BG313" i="13"/>
  <c r="BK313" i="13"/>
  <c r="BO313" i="13"/>
  <c r="BA313" i="13"/>
  <c r="BE313" i="13"/>
  <c r="BI313" i="13"/>
  <c r="BM313" i="13"/>
  <c r="BH313" i="13"/>
  <c r="BL313" i="13"/>
  <c r="BD313" i="13"/>
  <c r="BP313" i="13"/>
  <c r="AZ313" i="13"/>
  <c r="BA329" i="13"/>
  <c r="BE329" i="13"/>
  <c r="BI329" i="13"/>
  <c r="BM329" i="13"/>
  <c r="BD329" i="13"/>
  <c r="BJ329" i="13"/>
  <c r="BO329" i="13"/>
  <c r="AZ329" i="13"/>
  <c r="BF329" i="13"/>
  <c r="BK329" i="13"/>
  <c r="BP329" i="13"/>
  <c r="BC329" i="13"/>
  <c r="BH329" i="13"/>
  <c r="BN329" i="13"/>
  <c r="BB329" i="13"/>
  <c r="BL329" i="13"/>
  <c r="BG329" i="13"/>
  <c r="BA345" i="13"/>
  <c r="BE345" i="13"/>
  <c r="BI345" i="13"/>
  <c r="BM345" i="13"/>
  <c r="BD345" i="13"/>
  <c r="BJ345" i="13"/>
  <c r="BO345" i="13"/>
  <c r="AZ345" i="13"/>
  <c r="BF345" i="13"/>
  <c r="BK345" i="13"/>
  <c r="BP345" i="13"/>
  <c r="BC345" i="13"/>
  <c r="BH345" i="13"/>
  <c r="BN345" i="13"/>
  <c r="BG345" i="13"/>
  <c r="BB345" i="13"/>
  <c r="BL345" i="13"/>
  <c r="BS361" i="13"/>
  <c r="BA361" i="13"/>
  <c r="BE361" i="13"/>
  <c r="BI361" i="13"/>
  <c r="BM361" i="13"/>
  <c r="BD361" i="13"/>
  <c r="BJ361" i="13"/>
  <c r="BO361" i="13"/>
  <c r="AZ361" i="13"/>
  <c r="BF361" i="13"/>
  <c r="BK361" i="13"/>
  <c r="BP361" i="13"/>
  <c r="BC361" i="13"/>
  <c r="BH361" i="13"/>
  <c r="BN361" i="13"/>
  <c r="BL361" i="13"/>
  <c r="BB361" i="13"/>
  <c r="BG361" i="13"/>
  <c r="BA377" i="13"/>
  <c r="BE377" i="13"/>
  <c r="BI377" i="13"/>
  <c r="BM377" i="13"/>
  <c r="BD377" i="13"/>
  <c r="BJ377" i="13"/>
  <c r="BO377" i="13"/>
  <c r="AZ377" i="13"/>
  <c r="BF377" i="13"/>
  <c r="BK377" i="13"/>
  <c r="BP377" i="13"/>
  <c r="BC377" i="13"/>
  <c r="BH377" i="13"/>
  <c r="BN377" i="13"/>
  <c r="BG377" i="13"/>
  <c r="BL377" i="13"/>
  <c r="BB377" i="13"/>
  <c r="BB393" i="13"/>
  <c r="BF393" i="13"/>
  <c r="BJ393" i="13"/>
  <c r="BN393" i="13"/>
  <c r="BC393" i="13"/>
  <c r="BG393" i="13"/>
  <c r="BK393" i="13"/>
  <c r="BO393" i="13"/>
  <c r="BA393" i="13"/>
  <c r="BE393" i="13"/>
  <c r="BI393" i="13"/>
  <c r="BM393" i="13"/>
  <c r="AZ393" i="13"/>
  <c r="BP393" i="13"/>
  <c r="BH393" i="13"/>
  <c r="BD393" i="13"/>
  <c r="BL393" i="13"/>
  <c r="BS409" i="13"/>
  <c r="BB409" i="13"/>
  <c r="BF409" i="13"/>
  <c r="BJ409" i="13"/>
  <c r="BN409" i="13"/>
  <c r="BC409" i="13"/>
  <c r="BG409" i="13"/>
  <c r="BK409" i="13"/>
  <c r="BO409" i="13"/>
  <c r="BA409" i="13"/>
  <c r="BE409" i="13"/>
  <c r="BI409" i="13"/>
  <c r="BM409" i="13"/>
  <c r="AZ409" i="13"/>
  <c r="BP409" i="13"/>
  <c r="BH409" i="13"/>
  <c r="BL409" i="13"/>
  <c r="BD409" i="13"/>
  <c r="BB425" i="13"/>
  <c r="BF425" i="13"/>
  <c r="BJ425" i="13"/>
  <c r="BN425" i="13"/>
  <c r="BC425" i="13"/>
  <c r="BG425" i="13"/>
  <c r="BK425" i="13"/>
  <c r="BO425" i="13"/>
  <c r="BA425" i="13"/>
  <c r="BE425" i="13"/>
  <c r="BI425" i="13"/>
  <c r="BM425" i="13"/>
  <c r="AZ425" i="13"/>
  <c r="BP425" i="13"/>
  <c r="BH425" i="13"/>
  <c r="BD425" i="13"/>
  <c r="BL425" i="13"/>
  <c r="BB441" i="13"/>
  <c r="BF441" i="13"/>
  <c r="BJ441" i="13"/>
  <c r="BN441" i="13"/>
  <c r="BC441" i="13"/>
  <c r="BG441" i="13"/>
  <c r="BK441" i="13"/>
  <c r="BO441" i="13"/>
  <c r="BA441" i="13"/>
  <c r="BE441" i="13"/>
  <c r="BI441" i="13"/>
  <c r="BM441" i="13"/>
  <c r="AZ441" i="13"/>
  <c r="BP441" i="13"/>
  <c r="BH441" i="13"/>
  <c r="BL441" i="13"/>
  <c r="BD441" i="13"/>
  <c r="BB457" i="13"/>
  <c r="BF457" i="13"/>
  <c r="BJ457" i="13"/>
  <c r="BN457" i="13"/>
  <c r="BC457" i="13"/>
  <c r="BG457" i="13"/>
  <c r="BK457" i="13"/>
  <c r="BO457" i="13"/>
  <c r="BA457" i="13"/>
  <c r="BE457" i="13"/>
  <c r="BI457" i="13"/>
  <c r="BM457" i="13"/>
  <c r="AZ457" i="13"/>
  <c r="BP457" i="13"/>
  <c r="BH457" i="13"/>
  <c r="BD457" i="13"/>
  <c r="BL457" i="13"/>
  <c r="BS473" i="13"/>
  <c r="BB473" i="13"/>
  <c r="BF473" i="13"/>
  <c r="BJ473" i="13"/>
  <c r="BN473" i="13"/>
  <c r="BC473" i="13"/>
  <c r="BG473" i="13"/>
  <c r="BK473" i="13"/>
  <c r="BO473" i="13"/>
  <c r="BA473" i="13"/>
  <c r="BE473" i="13"/>
  <c r="BI473" i="13"/>
  <c r="BM473" i="13"/>
  <c r="AZ473" i="13"/>
  <c r="BP473" i="13"/>
  <c r="BH473" i="13"/>
  <c r="BL473" i="13"/>
  <c r="BD473" i="13"/>
  <c r="BB489" i="13"/>
  <c r="BF489" i="13"/>
  <c r="BJ489" i="13"/>
  <c r="BN489" i="13"/>
  <c r="AZ489" i="13"/>
  <c r="BD489" i="13"/>
  <c r="BH489" i="13"/>
  <c r="BL489" i="13"/>
  <c r="BP489" i="13"/>
  <c r="BE489" i="13"/>
  <c r="BM489" i="13"/>
  <c r="BG489" i="13"/>
  <c r="BO489" i="13"/>
  <c r="BI489" i="13"/>
  <c r="BK489" i="13"/>
  <c r="BA489" i="13"/>
  <c r="BC489" i="13"/>
  <c r="BC505" i="13"/>
  <c r="BG505" i="13"/>
  <c r="BK505" i="13"/>
  <c r="BO505" i="13"/>
  <c r="BA505" i="13"/>
  <c r="BE505" i="13"/>
  <c r="BI505" i="13"/>
  <c r="BM505" i="13"/>
  <c r="BF505" i="13"/>
  <c r="BN505" i="13"/>
  <c r="AZ505" i="13"/>
  <c r="BH505" i="13"/>
  <c r="BP505" i="13"/>
  <c r="BJ505" i="13"/>
  <c r="BB505" i="13"/>
  <c r="BL505" i="13"/>
  <c r="BD505" i="13"/>
  <c r="BS521" i="13"/>
  <c r="BC521" i="13"/>
  <c r="BG521" i="13"/>
  <c r="BK521" i="13"/>
  <c r="BO521" i="13"/>
  <c r="BA521" i="13"/>
  <c r="BE521" i="13"/>
  <c r="BI521" i="13"/>
  <c r="BM521" i="13"/>
  <c r="BF521" i="13"/>
  <c r="BN521" i="13"/>
  <c r="AZ521" i="13"/>
  <c r="BH521" i="13"/>
  <c r="BP521" i="13"/>
  <c r="BJ521" i="13"/>
  <c r="BB521" i="13"/>
  <c r="BL521" i="13"/>
  <c r="BD521" i="13"/>
  <c r="BC537" i="13"/>
  <c r="BG537" i="13"/>
  <c r="BK537" i="13"/>
  <c r="BO537" i="13"/>
  <c r="BA537" i="13"/>
  <c r="BE537" i="13"/>
  <c r="BI537" i="13"/>
  <c r="BM537" i="13"/>
  <c r="BF537" i="13"/>
  <c r="BN537" i="13"/>
  <c r="AZ537" i="13"/>
  <c r="BH537" i="13"/>
  <c r="BP537" i="13"/>
  <c r="BJ537" i="13"/>
  <c r="BB537" i="13"/>
  <c r="BL537" i="13"/>
  <c r="BD537" i="13"/>
  <c r="BC553" i="13"/>
  <c r="BG553" i="13"/>
  <c r="BK553" i="13"/>
  <c r="BO553" i="13"/>
  <c r="BA553" i="13"/>
  <c r="BE553" i="13"/>
  <c r="BI553" i="13"/>
  <c r="BM553" i="13"/>
  <c r="BF553" i="13"/>
  <c r="BN553" i="13"/>
  <c r="AZ553" i="13"/>
  <c r="BH553" i="13"/>
  <c r="BP553" i="13"/>
  <c r="BJ553" i="13"/>
  <c r="BL553" i="13"/>
  <c r="BB553" i="13"/>
  <c r="BD553" i="13"/>
  <c r="BC569" i="13"/>
  <c r="BG569" i="13"/>
  <c r="BK569" i="13"/>
  <c r="BO569" i="13"/>
  <c r="BA569" i="13"/>
  <c r="BE569" i="13"/>
  <c r="BI569" i="13"/>
  <c r="BM569" i="13"/>
  <c r="BF569" i="13"/>
  <c r="BN569" i="13"/>
  <c r="AZ569" i="13"/>
  <c r="BH569" i="13"/>
  <c r="BP569" i="13"/>
  <c r="BJ569" i="13"/>
  <c r="BL569" i="13"/>
  <c r="BB569" i="13"/>
  <c r="BD569" i="13"/>
  <c r="BS585" i="13"/>
  <c r="BC585" i="13"/>
  <c r="BG585" i="13"/>
  <c r="BK585" i="13"/>
  <c r="BO585" i="13"/>
  <c r="BA585" i="13"/>
  <c r="BE585" i="13"/>
  <c r="BI585" i="13"/>
  <c r="BM585" i="13"/>
  <c r="BF585" i="13"/>
  <c r="BN585" i="13"/>
  <c r="AZ585" i="13"/>
  <c r="BH585" i="13"/>
  <c r="BP585" i="13"/>
  <c r="BJ585" i="13"/>
  <c r="BL585" i="13"/>
  <c r="BB585" i="13"/>
  <c r="BD585" i="13"/>
  <c r="BB601" i="13"/>
  <c r="BF601" i="13"/>
  <c r="BJ601" i="13"/>
  <c r="BN601" i="13"/>
  <c r="BC601" i="13"/>
  <c r="BG601" i="13"/>
  <c r="BK601" i="13"/>
  <c r="BO601" i="13"/>
  <c r="BD601" i="13"/>
  <c r="BL601" i="13"/>
  <c r="BE601" i="13"/>
  <c r="BM601" i="13"/>
  <c r="AZ601" i="13"/>
  <c r="BH601" i="13"/>
  <c r="BP601" i="13"/>
  <c r="BA601" i="13"/>
  <c r="BI601" i="13"/>
  <c r="BB617" i="13"/>
  <c r="BF617" i="13"/>
  <c r="BJ617" i="13"/>
  <c r="BN617" i="13"/>
  <c r="BC617" i="13"/>
  <c r="BG617" i="13"/>
  <c r="BK617" i="13"/>
  <c r="BO617" i="13"/>
  <c r="BD617" i="13"/>
  <c r="BL617" i="13"/>
  <c r="BH617" i="13"/>
  <c r="BE617" i="13"/>
  <c r="BM617" i="13"/>
  <c r="AZ617" i="13"/>
  <c r="BP617" i="13"/>
  <c r="BA617" i="13"/>
  <c r="BI617" i="13"/>
  <c r="BS633" i="13"/>
  <c r="BB633" i="13"/>
  <c r="BF633" i="13"/>
  <c r="BJ633" i="13"/>
  <c r="BN633" i="13"/>
  <c r="BC633" i="13"/>
  <c r="BG633" i="13"/>
  <c r="BK633" i="13"/>
  <c r="BO633" i="13"/>
  <c r="BD633" i="13"/>
  <c r="BL633" i="13"/>
  <c r="AZ633" i="13"/>
  <c r="BP633" i="13"/>
  <c r="BE633" i="13"/>
  <c r="BM633" i="13"/>
  <c r="BH633" i="13"/>
  <c r="BA633" i="13"/>
  <c r="BI633" i="13"/>
  <c r="BB649" i="13"/>
  <c r="BF649" i="13"/>
  <c r="BJ649" i="13"/>
  <c r="BN649" i="13"/>
  <c r="BC649" i="13"/>
  <c r="BG649" i="13"/>
  <c r="BK649" i="13"/>
  <c r="BO649" i="13"/>
  <c r="BD649" i="13"/>
  <c r="BL649" i="13"/>
  <c r="BE649" i="13"/>
  <c r="BH649" i="13"/>
  <c r="BM649" i="13"/>
  <c r="AZ649" i="13"/>
  <c r="BP649" i="13"/>
  <c r="BA649" i="13"/>
  <c r="BI649" i="13"/>
  <c r="BB665" i="13"/>
  <c r="BF665" i="13"/>
  <c r="BJ665" i="13"/>
  <c r="BN665" i="13"/>
  <c r="BC665" i="13"/>
  <c r="BG665" i="13"/>
  <c r="BK665" i="13"/>
  <c r="BO665" i="13"/>
  <c r="BD665" i="13"/>
  <c r="BL665" i="13"/>
  <c r="BP665" i="13"/>
  <c r="BE665" i="13"/>
  <c r="BM665" i="13"/>
  <c r="AZ665" i="13"/>
  <c r="BH665" i="13"/>
  <c r="BA665" i="13"/>
  <c r="BI665" i="13"/>
  <c r="BB681" i="13"/>
  <c r="BF681" i="13"/>
  <c r="BJ681" i="13"/>
  <c r="BN681" i="13"/>
  <c r="AZ681" i="13"/>
  <c r="BH681" i="13"/>
  <c r="BP681" i="13"/>
  <c r="BC681" i="13"/>
  <c r="BG681" i="13"/>
  <c r="BK681" i="13"/>
  <c r="BO681" i="13"/>
  <c r="BD681" i="13"/>
  <c r="BL681" i="13"/>
  <c r="BA681" i="13"/>
  <c r="BE681" i="13"/>
  <c r="BI681" i="13"/>
  <c r="BM681" i="13"/>
  <c r="BS697" i="13"/>
  <c r="BB697" i="13"/>
  <c r="BF697" i="13"/>
  <c r="BJ697" i="13"/>
  <c r="BN697" i="13"/>
  <c r="BD697" i="13"/>
  <c r="BL697" i="13"/>
  <c r="BC697" i="13"/>
  <c r="BG697" i="13"/>
  <c r="BK697" i="13"/>
  <c r="BO697" i="13"/>
  <c r="AZ697" i="13"/>
  <c r="BH697" i="13"/>
  <c r="BP697" i="13"/>
  <c r="BA697" i="13"/>
  <c r="BE697" i="13"/>
  <c r="BI697" i="13"/>
  <c r="BM697" i="13"/>
  <c r="AZ580" i="13"/>
  <c r="BD580" i="13"/>
  <c r="BH580" i="13"/>
  <c r="BL580" i="13"/>
  <c r="BP580" i="13"/>
  <c r="BB580" i="13"/>
  <c r="BF580" i="13"/>
  <c r="BJ580" i="13"/>
  <c r="BN580" i="13"/>
  <c r="BC580" i="13"/>
  <c r="BK580" i="13"/>
  <c r="BE580" i="13"/>
  <c r="BM580" i="13"/>
  <c r="BO580" i="13"/>
  <c r="BG580" i="13"/>
  <c r="BA580" i="13"/>
  <c r="BI580" i="13"/>
  <c r="BC644" i="13"/>
  <c r="BG644" i="13"/>
  <c r="BK644" i="13"/>
  <c r="BO644" i="13"/>
  <c r="AZ644" i="13"/>
  <c r="BD644" i="13"/>
  <c r="BH644" i="13"/>
  <c r="BL644" i="13"/>
  <c r="BP644" i="13"/>
  <c r="BA644" i="13"/>
  <c r="BI644" i="13"/>
  <c r="BJ644" i="13"/>
  <c r="BM644" i="13"/>
  <c r="BB644" i="13"/>
  <c r="BE644" i="13"/>
  <c r="BF644" i="13"/>
  <c r="BN644" i="13"/>
  <c r="BB6" i="13"/>
  <c r="BF6" i="13"/>
  <c r="BJ6" i="13"/>
  <c r="BN6" i="13"/>
  <c r="BC6" i="13"/>
  <c r="BG6" i="13"/>
  <c r="BK6" i="13"/>
  <c r="BO6" i="13"/>
  <c r="BA6" i="13"/>
  <c r="BE6" i="13"/>
  <c r="BI6" i="13"/>
  <c r="BM6" i="13"/>
  <c r="BH6" i="13"/>
  <c r="BD6" i="13"/>
  <c r="BL6" i="13"/>
  <c r="AZ6" i="13"/>
  <c r="BP6" i="13"/>
  <c r="BC22" i="13"/>
  <c r="BG22" i="13"/>
  <c r="BK22" i="13"/>
  <c r="BO22" i="13"/>
  <c r="AZ22" i="13"/>
  <c r="BE22" i="13"/>
  <c r="BJ22" i="13"/>
  <c r="BP22" i="13"/>
  <c r="BA22" i="13"/>
  <c r="BF22" i="13"/>
  <c r="BL22" i="13"/>
  <c r="BD22" i="13"/>
  <c r="BI22" i="13"/>
  <c r="BN22" i="13"/>
  <c r="BH22" i="13"/>
  <c r="BM22" i="13"/>
  <c r="BB22" i="13"/>
  <c r="BS38" i="13"/>
  <c r="BC38" i="13"/>
  <c r="BG38" i="13"/>
  <c r="BK38" i="13"/>
  <c r="BO38" i="13"/>
  <c r="AZ38" i="13"/>
  <c r="BE38" i="13"/>
  <c r="BJ38" i="13"/>
  <c r="BP38" i="13"/>
  <c r="BA38" i="13"/>
  <c r="BF38" i="13"/>
  <c r="BL38" i="13"/>
  <c r="BD38" i="13"/>
  <c r="BI38" i="13"/>
  <c r="BN38" i="13"/>
  <c r="BM38" i="13"/>
  <c r="BH38" i="13"/>
  <c r="BB38" i="13"/>
  <c r="BC54" i="13"/>
  <c r="BG54" i="13"/>
  <c r="BK54" i="13"/>
  <c r="BO54" i="13"/>
  <c r="BD54" i="13"/>
  <c r="BI54" i="13"/>
  <c r="BN54" i="13"/>
  <c r="AZ54" i="13"/>
  <c r="BF54" i="13"/>
  <c r="BM54" i="13"/>
  <c r="BA54" i="13"/>
  <c r="BH54" i="13"/>
  <c r="BP54" i="13"/>
  <c r="BE54" i="13"/>
  <c r="BL54" i="13"/>
  <c r="BB54" i="13"/>
  <c r="BJ54" i="13"/>
  <c r="BC70" i="13"/>
  <c r="BG70" i="13"/>
  <c r="BK70" i="13"/>
  <c r="BO70" i="13"/>
  <c r="BD70" i="13"/>
  <c r="BI70" i="13"/>
  <c r="BN70" i="13"/>
  <c r="BA70" i="13"/>
  <c r="BF70" i="13"/>
  <c r="BL70" i="13"/>
  <c r="BB70" i="13"/>
  <c r="BM70" i="13"/>
  <c r="BE70" i="13"/>
  <c r="BP70" i="13"/>
  <c r="AZ70" i="13"/>
  <c r="BJ70" i="13"/>
  <c r="BH70" i="13"/>
  <c r="BC86" i="13"/>
  <c r="BG86" i="13"/>
  <c r="BK86" i="13"/>
  <c r="BO86" i="13"/>
  <c r="BA86" i="13"/>
  <c r="BE86" i="13"/>
  <c r="BI86" i="13"/>
  <c r="BM86" i="13"/>
  <c r="BF86" i="13"/>
  <c r="BN86" i="13"/>
  <c r="AZ86" i="13"/>
  <c r="BH86" i="13"/>
  <c r="BP86" i="13"/>
  <c r="BD86" i="13"/>
  <c r="BL86" i="13"/>
  <c r="BB86" i="13"/>
  <c r="BJ86" i="13"/>
  <c r="BS102" i="13"/>
  <c r="BB102" i="13"/>
  <c r="BF102" i="13"/>
  <c r="BJ102" i="13"/>
  <c r="BN102" i="13"/>
  <c r="BA102" i="13"/>
  <c r="BG102" i="13"/>
  <c r="BL102" i="13"/>
  <c r="BC102" i="13"/>
  <c r="BH102" i="13"/>
  <c r="BM102" i="13"/>
  <c r="AZ102" i="13"/>
  <c r="BE102" i="13"/>
  <c r="BK102" i="13"/>
  <c r="BP102" i="13"/>
  <c r="BI102" i="13"/>
  <c r="BO102" i="13"/>
  <c r="BD102" i="13"/>
  <c r="BB118" i="13"/>
  <c r="BF118" i="13"/>
  <c r="BJ118" i="13"/>
  <c r="BN118" i="13"/>
  <c r="BA118" i="13"/>
  <c r="BG118" i="13"/>
  <c r="BL118" i="13"/>
  <c r="BC118" i="13"/>
  <c r="BH118" i="13"/>
  <c r="BM118" i="13"/>
  <c r="AZ118" i="13"/>
  <c r="BE118" i="13"/>
  <c r="BK118" i="13"/>
  <c r="BP118" i="13"/>
  <c r="BO118" i="13"/>
  <c r="BI118" i="13"/>
  <c r="BD118" i="13"/>
  <c r="BB134" i="13"/>
  <c r="BF134" i="13"/>
  <c r="BJ134" i="13"/>
  <c r="BN134" i="13"/>
  <c r="BA134" i="13"/>
  <c r="BG134" i="13"/>
  <c r="BL134" i="13"/>
  <c r="BC134" i="13"/>
  <c r="BH134" i="13"/>
  <c r="BM134" i="13"/>
  <c r="AZ134" i="13"/>
  <c r="BE134" i="13"/>
  <c r="BK134" i="13"/>
  <c r="BP134" i="13"/>
  <c r="BD134" i="13"/>
  <c r="BO134" i="13"/>
  <c r="BI134" i="13"/>
  <c r="BS150" i="13"/>
  <c r="AZ150" i="13"/>
  <c r="BD150" i="13"/>
  <c r="BH150" i="13"/>
  <c r="BL150" i="13"/>
  <c r="BP150" i="13"/>
  <c r="BC150" i="13"/>
  <c r="BI150" i="13"/>
  <c r="BN150" i="13"/>
  <c r="BE150" i="13"/>
  <c r="BJ150" i="13"/>
  <c r="BO150" i="13"/>
  <c r="BB150" i="13"/>
  <c r="BG150" i="13"/>
  <c r="BM150" i="13"/>
  <c r="BK150" i="13"/>
  <c r="BF150" i="13"/>
  <c r="BA150" i="13"/>
  <c r="AZ166" i="13"/>
  <c r="BD166" i="13"/>
  <c r="BH166" i="13"/>
  <c r="BL166" i="13"/>
  <c r="BP166" i="13"/>
  <c r="BC166" i="13"/>
  <c r="BI166" i="13"/>
  <c r="BN166" i="13"/>
  <c r="BE166" i="13"/>
  <c r="BJ166" i="13"/>
  <c r="BO166" i="13"/>
  <c r="BB166" i="13"/>
  <c r="BG166" i="13"/>
  <c r="BM166" i="13"/>
  <c r="BA166" i="13"/>
  <c r="BK166" i="13"/>
  <c r="BF166" i="13"/>
  <c r="AZ182" i="13"/>
  <c r="BD182" i="13"/>
  <c r="BH182" i="13"/>
  <c r="BL182" i="13"/>
  <c r="BB182" i="13"/>
  <c r="BG182" i="13"/>
  <c r="BM182" i="13"/>
  <c r="BE182" i="13"/>
  <c r="BK182" i="13"/>
  <c r="BF182" i="13"/>
  <c r="BN182" i="13"/>
  <c r="BC182" i="13"/>
  <c r="BJ182" i="13"/>
  <c r="BP182" i="13"/>
  <c r="BA182" i="13"/>
  <c r="BO182" i="13"/>
  <c r="BI182" i="13"/>
  <c r="BA198" i="13"/>
  <c r="BE198" i="13"/>
  <c r="BI198" i="13"/>
  <c r="BM198" i="13"/>
  <c r="BB198" i="13"/>
  <c r="BG198" i="13"/>
  <c r="BL198" i="13"/>
  <c r="BC198" i="13"/>
  <c r="BH198" i="13"/>
  <c r="BN198" i="13"/>
  <c r="AZ198" i="13"/>
  <c r="BF198" i="13"/>
  <c r="BK198" i="13"/>
  <c r="BP198" i="13"/>
  <c r="BD198" i="13"/>
  <c r="BJ198" i="13"/>
  <c r="BO198" i="13"/>
  <c r="BA214" i="13"/>
  <c r="BE214" i="13"/>
  <c r="BI214" i="13"/>
  <c r="BM214" i="13"/>
  <c r="BB214" i="13"/>
  <c r="BG214" i="13"/>
  <c r="BL214" i="13"/>
  <c r="BC214" i="13"/>
  <c r="BH214" i="13"/>
  <c r="BN214" i="13"/>
  <c r="AZ214" i="13"/>
  <c r="BF214" i="13"/>
  <c r="BK214" i="13"/>
  <c r="BP214" i="13"/>
  <c r="BJ214" i="13"/>
  <c r="BO214" i="13"/>
  <c r="BD214" i="13"/>
  <c r="BA230" i="13"/>
  <c r="BE230" i="13"/>
  <c r="BI230" i="13"/>
  <c r="BM230" i="13"/>
  <c r="BB230" i="13"/>
  <c r="BG230" i="13"/>
  <c r="BL230" i="13"/>
  <c r="BC230" i="13"/>
  <c r="BH230" i="13"/>
  <c r="BN230" i="13"/>
  <c r="AZ230" i="13"/>
  <c r="BF230" i="13"/>
  <c r="BK230" i="13"/>
  <c r="BP230" i="13"/>
  <c r="BO230" i="13"/>
  <c r="BJ230" i="13"/>
  <c r="BD230" i="13"/>
  <c r="BB250" i="13"/>
  <c r="BF250" i="13"/>
  <c r="BJ250" i="13"/>
  <c r="BN250" i="13"/>
  <c r="BC250" i="13"/>
  <c r="BG250" i="13"/>
  <c r="BK250" i="13"/>
  <c r="BO250" i="13"/>
  <c r="BA250" i="13"/>
  <c r="BE250" i="13"/>
  <c r="BI250" i="13"/>
  <c r="BM250" i="13"/>
  <c r="AZ250" i="13"/>
  <c r="BP250" i="13"/>
  <c r="BD250" i="13"/>
  <c r="BL250" i="13"/>
  <c r="BH250" i="13"/>
  <c r="BC266" i="13"/>
  <c r="BG266" i="13"/>
  <c r="BK266" i="13"/>
  <c r="BO266" i="13"/>
  <c r="BA266" i="13"/>
  <c r="BE266" i="13"/>
  <c r="BI266" i="13"/>
  <c r="BM266" i="13"/>
  <c r="BD266" i="13"/>
  <c r="BL266" i="13"/>
  <c r="BF266" i="13"/>
  <c r="BN266" i="13"/>
  <c r="BB266" i="13"/>
  <c r="BJ266" i="13"/>
  <c r="AZ266" i="13"/>
  <c r="BH266" i="13"/>
  <c r="BP266" i="13"/>
  <c r="BA282" i="13"/>
  <c r="BE282" i="13"/>
  <c r="BI282" i="13"/>
  <c r="BM282" i="13"/>
  <c r="BB282" i="13"/>
  <c r="BF282" i="13"/>
  <c r="BJ282" i="13"/>
  <c r="BN282" i="13"/>
  <c r="AZ282" i="13"/>
  <c r="BD282" i="13"/>
  <c r="BH282" i="13"/>
  <c r="BL282" i="13"/>
  <c r="BP282" i="13"/>
  <c r="BG282" i="13"/>
  <c r="BK282" i="13"/>
  <c r="BC282" i="13"/>
  <c r="BO282" i="13"/>
  <c r="BS298" i="13"/>
  <c r="BA298" i="13"/>
  <c r="BE298" i="13"/>
  <c r="BI298" i="13"/>
  <c r="BM298" i="13"/>
  <c r="BB298" i="13"/>
  <c r="BF298" i="13"/>
  <c r="BJ298" i="13"/>
  <c r="BN298" i="13"/>
  <c r="AZ298" i="13"/>
  <c r="BD298" i="13"/>
  <c r="BH298" i="13"/>
  <c r="BL298" i="13"/>
  <c r="BP298" i="13"/>
  <c r="BG298" i="13"/>
  <c r="BK298" i="13"/>
  <c r="BC298" i="13"/>
  <c r="BO298" i="13"/>
  <c r="BA314" i="13"/>
  <c r="BE314" i="13"/>
  <c r="BI314" i="13"/>
  <c r="BM314" i="13"/>
  <c r="BB314" i="13"/>
  <c r="BF314" i="13"/>
  <c r="BJ314" i="13"/>
  <c r="BN314" i="13"/>
  <c r="AZ314" i="13"/>
  <c r="BD314" i="13"/>
  <c r="BH314" i="13"/>
  <c r="BL314" i="13"/>
  <c r="BP314" i="13"/>
  <c r="BG314" i="13"/>
  <c r="BK314" i="13"/>
  <c r="BC314" i="13"/>
  <c r="BO314" i="13"/>
  <c r="AZ330" i="13"/>
  <c r="BD330" i="13"/>
  <c r="BH330" i="13"/>
  <c r="BL330" i="13"/>
  <c r="BP330" i="13"/>
  <c r="BC330" i="13"/>
  <c r="BI330" i="13"/>
  <c r="BN330" i="13"/>
  <c r="BE330" i="13"/>
  <c r="BJ330" i="13"/>
  <c r="BO330" i="13"/>
  <c r="BB330" i="13"/>
  <c r="BG330" i="13"/>
  <c r="BM330" i="13"/>
  <c r="BF330" i="13"/>
  <c r="BA330" i="13"/>
  <c r="BK330" i="13"/>
  <c r="BS346" i="13"/>
  <c r="AZ346" i="13"/>
  <c r="BD346" i="13"/>
  <c r="BH346" i="13"/>
  <c r="BL346" i="13"/>
  <c r="BP346" i="13"/>
  <c r="BC346" i="13"/>
  <c r="BI346" i="13"/>
  <c r="BN346" i="13"/>
  <c r="BE346" i="13"/>
  <c r="BJ346" i="13"/>
  <c r="BO346" i="13"/>
  <c r="BB346" i="13"/>
  <c r="BG346" i="13"/>
  <c r="BM346" i="13"/>
  <c r="BK346" i="13"/>
  <c r="BA346" i="13"/>
  <c r="BF346" i="13"/>
  <c r="AZ362" i="13"/>
  <c r="BD362" i="13"/>
  <c r="BH362" i="13"/>
  <c r="BL362" i="13"/>
  <c r="BP362" i="13"/>
  <c r="BC362" i="13"/>
  <c r="BI362" i="13"/>
  <c r="BN362" i="13"/>
  <c r="BE362" i="13"/>
  <c r="BJ362" i="13"/>
  <c r="BO362" i="13"/>
  <c r="BB362" i="13"/>
  <c r="BG362" i="13"/>
  <c r="BM362" i="13"/>
  <c r="BF362" i="13"/>
  <c r="BK362" i="13"/>
  <c r="BA362" i="13"/>
  <c r="AZ378" i="13"/>
  <c r="BD378" i="13"/>
  <c r="BH378" i="13"/>
  <c r="BL378" i="13"/>
  <c r="BP378" i="13"/>
  <c r="BC378" i="13"/>
  <c r="BI378" i="13"/>
  <c r="BN378" i="13"/>
  <c r="BE378" i="13"/>
  <c r="BJ378" i="13"/>
  <c r="BO378" i="13"/>
  <c r="BB378" i="13"/>
  <c r="BG378" i="13"/>
  <c r="BM378" i="13"/>
  <c r="BA378" i="13"/>
  <c r="BK378" i="13"/>
  <c r="BF378" i="13"/>
  <c r="BA394" i="13"/>
  <c r="BE394" i="13"/>
  <c r="BI394" i="13"/>
  <c r="BM394" i="13"/>
  <c r="BB394" i="13"/>
  <c r="BF394" i="13"/>
  <c r="BJ394" i="13"/>
  <c r="BN394" i="13"/>
  <c r="AZ394" i="13"/>
  <c r="BD394" i="13"/>
  <c r="BH394" i="13"/>
  <c r="BL394" i="13"/>
  <c r="BP394" i="13"/>
  <c r="BO394" i="13"/>
  <c r="BG394" i="13"/>
  <c r="BK394" i="13"/>
  <c r="BC394" i="13"/>
  <c r="BS410" i="13"/>
  <c r="BA410" i="13"/>
  <c r="BE410" i="13"/>
  <c r="BI410" i="13"/>
  <c r="BM410" i="13"/>
  <c r="BB410" i="13"/>
  <c r="BF410" i="13"/>
  <c r="BJ410" i="13"/>
  <c r="BN410" i="13"/>
  <c r="AZ410" i="13"/>
  <c r="BD410" i="13"/>
  <c r="BH410" i="13"/>
  <c r="BL410" i="13"/>
  <c r="BP410" i="13"/>
  <c r="BO410" i="13"/>
  <c r="BG410" i="13"/>
  <c r="BC410" i="13"/>
  <c r="BK410" i="13"/>
  <c r="BA426" i="13"/>
  <c r="BE426" i="13"/>
  <c r="BI426" i="13"/>
  <c r="BM426" i="13"/>
  <c r="BB426" i="13"/>
  <c r="BF426" i="13"/>
  <c r="BJ426" i="13"/>
  <c r="BN426" i="13"/>
  <c r="AZ426" i="13"/>
  <c r="BD426" i="13"/>
  <c r="BH426" i="13"/>
  <c r="BL426" i="13"/>
  <c r="BP426" i="13"/>
  <c r="BO426" i="13"/>
  <c r="BG426" i="13"/>
  <c r="BK426" i="13"/>
  <c r="BC426" i="13"/>
  <c r="BA442" i="13"/>
  <c r="BE442" i="13"/>
  <c r="BI442" i="13"/>
  <c r="BM442" i="13"/>
  <c r="BB442" i="13"/>
  <c r="BF442" i="13"/>
  <c r="BJ442" i="13"/>
  <c r="BN442" i="13"/>
  <c r="AZ442" i="13"/>
  <c r="BD442" i="13"/>
  <c r="BH442" i="13"/>
  <c r="BL442" i="13"/>
  <c r="BP442" i="13"/>
  <c r="BO442" i="13"/>
  <c r="BG442" i="13"/>
  <c r="BC442" i="13"/>
  <c r="BK442" i="13"/>
  <c r="BS458" i="13"/>
  <c r="BA458" i="13"/>
  <c r="BE458" i="13"/>
  <c r="BI458" i="13"/>
  <c r="BM458" i="13"/>
  <c r="BB458" i="13"/>
  <c r="BF458" i="13"/>
  <c r="BJ458" i="13"/>
  <c r="BN458" i="13"/>
  <c r="AZ458" i="13"/>
  <c r="BD458" i="13"/>
  <c r="BH458" i="13"/>
  <c r="BL458" i="13"/>
  <c r="BP458" i="13"/>
  <c r="BO458" i="13"/>
  <c r="BG458" i="13"/>
  <c r="BK458" i="13"/>
  <c r="BC458" i="13"/>
  <c r="BA474" i="13"/>
  <c r="BE474" i="13"/>
  <c r="BI474" i="13"/>
  <c r="BM474" i="13"/>
  <c r="BB474" i="13"/>
  <c r="BF474" i="13"/>
  <c r="BJ474" i="13"/>
  <c r="BN474" i="13"/>
  <c r="AZ474" i="13"/>
  <c r="BD474" i="13"/>
  <c r="BH474" i="13"/>
  <c r="BL474" i="13"/>
  <c r="BP474" i="13"/>
  <c r="BO474" i="13"/>
  <c r="BG474" i="13"/>
  <c r="BC474" i="13"/>
  <c r="BK474" i="13"/>
  <c r="BA490" i="13"/>
  <c r="BE490" i="13"/>
  <c r="BI490" i="13"/>
  <c r="BM490" i="13"/>
  <c r="BC490" i="13"/>
  <c r="BG490" i="13"/>
  <c r="BK490" i="13"/>
  <c r="BO490" i="13"/>
  <c r="BD490" i="13"/>
  <c r="BL490" i="13"/>
  <c r="BF490" i="13"/>
  <c r="BN490" i="13"/>
  <c r="BH490" i="13"/>
  <c r="AZ490" i="13"/>
  <c r="BJ490" i="13"/>
  <c r="BP490" i="13"/>
  <c r="BB490" i="13"/>
  <c r="BB506" i="13"/>
  <c r="BF506" i="13"/>
  <c r="BJ506" i="13"/>
  <c r="BN506" i="13"/>
  <c r="AZ506" i="13"/>
  <c r="BD506" i="13"/>
  <c r="BH506" i="13"/>
  <c r="BL506" i="13"/>
  <c r="BP506" i="13"/>
  <c r="BE506" i="13"/>
  <c r="BM506" i="13"/>
  <c r="BG506" i="13"/>
  <c r="BO506" i="13"/>
  <c r="BI506" i="13"/>
  <c r="BK506" i="13"/>
  <c r="BA506" i="13"/>
  <c r="BC506" i="13"/>
  <c r="BS522" i="13"/>
  <c r="BB522" i="13"/>
  <c r="BF522" i="13"/>
  <c r="BJ522" i="13"/>
  <c r="BN522" i="13"/>
  <c r="AZ522" i="13"/>
  <c r="BD522" i="13"/>
  <c r="BH522" i="13"/>
  <c r="BL522" i="13"/>
  <c r="BP522" i="13"/>
  <c r="BE522" i="13"/>
  <c r="BM522" i="13"/>
  <c r="BG522" i="13"/>
  <c r="BO522" i="13"/>
  <c r="BI522" i="13"/>
  <c r="BK522" i="13"/>
  <c r="BA522" i="13"/>
  <c r="BC522" i="13"/>
  <c r="BB538" i="13"/>
  <c r="BF538" i="13"/>
  <c r="BJ538" i="13"/>
  <c r="BN538" i="13"/>
  <c r="AZ538" i="13"/>
  <c r="BD538" i="13"/>
  <c r="BH538" i="13"/>
  <c r="BL538" i="13"/>
  <c r="BP538" i="13"/>
  <c r="BE538" i="13"/>
  <c r="BM538" i="13"/>
  <c r="BG538" i="13"/>
  <c r="BO538" i="13"/>
  <c r="BI538" i="13"/>
  <c r="BA538" i="13"/>
  <c r="BK538" i="13"/>
  <c r="BC538" i="13"/>
  <c r="BB554" i="13"/>
  <c r="BF554" i="13"/>
  <c r="BJ554" i="13"/>
  <c r="BN554" i="13"/>
  <c r="AZ554" i="13"/>
  <c r="BD554" i="13"/>
  <c r="BH554" i="13"/>
  <c r="BL554" i="13"/>
  <c r="BP554" i="13"/>
  <c r="BE554" i="13"/>
  <c r="BM554" i="13"/>
  <c r="BG554" i="13"/>
  <c r="BO554" i="13"/>
  <c r="BI554" i="13"/>
  <c r="BA554" i="13"/>
  <c r="BK554" i="13"/>
  <c r="BC554" i="13"/>
  <c r="BS570" i="13"/>
  <c r="BB570" i="13"/>
  <c r="BF570" i="13"/>
  <c r="BJ570" i="13"/>
  <c r="BN570" i="13"/>
  <c r="AZ570" i="13"/>
  <c r="BD570" i="13"/>
  <c r="BH570" i="13"/>
  <c r="BL570" i="13"/>
  <c r="BP570" i="13"/>
  <c r="BE570" i="13"/>
  <c r="BM570" i="13"/>
  <c r="BG570" i="13"/>
  <c r="BO570" i="13"/>
  <c r="BI570" i="13"/>
  <c r="BA570" i="13"/>
  <c r="BK570" i="13"/>
  <c r="BC570" i="13"/>
  <c r="BB586" i="13"/>
  <c r="BF586" i="13"/>
  <c r="BJ586" i="13"/>
  <c r="BN586" i="13"/>
  <c r="AZ586" i="13"/>
  <c r="BD586" i="13"/>
  <c r="BH586" i="13"/>
  <c r="BL586" i="13"/>
  <c r="BP586" i="13"/>
  <c r="BE586" i="13"/>
  <c r="BM586" i="13"/>
  <c r="BG586" i="13"/>
  <c r="BO586" i="13"/>
  <c r="BI586" i="13"/>
  <c r="BK586" i="13"/>
  <c r="BA586" i="13"/>
  <c r="BC586" i="13"/>
  <c r="BA602" i="13"/>
  <c r="BE602" i="13"/>
  <c r="BI602" i="13"/>
  <c r="BM602" i="13"/>
  <c r="BB602" i="13"/>
  <c r="BF602" i="13"/>
  <c r="BJ602" i="13"/>
  <c r="BN602" i="13"/>
  <c r="BC602" i="13"/>
  <c r="BK602" i="13"/>
  <c r="BD602" i="13"/>
  <c r="BL602" i="13"/>
  <c r="BG602" i="13"/>
  <c r="BO602" i="13"/>
  <c r="AZ602" i="13"/>
  <c r="BH602" i="13"/>
  <c r="BP602" i="13"/>
  <c r="BA618" i="13"/>
  <c r="BE618" i="13"/>
  <c r="BI618" i="13"/>
  <c r="BM618" i="13"/>
  <c r="BB618" i="13"/>
  <c r="BF618" i="13"/>
  <c r="BJ618" i="13"/>
  <c r="BN618" i="13"/>
  <c r="BC618" i="13"/>
  <c r="BK618" i="13"/>
  <c r="BG618" i="13"/>
  <c r="BD618" i="13"/>
  <c r="BL618" i="13"/>
  <c r="BO618" i="13"/>
  <c r="AZ618" i="13"/>
  <c r="BH618" i="13"/>
  <c r="BP618" i="13"/>
  <c r="BS634" i="13"/>
  <c r="BA634" i="13"/>
  <c r="BE634" i="13"/>
  <c r="BI634" i="13"/>
  <c r="BM634" i="13"/>
  <c r="BB634" i="13"/>
  <c r="BF634" i="13"/>
  <c r="BJ634" i="13"/>
  <c r="BN634" i="13"/>
  <c r="BC634" i="13"/>
  <c r="BK634" i="13"/>
  <c r="BG634" i="13"/>
  <c r="BD634" i="13"/>
  <c r="BL634" i="13"/>
  <c r="BO634" i="13"/>
  <c r="AZ634" i="13"/>
  <c r="BH634" i="13"/>
  <c r="BP634" i="13"/>
  <c r="BA650" i="13"/>
  <c r="BE650" i="13"/>
  <c r="BI650" i="13"/>
  <c r="BM650" i="13"/>
  <c r="BB650" i="13"/>
  <c r="BF650" i="13"/>
  <c r="BJ650" i="13"/>
  <c r="BN650" i="13"/>
  <c r="BC650" i="13"/>
  <c r="BK650" i="13"/>
  <c r="BD650" i="13"/>
  <c r="BL650" i="13"/>
  <c r="BG650" i="13"/>
  <c r="BO650" i="13"/>
  <c r="AZ650" i="13"/>
  <c r="BH650" i="13"/>
  <c r="BP650" i="13"/>
  <c r="BA666" i="13"/>
  <c r="BE666" i="13"/>
  <c r="BI666" i="13"/>
  <c r="BM666" i="13"/>
  <c r="BB666" i="13"/>
  <c r="BF666" i="13"/>
  <c r="BJ666" i="13"/>
  <c r="BN666" i="13"/>
  <c r="BC666" i="13"/>
  <c r="BK666" i="13"/>
  <c r="BO666" i="13"/>
  <c r="BD666" i="13"/>
  <c r="BL666" i="13"/>
  <c r="BG666" i="13"/>
  <c r="AZ666" i="13"/>
  <c r="BH666" i="13"/>
  <c r="BP666" i="13"/>
  <c r="BS682" i="13"/>
  <c r="BA682" i="13"/>
  <c r="BE682" i="13"/>
  <c r="BI682" i="13"/>
  <c r="BM682" i="13"/>
  <c r="BC682" i="13"/>
  <c r="BK682" i="13"/>
  <c r="BB682" i="13"/>
  <c r="BF682" i="13"/>
  <c r="BJ682" i="13"/>
  <c r="BN682" i="13"/>
  <c r="BG682" i="13"/>
  <c r="BO682" i="13"/>
  <c r="AZ682" i="13"/>
  <c r="BD682" i="13"/>
  <c r="BH682" i="13"/>
  <c r="BL682" i="13"/>
  <c r="BP682" i="13"/>
  <c r="BA698" i="13"/>
  <c r="BE698" i="13"/>
  <c r="BI698" i="13"/>
  <c r="BM698" i="13"/>
  <c r="BC698" i="13"/>
  <c r="BK698" i="13"/>
  <c r="BB698" i="13"/>
  <c r="BF698" i="13"/>
  <c r="BJ698" i="13"/>
  <c r="BN698" i="13"/>
  <c r="BG698" i="13"/>
  <c r="BO698" i="13"/>
  <c r="AZ698" i="13"/>
  <c r="BD698" i="13"/>
  <c r="BH698" i="13"/>
  <c r="BL698" i="13"/>
  <c r="BP698" i="13"/>
  <c r="BB372" i="13"/>
  <c r="BF372" i="13"/>
  <c r="BJ372" i="13"/>
  <c r="BN372" i="13"/>
  <c r="BD372" i="13"/>
  <c r="BI372" i="13"/>
  <c r="BO372" i="13"/>
  <c r="AZ372" i="13"/>
  <c r="BE372" i="13"/>
  <c r="BK372" i="13"/>
  <c r="BP372" i="13"/>
  <c r="BC372" i="13"/>
  <c r="BH372" i="13"/>
  <c r="BM372" i="13"/>
  <c r="BG372" i="13"/>
  <c r="BL372" i="13"/>
  <c r="BA372" i="13"/>
  <c r="BS416" i="13"/>
  <c r="BC416" i="13"/>
  <c r="BG416" i="13"/>
  <c r="BK416" i="13"/>
  <c r="BO416" i="13"/>
  <c r="AZ416" i="13"/>
  <c r="BD416" i="13"/>
  <c r="BH416" i="13"/>
  <c r="BL416" i="13"/>
  <c r="BP416" i="13"/>
  <c r="BB416" i="13"/>
  <c r="BF416" i="13"/>
  <c r="BJ416" i="13"/>
  <c r="BN416" i="13"/>
  <c r="BI416" i="13"/>
  <c r="BA416" i="13"/>
  <c r="BE416" i="13"/>
  <c r="BM416" i="13"/>
  <c r="BC464" i="13"/>
  <c r="BG464" i="13"/>
  <c r="BK464" i="13"/>
  <c r="BO464" i="13"/>
  <c r="AZ464" i="13"/>
  <c r="BD464" i="13"/>
  <c r="BH464" i="13"/>
  <c r="BL464" i="13"/>
  <c r="BP464" i="13"/>
  <c r="BB464" i="13"/>
  <c r="BF464" i="13"/>
  <c r="BJ464" i="13"/>
  <c r="BN464" i="13"/>
  <c r="BI464" i="13"/>
  <c r="BA464" i="13"/>
  <c r="BE464" i="13"/>
  <c r="BM464" i="13"/>
  <c r="BS508" i="13"/>
  <c r="AZ508" i="13"/>
  <c r="BD508" i="13"/>
  <c r="BH508" i="13"/>
  <c r="BL508" i="13"/>
  <c r="BP508" i="13"/>
  <c r="BB508" i="13"/>
  <c r="BF508" i="13"/>
  <c r="BJ508" i="13"/>
  <c r="BN508" i="13"/>
  <c r="BC508" i="13"/>
  <c r="BK508" i="13"/>
  <c r="BE508" i="13"/>
  <c r="BM508" i="13"/>
  <c r="BG508" i="13"/>
  <c r="BO508" i="13"/>
  <c r="BI508" i="13"/>
  <c r="BA508" i="13"/>
  <c r="AZ552" i="13"/>
  <c r="BD552" i="13"/>
  <c r="BH552" i="13"/>
  <c r="BL552" i="13"/>
  <c r="BP552" i="13"/>
  <c r="BB552" i="13"/>
  <c r="BF552" i="13"/>
  <c r="BJ552" i="13"/>
  <c r="BN552" i="13"/>
  <c r="BG552" i="13"/>
  <c r="BO552" i="13"/>
  <c r="BA552" i="13"/>
  <c r="BI552" i="13"/>
  <c r="BK552" i="13"/>
  <c r="BC552" i="13"/>
  <c r="BM552" i="13"/>
  <c r="BE552" i="13"/>
  <c r="BS620" i="13"/>
  <c r="BC620" i="13"/>
  <c r="BG620" i="13"/>
  <c r="BK620" i="13"/>
  <c r="BO620" i="13"/>
  <c r="AZ620" i="13"/>
  <c r="BD620" i="13"/>
  <c r="BH620" i="13"/>
  <c r="BL620" i="13"/>
  <c r="BP620" i="13"/>
  <c r="BA620" i="13"/>
  <c r="BI620" i="13"/>
  <c r="BM620" i="13"/>
  <c r="BB620" i="13"/>
  <c r="BJ620" i="13"/>
  <c r="BE620" i="13"/>
  <c r="BF620" i="13"/>
  <c r="BN620" i="13"/>
  <c r="BC680" i="13"/>
  <c r="BG680" i="13"/>
  <c r="BK680" i="13"/>
  <c r="BO680" i="13"/>
  <c r="AZ680" i="13"/>
  <c r="BD680" i="13"/>
  <c r="BH680" i="13"/>
  <c r="BL680" i="13"/>
  <c r="BP680" i="13"/>
  <c r="BE680" i="13"/>
  <c r="BM680" i="13"/>
  <c r="BA680" i="13"/>
  <c r="BF680" i="13"/>
  <c r="BN680" i="13"/>
  <c r="BI680" i="13"/>
  <c r="BB680" i="13"/>
  <c r="BJ680" i="13"/>
  <c r="BC700" i="13"/>
  <c r="BG700" i="13"/>
  <c r="BK700" i="13"/>
  <c r="BO700" i="13"/>
  <c r="BA700" i="13"/>
  <c r="BI700" i="13"/>
  <c r="BM700" i="13"/>
  <c r="AZ700" i="13"/>
  <c r="BD700" i="13"/>
  <c r="BH700" i="13"/>
  <c r="BL700" i="13"/>
  <c r="BP700" i="13"/>
  <c r="BE700" i="13"/>
  <c r="BB700" i="13"/>
  <c r="BF700" i="13"/>
  <c r="BJ700" i="13"/>
  <c r="BN700" i="13"/>
  <c r="BA246" i="13"/>
  <c r="BE246" i="13"/>
  <c r="BI246" i="13"/>
  <c r="BM246" i="13"/>
  <c r="BB246" i="13"/>
  <c r="BG246" i="13"/>
  <c r="BL246" i="13"/>
  <c r="BC246" i="13"/>
  <c r="BH246" i="13"/>
  <c r="BN246" i="13"/>
  <c r="AZ246" i="13"/>
  <c r="BF246" i="13"/>
  <c r="BK246" i="13"/>
  <c r="BP246" i="13"/>
  <c r="BD246" i="13"/>
  <c r="BO246" i="13"/>
  <c r="BJ246" i="13"/>
  <c r="BS11" i="13"/>
  <c r="BA11" i="13"/>
  <c r="BE11" i="13"/>
  <c r="BI11" i="13"/>
  <c r="BM11" i="13"/>
  <c r="BB11" i="13"/>
  <c r="BF11" i="13"/>
  <c r="BJ11" i="13"/>
  <c r="BN11" i="13"/>
  <c r="AZ11" i="13"/>
  <c r="BD11" i="13"/>
  <c r="BH11" i="13"/>
  <c r="BL11" i="13"/>
  <c r="BP11" i="13"/>
  <c r="BC11" i="13"/>
  <c r="BG11" i="13"/>
  <c r="BK11" i="13"/>
  <c r="BO11" i="13"/>
  <c r="BB27" i="13"/>
  <c r="BF27" i="13"/>
  <c r="BJ27" i="13"/>
  <c r="BN27" i="13"/>
  <c r="AZ27" i="13"/>
  <c r="BE27" i="13"/>
  <c r="BK27" i="13"/>
  <c r="BP27" i="13"/>
  <c r="BA27" i="13"/>
  <c r="BG27" i="13"/>
  <c r="BL27" i="13"/>
  <c r="BD27" i="13"/>
  <c r="BI27" i="13"/>
  <c r="BO27" i="13"/>
  <c r="BH27" i="13"/>
  <c r="BM27" i="13"/>
  <c r="BC27" i="13"/>
  <c r="BS235" i="13"/>
  <c r="AZ235" i="13"/>
  <c r="BD235" i="13"/>
  <c r="BH235" i="13"/>
  <c r="BL235" i="13"/>
  <c r="BP235" i="13"/>
  <c r="BB235" i="13"/>
  <c r="BG235" i="13"/>
  <c r="BM235" i="13"/>
  <c r="BC235" i="13"/>
  <c r="BI235" i="13"/>
  <c r="BN235" i="13"/>
  <c r="BA235" i="13"/>
  <c r="BF235" i="13"/>
  <c r="BK235" i="13"/>
  <c r="BO235" i="13"/>
  <c r="BJ235" i="13"/>
  <c r="BE235" i="13"/>
  <c r="AZ271" i="13"/>
  <c r="BD271" i="13"/>
  <c r="BH271" i="13"/>
  <c r="BL271" i="13"/>
  <c r="BP271" i="13"/>
  <c r="BC271" i="13"/>
  <c r="BI271" i="13"/>
  <c r="BN271" i="13"/>
  <c r="BE271" i="13"/>
  <c r="BJ271" i="13"/>
  <c r="BO271" i="13"/>
  <c r="BB271" i="13"/>
  <c r="BG271" i="13"/>
  <c r="BM271" i="13"/>
  <c r="BK271" i="13"/>
  <c r="BF271" i="13"/>
  <c r="BA271" i="13"/>
  <c r="AZ287" i="13"/>
  <c r="BD287" i="13"/>
  <c r="BH287" i="13"/>
  <c r="BL287" i="13"/>
  <c r="BP287" i="13"/>
  <c r="BA287" i="13"/>
  <c r="BE287" i="13"/>
  <c r="BI287" i="13"/>
  <c r="BM287" i="13"/>
  <c r="BC287" i="13"/>
  <c r="BG287" i="13"/>
  <c r="BK287" i="13"/>
  <c r="BO287" i="13"/>
  <c r="BB287" i="13"/>
  <c r="BF287" i="13"/>
  <c r="BN287" i="13"/>
  <c r="BJ287" i="13"/>
  <c r="AZ303" i="13"/>
  <c r="BD303" i="13"/>
  <c r="BH303" i="13"/>
  <c r="BL303" i="13"/>
  <c r="BP303" i="13"/>
  <c r="BA303" i="13"/>
  <c r="BE303" i="13"/>
  <c r="BI303" i="13"/>
  <c r="BM303" i="13"/>
  <c r="BC303" i="13"/>
  <c r="BG303" i="13"/>
  <c r="BK303" i="13"/>
  <c r="BO303" i="13"/>
  <c r="BB303" i="13"/>
  <c r="BF303" i="13"/>
  <c r="BN303" i="13"/>
  <c r="BJ303" i="13"/>
  <c r="BS319" i="13"/>
  <c r="AZ319" i="13"/>
  <c r="BD319" i="13"/>
  <c r="BH319" i="13"/>
  <c r="BL319" i="13"/>
  <c r="BP319" i="13"/>
  <c r="BA319" i="13"/>
  <c r="BE319" i="13"/>
  <c r="BI319" i="13"/>
  <c r="BM319" i="13"/>
  <c r="BC319" i="13"/>
  <c r="BG319" i="13"/>
  <c r="BK319" i="13"/>
  <c r="BO319" i="13"/>
  <c r="BB319" i="13"/>
  <c r="BF319" i="13"/>
  <c r="BN319" i="13"/>
  <c r="BJ319" i="13"/>
  <c r="BC335" i="13"/>
  <c r="BG335" i="13"/>
  <c r="BK335" i="13"/>
  <c r="BO335" i="13"/>
  <c r="BD335" i="13"/>
  <c r="BI335" i="13"/>
  <c r="BN335" i="13"/>
  <c r="AZ335" i="13"/>
  <c r="BE335" i="13"/>
  <c r="BJ335" i="13"/>
  <c r="BP335" i="13"/>
  <c r="BB335" i="13"/>
  <c r="BH335" i="13"/>
  <c r="BM335" i="13"/>
  <c r="BF335" i="13"/>
  <c r="BA335" i="13"/>
  <c r="BL335" i="13"/>
  <c r="BC351" i="13"/>
  <c r="BG351" i="13"/>
  <c r="BK351" i="13"/>
  <c r="BO351" i="13"/>
  <c r="BD351" i="13"/>
  <c r="BI351" i="13"/>
  <c r="BN351" i="13"/>
  <c r="AZ351" i="13"/>
  <c r="BE351" i="13"/>
  <c r="BJ351" i="13"/>
  <c r="BP351" i="13"/>
  <c r="BB351" i="13"/>
  <c r="BH351" i="13"/>
  <c r="BM351" i="13"/>
  <c r="BL351" i="13"/>
  <c r="BA351" i="13"/>
  <c r="BF351" i="13"/>
  <c r="BS367" i="13"/>
  <c r="BC367" i="13"/>
  <c r="BG367" i="13"/>
  <c r="BK367" i="13"/>
  <c r="BO367" i="13"/>
  <c r="BD367" i="13"/>
  <c r="BI367" i="13"/>
  <c r="BN367" i="13"/>
  <c r="AZ367" i="13"/>
  <c r="BE367" i="13"/>
  <c r="BJ367" i="13"/>
  <c r="BP367" i="13"/>
  <c r="BB367" i="13"/>
  <c r="BH367" i="13"/>
  <c r="BM367" i="13"/>
  <c r="BF367" i="13"/>
  <c r="BL367" i="13"/>
  <c r="BA367" i="13"/>
  <c r="AZ399" i="13"/>
  <c r="BD399" i="13"/>
  <c r="BH399" i="13"/>
  <c r="BL399" i="13"/>
  <c r="BP399" i="13"/>
  <c r="BA399" i="13"/>
  <c r="BE399" i="13"/>
  <c r="BI399" i="13"/>
  <c r="BM399" i="13"/>
  <c r="BC399" i="13"/>
  <c r="BG399" i="13"/>
  <c r="BK399" i="13"/>
  <c r="BO399" i="13"/>
  <c r="BJ399" i="13"/>
  <c r="BB399" i="13"/>
  <c r="BF399" i="13"/>
  <c r="BN399" i="13"/>
  <c r="AZ463" i="13"/>
  <c r="BD463" i="13"/>
  <c r="BH463" i="13"/>
  <c r="BL463" i="13"/>
  <c r="BP463" i="13"/>
  <c r="BA463" i="13"/>
  <c r="BE463" i="13"/>
  <c r="BI463" i="13"/>
  <c r="BM463" i="13"/>
  <c r="BC463" i="13"/>
  <c r="BG463" i="13"/>
  <c r="BK463" i="13"/>
  <c r="BO463" i="13"/>
  <c r="BJ463" i="13"/>
  <c r="BB463" i="13"/>
  <c r="BF463" i="13"/>
  <c r="BN463" i="13"/>
  <c r="BA511" i="13"/>
  <c r="BE511" i="13"/>
  <c r="BI511" i="13"/>
  <c r="BM511" i="13"/>
  <c r="BC511" i="13"/>
  <c r="BG511" i="13"/>
  <c r="BK511" i="13"/>
  <c r="BO511" i="13"/>
  <c r="AZ511" i="13"/>
  <c r="BH511" i="13"/>
  <c r="BP511" i="13"/>
  <c r="BB511" i="13"/>
  <c r="BJ511" i="13"/>
  <c r="BD511" i="13"/>
  <c r="BF511" i="13"/>
  <c r="BL511" i="13"/>
  <c r="BN511" i="13"/>
  <c r="BS543" i="13"/>
  <c r="BA543" i="13"/>
  <c r="BE543" i="13"/>
  <c r="BI543" i="13"/>
  <c r="BM543" i="13"/>
  <c r="BC543" i="13"/>
  <c r="BG543" i="13"/>
  <c r="BK543" i="13"/>
  <c r="BO543" i="13"/>
  <c r="AZ543" i="13"/>
  <c r="BH543" i="13"/>
  <c r="BP543" i="13"/>
  <c r="BB543" i="13"/>
  <c r="BJ543" i="13"/>
  <c r="BD543" i="13"/>
  <c r="BL543" i="13"/>
  <c r="BF543" i="13"/>
  <c r="BN543" i="13"/>
  <c r="BA559" i="13"/>
  <c r="BE559" i="13"/>
  <c r="BI559" i="13"/>
  <c r="BM559" i="13"/>
  <c r="BC559" i="13"/>
  <c r="BG559" i="13"/>
  <c r="BK559" i="13"/>
  <c r="BO559" i="13"/>
  <c r="AZ559" i="13"/>
  <c r="BH559" i="13"/>
  <c r="BP559" i="13"/>
  <c r="BB559" i="13"/>
  <c r="BJ559" i="13"/>
  <c r="BD559" i="13"/>
  <c r="BL559" i="13"/>
  <c r="BF559" i="13"/>
  <c r="BN559" i="13"/>
  <c r="AZ639" i="13"/>
  <c r="BD639" i="13"/>
  <c r="BH639" i="13"/>
  <c r="BL639" i="13"/>
  <c r="BP639" i="13"/>
  <c r="BA639" i="13"/>
  <c r="BE639" i="13"/>
  <c r="BI639" i="13"/>
  <c r="BM639" i="13"/>
  <c r="BF639" i="13"/>
  <c r="BN639" i="13"/>
  <c r="BJ639" i="13"/>
  <c r="BG639" i="13"/>
  <c r="BO639" i="13"/>
  <c r="BB639" i="13"/>
  <c r="BC639" i="13"/>
  <c r="BK639" i="13"/>
  <c r="AZ671" i="13"/>
  <c r="BD671" i="13"/>
  <c r="BH671" i="13"/>
  <c r="BL671" i="13"/>
  <c r="BP671" i="13"/>
  <c r="BA671" i="13"/>
  <c r="BE671" i="13"/>
  <c r="BI671" i="13"/>
  <c r="BM671" i="13"/>
  <c r="BF671" i="13"/>
  <c r="BN671" i="13"/>
  <c r="BB671" i="13"/>
  <c r="BG671" i="13"/>
  <c r="BO671" i="13"/>
  <c r="BJ671" i="13"/>
  <c r="BC671" i="13"/>
  <c r="BK671" i="13"/>
  <c r="BB380" i="13"/>
  <c r="BF380" i="13"/>
  <c r="BJ380" i="13"/>
  <c r="BN380" i="13"/>
  <c r="BA380" i="13"/>
  <c r="BG380" i="13"/>
  <c r="BL380" i="13"/>
  <c r="BC380" i="13"/>
  <c r="BH380" i="13"/>
  <c r="BM380" i="13"/>
  <c r="AZ380" i="13"/>
  <c r="BE380" i="13"/>
  <c r="BK380" i="13"/>
  <c r="BP380" i="13"/>
  <c r="BI380" i="13"/>
  <c r="BD380" i="13"/>
  <c r="BO380" i="13"/>
  <c r="BS584" i="13"/>
  <c r="AZ584" i="13"/>
  <c r="BD584" i="13"/>
  <c r="BH584" i="13"/>
  <c r="BL584" i="13"/>
  <c r="BP584" i="13"/>
  <c r="BB584" i="13"/>
  <c r="BF584" i="13"/>
  <c r="BJ584" i="13"/>
  <c r="BN584" i="13"/>
  <c r="BG584" i="13"/>
  <c r="BO584" i="13"/>
  <c r="BA584" i="13"/>
  <c r="BI584" i="13"/>
  <c r="BK584" i="13"/>
  <c r="BC584" i="13"/>
  <c r="BM584" i="13"/>
  <c r="BE584" i="13"/>
  <c r="AZ100" i="13"/>
  <c r="BD100" i="13"/>
  <c r="BH100" i="13"/>
  <c r="BL100" i="13"/>
  <c r="BP100" i="13"/>
  <c r="BC100" i="13"/>
  <c r="BI100" i="13"/>
  <c r="BN100" i="13"/>
  <c r="BE100" i="13"/>
  <c r="BJ100" i="13"/>
  <c r="BO100" i="13"/>
  <c r="BB100" i="13"/>
  <c r="BG100" i="13"/>
  <c r="BM100" i="13"/>
  <c r="BA100" i="13"/>
  <c r="BF100" i="13"/>
  <c r="BK100" i="13"/>
  <c r="BS116" i="13"/>
  <c r="AZ116" i="13"/>
  <c r="BD116" i="13"/>
  <c r="BH116" i="13"/>
  <c r="BL116" i="13"/>
  <c r="BP116" i="13"/>
  <c r="BC116" i="13"/>
  <c r="BI116" i="13"/>
  <c r="BN116" i="13"/>
  <c r="BE116" i="13"/>
  <c r="BJ116" i="13"/>
  <c r="BO116" i="13"/>
  <c r="BB116" i="13"/>
  <c r="BG116" i="13"/>
  <c r="BM116" i="13"/>
  <c r="BF116" i="13"/>
  <c r="BK116" i="13"/>
  <c r="BA116" i="13"/>
  <c r="BB180" i="13"/>
  <c r="BF180" i="13"/>
  <c r="BJ180" i="13"/>
  <c r="BN180" i="13"/>
  <c r="AZ180" i="13"/>
  <c r="BE180" i="13"/>
  <c r="BK180" i="13"/>
  <c r="BP180" i="13"/>
  <c r="BD180" i="13"/>
  <c r="BI180" i="13"/>
  <c r="BO180" i="13"/>
  <c r="BG180" i="13"/>
  <c r="BH180" i="13"/>
  <c r="BC180" i="13"/>
  <c r="BM180" i="13"/>
  <c r="BA180" i="13"/>
  <c r="BL180" i="13"/>
  <c r="AZ248" i="13"/>
  <c r="BD248" i="13"/>
  <c r="BH248" i="13"/>
  <c r="BL248" i="13"/>
  <c r="BP248" i="13"/>
  <c r="BA248" i="13"/>
  <c r="BE248" i="13"/>
  <c r="BI248" i="13"/>
  <c r="BM248" i="13"/>
  <c r="BC248" i="13"/>
  <c r="BG248" i="13"/>
  <c r="BK248" i="13"/>
  <c r="BO248" i="13"/>
  <c r="BB248" i="13"/>
  <c r="BF248" i="13"/>
  <c r="BN248" i="13"/>
  <c r="BJ248" i="13"/>
  <c r="BB376" i="13"/>
  <c r="BF376" i="13"/>
  <c r="BJ376" i="13"/>
  <c r="BN376" i="13"/>
  <c r="AZ376" i="13"/>
  <c r="BE376" i="13"/>
  <c r="BK376" i="13"/>
  <c r="BP376" i="13"/>
  <c r="BA376" i="13"/>
  <c r="BG376" i="13"/>
  <c r="BL376" i="13"/>
  <c r="BD376" i="13"/>
  <c r="BI376" i="13"/>
  <c r="BO376" i="13"/>
  <c r="BM376" i="13"/>
  <c r="BC376" i="13"/>
  <c r="BH376" i="13"/>
  <c r="BC476" i="13"/>
  <c r="BG476" i="13"/>
  <c r="BK476" i="13"/>
  <c r="BO476" i="13"/>
  <c r="AZ476" i="13"/>
  <c r="BD476" i="13"/>
  <c r="BH476" i="13"/>
  <c r="BL476" i="13"/>
  <c r="BP476" i="13"/>
  <c r="BB476" i="13"/>
  <c r="BF476" i="13"/>
  <c r="BJ476" i="13"/>
  <c r="BN476" i="13"/>
  <c r="BM476" i="13"/>
  <c r="BE476" i="13"/>
  <c r="BA476" i="13"/>
  <c r="BI476" i="13"/>
  <c r="BS592" i="13"/>
  <c r="AZ592" i="13"/>
  <c r="BD592" i="13"/>
  <c r="BH592" i="13"/>
  <c r="BL592" i="13"/>
  <c r="BP592" i="13"/>
  <c r="BB592" i="13"/>
  <c r="BF592" i="13"/>
  <c r="BJ592" i="13"/>
  <c r="BN592" i="13"/>
  <c r="BG592" i="13"/>
  <c r="BO592" i="13"/>
  <c r="BA592" i="13"/>
  <c r="BI592" i="13"/>
  <c r="BC592" i="13"/>
  <c r="BE592" i="13"/>
  <c r="BK592" i="13"/>
  <c r="BM592" i="13"/>
  <c r="BC9" i="13"/>
  <c r="BG9" i="13"/>
  <c r="BK9" i="13"/>
  <c r="BO9" i="13"/>
  <c r="AZ9" i="13"/>
  <c r="BD9" i="13"/>
  <c r="BH9" i="13"/>
  <c r="BL9" i="13"/>
  <c r="BP9" i="13"/>
  <c r="BB9" i="13"/>
  <c r="BF9" i="13"/>
  <c r="BJ9" i="13"/>
  <c r="BN9" i="13"/>
  <c r="BE9" i="13"/>
  <c r="BA9" i="13"/>
  <c r="BM9" i="13"/>
  <c r="BI9" i="13"/>
  <c r="BS25" i="13"/>
  <c r="AZ25" i="13"/>
  <c r="BD25" i="13"/>
  <c r="BH25" i="13"/>
  <c r="BL25" i="13"/>
  <c r="BP25" i="13"/>
  <c r="BB25" i="13"/>
  <c r="BG25" i="13"/>
  <c r="BM25" i="13"/>
  <c r="BC25" i="13"/>
  <c r="BI25" i="13"/>
  <c r="BN25" i="13"/>
  <c r="BA25" i="13"/>
  <c r="BF25" i="13"/>
  <c r="BK25" i="13"/>
  <c r="BE25" i="13"/>
  <c r="BO25" i="13"/>
  <c r="BJ25" i="13"/>
  <c r="AZ41" i="13"/>
  <c r="BD41" i="13"/>
  <c r="BH41" i="13"/>
  <c r="BL41" i="13"/>
  <c r="BP41" i="13"/>
  <c r="BB41" i="13"/>
  <c r="BG41" i="13"/>
  <c r="BM41" i="13"/>
  <c r="BC41" i="13"/>
  <c r="BI41" i="13"/>
  <c r="BN41" i="13"/>
  <c r="BA41" i="13"/>
  <c r="BF41" i="13"/>
  <c r="BK41" i="13"/>
  <c r="BE41" i="13"/>
  <c r="BJ41" i="13"/>
  <c r="BO41" i="13"/>
  <c r="AZ57" i="13"/>
  <c r="BD57" i="13"/>
  <c r="BH57" i="13"/>
  <c r="BL57" i="13"/>
  <c r="BP57" i="13"/>
  <c r="BA57" i="13"/>
  <c r="BF57" i="13"/>
  <c r="BK57" i="13"/>
  <c r="BC57" i="13"/>
  <c r="BI57" i="13"/>
  <c r="BN57" i="13"/>
  <c r="BJ57" i="13"/>
  <c r="BB57" i="13"/>
  <c r="BM57" i="13"/>
  <c r="BG57" i="13"/>
  <c r="BO57" i="13"/>
  <c r="BE57" i="13"/>
  <c r="BS137" i="13"/>
  <c r="BC137" i="13"/>
  <c r="BG137" i="13"/>
  <c r="BK137" i="13"/>
  <c r="BO137" i="13"/>
  <c r="BD137" i="13"/>
  <c r="BI137" i="13"/>
  <c r="BN137" i="13"/>
  <c r="AZ137" i="13"/>
  <c r="BE137" i="13"/>
  <c r="BJ137" i="13"/>
  <c r="BB137" i="13"/>
  <c r="BH137" i="13"/>
  <c r="BM137" i="13"/>
  <c r="BL137" i="13"/>
  <c r="BP137" i="13"/>
  <c r="BF137" i="13"/>
  <c r="BA137" i="13"/>
  <c r="BA153" i="13"/>
  <c r="BE153" i="13"/>
  <c r="BI153" i="13"/>
  <c r="BM153" i="13"/>
  <c r="AZ153" i="13"/>
  <c r="BF153" i="13"/>
  <c r="BK153" i="13"/>
  <c r="BP153" i="13"/>
  <c r="BB153" i="13"/>
  <c r="BG153" i="13"/>
  <c r="BL153" i="13"/>
  <c r="BD153" i="13"/>
  <c r="BJ153" i="13"/>
  <c r="BO153" i="13"/>
  <c r="BC153" i="13"/>
  <c r="BH153" i="13"/>
  <c r="BN153" i="13"/>
  <c r="BA169" i="13"/>
  <c r="BE169" i="13"/>
  <c r="BI169" i="13"/>
  <c r="BM169" i="13"/>
  <c r="AZ169" i="13"/>
  <c r="BF169" i="13"/>
  <c r="BK169" i="13"/>
  <c r="BP169" i="13"/>
  <c r="BB169" i="13"/>
  <c r="BG169" i="13"/>
  <c r="BL169" i="13"/>
  <c r="BD169" i="13"/>
  <c r="BJ169" i="13"/>
  <c r="BO169" i="13"/>
  <c r="BH169" i="13"/>
  <c r="BN169" i="13"/>
  <c r="BC169" i="13"/>
  <c r="BB201" i="13"/>
  <c r="BF201" i="13"/>
  <c r="BJ201" i="13"/>
  <c r="BN201" i="13"/>
  <c r="BD201" i="13"/>
  <c r="BI201" i="13"/>
  <c r="BO201" i="13"/>
  <c r="AZ201" i="13"/>
  <c r="BE201" i="13"/>
  <c r="BK201" i="13"/>
  <c r="BP201" i="13"/>
  <c r="BC201" i="13"/>
  <c r="BH201" i="13"/>
  <c r="BM201" i="13"/>
  <c r="BA201" i="13"/>
  <c r="BL201" i="13"/>
  <c r="BG201" i="13"/>
  <c r="BB217" i="13"/>
  <c r="BF217" i="13"/>
  <c r="BJ217" i="13"/>
  <c r="BN217" i="13"/>
  <c r="BD217" i="13"/>
  <c r="BI217" i="13"/>
  <c r="BO217" i="13"/>
  <c r="AZ217" i="13"/>
  <c r="BE217" i="13"/>
  <c r="BK217" i="13"/>
  <c r="BP217" i="13"/>
  <c r="BC217" i="13"/>
  <c r="BH217" i="13"/>
  <c r="BM217" i="13"/>
  <c r="BA217" i="13"/>
  <c r="BG217" i="13"/>
  <c r="BL217" i="13"/>
  <c r="BB301" i="13"/>
  <c r="BF301" i="13"/>
  <c r="BJ301" i="13"/>
  <c r="BN301" i="13"/>
  <c r="BC301" i="13"/>
  <c r="BG301" i="13"/>
  <c r="BK301" i="13"/>
  <c r="BO301" i="13"/>
  <c r="BA301" i="13"/>
  <c r="BE301" i="13"/>
  <c r="BI301" i="13"/>
  <c r="BM301" i="13"/>
  <c r="BD301" i="13"/>
  <c r="BH301" i="13"/>
  <c r="AZ301" i="13"/>
  <c r="BP301" i="13"/>
  <c r="BL301" i="13"/>
  <c r="BB317" i="13"/>
  <c r="BF317" i="13"/>
  <c r="BJ317" i="13"/>
  <c r="BN317" i="13"/>
  <c r="BC317" i="13"/>
  <c r="BG317" i="13"/>
  <c r="BK317" i="13"/>
  <c r="BO317" i="13"/>
  <c r="BA317" i="13"/>
  <c r="BE317" i="13"/>
  <c r="BI317" i="13"/>
  <c r="BM317" i="13"/>
  <c r="BD317" i="13"/>
  <c r="BH317" i="13"/>
  <c r="AZ317" i="13"/>
  <c r="BP317" i="13"/>
  <c r="BL317" i="13"/>
  <c r="BS333" i="13"/>
  <c r="BA333" i="13"/>
  <c r="BE333" i="13"/>
  <c r="BI333" i="13"/>
  <c r="BM333" i="13"/>
  <c r="AZ333" i="13"/>
  <c r="BF333" i="13"/>
  <c r="BK333" i="13"/>
  <c r="BP333" i="13"/>
  <c r="BB333" i="13"/>
  <c r="BG333" i="13"/>
  <c r="BL333" i="13"/>
  <c r="BD333" i="13"/>
  <c r="BJ333" i="13"/>
  <c r="BO333" i="13"/>
  <c r="BH333" i="13"/>
  <c r="BC333" i="13"/>
  <c r="BN333" i="13"/>
  <c r="BA349" i="13"/>
  <c r="BE349" i="13"/>
  <c r="BI349" i="13"/>
  <c r="BM349" i="13"/>
  <c r="AZ349" i="13"/>
  <c r="BF349" i="13"/>
  <c r="BK349" i="13"/>
  <c r="BP349" i="13"/>
  <c r="BB349" i="13"/>
  <c r="BG349" i="13"/>
  <c r="BL349" i="13"/>
  <c r="BD349" i="13"/>
  <c r="BJ349" i="13"/>
  <c r="BO349" i="13"/>
  <c r="BC349" i="13"/>
  <c r="BN349" i="13"/>
  <c r="BH349" i="13"/>
  <c r="BB429" i="13"/>
  <c r="BF429" i="13"/>
  <c r="BJ429" i="13"/>
  <c r="BN429" i="13"/>
  <c r="BC429" i="13"/>
  <c r="BG429" i="13"/>
  <c r="BK429" i="13"/>
  <c r="BO429" i="13"/>
  <c r="BA429" i="13"/>
  <c r="BE429" i="13"/>
  <c r="BI429" i="13"/>
  <c r="BM429" i="13"/>
  <c r="BL429" i="13"/>
  <c r="BD429" i="13"/>
  <c r="AZ429" i="13"/>
  <c r="BH429" i="13"/>
  <c r="BP429" i="13"/>
  <c r="BS445" i="13"/>
  <c r="BB445" i="13"/>
  <c r="BF445" i="13"/>
  <c r="BJ445" i="13"/>
  <c r="BN445" i="13"/>
  <c r="BC445" i="13"/>
  <c r="BG445" i="13"/>
  <c r="BK445" i="13"/>
  <c r="BO445" i="13"/>
  <c r="BA445" i="13"/>
  <c r="BE445" i="13"/>
  <c r="BI445" i="13"/>
  <c r="BM445" i="13"/>
  <c r="BL445" i="13"/>
  <c r="BD445" i="13"/>
  <c r="BH445" i="13"/>
  <c r="BP445" i="13"/>
  <c r="AZ445" i="13"/>
  <c r="BB461" i="13"/>
  <c r="BF461" i="13"/>
  <c r="BJ461" i="13"/>
  <c r="BN461" i="13"/>
  <c r="BC461" i="13"/>
  <c r="BG461" i="13"/>
  <c r="BK461" i="13"/>
  <c r="BO461" i="13"/>
  <c r="BA461" i="13"/>
  <c r="BE461" i="13"/>
  <c r="BI461" i="13"/>
  <c r="BM461" i="13"/>
  <c r="BL461" i="13"/>
  <c r="BD461" i="13"/>
  <c r="AZ461" i="13"/>
  <c r="BH461" i="13"/>
  <c r="BP461" i="13"/>
  <c r="BC573" i="13"/>
  <c r="BG573" i="13"/>
  <c r="BK573" i="13"/>
  <c r="BO573" i="13"/>
  <c r="BA573" i="13"/>
  <c r="BE573" i="13"/>
  <c r="BI573" i="13"/>
  <c r="BM573" i="13"/>
  <c r="BB573" i="13"/>
  <c r="BJ573" i="13"/>
  <c r="BD573" i="13"/>
  <c r="BL573" i="13"/>
  <c r="BF573" i="13"/>
  <c r="BN573" i="13"/>
  <c r="BH573" i="13"/>
  <c r="AZ573" i="13"/>
  <c r="BP573" i="13"/>
  <c r="BS605" i="13"/>
  <c r="BB605" i="13"/>
  <c r="BF605" i="13"/>
  <c r="BJ605" i="13"/>
  <c r="BN605" i="13"/>
  <c r="BC605" i="13"/>
  <c r="BG605" i="13"/>
  <c r="BK605" i="13"/>
  <c r="BO605" i="13"/>
  <c r="AZ605" i="13"/>
  <c r="BH605" i="13"/>
  <c r="BP605" i="13"/>
  <c r="BA605" i="13"/>
  <c r="BI605" i="13"/>
  <c r="BD605" i="13"/>
  <c r="BL605" i="13"/>
  <c r="BE605" i="13"/>
  <c r="BM605" i="13"/>
  <c r="BB621" i="13"/>
  <c r="BF621" i="13"/>
  <c r="BJ621" i="13"/>
  <c r="BN621" i="13"/>
  <c r="BC621" i="13"/>
  <c r="BG621" i="13"/>
  <c r="BK621" i="13"/>
  <c r="BO621" i="13"/>
  <c r="AZ621" i="13"/>
  <c r="BH621" i="13"/>
  <c r="BP621" i="13"/>
  <c r="BL621" i="13"/>
  <c r="BA621" i="13"/>
  <c r="BI621" i="13"/>
  <c r="BD621" i="13"/>
  <c r="BE621" i="13"/>
  <c r="BM621" i="13"/>
  <c r="BB637" i="13"/>
  <c r="BF637" i="13"/>
  <c r="BJ637" i="13"/>
  <c r="BN637" i="13"/>
  <c r="BC637" i="13"/>
  <c r="BG637" i="13"/>
  <c r="BK637" i="13"/>
  <c r="BO637" i="13"/>
  <c r="AZ637" i="13"/>
  <c r="BH637" i="13"/>
  <c r="BP637" i="13"/>
  <c r="BD637" i="13"/>
  <c r="BL637" i="13"/>
  <c r="BA637" i="13"/>
  <c r="BI637" i="13"/>
  <c r="BE637" i="13"/>
  <c r="BM637" i="13"/>
  <c r="BB701" i="13"/>
  <c r="BF701" i="13"/>
  <c r="BJ701" i="13"/>
  <c r="BN701" i="13"/>
  <c r="BH701" i="13"/>
  <c r="BP701" i="13"/>
  <c r="BC701" i="13"/>
  <c r="BG701" i="13"/>
  <c r="BK701" i="13"/>
  <c r="BO701" i="13"/>
  <c r="AZ701" i="13"/>
  <c r="BD701" i="13"/>
  <c r="BL701" i="13"/>
  <c r="BA701" i="13"/>
  <c r="BE701" i="13"/>
  <c r="BI701" i="13"/>
  <c r="BM701" i="13"/>
  <c r="BS74" i="13"/>
  <c r="BC74" i="13"/>
  <c r="BG74" i="13"/>
  <c r="BK74" i="13"/>
  <c r="BO74" i="13"/>
  <c r="AZ74" i="13"/>
  <c r="BE74" i="13"/>
  <c r="BJ74" i="13"/>
  <c r="BP74" i="13"/>
  <c r="BB74" i="13"/>
  <c r="BH74" i="13"/>
  <c r="BM74" i="13"/>
  <c r="BI74" i="13"/>
  <c r="BA74" i="13"/>
  <c r="BL74" i="13"/>
  <c r="BF74" i="13"/>
  <c r="BD74" i="13"/>
  <c r="BN74" i="13"/>
  <c r="AZ154" i="13"/>
  <c r="BD154" i="13"/>
  <c r="BH154" i="13"/>
  <c r="BL154" i="13"/>
  <c r="BP154" i="13"/>
  <c r="BE154" i="13"/>
  <c r="BJ154" i="13"/>
  <c r="BO154" i="13"/>
  <c r="BA154" i="13"/>
  <c r="BF154" i="13"/>
  <c r="BK154" i="13"/>
  <c r="BC154" i="13"/>
  <c r="BI154" i="13"/>
  <c r="BN154" i="13"/>
  <c r="BG154" i="13"/>
  <c r="BM154" i="13"/>
  <c r="BB154" i="13"/>
  <c r="BA186" i="13"/>
  <c r="BE186" i="13"/>
  <c r="BI186" i="13"/>
  <c r="BM186" i="13"/>
  <c r="BC186" i="13"/>
  <c r="BH186" i="13"/>
  <c r="BN186" i="13"/>
  <c r="BD186" i="13"/>
  <c r="BJ186" i="13"/>
  <c r="BO186" i="13"/>
  <c r="BB186" i="13"/>
  <c r="BG186" i="13"/>
  <c r="BL186" i="13"/>
  <c r="BP186" i="13"/>
  <c r="AZ186" i="13"/>
  <c r="BK186" i="13"/>
  <c r="BF186" i="13"/>
  <c r="BA218" i="13"/>
  <c r="BE218" i="13"/>
  <c r="BI218" i="13"/>
  <c r="BM218" i="13"/>
  <c r="BC218" i="13"/>
  <c r="BH218" i="13"/>
  <c r="BN218" i="13"/>
  <c r="BD218" i="13"/>
  <c r="BJ218" i="13"/>
  <c r="BO218" i="13"/>
  <c r="BB218" i="13"/>
  <c r="BG218" i="13"/>
  <c r="BL218" i="13"/>
  <c r="BF218" i="13"/>
  <c r="BK218" i="13"/>
  <c r="AZ218" i="13"/>
  <c r="BP218" i="13"/>
  <c r="BC254" i="13"/>
  <c r="BG254" i="13"/>
  <c r="BK254" i="13"/>
  <c r="BO254" i="13"/>
  <c r="BA254" i="13"/>
  <c r="BE254" i="13"/>
  <c r="BI254" i="13"/>
  <c r="BM254" i="13"/>
  <c r="AZ254" i="13"/>
  <c r="BH254" i="13"/>
  <c r="BP254" i="13"/>
  <c r="BB254" i="13"/>
  <c r="BJ254" i="13"/>
  <c r="BF254" i="13"/>
  <c r="BN254" i="13"/>
  <c r="BL254" i="13"/>
  <c r="BD254" i="13"/>
  <c r="BA286" i="13"/>
  <c r="BE286" i="13"/>
  <c r="BI286" i="13"/>
  <c r="BM286" i="13"/>
  <c r="BB286" i="13"/>
  <c r="BF286" i="13"/>
  <c r="BJ286" i="13"/>
  <c r="BN286" i="13"/>
  <c r="AZ286" i="13"/>
  <c r="BD286" i="13"/>
  <c r="BH286" i="13"/>
  <c r="BL286" i="13"/>
  <c r="BP286" i="13"/>
  <c r="BC286" i="13"/>
  <c r="BG286" i="13"/>
  <c r="BO286" i="13"/>
  <c r="BK286" i="13"/>
  <c r="AZ366" i="13"/>
  <c r="BD366" i="13"/>
  <c r="BH366" i="13"/>
  <c r="BL366" i="13"/>
  <c r="BP366" i="13"/>
  <c r="BE366" i="13"/>
  <c r="BJ366" i="13"/>
  <c r="BO366" i="13"/>
  <c r="BA366" i="13"/>
  <c r="BF366" i="13"/>
  <c r="BK366" i="13"/>
  <c r="BC366" i="13"/>
  <c r="BI366" i="13"/>
  <c r="BN366" i="13"/>
  <c r="BM366" i="13"/>
  <c r="BB366" i="13"/>
  <c r="BG366" i="13"/>
  <c r="BS382" i="13"/>
  <c r="AZ382" i="13"/>
  <c r="BD382" i="13"/>
  <c r="BH382" i="13"/>
  <c r="BL382" i="13"/>
  <c r="BP382" i="13"/>
  <c r="BE382" i="13"/>
  <c r="BJ382" i="13"/>
  <c r="BO382" i="13"/>
  <c r="BA382" i="13"/>
  <c r="BF382" i="13"/>
  <c r="BK382" i="13"/>
  <c r="BC382" i="13"/>
  <c r="BI382" i="13"/>
  <c r="BN382" i="13"/>
  <c r="BG382" i="13"/>
  <c r="BM382" i="13"/>
  <c r="BB382" i="13"/>
  <c r="BA398" i="13"/>
  <c r="BE398" i="13"/>
  <c r="BI398" i="13"/>
  <c r="BM398" i="13"/>
  <c r="BB398" i="13"/>
  <c r="BF398" i="13"/>
  <c r="BJ398" i="13"/>
  <c r="BN398" i="13"/>
  <c r="AZ398" i="13"/>
  <c r="BD398" i="13"/>
  <c r="BH398" i="13"/>
  <c r="BL398" i="13"/>
  <c r="BP398" i="13"/>
  <c r="BK398" i="13"/>
  <c r="BC398" i="13"/>
  <c r="BG398" i="13"/>
  <c r="BO398" i="13"/>
  <c r="BA414" i="13"/>
  <c r="BE414" i="13"/>
  <c r="BI414" i="13"/>
  <c r="BM414" i="13"/>
  <c r="BB414" i="13"/>
  <c r="BF414" i="13"/>
  <c r="BJ414" i="13"/>
  <c r="BN414" i="13"/>
  <c r="AZ414" i="13"/>
  <c r="BD414" i="13"/>
  <c r="BH414" i="13"/>
  <c r="BL414" i="13"/>
  <c r="BP414" i="13"/>
  <c r="BK414" i="13"/>
  <c r="BC414" i="13"/>
  <c r="BG414" i="13"/>
  <c r="BO414" i="13"/>
  <c r="BA478" i="13"/>
  <c r="BE478" i="13"/>
  <c r="BI478" i="13"/>
  <c r="BM478" i="13"/>
  <c r="BB478" i="13"/>
  <c r="BF478" i="13"/>
  <c r="BJ478" i="13"/>
  <c r="BN478" i="13"/>
  <c r="AZ478" i="13"/>
  <c r="BD478" i="13"/>
  <c r="BH478" i="13"/>
  <c r="BL478" i="13"/>
  <c r="BP478" i="13"/>
  <c r="BK478" i="13"/>
  <c r="BC478" i="13"/>
  <c r="BG478" i="13"/>
  <c r="BO478" i="13"/>
  <c r="BB510" i="13"/>
  <c r="BF510" i="13"/>
  <c r="BJ510" i="13"/>
  <c r="BN510" i="13"/>
  <c r="AZ510" i="13"/>
  <c r="BD510" i="13"/>
  <c r="BH510" i="13"/>
  <c r="BL510" i="13"/>
  <c r="BP510" i="13"/>
  <c r="BA510" i="13"/>
  <c r="BI510" i="13"/>
  <c r="BC510" i="13"/>
  <c r="BK510" i="13"/>
  <c r="BE510" i="13"/>
  <c r="BM510" i="13"/>
  <c r="BG510" i="13"/>
  <c r="BO510" i="13"/>
  <c r="BS542" i="13"/>
  <c r="BB542" i="13"/>
  <c r="BF542" i="13"/>
  <c r="BJ542" i="13"/>
  <c r="BN542" i="13"/>
  <c r="AZ542" i="13"/>
  <c r="BD542" i="13"/>
  <c r="BH542" i="13"/>
  <c r="BL542" i="13"/>
  <c r="BP542" i="13"/>
  <c r="BA542" i="13"/>
  <c r="BI542" i="13"/>
  <c r="BC542" i="13"/>
  <c r="BK542" i="13"/>
  <c r="BE542" i="13"/>
  <c r="BM542" i="13"/>
  <c r="BG542" i="13"/>
  <c r="BO542" i="13"/>
  <c r="BB558" i="13"/>
  <c r="BF558" i="13"/>
  <c r="BJ558" i="13"/>
  <c r="BN558" i="13"/>
  <c r="AZ558" i="13"/>
  <c r="BD558" i="13"/>
  <c r="BH558" i="13"/>
  <c r="BL558" i="13"/>
  <c r="BP558" i="13"/>
  <c r="BA558" i="13"/>
  <c r="BI558" i="13"/>
  <c r="BC558" i="13"/>
  <c r="BK558" i="13"/>
  <c r="BE558" i="13"/>
  <c r="BG558" i="13"/>
  <c r="BM558" i="13"/>
  <c r="BO558" i="13"/>
  <c r="BB574" i="13"/>
  <c r="BF574" i="13"/>
  <c r="BJ574" i="13"/>
  <c r="BN574" i="13"/>
  <c r="AZ574" i="13"/>
  <c r="BD574" i="13"/>
  <c r="BH574" i="13"/>
  <c r="BL574" i="13"/>
  <c r="BP574" i="13"/>
  <c r="BA574" i="13"/>
  <c r="BI574" i="13"/>
  <c r="BC574" i="13"/>
  <c r="BK574" i="13"/>
  <c r="BE574" i="13"/>
  <c r="BM574" i="13"/>
  <c r="BG574" i="13"/>
  <c r="BO574" i="13"/>
  <c r="BS606" i="13"/>
  <c r="BA606" i="13"/>
  <c r="BE606" i="13"/>
  <c r="BI606" i="13"/>
  <c r="BM606" i="13"/>
  <c r="BB606" i="13"/>
  <c r="BF606" i="13"/>
  <c r="BJ606" i="13"/>
  <c r="BN606" i="13"/>
  <c r="BG606" i="13"/>
  <c r="BO606" i="13"/>
  <c r="AZ606" i="13"/>
  <c r="BH606" i="13"/>
  <c r="BP606" i="13"/>
  <c r="BC606" i="13"/>
  <c r="BK606" i="13"/>
  <c r="BD606" i="13"/>
  <c r="BL606" i="13"/>
  <c r="BA622" i="13"/>
  <c r="BE622" i="13"/>
  <c r="BI622" i="13"/>
  <c r="BM622" i="13"/>
  <c r="BB622" i="13"/>
  <c r="BF622" i="13"/>
  <c r="BJ622" i="13"/>
  <c r="BN622" i="13"/>
  <c r="BG622" i="13"/>
  <c r="BO622" i="13"/>
  <c r="BC622" i="13"/>
  <c r="AZ622" i="13"/>
  <c r="BH622" i="13"/>
  <c r="BP622" i="13"/>
  <c r="BK622" i="13"/>
  <c r="BD622" i="13"/>
  <c r="BL622" i="13"/>
  <c r="BA638" i="13"/>
  <c r="BE638" i="13"/>
  <c r="BI638" i="13"/>
  <c r="BM638" i="13"/>
  <c r="BB638" i="13"/>
  <c r="BF638" i="13"/>
  <c r="BJ638" i="13"/>
  <c r="BN638" i="13"/>
  <c r="BG638" i="13"/>
  <c r="BO638" i="13"/>
  <c r="BK638" i="13"/>
  <c r="AZ638" i="13"/>
  <c r="BH638" i="13"/>
  <c r="BP638" i="13"/>
  <c r="BC638" i="13"/>
  <c r="BD638" i="13"/>
  <c r="BL638" i="13"/>
  <c r="BA670" i="13"/>
  <c r="BE670" i="13"/>
  <c r="BI670" i="13"/>
  <c r="BM670" i="13"/>
  <c r="BB670" i="13"/>
  <c r="BF670" i="13"/>
  <c r="BJ670" i="13"/>
  <c r="BN670" i="13"/>
  <c r="BG670" i="13"/>
  <c r="BO670" i="13"/>
  <c r="BC670" i="13"/>
  <c r="AZ670" i="13"/>
  <c r="BH670" i="13"/>
  <c r="BP670" i="13"/>
  <c r="BK670" i="13"/>
  <c r="BD670" i="13"/>
  <c r="BL670" i="13"/>
  <c r="BA686" i="13"/>
  <c r="BE686" i="13"/>
  <c r="BI686" i="13"/>
  <c r="BM686" i="13"/>
  <c r="BC686" i="13"/>
  <c r="BK686" i="13"/>
  <c r="BO686" i="13"/>
  <c r="BB686" i="13"/>
  <c r="BF686" i="13"/>
  <c r="BJ686" i="13"/>
  <c r="BN686" i="13"/>
  <c r="BG686" i="13"/>
  <c r="AZ686" i="13"/>
  <c r="BD686" i="13"/>
  <c r="BH686" i="13"/>
  <c r="BL686" i="13"/>
  <c r="BP686" i="13"/>
  <c r="BC324" i="13"/>
  <c r="BG324" i="13"/>
  <c r="BK324" i="13"/>
  <c r="BO324" i="13"/>
  <c r="AZ324" i="13"/>
  <c r="BD324" i="13"/>
  <c r="BH324" i="13"/>
  <c r="BL324" i="13"/>
  <c r="BP324" i="13"/>
  <c r="BB324" i="13"/>
  <c r="BF324" i="13"/>
  <c r="BJ324" i="13"/>
  <c r="BN324" i="13"/>
  <c r="BM324" i="13"/>
  <c r="BA324" i="13"/>
  <c r="BI324" i="13"/>
  <c r="BE324" i="13"/>
  <c r="BB384" i="13"/>
  <c r="BF384" i="13"/>
  <c r="BJ384" i="13"/>
  <c r="BN384" i="13"/>
  <c r="BC384" i="13"/>
  <c r="BH384" i="13"/>
  <c r="BM384" i="13"/>
  <c r="BD384" i="13"/>
  <c r="BI384" i="13"/>
  <c r="BO384" i="13"/>
  <c r="BA384" i="13"/>
  <c r="BG384" i="13"/>
  <c r="BL384" i="13"/>
  <c r="BE384" i="13"/>
  <c r="BP384" i="13"/>
  <c r="AZ384" i="13"/>
  <c r="BK384" i="13"/>
  <c r="BC432" i="13"/>
  <c r="BG432" i="13"/>
  <c r="BK432" i="13"/>
  <c r="BO432" i="13"/>
  <c r="AZ432" i="13"/>
  <c r="BD432" i="13"/>
  <c r="BH432" i="13"/>
  <c r="BL432" i="13"/>
  <c r="BP432" i="13"/>
  <c r="BB432" i="13"/>
  <c r="BF432" i="13"/>
  <c r="BJ432" i="13"/>
  <c r="BN432" i="13"/>
  <c r="BI432" i="13"/>
  <c r="BA432" i="13"/>
  <c r="BE432" i="13"/>
  <c r="BM432" i="13"/>
  <c r="BS472" i="13"/>
  <c r="BC472" i="13"/>
  <c r="BG472" i="13"/>
  <c r="BK472" i="13"/>
  <c r="BO472" i="13"/>
  <c r="AZ472" i="13"/>
  <c r="BD472" i="13"/>
  <c r="BH472" i="13"/>
  <c r="BL472" i="13"/>
  <c r="BP472" i="13"/>
  <c r="BB472" i="13"/>
  <c r="BF472" i="13"/>
  <c r="BJ472" i="13"/>
  <c r="BN472" i="13"/>
  <c r="BA472" i="13"/>
  <c r="BI472" i="13"/>
  <c r="BE472" i="13"/>
  <c r="BM472" i="13"/>
  <c r="AZ520" i="13"/>
  <c r="BD520" i="13"/>
  <c r="BH520" i="13"/>
  <c r="BL520" i="13"/>
  <c r="BP520" i="13"/>
  <c r="BB520" i="13"/>
  <c r="BF520" i="13"/>
  <c r="BJ520" i="13"/>
  <c r="BN520" i="13"/>
  <c r="BG520" i="13"/>
  <c r="BO520" i="13"/>
  <c r="BA520" i="13"/>
  <c r="BI520" i="13"/>
  <c r="BK520" i="13"/>
  <c r="BM520" i="13"/>
  <c r="BC520" i="13"/>
  <c r="BE520" i="13"/>
  <c r="AZ572" i="13"/>
  <c r="BD572" i="13"/>
  <c r="BH572" i="13"/>
  <c r="BL572" i="13"/>
  <c r="BP572" i="13"/>
  <c r="BB572" i="13"/>
  <c r="BF572" i="13"/>
  <c r="BJ572" i="13"/>
  <c r="BN572" i="13"/>
  <c r="BC572" i="13"/>
  <c r="BK572" i="13"/>
  <c r="BE572" i="13"/>
  <c r="BM572" i="13"/>
  <c r="BG572" i="13"/>
  <c r="BI572" i="13"/>
  <c r="BO572" i="13"/>
  <c r="BA572" i="13"/>
  <c r="BC632" i="13"/>
  <c r="BG632" i="13"/>
  <c r="BK632" i="13"/>
  <c r="BO632" i="13"/>
  <c r="AZ632" i="13"/>
  <c r="BD632" i="13"/>
  <c r="BH632" i="13"/>
  <c r="BL632" i="13"/>
  <c r="BP632" i="13"/>
  <c r="BE632" i="13"/>
  <c r="BM632" i="13"/>
  <c r="BA632" i="13"/>
  <c r="BF632" i="13"/>
  <c r="BN632" i="13"/>
  <c r="BI632" i="13"/>
  <c r="BB632" i="13"/>
  <c r="BJ632" i="13"/>
  <c r="AZ243" i="13"/>
  <c r="BD243" i="13"/>
  <c r="BH243" i="13"/>
  <c r="BL243" i="13"/>
  <c r="BP243" i="13"/>
  <c r="BE243" i="13"/>
  <c r="BJ243" i="13"/>
  <c r="BO243" i="13"/>
  <c r="BA243" i="13"/>
  <c r="BF243" i="13"/>
  <c r="BK243" i="13"/>
  <c r="BC243" i="13"/>
  <c r="BI243" i="13"/>
  <c r="BN243" i="13"/>
  <c r="BG243" i="13"/>
  <c r="BM243" i="13"/>
  <c r="BB243" i="13"/>
  <c r="BA15" i="13"/>
  <c r="BE15" i="13"/>
  <c r="BI15" i="13"/>
  <c r="BM15" i="13"/>
  <c r="BB15" i="13"/>
  <c r="BF15" i="13"/>
  <c r="BJ15" i="13"/>
  <c r="BN15" i="13"/>
  <c r="AZ15" i="13"/>
  <c r="BD15" i="13"/>
  <c r="BH15" i="13"/>
  <c r="BL15" i="13"/>
  <c r="BP15" i="13"/>
  <c r="BO15" i="13"/>
  <c r="BC15" i="13"/>
  <c r="BG15" i="13"/>
  <c r="BK15" i="13"/>
  <c r="BS31" i="13"/>
  <c r="BB31" i="13"/>
  <c r="BF31" i="13"/>
  <c r="BJ31" i="13"/>
  <c r="BN31" i="13"/>
  <c r="BA31" i="13"/>
  <c r="BG31" i="13"/>
  <c r="BL31" i="13"/>
  <c r="BC31" i="13"/>
  <c r="BH31" i="13"/>
  <c r="BM31" i="13"/>
  <c r="AZ31" i="13"/>
  <c r="BE31" i="13"/>
  <c r="BK31" i="13"/>
  <c r="BP31" i="13"/>
  <c r="BD31" i="13"/>
  <c r="BI31" i="13"/>
  <c r="BO31" i="13"/>
  <c r="BB47" i="13"/>
  <c r="BF47" i="13"/>
  <c r="BJ47" i="13"/>
  <c r="BN47" i="13"/>
  <c r="AZ47" i="13"/>
  <c r="BE47" i="13"/>
  <c r="BK47" i="13"/>
  <c r="BP47" i="13"/>
  <c r="BD47" i="13"/>
  <c r="BL47" i="13"/>
  <c r="BG47" i="13"/>
  <c r="BM47" i="13"/>
  <c r="BC47" i="13"/>
  <c r="BI47" i="13"/>
  <c r="BH47" i="13"/>
  <c r="BO47" i="13"/>
  <c r="BA47" i="13"/>
  <c r="BB63" i="13"/>
  <c r="BF63" i="13"/>
  <c r="BJ63" i="13"/>
  <c r="BN63" i="13"/>
  <c r="AZ63" i="13"/>
  <c r="BE63" i="13"/>
  <c r="BK63" i="13"/>
  <c r="BP63" i="13"/>
  <c r="BC63" i="13"/>
  <c r="BH63" i="13"/>
  <c r="BM63" i="13"/>
  <c r="BD63" i="13"/>
  <c r="BO63" i="13"/>
  <c r="BG63" i="13"/>
  <c r="BA63" i="13"/>
  <c r="BL63" i="13"/>
  <c r="BI63" i="13"/>
  <c r="BB79" i="13"/>
  <c r="BF79" i="13"/>
  <c r="BJ79" i="13"/>
  <c r="BN79" i="13"/>
  <c r="AZ79" i="13"/>
  <c r="BE79" i="13"/>
  <c r="BK79" i="13"/>
  <c r="BP79" i="13"/>
  <c r="BC79" i="13"/>
  <c r="BH79" i="13"/>
  <c r="BM79" i="13"/>
  <c r="BI79" i="13"/>
  <c r="BA79" i="13"/>
  <c r="BL79" i="13"/>
  <c r="BG79" i="13"/>
  <c r="BD79" i="13"/>
  <c r="BO79" i="13"/>
  <c r="BS95" i="13"/>
  <c r="BA95" i="13"/>
  <c r="BE95" i="13"/>
  <c r="BI95" i="13"/>
  <c r="BM95" i="13"/>
  <c r="BC95" i="13"/>
  <c r="BH95" i="13"/>
  <c r="BN95" i="13"/>
  <c r="BD95" i="13"/>
  <c r="BJ95" i="13"/>
  <c r="BO95" i="13"/>
  <c r="BB95" i="13"/>
  <c r="BG95" i="13"/>
  <c r="BL95" i="13"/>
  <c r="AZ95" i="13"/>
  <c r="BF95" i="13"/>
  <c r="BP95" i="13"/>
  <c r="BK95" i="13"/>
  <c r="BA111" i="13"/>
  <c r="BE111" i="13"/>
  <c r="BI111" i="13"/>
  <c r="BM111" i="13"/>
  <c r="BC111" i="13"/>
  <c r="BH111" i="13"/>
  <c r="BN111" i="13"/>
  <c r="BD111" i="13"/>
  <c r="BJ111" i="13"/>
  <c r="BO111" i="13"/>
  <c r="BB111" i="13"/>
  <c r="BG111" i="13"/>
  <c r="BL111" i="13"/>
  <c r="BF111" i="13"/>
  <c r="BK111" i="13"/>
  <c r="AZ111" i="13"/>
  <c r="BP111" i="13"/>
  <c r="BA127" i="13"/>
  <c r="BE127" i="13"/>
  <c r="BI127" i="13"/>
  <c r="BM127" i="13"/>
  <c r="BC127" i="13"/>
  <c r="BH127" i="13"/>
  <c r="BN127" i="13"/>
  <c r="BD127" i="13"/>
  <c r="BJ127" i="13"/>
  <c r="BO127" i="13"/>
  <c r="BB127" i="13"/>
  <c r="BG127" i="13"/>
  <c r="BL127" i="13"/>
  <c r="BK127" i="13"/>
  <c r="BP127" i="13"/>
  <c r="BF127" i="13"/>
  <c r="AZ127" i="13"/>
  <c r="BS143" i="13"/>
  <c r="BA143" i="13"/>
  <c r="BE143" i="13"/>
  <c r="BI143" i="13"/>
  <c r="BM143" i="13"/>
  <c r="BB143" i="13"/>
  <c r="BG143" i="13"/>
  <c r="BL143" i="13"/>
  <c r="BF143" i="13"/>
  <c r="BN143" i="13"/>
  <c r="AZ143" i="13"/>
  <c r="BH143" i="13"/>
  <c r="BO143" i="13"/>
  <c r="BD143" i="13"/>
  <c r="BK143" i="13"/>
  <c r="BC143" i="13"/>
  <c r="BJ143" i="13"/>
  <c r="BP143" i="13"/>
  <c r="BC159" i="13"/>
  <c r="BG159" i="13"/>
  <c r="BK159" i="13"/>
  <c r="BO159" i="13"/>
  <c r="AZ159" i="13"/>
  <c r="BE159" i="13"/>
  <c r="BJ159" i="13"/>
  <c r="BP159" i="13"/>
  <c r="BA159" i="13"/>
  <c r="BF159" i="13"/>
  <c r="BL159" i="13"/>
  <c r="BD159" i="13"/>
  <c r="BI159" i="13"/>
  <c r="BN159" i="13"/>
  <c r="BH159" i="13"/>
  <c r="BM159" i="13"/>
  <c r="BB159" i="13"/>
  <c r="BC175" i="13"/>
  <c r="BG175" i="13"/>
  <c r="BK175" i="13"/>
  <c r="BO175" i="13"/>
  <c r="AZ175" i="13"/>
  <c r="BE175" i="13"/>
  <c r="BJ175" i="13"/>
  <c r="BP175" i="13"/>
  <c r="BA175" i="13"/>
  <c r="BF175" i="13"/>
  <c r="BL175" i="13"/>
  <c r="BD175" i="13"/>
  <c r="BI175" i="13"/>
  <c r="BN175" i="13"/>
  <c r="BM175" i="13"/>
  <c r="BH175" i="13"/>
  <c r="BB175" i="13"/>
  <c r="AZ191" i="13"/>
  <c r="BD191" i="13"/>
  <c r="BH191" i="13"/>
  <c r="BL191" i="13"/>
  <c r="BP191" i="13"/>
  <c r="BC191" i="13"/>
  <c r="BI191" i="13"/>
  <c r="BN191" i="13"/>
  <c r="BE191" i="13"/>
  <c r="BJ191" i="13"/>
  <c r="BO191" i="13"/>
  <c r="BB191" i="13"/>
  <c r="BG191" i="13"/>
  <c r="BM191" i="13"/>
  <c r="BA191" i="13"/>
  <c r="BK191" i="13"/>
  <c r="BF191" i="13"/>
  <c r="BS207" i="13"/>
  <c r="AZ207" i="13"/>
  <c r="BD207" i="13"/>
  <c r="BH207" i="13"/>
  <c r="BL207" i="13"/>
  <c r="BP207" i="13"/>
  <c r="BC207" i="13"/>
  <c r="BI207" i="13"/>
  <c r="BN207" i="13"/>
  <c r="BE207" i="13"/>
  <c r="BJ207" i="13"/>
  <c r="BO207" i="13"/>
  <c r="BB207" i="13"/>
  <c r="BG207" i="13"/>
  <c r="BM207" i="13"/>
  <c r="BA207" i="13"/>
  <c r="BF207" i="13"/>
  <c r="BK207" i="13"/>
  <c r="AZ223" i="13"/>
  <c r="BD223" i="13"/>
  <c r="BH223" i="13"/>
  <c r="BL223" i="13"/>
  <c r="BP223" i="13"/>
  <c r="BC223" i="13"/>
  <c r="BI223" i="13"/>
  <c r="BN223" i="13"/>
  <c r="BE223" i="13"/>
  <c r="BJ223" i="13"/>
  <c r="BO223" i="13"/>
  <c r="BB223" i="13"/>
  <c r="BG223" i="13"/>
  <c r="BM223" i="13"/>
  <c r="BF223" i="13"/>
  <c r="BK223" i="13"/>
  <c r="BA223" i="13"/>
  <c r="AZ239" i="13"/>
  <c r="BD239" i="13"/>
  <c r="BH239" i="13"/>
  <c r="BL239" i="13"/>
  <c r="BP239" i="13"/>
  <c r="BC239" i="13"/>
  <c r="BI239" i="13"/>
  <c r="BN239" i="13"/>
  <c r="BE239" i="13"/>
  <c r="BJ239" i="13"/>
  <c r="BO239" i="13"/>
  <c r="BB239" i="13"/>
  <c r="BG239" i="13"/>
  <c r="BM239" i="13"/>
  <c r="BK239" i="13"/>
  <c r="BF239" i="13"/>
  <c r="BA239" i="13"/>
  <c r="BB259" i="13"/>
  <c r="BF259" i="13"/>
  <c r="BJ259" i="13"/>
  <c r="BN259" i="13"/>
  <c r="AZ259" i="13"/>
  <c r="BD259" i="13"/>
  <c r="BH259" i="13"/>
  <c r="BL259" i="13"/>
  <c r="BP259" i="13"/>
  <c r="BC259" i="13"/>
  <c r="BK259" i="13"/>
  <c r="BE259" i="13"/>
  <c r="BM259" i="13"/>
  <c r="BA259" i="13"/>
  <c r="BI259" i="13"/>
  <c r="BO259" i="13"/>
  <c r="BG259" i="13"/>
  <c r="AZ275" i="13"/>
  <c r="BD275" i="13"/>
  <c r="BH275" i="13"/>
  <c r="BL275" i="13"/>
  <c r="BP275" i="13"/>
  <c r="BE275" i="13"/>
  <c r="BJ275" i="13"/>
  <c r="BO275" i="13"/>
  <c r="BA275" i="13"/>
  <c r="BF275" i="13"/>
  <c r="BK275" i="13"/>
  <c r="BC275" i="13"/>
  <c r="BI275" i="13"/>
  <c r="BN275" i="13"/>
  <c r="BG275" i="13"/>
  <c r="BM275" i="13"/>
  <c r="BB275" i="13"/>
  <c r="BS291" i="13"/>
  <c r="AZ291" i="13"/>
  <c r="BD291" i="13"/>
  <c r="BH291" i="13"/>
  <c r="BL291" i="13"/>
  <c r="BP291" i="13"/>
  <c r="BA291" i="13"/>
  <c r="BE291" i="13"/>
  <c r="BI291" i="13"/>
  <c r="BM291" i="13"/>
  <c r="BC291" i="13"/>
  <c r="BG291" i="13"/>
  <c r="BK291" i="13"/>
  <c r="BO291" i="13"/>
  <c r="BN291" i="13"/>
  <c r="BB291" i="13"/>
  <c r="BJ291" i="13"/>
  <c r="BF291" i="13"/>
  <c r="AZ307" i="13"/>
  <c r="BD307" i="13"/>
  <c r="BH307" i="13"/>
  <c r="BL307" i="13"/>
  <c r="BP307" i="13"/>
  <c r="BA307" i="13"/>
  <c r="BE307" i="13"/>
  <c r="BI307" i="13"/>
  <c r="BM307" i="13"/>
  <c r="BC307" i="13"/>
  <c r="BG307" i="13"/>
  <c r="BK307" i="13"/>
  <c r="BO307" i="13"/>
  <c r="BN307" i="13"/>
  <c r="BB307" i="13"/>
  <c r="BJ307" i="13"/>
  <c r="BF307" i="13"/>
  <c r="AZ323" i="13"/>
  <c r="BD323" i="13"/>
  <c r="BH323" i="13"/>
  <c r="BL323" i="13"/>
  <c r="BP323" i="13"/>
  <c r="BA323" i="13"/>
  <c r="BE323" i="13"/>
  <c r="BI323" i="13"/>
  <c r="BM323" i="13"/>
  <c r="BC323" i="13"/>
  <c r="BG323" i="13"/>
  <c r="BK323" i="13"/>
  <c r="BO323" i="13"/>
  <c r="BN323" i="13"/>
  <c r="BB323" i="13"/>
  <c r="BJ323" i="13"/>
  <c r="BF323" i="13"/>
  <c r="BS339" i="13"/>
  <c r="BC339" i="13"/>
  <c r="BG339" i="13"/>
  <c r="BK339" i="13"/>
  <c r="BO339" i="13"/>
  <c r="AZ339" i="13"/>
  <c r="BE339" i="13"/>
  <c r="BJ339" i="13"/>
  <c r="BP339" i="13"/>
  <c r="BA339" i="13"/>
  <c r="BF339" i="13"/>
  <c r="BL339" i="13"/>
  <c r="BD339" i="13"/>
  <c r="BI339" i="13"/>
  <c r="BN339" i="13"/>
  <c r="BB339" i="13"/>
  <c r="BM339" i="13"/>
  <c r="BH339" i="13"/>
  <c r="BC355" i="13"/>
  <c r="BG355" i="13"/>
  <c r="BK355" i="13"/>
  <c r="BO355" i="13"/>
  <c r="AZ355" i="13"/>
  <c r="BE355" i="13"/>
  <c r="BJ355" i="13"/>
  <c r="BP355" i="13"/>
  <c r="BA355" i="13"/>
  <c r="BF355" i="13"/>
  <c r="BL355" i="13"/>
  <c r="BD355" i="13"/>
  <c r="BI355" i="13"/>
  <c r="BN355" i="13"/>
  <c r="BH355" i="13"/>
  <c r="BB355" i="13"/>
  <c r="BM355" i="13"/>
  <c r="BC371" i="13"/>
  <c r="BG371" i="13"/>
  <c r="BK371" i="13"/>
  <c r="BO371" i="13"/>
  <c r="AZ371" i="13"/>
  <c r="BE371" i="13"/>
  <c r="BJ371" i="13"/>
  <c r="BP371" i="13"/>
  <c r="BA371" i="13"/>
  <c r="BF371" i="13"/>
  <c r="BL371" i="13"/>
  <c r="BD371" i="13"/>
  <c r="BI371" i="13"/>
  <c r="BN371" i="13"/>
  <c r="BM371" i="13"/>
  <c r="BB371" i="13"/>
  <c r="BH371" i="13"/>
  <c r="AZ387" i="13"/>
  <c r="BD387" i="13"/>
  <c r="BH387" i="13"/>
  <c r="BL387" i="13"/>
  <c r="BP387" i="13"/>
  <c r="BA387" i="13"/>
  <c r="BE387" i="13"/>
  <c r="BI387" i="13"/>
  <c r="BM387" i="13"/>
  <c r="BC387" i="13"/>
  <c r="BG387" i="13"/>
  <c r="BK387" i="13"/>
  <c r="BO387" i="13"/>
  <c r="BF387" i="13"/>
  <c r="BN387" i="13"/>
  <c r="BB387" i="13"/>
  <c r="BJ387" i="13"/>
  <c r="BS403" i="13"/>
  <c r="AZ403" i="13"/>
  <c r="BD403" i="13"/>
  <c r="BH403" i="13"/>
  <c r="BL403" i="13"/>
  <c r="BP403" i="13"/>
  <c r="BA403" i="13"/>
  <c r="BE403" i="13"/>
  <c r="BI403" i="13"/>
  <c r="BM403" i="13"/>
  <c r="BC403" i="13"/>
  <c r="BG403" i="13"/>
  <c r="BK403" i="13"/>
  <c r="BO403" i="13"/>
  <c r="BF403" i="13"/>
  <c r="BN403" i="13"/>
  <c r="BB403" i="13"/>
  <c r="BJ403" i="13"/>
  <c r="AZ419" i="13"/>
  <c r="BD419" i="13"/>
  <c r="BH419" i="13"/>
  <c r="BL419" i="13"/>
  <c r="BP419" i="13"/>
  <c r="BA419" i="13"/>
  <c r="BE419" i="13"/>
  <c r="BI419" i="13"/>
  <c r="BM419" i="13"/>
  <c r="BC419" i="13"/>
  <c r="BG419" i="13"/>
  <c r="BK419" i="13"/>
  <c r="BO419" i="13"/>
  <c r="BF419" i="13"/>
  <c r="BN419" i="13"/>
  <c r="BB419" i="13"/>
  <c r="BJ419" i="13"/>
  <c r="AZ435" i="13"/>
  <c r="BD435" i="13"/>
  <c r="BH435" i="13"/>
  <c r="BL435" i="13"/>
  <c r="BP435" i="13"/>
  <c r="BA435" i="13"/>
  <c r="BE435" i="13"/>
  <c r="BI435" i="13"/>
  <c r="BM435" i="13"/>
  <c r="BC435" i="13"/>
  <c r="BG435" i="13"/>
  <c r="BK435" i="13"/>
  <c r="BO435" i="13"/>
  <c r="BF435" i="13"/>
  <c r="BN435" i="13"/>
  <c r="BB435" i="13"/>
  <c r="BJ435" i="13"/>
  <c r="BS451" i="13"/>
  <c r="AZ451" i="13"/>
  <c r="BD451" i="13"/>
  <c r="BH451" i="13"/>
  <c r="BL451" i="13"/>
  <c r="BP451" i="13"/>
  <c r="BA451" i="13"/>
  <c r="BE451" i="13"/>
  <c r="BI451" i="13"/>
  <c r="BM451" i="13"/>
  <c r="BC451" i="13"/>
  <c r="BG451" i="13"/>
  <c r="BK451" i="13"/>
  <c r="BO451" i="13"/>
  <c r="BF451" i="13"/>
  <c r="BN451" i="13"/>
  <c r="BB451" i="13"/>
  <c r="BJ451" i="13"/>
  <c r="AZ467" i="13"/>
  <c r="BD467" i="13"/>
  <c r="BH467" i="13"/>
  <c r="BL467" i="13"/>
  <c r="BP467" i="13"/>
  <c r="BA467" i="13"/>
  <c r="BE467" i="13"/>
  <c r="BI467" i="13"/>
  <c r="BM467" i="13"/>
  <c r="BC467" i="13"/>
  <c r="BG467" i="13"/>
  <c r="BK467" i="13"/>
  <c r="BO467" i="13"/>
  <c r="BF467" i="13"/>
  <c r="BN467" i="13"/>
  <c r="BB467" i="13"/>
  <c r="BJ467" i="13"/>
  <c r="AZ483" i="13"/>
  <c r="BD483" i="13"/>
  <c r="BH483" i="13"/>
  <c r="BL483" i="13"/>
  <c r="BP483" i="13"/>
  <c r="BB483" i="13"/>
  <c r="BF483" i="13"/>
  <c r="BJ483" i="13"/>
  <c r="BN483" i="13"/>
  <c r="BC483" i="13"/>
  <c r="BK483" i="13"/>
  <c r="BE483" i="13"/>
  <c r="BM483" i="13"/>
  <c r="BO483" i="13"/>
  <c r="BG483" i="13"/>
  <c r="BA483" i="13"/>
  <c r="BI483" i="13"/>
  <c r="BA499" i="13"/>
  <c r="BE499" i="13"/>
  <c r="BI499" i="13"/>
  <c r="BM499" i="13"/>
  <c r="BC499" i="13"/>
  <c r="BG499" i="13"/>
  <c r="BK499" i="13"/>
  <c r="BO499" i="13"/>
  <c r="BD499" i="13"/>
  <c r="BL499" i="13"/>
  <c r="BF499" i="13"/>
  <c r="BN499" i="13"/>
  <c r="AZ499" i="13"/>
  <c r="BP499" i="13"/>
  <c r="BH499" i="13"/>
  <c r="BB499" i="13"/>
  <c r="BJ499" i="13"/>
  <c r="BS515" i="13"/>
  <c r="BA515" i="13"/>
  <c r="BE515" i="13"/>
  <c r="BI515" i="13"/>
  <c r="BM515" i="13"/>
  <c r="BC515" i="13"/>
  <c r="BG515" i="13"/>
  <c r="BK515" i="13"/>
  <c r="BO515" i="13"/>
  <c r="BD515" i="13"/>
  <c r="BL515" i="13"/>
  <c r="BF515" i="13"/>
  <c r="BN515" i="13"/>
  <c r="AZ515" i="13"/>
  <c r="BP515" i="13"/>
  <c r="BB515" i="13"/>
  <c r="BH515" i="13"/>
  <c r="BJ515" i="13"/>
  <c r="BA531" i="13"/>
  <c r="BE531" i="13"/>
  <c r="BI531" i="13"/>
  <c r="BM531" i="13"/>
  <c r="BC531" i="13"/>
  <c r="BG531" i="13"/>
  <c r="BK531" i="13"/>
  <c r="BO531" i="13"/>
  <c r="BD531" i="13"/>
  <c r="BL531" i="13"/>
  <c r="BF531" i="13"/>
  <c r="BN531" i="13"/>
  <c r="AZ531" i="13"/>
  <c r="BP531" i="13"/>
  <c r="BB531" i="13"/>
  <c r="BH531" i="13"/>
  <c r="BJ531" i="13"/>
  <c r="BA547" i="13"/>
  <c r="BE547" i="13"/>
  <c r="BI547" i="13"/>
  <c r="BM547" i="13"/>
  <c r="BC547" i="13"/>
  <c r="BG547" i="13"/>
  <c r="BK547" i="13"/>
  <c r="BO547" i="13"/>
  <c r="BD547" i="13"/>
  <c r="BL547" i="13"/>
  <c r="BF547" i="13"/>
  <c r="BN547" i="13"/>
  <c r="AZ547" i="13"/>
  <c r="BP547" i="13"/>
  <c r="BH547" i="13"/>
  <c r="BB547" i="13"/>
  <c r="BJ547" i="13"/>
  <c r="BS563" i="13"/>
  <c r="BA563" i="13"/>
  <c r="BE563" i="13"/>
  <c r="BI563" i="13"/>
  <c r="BM563" i="13"/>
  <c r="BC563" i="13"/>
  <c r="BG563" i="13"/>
  <c r="BK563" i="13"/>
  <c r="BO563" i="13"/>
  <c r="BD563" i="13"/>
  <c r="BL563" i="13"/>
  <c r="BF563" i="13"/>
  <c r="BN563" i="13"/>
  <c r="AZ563" i="13"/>
  <c r="BP563" i="13"/>
  <c r="BH563" i="13"/>
  <c r="BB563" i="13"/>
  <c r="BJ563" i="13"/>
  <c r="BA579" i="13"/>
  <c r="BE579" i="13"/>
  <c r="BI579" i="13"/>
  <c r="BM579" i="13"/>
  <c r="BC579" i="13"/>
  <c r="BG579" i="13"/>
  <c r="BK579" i="13"/>
  <c r="BO579" i="13"/>
  <c r="BD579" i="13"/>
  <c r="BL579" i="13"/>
  <c r="BF579" i="13"/>
  <c r="BN579" i="13"/>
  <c r="AZ579" i="13"/>
  <c r="BP579" i="13"/>
  <c r="BB579" i="13"/>
  <c r="BH579" i="13"/>
  <c r="BJ579" i="13"/>
  <c r="BA595" i="13"/>
  <c r="BE595" i="13"/>
  <c r="BI595" i="13"/>
  <c r="BM595" i="13"/>
  <c r="BC595" i="13"/>
  <c r="BG595" i="13"/>
  <c r="BK595" i="13"/>
  <c r="BO595" i="13"/>
  <c r="BD595" i="13"/>
  <c r="BL595" i="13"/>
  <c r="BF595" i="13"/>
  <c r="BN595" i="13"/>
  <c r="AZ595" i="13"/>
  <c r="BP595" i="13"/>
  <c r="BB595" i="13"/>
  <c r="BH595" i="13"/>
  <c r="BJ595" i="13"/>
  <c r="AZ611" i="13"/>
  <c r="BD611" i="13"/>
  <c r="BH611" i="13"/>
  <c r="BL611" i="13"/>
  <c r="BP611" i="13"/>
  <c r="BA611" i="13"/>
  <c r="BE611" i="13"/>
  <c r="BI611" i="13"/>
  <c r="BM611" i="13"/>
  <c r="BB611" i="13"/>
  <c r="BJ611" i="13"/>
  <c r="BC611" i="13"/>
  <c r="BK611" i="13"/>
  <c r="BF611" i="13"/>
  <c r="BN611" i="13"/>
  <c r="BG611" i="13"/>
  <c r="BO611" i="13"/>
  <c r="BS627" i="13"/>
  <c r="AZ627" i="13"/>
  <c r="BD627" i="13"/>
  <c r="BH627" i="13"/>
  <c r="BL627" i="13"/>
  <c r="BP627" i="13"/>
  <c r="BA627" i="13"/>
  <c r="BE627" i="13"/>
  <c r="BI627" i="13"/>
  <c r="BM627" i="13"/>
  <c r="BB627" i="13"/>
  <c r="BJ627" i="13"/>
  <c r="BN627" i="13"/>
  <c r="BC627" i="13"/>
  <c r="BK627" i="13"/>
  <c r="BF627" i="13"/>
  <c r="BG627" i="13"/>
  <c r="BO627" i="13"/>
  <c r="AZ643" i="13"/>
  <c r="BD643" i="13"/>
  <c r="BH643" i="13"/>
  <c r="BL643" i="13"/>
  <c r="BP643" i="13"/>
  <c r="BA643" i="13"/>
  <c r="BE643" i="13"/>
  <c r="BI643" i="13"/>
  <c r="BM643" i="13"/>
  <c r="BB643" i="13"/>
  <c r="BJ643" i="13"/>
  <c r="BC643" i="13"/>
  <c r="BK643" i="13"/>
  <c r="BF643" i="13"/>
  <c r="BN643" i="13"/>
  <c r="BG643" i="13"/>
  <c r="BO643" i="13"/>
  <c r="AZ659" i="13"/>
  <c r="BD659" i="13"/>
  <c r="BH659" i="13"/>
  <c r="BL659" i="13"/>
  <c r="BP659" i="13"/>
  <c r="BA659" i="13"/>
  <c r="BE659" i="13"/>
  <c r="BI659" i="13"/>
  <c r="BM659" i="13"/>
  <c r="BB659" i="13"/>
  <c r="BJ659" i="13"/>
  <c r="BK659" i="13"/>
  <c r="BF659" i="13"/>
  <c r="BC659" i="13"/>
  <c r="BN659" i="13"/>
  <c r="BG659" i="13"/>
  <c r="BO659" i="13"/>
  <c r="BS675" i="13"/>
  <c r="AZ675" i="13"/>
  <c r="BD675" i="13"/>
  <c r="BH675" i="13"/>
  <c r="BL675" i="13"/>
  <c r="BP675" i="13"/>
  <c r="BA675" i="13"/>
  <c r="BE675" i="13"/>
  <c r="BI675" i="13"/>
  <c r="BM675" i="13"/>
  <c r="BB675" i="13"/>
  <c r="BJ675" i="13"/>
  <c r="BN675" i="13"/>
  <c r="BC675" i="13"/>
  <c r="BK675" i="13"/>
  <c r="BF675" i="13"/>
  <c r="BG675" i="13"/>
  <c r="BO675" i="13"/>
  <c r="AZ691" i="13"/>
  <c r="BD691" i="13"/>
  <c r="BH691" i="13"/>
  <c r="BL691" i="13"/>
  <c r="BP691" i="13"/>
  <c r="BF691" i="13"/>
  <c r="BN691" i="13"/>
  <c r="BA691" i="13"/>
  <c r="BE691" i="13"/>
  <c r="BI691" i="13"/>
  <c r="BM691" i="13"/>
  <c r="BB691" i="13"/>
  <c r="BJ691" i="13"/>
  <c r="BC691" i="13"/>
  <c r="BG691" i="13"/>
  <c r="BK691" i="13"/>
  <c r="BO691" i="13"/>
  <c r="BB344" i="13"/>
  <c r="BF344" i="13"/>
  <c r="BJ344" i="13"/>
  <c r="BN344" i="13"/>
  <c r="AZ344" i="13"/>
  <c r="BE344" i="13"/>
  <c r="BK344" i="13"/>
  <c r="BP344" i="13"/>
  <c r="BA344" i="13"/>
  <c r="BG344" i="13"/>
  <c r="BL344" i="13"/>
  <c r="BD344" i="13"/>
  <c r="BI344" i="13"/>
  <c r="BO344" i="13"/>
  <c r="BC344" i="13"/>
  <c r="BM344" i="13"/>
  <c r="BH344" i="13"/>
  <c r="BS396" i="13"/>
  <c r="BC396" i="13"/>
  <c r="BG396" i="13"/>
  <c r="BK396" i="13"/>
  <c r="BO396" i="13"/>
  <c r="AZ396" i="13"/>
  <c r="BD396" i="13"/>
  <c r="BH396" i="13"/>
  <c r="BL396" i="13"/>
  <c r="BP396" i="13"/>
  <c r="BB396" i="13"/>
  <c r="BF396" i="13"/>
  <c r="BJ396" i="13"/>
  <c r="BN396" i="13"/>
  <c r="BM396" i="13"/>
  <c r="BE396" i="13"/>
  <c r="BI396" i="13"/>
  <c r="BA396" i="13"/>
  <c r="BS444" i="13"/>
  <c r="BC444" i="13"/>
  <c r="BG444" i="13"/>
  <c r="BK444" i="13"/>
  <c r="BO444" i="13"/>
  <c r="AZ444" i="13"/>
  <c r="BD444" i="13"/>
  <c r="BH444" i="13"/>
  <c r="BL444" i="13"/>
  <c r="BP444" i="13"/>
  <c r="BB444" i="13"/>
  <c r="BF444" i="13"/>
  <c r="BJ444" i="13"/>
  <c r="BN444" i="13"/>
  <c r="BM444" i="13"/>
  <c r="BE444" i="13"/>
  <c r="BA444" i="13"/>
  <c r="BI444" i="13"/>
  <c r="BC492" i="13"/>
  <c r="BG492" i="13"/>
  <c r="BK492" i="13"/>
  <c r="BO492" i="13"/>
  <c r="BA492" i="13"/>
  <c r="BE492" i="13"/>
  <c r="BI492" i="13"/>
  <c r="BM492" i="13"/>
  <c r="BB492" i="13"/>
  <c r="BJ492" i="13"/>
  <c r="BD492" i="13"/>
  <c r="BL492" i="13"/>
  <c r="BF492" i="13"/>
  <c r="BH492" i="13"/>
  <c r="BN492" i="13"/>
  <c r="AZ492" i="13"/>
  <c r="BP492" i="13"/>
  <c r="AZ544" i="13"/>
  <c r="BD544" i="13"/>
  <c r="BH544" i="13"/>
  <c r="BL544" i="13"/>
  <c r="BP544" i="13"/>
  <c r="BB544" i="13"/>
  <c r="BF544" i="13"/>
  <c r="BJ544" i="13"/>
  <c r="BN544" i="13"/>
  <c r="BG544" i="13"/>
  <c r="BO544" i="13"/>
  <c r="BA544" i="13"/>
  <c r="BI544" i="13"/>
  <c r="BC544" i="13"/>
  <c r="BE544" i="13"/>
  <c r="BK544" i="13"/>
  <c r="BM544" i="13"/>
  <c r="BC604" i="13"/>
  <c r="BG604" i="13"/>
  <c r="BK604" i="13"/>
  <c r="BO604" i="13"/>
  <c r="AZ604" i="13"/>
  <c r="BD604" i="13"/>
  <c r="BH604" i="13"/>
  <c r="BL604" i="13"/>
  <c r="BP604" i="13"/>
  <c r="BA604" i="13"/>
  <c r="BI604" i="13"/>
  <c r="BB604" i="13"/>
  <c r="BJ604" i="13"/>
  <c r="BE604" i="13"/>
  <c r="BM604" i="13"/>
  <c r="BF604" i="13"/>
  <c r="BN604" i="13"/>
  <c r="BC664" i="13"/>
  <c r="BG664" i="13"/>
  <c r="BK664" i="13"/>
  <c r="BO664" i="13"/>
  <c r="AZ664" i="13"/>
  <c r="BD664" i="13"/>
  <c r="BH664" i="13"/>
  <c r="BL664" i="13"/>
  <c r="BP664" i="13"/>
  <c r="BE664" i="13"/>
  <c r="BM664" i="13"/>
  <c r="BI664" i="13"/>
  <c r="BF664" i="13"/>
  <c r="BN664" i="13"/>
  <c r="BA664" i="13"/>
  <c r="BB664" i="13"/>
  <c r="BJ664" i="13"/>
  <c r="AZ8" i="13"/>
  <c r="BD8" i="13"/>
  <c r="BH8" i="13"/>
  <c r="BL8" i="13"/>
  <c r="BP8" i="13"/>
  <c r="BA8" i="13"/>
  <c r="BE8" i="13"/>
  <c r="BI8" i="13"/>
  <c r="BM8" i="13"/>
  <c r="BC8" i="13"/>
  <c r="BG8" i="13"/>
  <c r="BK8" i="13"/>
  <c r="BO8" i="13"/>
  <c r="BF8" i="13"/>
  <c r="BN8" i="13"/>
  <c r="BJ8" i="13"/>
  <c r="BB8" i="13"/>
  <c r="BS24" i="13"/>
  <c r="BA24" i="13"/>
  <c r="BE24" i="13"/>
  <c r="BI24" i="13"/>
  <c r="BM24" i="13"/>
  <c r="BC24" i="13"/>
  <c r="BH24" i="13"/>
  <c r="BN24" i="13"/>
  <c r="BD24" i="13"/>
  <c r="BJ24" i="13"/>
  <c r="BO24" i="13"/>
  <c r="BB24" i="13"/>
  <c r="BG24" i="13"/>
  <c r="BL24" i="13"/>
  <c r="BP24" i="13"/>
  <c r="AZ24" i="13"/>
  <c r="BK24" i="13"/>
  <c r="BF24" i="13"/>
  <c r="BA40" i="13"/>
  <c r="BE40" i="13"/>
  <c r="BI40" i="13"/>
  <c r="BM40" i="13"/>
  <c r="BC40" i="13"/>
  <c r="BH40" i="13"/>
  <c r="BN40" i="13"/>
  <c r="BD40" i="13"/>
  <c r="BJ40" i="13"/>
  <c r="BO40" i="13"/>
  <c r="BB40" i="13"/>
  <c r="BG40" i="13"/>
  <c r="BL40" i="13"/>
  <c r="AZ40" i="13"/>
  <c r="BF40" i="13"/>
  <c r="BP40" i="13"/>
  <c r="BK40" i="13"/>
  <c r="BA56" i="13"/>
  <c r="BE56" i="13"/>
  <c r="BI56" i="13"/>
  <c r="BM56" i="13"/>
  <c r="AZ56" i="13"/>
  <c r="BF56" i="13"/>
  <c r="BK56" i="13"/>
  <c r="BB56" i="13"/>
  <c r="BG56" i="13"/>
  <c r="BL56" i="13"/>
  <c r="BD56" i="13"/>
  <c r="BJ56" i="13"/>
  <c r="BO56" i="13"/>
  <c r="BP56" i="13"/>
  <c r="BC56" i="13"/>
  <c r="BN56" i="13"/>
  <c r="BH56" i="13"/>
  <c r="BA72" i="13"/>
  <c r="BE72" i="13"/>
  <c r="BI72" i="13"/>
  <c r="BM72" i="13"/>
  <c r="BB72" i="13"/>
  <c r="BG72" i="13"/>
  <c r="BL72" i="13"/>
  <c r="BD72" i="13"/>
  <c r="BJ72" i="13"/>
  <c r="BO72" i="13"/>
  <c r="AZ72" i="13"/>
  <c r="BK72" i="13"/>
  <c r="BC72" i="13"/>
  <c r="BN72" i="13"/>
  <c r="BH72" i="13"/>
  <c r="BP72" i="13"/>
  <c r="BF72" i="13"/>
  <c r="BS88" i="13"/>
  <c r="BA88" i="13"/>
  <c r="BE88" i="13"/>
  <c r="BI88" i="13"/>
  <c r="BM88" i="13"/>
  <c r="BC88" i="13"/>
  <c r="BG88" i="13"/>
  <c r="BK88" i="13"/>
  <c r="BO88" i="13"/>
  <c r="BD88" i="13"/>
  <c r="BL88" i="13"/>
  <c r="BF88" i="13"/>
  <c r="BN88" i="13"/>
  <c r="BB88" i="13"/>
  <c r="BJ88" i="13"/>
  <c r="AZ88" i="13"/>
  <c r="BP88" i="13"/>
  <c r="BH88" i="13"/>
  <c r="AZ104" i="13"/>
  <c r="BD104" i="13"/>
  <c r="BH104" i="13"/>
  <c r="BL104" i="13"/>
  <c r="BP104" i="13"/>
  <c r="BE104" i="13"/>
  <c r="BJ104" i="13"/>
  <c r="BO104" i="13"/>
  <c r="BA104" i="13"/>
  <c r="BF104" i="13"/>
  <c r="BK104" i="13"/>
  <c r="BC104" i="13"/>
  <c r="BI104" i="13"/>
  <c r="BN104" i="13"/>
  <c r="BB104" i="13"/>
  <c r="BM104" i="13"/>
  <c r="BG104" i="13"/>
  <c r="AZ120" i="13"/>
  <c r="BD120" i="13"/>
  <c r="BH120" i="13"/>
  <c r="BL120" i="13"/>
  <c r="BP120" i="13"/>
  <c r="BE120" i="13"/>
  <c r="BJ120" i="13"/>
  <c r="BO120" i="13"/>
  <c r="BA120" i="13"/>
  <c r="BF120" i="13"/>
  <c r="BK120" i="13"/>
  <c r="BC120" i="13"/>
  <c r="BI120" i="13"/>
  <c r="BN120" i="13"/>
  <c r="BB120" i="13"/>
  <c r="BG120" i="13"/>
  <c r="BM120" i="13"/>
  <c r="BS136" i="13"/>
  <c r="AZ136" i="13"/>
  <c r="BD136" i="13"/>
  <c r="BH136" i="13"/>
  <c r="BL136" i="13"/>
  <c r="BP136" i="13"/>
  <c r="BE136" i="13"/>
  <c r="BJ136" i="13"/>
  <c r="BO136" i="13"/>
  <c r="BA136" i="13"/>
  <c r="BF136" i="13"/>
  <c r="BK136" i="13"/>
  <c r="BC136" i="13"/>
  <c r="BI136" i="13"/>
  <c r="BN136" i="13"/>
  <c r="BG136" i="13"/>
  <c r="BM136" i="13"/>
  <c r="BB136" i="13"/>
  <c r="BB152" i="13"/>
  <c r="BF152" i="13"/>
  <c r="BJ152" i="13"/>
  <c r="BN152" i="13"/>
  <c r="BA152" i="13"/>
  <c r="BG152" i="13"/>
  <c r="BL152" i="13"/>
  <c r="BC152" i="13"/>
  <c r="BH152" i="13"/>
  <c r="BM152" i="13"/>
  <c r="AZ152" i="13"/>
  <c r="BE152" i="13"/>
  <c r="BK152" i="13"/>
  <c r="BP152" i="13"/>
  <c r="BD152" i="13"/>
  <c r="BO152" i="13"/>
  <c r="BI152" i="13"/>
  <c r="BB168" i="13"/>
  <c r="BF168" i="13"/>
  <c r="BJ168" i="13"/>
  <c r="BN168" i="13"/>
  <c r="BA168" i="13"/>
  <c r="BG168" i="13"/>
  <c r="BL168" i="13"/>
  <c r="BC168" i="13"/>
  <c r="BH168" i="13"/>
  <c r="BM168" i="13"/>
  <c r="AZ168" i="13"/>
  <c r="BE168" i="13"/>
  <c r="BK168" i="13"/>
  <c r="BP168" i="13"/>
  <c r="BD168" i="13"/>
  <c r="BI168" i="13"/>
  <c r="BO168" i="13"/>
  <c r="BC184" i="13"/>
  <c r="BG184" i="13"/>
  <c r="BK184" i="13"/>
  <c r="BO184" i="13"/>
  <c r="AZ184" i="13"/>
  <c r="BE184" i="13"/>
  <c r="BJ184" i="13"/>
  <c r="BP184" i="13"/>
  <c r="BA184" i="13"/>
  <c r="BF184" i="13"/>
  <c r="BL184" i="13"/>
  <c r="BD184" i="13"/>
  <c r="BI184" i="13"/>
  <c r="BN184" i="13"/>
  <c r="BH184" i="13"/>
  <c r="BM184" i="13"/>
  <c r="BB184" i="13"/>
  <c r="BS200" i="13"/>
  <c r="BC200" i="13"/>
  <c r="BG200" i="13"/>
  <c r="BK200" i="13"/>
  <c r="BO200" i="13"/>
  <c r="AZ200" i="13"/>
  <c r="BE200" i="13"/>
  <c r="BJ200" i="13"/>
  <c r="BP200" i="13"/>
  <c r="BA200" i="13"/>
  <c r="BF200" i="13"/>
  <c r="BL200" i="13"/>
  <c r="BD200" i="13"/>
  <c r="BI200" i="13"/>
  <c r="BN200" i="13"/>
  <c r="BM200" i="13"/>
  <c r="BH200" i="13"/>
  <c r="BB200" i="13"/>
  <c r="BC216" i="13"/>
  <c r="BG216" i="13"/>
  <c r="BK216" i="13"/>
  <c r="BO216" i="13"/>
  <c r="AZ216" i="13"/>
  <c r="BE216" i="13"/>
  <c r="BJ216" i="13"/>
  <c r="BP216" i="13"/>
  <c r="BA216" i="13"/>
  <c r="BF216" i="13"/>
  <c r="BL216" i="13"/>
  <c r="BD216" i="13"/>
  <c r="BI216" i="13"/>
  <c r="BN216" i="13"/>
  <c r="BB216" i="13"/>
  <c r="BM216" i="13"/>
  <c r="BH216" i="13"/>
  <c r="BC232" i="13"/>
  <c r="BG232" i="13"/>
  <c r="BK232" i="13"/>
  <c r="BO232" i="13"/>
  <c r="AZ232" i="13"/>
  <c r="BE232" i="13"/>
  <c r="BJ232" i="13"/>
  <c r="BP232" i="13"/>
  <c r="BA232" i="13"/>
  <c r="BF232" i="13"/>
  <c r="BL232" i="13"/>
  <c r="BD232" i="13"/>
  <c r="BI232" i="13"/>
  <c r="BN232" i="13"/>
  <c r="BB232" i="13"/>
  <c r="BH232" i="13"/>
  <c r="BM232" i="13"/>
  <c r="AZ252" i="13"/>
  <c r="BD252" i="13"/>
  <c r="BH252" i="13"/>
  <c r="BL252" i="13"/>
  <c r="BP252" i="13"/>
  <c r="BA252" i="13"/>
  <c r="BE252" i="13"/>
  <c r="BI252" i="13"/>
  <c r="BM252" i="13"/>
  <c r="BC252" i="13"/>
  <c r="BG252" i="13"/>
  <c r="BK252" i="13"/>
  <c r="BO252" i="13"/>
  <c r="BN252" i="13"/>
  <c r="BB252" i="13"/>
  <c r="BJ252" i="13"/>
  <c r="BF252" i="13"/>
  <c r="BC268" i="13"/>
  <c r="BG268" i="13"/>
  <c r="BK268" i="13"/>
  <c r="BO268" i="13"/>
  <c r="BA268" i="13"/>
  <c r="BF268" i="13"/>
  <c r="BL268" i="13"/>
  <c r="BB268" i="13"/>
  <c r="BH268" i="13"/>
  <c r="BM268" i="13"/>
  <c r="AZ268" i="13"/>
  <c r="BE268" i="13"/>
  <c r="BJ268" i="13"/>
  <c r="BP268" i="13"/>
  <c r="BD268" i="13"/>
  <c r="BN268" i="13"/>
  <c r="BI268" i="13"/>
  <c r="BC284" i="13"/>
  <c r="BG284" i="13"/>
  <c r="BK284" i="13"/>
  <c r="BO284" i="13"/>
  <c r="AZ284" i="13"/>
  <c r="BD284" i="13"/>
  <c r="BH284" i="13"/>
  <c r="BL284" i="13"/>
  <c r="BP284" i="13"/>
  <c r="BB284" i="13"/>
  <c r="BF284" i="13"/>
  <c r="BJ284" i="13"/>
  <c r="BN284" i="13"/>
  <c r="BE284" i="13"/>
  <c r="BI284" i="13"/>
  <c r="BA284" i="13"/>
  <c r="BM284" i="13"/>
  <c r="BC300" i="13"/>
  <c r="BG300" i="13"/>
  <c r="BK300" i="13"/>
  <c r="BO300" i="13"/>
  <c r="AZ300" i="13"/>
  <c r="BD300" i="13"/>
  <c r="BH300" i="13"/>
  <c r="BL300" i="13"/>
  <c r="BP300" i="13"/>
  <c r="BB300" i="13"/>
  <c r="BF300" i="13"/>
  <c r="BJ300" i="13"/>
  <c r="BN300" i="13"/>
  <c r="BE300" i="13"/>
  <c r="BI300" i="13"/>
  <c r="BA300" i="13"/>
  <c r="BM300" i="13"/>
  <c r="BC316" i="13"/>
  <c r="BG316" i="13"/>
  <c r="BK316" i="13"/>
  <c r="BO316" i="13"/>
  <c r="AZ316" i="13"/>
  <c r="BD316" i="13"/>
  <c r="BH316" i="13"/>
  <c r="BL316" i="13"/>
  <c r="BP316" i="13"/>
  <c r="BB316" i="13"/>
  <c r="BF316" i="13"/>
  <c r="BJ316" i="13"/>
  <c r="BN316" i="13"/>
  <c r="BE316" i="13"/>
  <c r="BI316" i="13"/>
  <c r="BA316" i="13"/>
  <c r="BM316" i="13"/>
  <c r="BS340" i="13"/>
  <c r="BB340" i="13"/>
  <c r="BF340" i="13"/>
  <c r="BJ340" i="13"/>
  <c r="BN340" i="13"/>
  <c r="BD340" i="13"/>
  <c r="BI340" i="13"/>
  <c r="BO340" i="13"/>
  <c r="AZ340" i="13"/>
  <c r="BE340" i="13"/>
  <c r="BK340" i="13"/>
  <c r="BP340" i="13"/>
  <c r="BC340" i="13"/>
  <c r="BH340" i="13"/>
  <c r="BM340" i="13"/>
  <c r="BG340" i="13"/>
  <c r="BA340" i="13"/>
  <c r="BL340" i="13"/>
  <c r="BS388" i="13"/>
  <c r="BC388" i="13"/>
  <c r="BG388" i="13"/>
  <c r="BK388" i="13"/>
  <c r="BO388" i="13"/>
  <c r="AZ388" i="13"/>
  <c r="BD388" i="13"/>
  <c r="BH388" i="13"/>
  <c r="BL388" i="13"/>
  <c r="BP388" i="13"/>
  <c r="BB388" i="13"/>
  <c r="BF388" i="13"/>
  <c r="BJ388" i="13"/>
  <c r="BN388" i="13"/>
  <c r="BE388" i="13"/>
  <c r="BM388" i="13"/>
  <c r="BA388" i="13"/>
  <c r="BI388" i="13"/>
  <c r="BC436" i="13"/>
  <c r="BG436" i="13"/>
  <c r="BK436" i="13"/>
  <c r="BO436" i="13"/>
  <c r="AZ436" i="13"/>
  <c r="BD436" i="13"/>
  <c r="BH436" i="13"/>
  <c r="BL436" i="13"/>
  <c r="BP436" i="13"/>
  <c r="BB436" i="13"/>
  <c r="BF436" i="13"/>
  <c r="BJ436" i="13"/>
  <c r="BN436" i="13"/>
  <c r="BE436" i="13"/>
  <c r="BM436" i="13"/>
  <c r="BA436" i="13"/>
  <c r="BI436" i="13"/>
  <c r="BC488" i="13"/>
  <c r="BG488" i="13"/>
  <c r="BK488" i="13"/>
  <c r="BO488" i="13"/>
  <c r="BA488" i="13"/>
  <c r="BE488" i="13"/>
  <c r="BI488" i="13"/>
  <c r="BM488" i="13"/>
  <c r="BF488" i="13"/>
  <c r="BN488" i="13"/>
  <c r="AZ488" i="13"/>
  <c r="BH488" i="13"/>
  <c r="BP488" i="13"/>
  <c r="BJ488" i="13"/>
  <c r="BB488" i="13"/>
  <c r="BL488" i="13"/>
  <c r="BD488" i="13"/>
  <c r="AZ548" i="13"/>
  <c r="BD548" i="13"/>
  <c r="BH548" i="13"/>
  <c r="BL548" i="13"/>
  <c r="BP548" i="13"/>
  <c r="BB548" i="13"/>
  <c r="BF548" i="13"/>
  <c r="BJ548" i="13"/>
  <c r="BN548" i="13"/>
  <c r="BC548" i="13"/>
  <c r="BK548" i="13"/>
  <c r="BE548" i="13"/>
  <c r="BM548" i="13"/>
  <c r="BO548" i="13"/>
  <c r="BG548" i="13"/>
  <c r="BA548" i="13"/>
  <c r="BI548" i="13"/>
  <c r="BC608" i="13"/>
  <c r="BG608" i="13"/>
  <c r="BK608" i="13"/>
  <c r="BO608" i="13"/>
  <c r="AZ608" i="13"/>
  <c r="BD608" i="13"/>
  <c r="BH608" i="13"/>
  <c r="BL608" i="13"/>
  <c r="BP608" i="13"/>
  <c r="BE608" i="13"/>
  <c r="BM608" i="13"/>
  <c r="BF608" i="13"/>
  <c r="BN608" i="13"/>
  <c r="BA608" i="13"/>
  <c r="BI608" i="13"/>
  <c r="BB608" i="13"/>
  <c r="BJ608" i="13"/>
  <c r="BC672" i="13"/>
  <c r="BG672" i="13"/>
  <c r="BK672" i="13"/>
  <c r="BO672" i="13"/>
  <c r="AZ672" i="13"/>
  <c r="BD672" i="13"/>
  <c r="BH672" i="13"/>
  <c r="BL672" i="13"/>
  <c r="BP672" i="13"/>
  <c r="BE672" i="13"/>
  <c r="BM672" i="13"/>
  <c r="BA672" i="13"/>
  <c r="BF672" i="13"/>
  <c r="BN672" i="13"/>
  <c r="BI672" i="13"/>
  <c r="BB672" i="13"/>
  <c r="BJ672" i="13"/>
  <c r="BC13" i="13"/>
  <c r="BG13" i="13"/>
  <c r="BK13" i="13"/>
  <c r="BO13" i="13"/>
  <c r="AZ13" i="13"/>
  <c r="BD13" i="13"/>
  <c r="BH13" i="13"/>
  <c r="BL13" i="13"/>
  <c r="BP13" i="13"/>
  <c r="BB13" i="13"/>
  <c r="BF13" i="13"/>
  <c r="BJ13" i="13"/>
  <c r="BN13" i="13"/>
  <c r="BA13" i="13"/>
  <c r="BM13" i="13"/>
  <c r="BI13" i="13"/>
  <c r="BE13" i="13"/>
  <c r="AZ29" i="13"/>
  <c r="BD29" i="13"/>
  <c r="BH29" i="13"/>
  <c r="BL29" i="13"/>
  <c r="BP29" i="13"/>
  <c r="BC29" i="13"/>
  <c r="BI29" i="13"/>
  <c r="BN29" i="13"/>
  <c r="BE29" i="13"/>
  <c r="BJ29" i="13"/>
  <c r="BO29" i="13"/>
  <c r="BB29" i="13"/>
  <c r="BG29" i="13"/>
  <c r="BM29" i="13"/>
  <c r="BA29" i="13"/>
  <c r="BK29" i="13"/>
  <c r="BF29" i="13"/>
  <c r="BS45" i="13"/>
  <c r="AZ45" i="13"/>
  <c r="BD45" i="13"/>
  <c r="BH45" i="13"/>
  <c r="BL45" i="13"/>
  <c r="BP45" i="13"/>
  <c r="BB45" i="13"/>
  <c r="BG45" i="13"/>
  <c r="BM45" i="13"/>
  <c r="BC45" i="13"/>
  <c r="BJ45" i="13"/>
  <c r="BE45" i="13"/>
  <c r="BK45" i="13"/>
  <c r="BA45" i="13"/>
  <c r="BI45" i="13"/>
  <c r="BO45" i="13"/>
  <c r="BN45" i="13"/>
  <c r="BF45" i="13"/>
  <c r="AZ61" i="13"/>
  <c r="BD61" i="13"/>
  <c r="BH61" i="13"/>
  <c r="BL61" i="13"/>
  <c r="BP61" i="13"/>
  <c r="BB61" i="13"/>
  <c r="BG61" i="13"/>
  <c r="BM61" i="13"/>
  <c r="BE61" i="13"/>
  <c r="BJ61" i="13"/>
  <c r="BO61" i="13"/>
  <c r="BF61" i="13"/>
  <c r="BI61" i="13"/>
  <c r="BC61" i="13"/>
  <c r="BN61" i="13"/>
  <c r="BA61" i="13"/>
  <c r="BK61" i="13"/>
  <c r="AZ77" i="13"/>
  <c r="BD77" i="13"/>
  <c r="BH77" i="13"/>
  <c r="BL77" i="13"/>
  <c r="BP77" i="13"/>
  <c r="BB77" i="13"/>
  <c r="BG77" i="13"/>
  <c r="BM77" i="13"/>
  <c r="BE77" i="13"/>
  <c r="BJ77" i="13"/>
  <c r="BO77" i="13"/>
  <c r="BA77" i="13"/>
  <c r="BK77" i="13"/>
  <c r="BC77" i="13"/>
  <c r="BN77" i="13"/>
  <c r="BI77" i="13"/>
  <c r="BF77" i="13"/>
  <c r="AZ93" i="13"/>
  <c r="BD93" i="13"/>
  <c r="BH93" i="13"/>
  <c r="BL93" i="13"/>
  <c r="BA93" i="13"/>
  <c r="BE93" i="13"/>
  <c r="BI93" i="13"/>
  <c r="BM93" i="13"/>
  <c r="BC93" i="13"/>
  <c r="BG93" i="13"/>
  <c r="BK93" i="13"/>
  <c r="BO93" i="13"/>
  <c r="BN93" i="13"/>
  <c r="BB93" i="13"/>
  <c r="BP93" i="13"/>
  <c r="BJ93" i="13"/>
  <c r="BF93" i="13"/>
  <c r="BS109" i="13"/>
  <c r="BC109" i="13"/>
  <c r="BG109" i="13"/>
  <c r="BK109" i="13"/>
  <c r="BO109" i="13"/>
  <c r="AZ109" i="13"/>
  <c r="BE109" i="13"/>
  <c r="BJ109" i="13"/>
  <c r="BP109" i="13"/>
  <c r="BA109" i="13"/>
  <c r="BF109" i="13"/>
  <c r="BL109" i="13"/>
  <c r="BD109" i="13"/>
  <c r="BI109" i="13"/>
  <c r="BN109" i="13"/>
  <c r="BB109" i="13"/>
  <c r="BM109" i="13"/>
  <c r="BH109" i="13"/>
  <c r="BC125" i="13"/>
  <c r="BG125" i="13"/>
  <c r="BK125" i="13"/>
  <c r="BO125" i="13"/>
  <c r="AZ125" i="13"/>
  <c r="BE125" i="13"/>
  <c r="BJ125" i="13"/>
  <c r="BP125" i="13"/>
  <c r="BA125" i="13"/>
  <c r="BF125" i="13"/>
  <c r="BL125" i="13"/>
  <c r="BD125" i="13"/>
  <c r="BI125" i="13"/>
  <c r="BN125" i="13"/>
  <c r="BB125" i="13"/>
  <c r="BH125" i="13"/>
  <c r="BM125" i="13"/>
  <c r="BC141" i="13"/>
  <c r="BG141" i="13"/>
  <c r="BK141" i="13"/>
  <c r="BO141" i="13"/>
  <c r="BD141" i="13"/>
  <c r="BI141" i="13"/>
  <c r="BN141" i="13"/>
  <c r="BE141" i="13"/>
  <c r="BL141" i="13"/>
  <c r="AZ141" i="13"/>
  <c r="BF141" i="13"/>
  <c r="BM141" i="13"/>
  <c r="BB141" i="13"/>
  <c r="BJ141" i="13"/>
  <c r="BH141" i="13"/>
  <c r="BP141" i="13"/>
  <c r="BA141" i="13"/>
  <c r="BS157" i="13"/>
  <c r="BA157" i="13"/>
  <c r="BE157" i="13"/>
  <c r="BI157" i="13"/>
  <c r="BM157" i="13"/>
  <c r="BB157" i="13"/>
  <c r="BG157" i="13"/>
  <c r="BL157" i="13"/>
  <c r="BC157" i="13"/>
  <c r="BH157" i="13"/>
  <c r="BN157" i="13"/>
  <c r="AZ157" i="13"/>
  <c r="BF157" i="13"/>
  <c r="BK157" i="13"/>
  <c r="BP157" i="13"/>
  <c r="BD157" i="13"/>
  <c r="BO157" i="13"/>
  <c r="BJ157" i="13"/>
  <c r="BA173" i="13"/>
  <c r="BE173" i="13"/>
  <c r="BI173" i="13"/>
  <c r="BM173" i="13"/>
  <c r="BB173" i="13"/>
  <c r="BG173" i="13"/>
  <c r="BL173" i="13"/>
  <c r="BC173" i="13"/>
  <c r="BH173" i="13"/>
  <c r="BN173" i="13"/>
  <c r="AZ173" i="13"/>
  <c r="BF173" i="13"/>
  <c r="BK173" i="13"/>
  <c r="BP173" i="13"/>
  <c r="BD173" i="13"/>
  <c r="BJ173" i="13"/>
  <c r="BO173" i="13"/>
  <c r="BB189" i="13"/>
  <c r="BF189" i="13"/>
  <c r="BJ189" i="13"/>
  <c r="BN189" i="13"/>
  <c r="AZ189" i="13"/>
  <c r="BE189" i="13"/>
  <c r="BK189" i="13"/>
  <c r="BP189" i="13"/>
  <c r="BA189" i="13"/>
  <c r="BG189" i="13"/>
  <c r="BL189" i="13"/>
  <c r="BD189" i="13"/>
  <c r="BI189" i="13"/>
  <c r="BO189" i="13"/>
  <c r="BH189" i="13"/>
  <c r="BM189" i="13"/>
  <c r="BC189" i="13"/>
  <c r="BB205" i="13"/>
  <c r="BF205" i="13"/>
  <c r="BJ205" i="13"/>
  <c r="BN205" i="13"/>
  <c r="AZ205" i="13"/>
  <c r="BE205" i="13"/>
  <c r="BK205" i="13"/>
  <c r="BP205" i="13"/>
  <c r="BA205" i="13"/>
  <c r="BG205" i="13"/>
  <c r="BL205" i="13"/>
  <c r="BD205" i="13"/>
  <c r="BI205" i="13"/>
  <c r="BO205" i="13"/>
  <c r="BM205" i="13"/>
  <c r="BH205" i="13"/>
  <c r="BC205" i="13"/>
  <c r="BS221" i="13"/>
  <c r="BB221" i="13"/>
  <c r="BF221" i="13"/>
  <c r="BJ221" i="13"/>
  <c r="BN221" i="13"/>
  <c r="AZ221" i="13"/>
  <c r="BE221" i="13"/>
  <c r="BK221" i="13"/>
  <c r="BP221" i="13"/>
  <c r="BA221" i="13"/>
  <c r="BG221" i="13"/>
  <c r="BL221" i="13"/>
  <c r="BD221" i="13"/>
  <c r="BI221" i="13"/>
  <c r="BO221" i="13"/>
  <c r="BC221" i="13"/>
  <c r="BM221" i="13"/>
  <c r="BH221" i="13"/>
  <c r="BB237" i="13"/>
  <c r="BF237" i="13"/>
  <c r="BJ237" i="13"/>
  <c r="BN237" i="13"/>
  <c r="AZ237" i="13"/>
  <c r="BE237" i="13"/>
  <c r="BK237" i="13"/>
  <c r="BP237" i="13"/>
  <c r="BA237" i="13"/>
  <c r="BG237" i="13"/>
  <c r="BL237" i="13"/>
  <c r="BD237" i="13"/>
  <c r="BI237" i="13"/>
  <c r="BO237" i="13"/>
  <c r="BC237" i="13"/>
  <c r="BH237" i="13"/>
  <c r="BM237" i="13"/>
  <c r="AZ257" i="13"/>
  <c r="BD257" i="13"/>
  <c r="BH257" i="13"/>
  <c r="BL257" i="13"/>
  <c r="BP257" i="13"/>
  <c r="BB257" i="13"/>
  <c r="BF257" i="13"/>
  <c r="BJ257" i="13"/>
  <c r="BN257" i="13"/>
  <c r="BE257" i="13"/>
  <c r="BM257" i="13"/>
  <c r="BG257" i="13"/>
  <c r="BO257" i="13"/>
  <c r="BC257" i="13"/>
  <c r="BK257" i="13"/>
  <c r="BA257" i="13"/>
  <c r="BI257" i="13"/>
  <c r="BB273" i="13"/>
  <c r="BF273" i="13"/>
  <c r="BJ273" i="13"/>
  <c r="BN273" i="13"/>
  <c r="BA273" i="13"/>
  <c r="BG273" i="13"/>
  <c r="BL273" i="13"/>
  <c r="BC273" i="13"/>
  <c r="BH273" i="13"/>
  <c r="BM273" i="13"/>
  <c r="AZ273" i="13"/>
  <c r="BE273" i="13"/>
  <c r="BK273" i="13"/>
  <c r="BP273" i="13"/>
  <c r="BD273" i="13"/>
  <c r="BO273" i="13"/>
  <c r="BI273" i="13"/>
  <c r="BB289" i="13"/>
  <c r="BF289" i="13"/>
  <c r="BJ289" i="13"/>
  <c r="BN289" i="13"/>
  <c r="BC289" i="13"/>
  <c r="BG289" i="13"/>
  <c r="BK289" i="13"/>
  <c r="BO289" i="13"/>
  <c r="BA289" i="13"/>
  <c r="BE289" i="13"/>
  <c r="BI289" i="13"/>
  <c r="BM289" i="13"/>
  <c r="AZ289" i="13"/>
  <c r="BP289" i="13"/>
  <c r="BD289" i="13"/>
  <c r="BL289" i="13"/>
  <c r="BH289" i="13"/>
  <c r="BS305" i="13"/>
  <c r="BB305" i="13"/>
  <c r="BF305" i="13"/>
  <c r="BJ305" i="13"/>
  <c r="BN305" i="13"/>
  <c r="BC305" i="13"/>
  <c r="BG305" i="13"/>
  <c r="BK305" i="13"/>
  <c r="BO305" i="13"/>
  <c r="BA305" i="13"/>
  <c r="BE305" i="13"/>
  <c r="BI305" i="13"/>
  <c r="BM305" i="13"/>
  <c r="AZ305" i="13"/>
  <c r="BP305" i="13"/>
  <c r="BD305" i="13"/>
  <c r="BL305" i="13"/>
  <c r="BH305" i="13"/>
  <c r="BB321" i="13"/>
  <c r="BF321" i="13"/>
  <c r="BJ321" i="13"/>
  <c r="BN321" i="13"/>
  <c r="BC321" i="13"/>
  <c r="BG321" i="13"/>
  <c r="BK321" i="13"/>
  <c r="BO321" i="13"/>
  <c r="BA321" i="13"/>
  <c r="BE321" i="13"/>
  <c r="BI321" i="13"/>
  <c r="BM321" i="13"/>
  <c r="AZ321" i="13"/>
  <c r="BP321" i="13"/>
  <c r="BD321" i="13"/>
  <c r="BL321" i="13"/>
  <c r="BH321" i="13"/>
  <c r="BA337" i="13"/>
  <c r="BE337" i="13"/>
  <c r="BI337" i="13"/>
  <c r="BM337" i="13"/>
  <c r="BB337" i="13"/>
  <c r="BG337" i="13"/>
  <c r="BL337" i="13"/>
  <c r="BC337" i="13"/>
  <c r="BH337" i="13"/>
  <c r="BN337" i="13"/>
  <c r="AZ337" i="13"/>
  <c r="BF337" i="13"/>
  <c r="BK337" i="13"/>
  <c r="BP337" i="13"/>
  <c r="BO337" i="13"/>
  <c r="BD337" i="13"/>
  <c r="BJ337" i="13"/>
  <c r="BS353" i="13"/>
  <c r="BA353" i="13"/>
  <c r="BE353" i="13"/>
  <c r="BI353" i="13"/>
  <c r="BM353" i="13"/>
  <c r="BB353" i="13"/>
  <c r="BG353" i="13"/>
  <c r="BL353" i="13"/>
  <c r="BC353" i="13"/>
  <c r="BH353" i="13"/>
  <c r="BN353" i="13"/>
  <c r="AZ353" i="13"/>
  <c r="BF353" i="13"/>
  <c r="BK353" i="13"/>
  <c r="BP353" i="13"/>
  <c r="BJ353" i="13"/>
  <c r="BD353" i="13"/>
  <c r="BO353" i="13"/>
  <c r="BA369" i="13"/>
  <c r="BE369" i="13"/>
  <c r="BI369" i="13"/>
  <c r="BM369" i="13"/>
  <c r="BB369" i="13"/>
  <c r="BG369" i="13"/>
  <c r="BL369" i="13"/>
  <c r="BC369" i="13"/>
  <c r="BH369" i="13"/>
  <c r="BN369" i="13"/>
  <c r="AZ369" i="13"/>
  <c r="BF369" i="13"/>
  <c r="BK369" i="13"/>
  <c r="BP369" i="13"/>
  <c r="BD369" i="13"/>
  <c r="BO369" i="13"/>
  <c r="BJ369" i="13"/>
  <c r="BA385" i="13"/>
  <c r="BB385" i="13"/>
  <c r="BF385" i="13"/>
  <c r="BJ385" i="13"/>
  <c r="BN385" i="13"/>
  <c r="BC385" i="13"/>
  <c r="BG385" i="13"/>
  <c r="BK385" i="13"/>
  <c r="BO385" i="13"/>
  <c r="AZ385" i="13"/>
  <c r="BE385" i="13"/>
  <c r="BI385" i="13"/>
  <c r="BM385" i="13"/>
  <c r="BH385" i="13"/>
  <c r="BP385" i="13"/>
  <c r="BD385" i="13"/>
  <c r="BL385" i="13"/>
  <c r="BB401" i="13"/>
  <c r="BF401" i="13"/>
  <c r="BJ401" i="13"/>
  <c r="BN401" i="13"/>
  <c r="BC401" i="13"/>
  <c r="BG401" i="13"/>
  <c r="BK401" i="13"/>
  <c r="BO401" i="13"/>
  <c r="BA401" i="13"/>
  <c r="BE401" i="13"/>
  <c r="BI401" i="13"/>
  <c r="BM401" i="13"/>
  <c r="BH401" i="13"/>
  <c r="AZ401" i="13"/>
  <c r="BP401" i="13"/>
  <c r="BD401" i="13"/>
  <c r="BL401" i="13"/>
  <c r="BS417" i="13"/>
  <c r="BB417" i="13"/>
  <c r="BF417" i="13"/>
  <c r="BJ417" i="13"/>
  <c r="BN417" i="13"/>
  <c r="BC417" i="13"/>
  <c r="BG417" i="13"/>
  <c r="BK417" i="13"/>
  <c r="BO417" i="13"/>
  <c r="BA417" i="13"/>
  <c r="BE417" i="13"/>
  <c r="BI417" i="13"/>
  <c r="BM417" i="13"/>
  <c r="BH417" i="13"/>
  <c r="AZ417" i="13"/>
  <c r="BP417" i="13"/>
  <c r="BD417" i="13"/>
  <c r="BL417" i="13"/>
  <c r="BB433" i="13"/>
  <c r="BF433" i="13"/>
  <c r="BJ433" i="13"/>
  <c r="BN433" i="13"/>
  <c r="BC433" i="13"/>
  <c r="BG433" i="13"/>
  <c r="BK433" i="13"/>
  <c r="BO433" i="13"/>
  <c r="BA433" i="13"/>
  <c r="BE433" i="13"/>
  <c r="BI433" i="13"/>
  <c r="BM433" i="13"/>
  <c r="BH433" i="13"/>
  <c r="AZ433" i="13"/>
  <c r="BP433" i="13"/>
  <c r="BD433" i="13"/>
  <c r="BL433" i="13"/>
  <c r="BB449" i="13"/>
  <c r="BF449" i="13"/>
  <c r="BJ449" i="13"/>
  <c r="BN449" i="13"/>
  <c r="BC449" i="13"/>
  <c r="BG449" i="13"/>
  <c r="BK449" i="13"/>
  <c r="BO449" i="13"/>
  <c r="BA449" i="13"/>
  <c r="BE449" i="13"/>
  <c r="BI449" i="13"/>
  <c r="BM449" i="13"/>
  <c r="BH449" i="13"/>
  <c r="AZ449" i="13"/>
  <c r="BP449" i="13"/>
  <c r="BD449" i="13"/>
  <c r="BL449" i="13"/>
  <c r="BS465" i="13"/>
  <c r="BB465" i="13"/>
  <c r="BF465" i="13"/>
  <c r="BJ465" i="13"/>
  <c r="BN465" i="13"/>
  <c r="BC465" i="13"/>
  <c r="BG465" i="13"/>
  <c r="BK465" i="13"/>
  <c r="BO465" i="13"/>
  <c r="BA465" i="13"/>
  <c r="BE465" i="13"/>
  <c r="BI465" i="13"/>
  <c r="BM465" i="13"/>
  <c r="BH465" i="13"/>
  <c r="AZ465" i="13"/>
  <c r="BP465" i="13"/>
  <c r="BD465" i="13"/>
  <c r="BL465" i="13"/>
  <c r="BA481" i="13"/>
  <c r="BE481" i="13"/>
  <c r="BI481" i="13"/>
  <c r="BD481" i="13"/>
  <c r="BJ481" i="13"/>
  <c r="BN481" i="13"/>
  <c r="BB481" i="13"/>
  <c r="BG481" i="13"/>
  <c r="BL481" i="13"/>
  <c r="BP481" i="13"/>
  <c r="BC481" i="13"/>
  <c r="BM481" i="13"/>
  <c r="BF481" i="13"/>
  <c r="BO481" i="13"/>
  <c r="BH481" i="13"/>
  <c r="AZ481" i="13"/>
  <c r="BK481" i="13"/>
  <c r="BC497" i="13"/>
  <c r="BG497" i="13"/>
  <c r="BK497" i="13"/>
  <c r="BO497" i="13"/>
  <c r="BA497" i="13"/>
  <c r="BE497" i="13"/>
  <c r="BI497" i="13"/>
  <c r="BM497" i="13"/>
  <c r="BF497" i="13"/>
  <c r="BN497" i="13"/>
  <c r="AZ497" i="13"/>
  <c r="BH497" i="13"/>
  <c r="BP497" i="13"/>
  <c r="BB497" i="13"/>
  <c r="BJ497" i="13"/>
  <c r="BD497" i="13"/>
  <c r="BL497" i="13"/>
  <c r="BC513" i="13"/>
  <c r="BG513" i="13"/>
  <c r="BK513" i="13"/>
  <c r="BO513" i="13"/>
  <c r="BA513" i="13"/>
  <c r="BE513" i="13"/>
  <c r="BI513" i="13"/>
  <c r="BM513" i="13"/>
  <c r="BF513" i="13"/>
  <c r="BN513" i="13"/>
  <c r="AZ513" i="13"/>
  <c r="BH513" i="13"/>
  <c r="BP513" i="13"/>
  <c r="BB513" i="13"/>
  <c r="BD513" i="13"/>
  <c r="BJ513" i="13"/>
  <c r="BL513" i="13"/>
  <c r="BS529" i="13"/>
  <c r="BC529" i="13"/>
  <c r="BG529" i="13"/>
  <c r="BK529" i="13"/>
  <c r="BO529" i="13"/>
  <c r="BA529" i="13"/>
  <c r="BE529" i="13"/>
  <c r="BI529" i="13"/>
  <c r="BM529" i="13"/>
  <c r="BF529" i="13"/>
  <c r="BN529" i="13"/>
  <c r="AZ529" i="13"/>
  <c r="BH529" i="13"/>
  <c r="BP529" i="13"/>
  <c r="BB529" i="13"/>
  <c r="BD529" i="13"/>
  <c r="BJ529" i="13"/>
  <c r="BL529" i="13"/>
  <c r="BC545" i="13"/>
  <c r="BG545" i="13"/>
  <c r="BK545" i="13"/>
  <c r="BO545" i="13"/>
  <c r="BA545" i="13"/>
  <c r="BE545" i="13"/>
  <c r="BI545" i="13"/>
  <c r="BM545" i="13"/>
  <c r="BF545" i="13"/>
  <c r="BN545" i="13"/>
  <c r="AZ545" i="13"/>
  <c r="BH545" i="13"/>
  <c r="BP545" i="13"/>
  <c r="BB545" i="13"/>
  <c r="BJ545" i="13"/>
  <c r="BD545" i="13"/>
  <c r="BL545" i="13"/>
  <c r="BC561" i="13"/>
  <c r="BG561" i="13"/>
  <c r="BK561" i="13"/>
  <c r="BO561" i="13"/>
  <c r="BA561" i="13"/>
  <c r="BE561" i="13"/>
  <c r="BI561" i="13"/>
  <c r="BM561" i="13"/>
  <c r="BF561" i="13"/>
  <c r="BN561" i="13"/>
  <c r="AZ561" i="13"/>
  <c r="BH561" i="13"/>
  <c r="BP561" i="13"/>
  <c r="BB561" i="13"/>
  <c r="BJ561" i="13"/>
  <c r="BD561" i="13"/>
  <c r="BL561" i="13"/>
  <c r="BS577" i="13"/>
  <c r="BC577" i="13"/>
  <c r="BG577" i="13"/>
  <c r="BK577" i="13"/>
  <c r="BO577" i="13"/>
  <c r="BA577" i="13"/>
  <c r="BE577" i="13"/>
  <c r="BI577" i="13"/>
  <c r="BM577" i="13"/>
  <c r="BF577" i="13"/>
  <c r="BN577" i="13"/>
  <c r="AZ577" i="13"/>
  <c r="BH577" i="13"/>
  <c r="BP577" i="13"/>
  <c r="BB577" i="13"/>
  <c r="BD577" i="13"/>
  <c r="BJ577" i="13"/>
  <c r="BL577" i="13"/>
  <c r="BC593" i="13"/>
  <c r="BG593" i="13"/>
  <c r="BK593" i="13"/>
  <c r="BO593" i="13"/>
  <c r="BA593" i="13"/>
  <c r="BE593" i="13"/>
  <c r="BI593" i="13"/>
  <c r="BM593" i="13"/>
  <c r="BF593" i="13"/>
  <c r="BN593" i="13"/>
  <c r="AZ593" i="13"/>
  <c r="BH593" i="13"/>
  <c r="BP593" i="13"/>
  <c r="BB593" i="13"/>
  <c r="BD593" i="13"/>
  <c r="BJ593" i="13"/>
  <c r="BL593" i="13"/>
  <c r="BB609" i="13"/>
  <c r="BF609" i="13"/>
  <c r="BJ609" i="13"/>
  <c r="BN609" i="13"/>
  <c r="BC609" i="13"/>
  <c r="BG609" i="13"/>
  <c r="BK609" i="13"/>
  <c r="BO609" i="13"/>
  <c r="BD609" i="13"/>
  <c r="BL609" i="13"/>
  <c r="AZ609" i="13"/>
  <c r="BE609" i="13"/>
  <c r="BM609" i="13"/>
  <c r="BH609" i="13"/>
  <c r="BP609" i="13"/>
  <c r="BA609" i="13"/>
  <c r="BI609" i="13"/>
  <c r="BB625" i="13"/>
  <c r="BF625" i="13"/>
  <c r="BJ625" i="13"/>
  <c r="BN625" i="13"/>
  <c r="BC625" i="13"/>
  <c r="BG625" i="13"/>
  <c r="BK625" i="13"/>
  <c r="BO625" i="13"/>
  <c r="BD625" i="13"/>
  <c r="BL625" i="13"/>
  <c r="AZ625" i="13"/>
  <c r="BP625" i="13"/>
  <c r="BE625" i="13"/>
  <c r="BM625" i="13"/>
  <c r="BH625" i="13"/>
  <c r="BA625" i="13"/>
  <c r="BI625" i="13"/>
  <c r="BS641" i="13"/>
  <c r="BB641" i="13"/>
  <c r="BF641" i="13"/>
  <c r="BJ641" i="13"/>
  <c r="BN641" i="13"/>
  <c r="BC641" i="13"/>
  <c r="BG641" i="13"/>
  <c r="BK641" i="13"/>
  <c r="BO641" i="13"/>
  <c r="BD641" i="13"/>
  <c r="BL641" i="13"/>
  <c r="BH641" i="13"/>
  <c r="BE641" i="13"/>
  <c r="BM641" i="13"/>
  <c r="AZ641" i="13"/>
  <c r="BP641" i="13"/>
  <c r="BA641" i="13"/>
  <c r="BI641" i="13"/>
  <c r="BB657" i="13"/>
  <c r="BF657" i="13"/>
  <c r="BJ657" i="13"/>
  <c r="BN657" i="13"/>
  <c r="BC657" i="13"/>
  <c r="BG657" i="13"/>
  <c r="BK657" i="13"/>
  <c r="BO657" i="13"/>
  <c r="BD657" i="13"/>
  <c r="BL657" i="13"/>
  <c r="BM657" i="13"/>
  <c r="BP657" i="13"/>
  <c r="BE657" i="13"/>
  <c r="AZ657" i="13"/>
  <c r="BH657" i="13"/>
  <c r="BA657" i="13"/>
  <c r="BI657" i="13"/>
  <c r="BB673" i="13"/>
  <c r="BF673" i="13"/>
  <c r="BJ673" i="13"/>
  <c r="BN673" i="13"/>
  <c r="BC673" i="13"/>
  <c r="BG673" i="13"/>
  <c r="BK673" i="13"/>
  <c r="BO673" i="13"/>
  <c r="BD673" i="13"/>
  <c r="BL673" i="13"/>
  <c r="AZ673" i="13"/>
  <c r="BP673" i="13"/>
  <c r="BE673" i="13"/>
  <c r="BM673" i="13"/>
  <c r="BH673" i="13"/>
  <c r="BA673" i="13"/>
  <c r="BI673" i="13"/>
  <c r="BS689" i="13"/>
  <c r="BB689" i="13"/>
  <c r="BF689" i="13"/>
  <c r="BJ689" i="13"/>
  <c r="BN689" i="13"/>
  <c r="BD689" i="13"/>
  <c r="BL689" i="13"/>
  <c r="BC689" i="13"/>
  <c r="BG689" i="13"/>
  <c r="BK689" i="13"/>
  <c r="BO689" i="13"/>
  <c r="AZ689" i="13"/>
  <c r="BH689" i="13"/>
  <c r="BP689" i="13"/>
  <c r="BA689" i="13"/>
  <c r="BE689" i="13"/>
  <c r="BI689" i="13"/>
  <c r="BM689" i="13"/>
  <c r="AZ524" i="13"/>
  <c r="BD524" i="13"/>
  <c r="BH524" i="13"/>
  <c r="BL524" i="13"/>
  <c r="BP524" i="13"/>
  <c r="BB524" i="13"/>
  <c r="BF524" i="13"/>
  <c r="BJ524" i="13"/>
  <c r="BN524" i="13"/>
  <c r="BC524" i="13"/>
  <c r="BK524" i="13"/>
  <c r="BE524" i="13"/>
  <c r="BM524" i="13"/>
  <c r="BG524" i="13"/>
  <c r="BO524" i="13"/>
  <c r="BI524" i="13"/>
  <c r="BA524" i="13"/>
  <c r="BS612" i="13"/>
  <c r="BC612" i="13"/>
  <c r="BG612" i="13"/>
  <c r="BK612" i="13"/>
  <c r="BO612" i="13"/>
  <c r="AZ612" i="13"/>
  <c r="BD612" i="13"/>
  <c r="BH612" i="13"/>
  <c r="BL612" i="13"/>
  <c r="BP612" i="13"/>
  <c r="BA612" i="13"/>
  <c r="BI612" i="13"/>
  <c r="BB612" i="13"/>
  <c r="BJ612" i="13"/>
  <c r="BE612" i="13"/>
  <c r="BM612" i="13"/>
  <c r="BF612" i="13"/>
  <c r="BN612" i="13"/>
  <c r="BS676" i="13"/>
  <c r="BC676" i="13"/>
  <c r="BG676" i="13"/>
  <c r="BK676" i="13"/>
  <c r="BO676" i="13"/>
  <c r="AZ676" i="13"/>
  <c r="BD676" i="13"/>
  <c r="BH676" i="13"/>
  <c r="BL676" i="13"/>
  <c r="BP676" i="13"/>
  <c r="BA676" i="13"/>
  <c r="BI676" i="13"/>
  <c r="BM676" i="13"/>
  <c r="BB676" i="13"/>
  <c r="BJ676" i="13"/>
  <c r="BE676" i="13"/>
  <c r="BF676" i="13"/>
  <c r="BN676" i="13"/>
  <c r="BB14" i="13"/>
  <c r="BF14" i="13"/>
  <c r="BJ14" i="13"/>
  <c r="BN14" i="13"/>
  <c r="BC14" i="13"/>
  <c r="BG14" i="13"/>
  <c r="BK14" i="13"/>
  <c r="BO14" i="13"/>
  <c r="BA14" i="13"/>
  <c r="BE14" i="13"/>
  <c r="BI14" i="13"/>
  <c r="BM14" i="13"/>
  <c r="AZ14" i="13"/>
  <c r="BP14" i="13"/>
  <c r="BD14" i="13"/>
  <c r="BL14" i="13"/>
  <c r="BH14" i="13"/>
  <c r="BC30" i="13"/>
  <c r="BG30" i="13"/>
  <c r="BK30" i="13"/>
  <c r="BO30" i="13"/>
  <c r="BB30" i="13"/>
  <c r="BH30" i="13"/>
  <c r="BM30" i="13"/>
  <c r="BD30" i="13"/>
  <c r="BI30" i="13"/>
  <c r="BN30" i="13"/>
  <c r="BA30" i="13"/>
  <c r="BF30" i="13"/>
  <c r="BL30" i="13"/>
  <c r="AZ30" i="13"/>
  <c r="BE30" i="13"/>
  <c r="BP30" i="13"/>
  <c r="BJ30" i="13"/>
  <c r="BS46" i="13"/>
  <c r="BC46" i="13"/>
  <c r="BG46" i="13"/>
  <c r="BK46" i="13"/>
  <c r="BO46" i="13"/>
  <c r="BA46" i="13"/>
  <c r="BF46" i="13"/>
  <c r="BL46" i="13"/>
  <c r="AZ46" i="13"/>
  <c r="BH46" i="13"/>
  <c r="BN46" i="13"/>
  <c r="BB46" i="13"/>
  <c r="BI46" i="13"/>
  <c r="BP46" i="13"/>
  <c r="BE46" i="13"/>
  <c r="BM46" i="13"/>
  <c r="BD46" i="13"/>
  <c r="BJ46" i="13"/>
  <c r="BC62" i="13"/>
  <c r="BG62" i="13"/>
  <c r="BK62" i="13"/>
  <c r="BO62" i="13"/>
  <c r="BA62" i="13"/>
  <c r="BF62" i="13"/>
  <c r="BL62" i="13"/>
  <c r="BD62" i="13"/>
  <c r="BI62" i="13"/>
  <c r="BN62" i="13"/>
  <c r="AZ62" i="13"/>
  <c r="BJ62" i="13"/>
  <c r="BB62" i="13"/>
  <c r="BM62" i="13"/>
  <c r="BH62" i="13"/>
  <c r="BP62" i="13"/>
  <c r="BE62" i="13"/>
  <c r="BC78" i="13"/>
  <c r="BG78" i="13"/>
  <c r="BK78" i="13"/>
  <c r="BO78" i="13"/>
  <c r="BA78" i="13"/>
  <c r="BF78" i="13"/>
  <c r="BL78" i="13"/>
  <c r="BD78" i="13"/>
  <c r="BI78" i="13"/>
  <c r="BN78" i="13"/>
  <c r="BE78" i="13"/>
  <c r="BP78" i="13"/>
  <c r="BH78" i="13"/>
  <c r="BB78" i="13"/>
  <c r="BM78" i="13"/>
  <c r="BJ78" i="13"/>
  <c r="AZ78" i="13"/>
  <c r="BS94" i="13"/>
  <c r="AZ94" i="13"/>
  <c r="BB94" i="13"/>
  <c r="BF94" i="13"/>
  <c r="BJ94" i="13"/>
  <c r="BN94" i="13"/>
  <c r="BD94" i="13"/>
  <c r="BI94" i="13"/>
  <c r="BO94" i="13"/>
  <c r="BE94" i="13"/>
  <c r="BK94" i="13"/>
  <c r="BP94" i="13"/>
  <c r="BC94" i="13"/>
  <c r="BH94" i="13"/>
  <c r="BM94" i="13"/>
  <c r="BA94" i="13"/>
  <c r="BL94" i="13"/>
  <c r="BG94" i="13"/>
  <c r="BB110" i="13"/>
  <c r="BF110" i="13"/>
  <c r="BJ110" i="13"/>
  <c r="BN110" i="13"/>
  <c r="BD110" i="13"/>
  <c r="BI110" i="13"/>
  <c r="BO110" i="13"/>
  <c r="AZ110" i="13"/>
  <c r="BE110" i="13"/>
  <c r="BK110" i="13"/>
  <c r="BP110" i="13"/>
  <c r="BC110" i="13"/>
  <c r="BH110" i="13"/>
  <c r="BM110" i="13"/>
  <c r="BA110" i="13"/>
  <c r="BG110" i="13"/>
  <c r="BL110" i="13"/>
  <c r="BB126" i="13"/>
  <c r="BF126" i="13"/>
  <c r="BJ126" i="13"/>
  <c r="BN126" i="13"/>
  <c r="BD126" i="13"/>
  <c r="BI126" i="13"/>
  <c r="BO126" i="13"/>
  <c r="AZ126" i="13"/>
  <c r="BE126" i="13"/>
  <c r="BK126" i="13"/>
  <c r="BP126" i="13"/>
  <c r="BC126" i="13"/>
  <c r="BH126" i="13"/>
  <c r="BM126" i="13"/>
  <c r="BG126" i="13"/>
  <c r="BL126" i="13"/>
  <c r="BA126" i="13"/>
  <c r="BB142" i="13"/>
  <c r="BF142" i="13"/>
  <c r="BJ142" i="13"/>
  <c r="BN142" i="13"/>
  <c r="BC142" i="13"/>
  <c r="BH142" i="13"/>
  <c r="BM142" i="13"/>
  <c r="BA142" i="13"/>
  <c r="BI142" i="13"/>
  <c r="BP142" i="13"/>
  <c r="BD142" i="13"/>
  <c r="BK142" i="13"/>
  <c r="AZ142" i="13"/>
  <c r="BG142" i="13"/>
  <c r="BO142" i="13"/>
  <c r="BL142" i="13"/>
  <c r="BE142" i="13"/>
  <c r="BS158" i="13"/>
  <c r="AZ158" i="13"/>
  <c r="BD158" i="13"/>
  <c r="BH158" i="13"/>
  <c r="BL158" i="13"/>
  <c r="BP158" i="13"/>
  <c r="BA158" i="13"/>
  <c r="BF158" i="13"/>
  <c r="BK158" i="13"/>
  <c r="BB158" i="13"/>
  <c r="BG158" i="13"/>
  <c r="BM158" i="13"/>
  <c r="BE158" i="13"/>
  <c r="BJ158" i="13"/>
  <c r="BO158" i="13"/>
  <c r="BC158" i="13"/>
  <c r="BI158" i="13"/>
  <c r="BN158" i="13"/>
  <c r="AZ174" i="13"/>
  <c r="BD174" i="13"/>
  <c r="BH174" i="13"/>
  <c r="BL174" i="13"/>
  <c r="BP174" i="13"/>
  <c r="BA174" i="13"/>
  <c r="BF174" i="13"/>
  <c r="BK174" i="13"/>
  <c r="BB174" i="13"/>
  <c r="BG174" i="13"/>
  <c r="BM174" i="13"/>
  <c r="BE174" i="13"/>
  <c r="BJ174" i="13"/>
  <c r="BO174" i="13"/>
  <c r="BI174" i="13"/>
  <c r="BN174" i="13"/>
  <c r="BC174" i="13"/>
  <c r="BA190" i="13"/>
  <c r="BE190" i="13"/>
  <c r="BI190" i="13"/>
  <c r="BM190" i="13"/>
  <c r="BD190" i="13"/>
  <c r="BJ190" i="13"/>
  <c r="BO190" i="13"/>
  <c r="AZ190" i="13"/>
  <c r="BF190" i="13"/>
  <c r="BK190" i="13"/>
  <c r="BP190" i="13"/>
  <c r="BC190" i="13"/>
  <c r="BH190" i="13"/>
  <c r="BN190" i="13"/>
  <c r="BL190" i="13"/>
  <c r="BG190" i="13"/>
  <c r="BB190" i="13"/>
  <c r="BS206" i="13"/>
  <c r="BA206" i="13"/>
  <c r="BE206" i="13"/>
  <c r="BI206" i="13"/>
  <c r="BM206" i="13"/>
  <c r="BD206" i="13"/>
  <c r="BJ206" i="13"/>
  <c r="BO206" i="13"/>
  <c r="AZ206" i="13"/>
  <c r="BF206" i="13"/>
  <c r="BK206" i="13"/>
  <c r="BP206" i="13"/>
  <c r="BC206" i="13"/>
  <c r="BH206" i="13"/>
  <c r="BN206" i="13"/>
  <c r="BB206" i="13"/>
  <c r="BL206" i="13"/>
  <c r="BG206" i="13"/>
  <c r="BA222" i="13"/>
  <c r="BE222" i="13"/>
  <c r="BI222" i="13"/>
  <c r="BM222" i="13"/>
  <c r="BD222" i="13"/>
  <c r="BJ222" i="13"/>
  <c r="BO222" i="13"/>
  <c r="AZ222" i="13"/>
  <c r="BF222" i="13"/>
  <c r="BK222" i="13"/>
  <c r="BP222" i="13"/>
  <c r="BC222" i="13"/>
  <c r="BH222" i="13"/>
  <c r="BN222" i="13"/>
  <c r="BB222" i="13"/>
  <c r="BG222" i="13"/>
  <c r="BL222" i="13"/>
  <c r="BA238" i="13"/>
  <c r="BE238" i="13"/>
  <c r="BI238" i="13"/>
  <c r="BM238" i="13"/>
  <c r="BD238" i="13"/>
  <c r="BJ238" i="13"/>
  <c r="BO238" i="13"/>
  <c r="AZ238" i="13"/>
  <c r="BF238" i="13"/>
  <c r="BK238" i="13"/>
  <c r="BP238" i="13"/>
  <c r="BC238" i="13"/>
  <c r="BH238" i="13"/>
  <c r="BN238" i="13"/>
  <c r="BG238" i="13"/>
  <c r="BL238" i="13"/>
  <c r="BB238" i="13"/>
  <c r="BC258" i="13"/>
  <c r="BG258" i="13"/>
  <c r="BK258" i="13"/>
  <c r="BO258" i="13"/>
  <c r="BA258" i="13"/>
  <c r="BE258" i="13"/>
  <c r="BI258" i="13"/>
  <c r="BM258" i="13"/>
  <c r="BD258" i="13"/>
  <c r="BL258" i="13"/>
  <c r="BF258" i="13"/>
  <c r="BN258" i="13"/>
  <c r="BB258" i="13"/>
  <c r="BJ258" i="13"/>
  <c r="BH258" i="13"/>
  <c r="BP258" i="13"/>
  <c r="AZ258" i="13"/>
  <c r="BA274" i="13"/>
  <c r="BE274" i="13"/>
  <c r="BI274" i="13"/>
  <c r="BM274" i="13"/>
  <c r="AZ274" i="13"/>
  <c r="BF274" i="13"/>
  <c r="BK274" i="13"/>
  <c r="BP274" i="13"/>
  <c r="BB274" i="13"/>
  <c r="BG274" i="13"/>
  <c r="BL274" i="13"/>
  <c r="BD274" i="13"/>
  <c r="BJ274" i="13"/>
  <c r="BO274" i="13"/>
  <c r="BC274" i="13"/>
  <c r="BH274" i="13"/>
  <c r="BN274" i="13"/>
  <c r="BS290" i="13"/>
  <c r="BA290" i="13"/>
  <c r="BE290" i="13"/>
  <c r="BI290" i="13"/>
  <c r="BM290" i="13"/>
  <c r="BB290" i="13"/>
  <c r="BF290" i="13"/>
  <c r="BJ290" i="13"/>
  <c r="BN290" i="13"/>
  <c r="AZ290" i="13"/>
  <c r="BD290" i="13"/>
  <c r="BH290" i="13"/>
  <c r="BL290" i="13"/>
  <c r="BP290" i="13"/>
  <c r="BO290" i="13"/>
  <c r="BC290" i="13"/>
  <c r="BK290" i="13"/>
  <c r="BG290" i="13"/>
  <c r="BA306" i="13"/>
  <c r="BE306" i="13"/>
  <c r="BI306" i="13"/>
  <c r="BM306" i="13"/>
  <c r="BB306" i="13"/>
  <c r="BF306" i="13"/>
  <c r="BJ306" i="13"/>
  <c r="BN306" i="13"/>
  <c r="AZ306" i="13"/>
  <c r="BD306" i="13"/>
  <c r="BH306" i="13"/>
  <c r="BL306" i="13"/>
  <c r="BP306" i="13"/>
  <c r="BO306" i="13"/>
  <c r="BC306" i="13"/>
  <c r="BK306" i="13"/>
  <c r="BG306" i="13"/>
  <c r="BA322" i="13"/>
  <c r="BE322" i="13"/>
  <c r="BI322" i="13"/>
  <c r="BM322" i="13"/>
  <c r="BB322" i="13"/>
  <c r="BF322" i="13"/>
  <c r="BJ322" i="13"/>
  <c r="BN322" i="13"/>
  <c r="AZ322" i="13"/>
  <c r="BD322" i="13"/>
  <c r="BH322" i="13"/>
  <c r="BL322" i="13"/>
  <c r="BP322" i="13"/>
  <c r="BO322" i="13"/>
  <c r="BC322" i="13"/>
  <c r="BK322" i="13"/>
  <c r="BG322" i="13"/>
  <c r="AZ338" i="13"/>
  <c r="BD338" i="13"/>
  <c r="BH338" i="13"/>
  <c r="BL338" i="13"/>
  <c r="BP338" i="13"/>
  <c r="BA338" i="13"/>
  <c r="BF338" i="13"/>
  <c r="BK338" i="13"/>
  <c r="BB338" i="13"/>
  <c r="BG338" i="13"/>
  <c r="BM338" i="13"/>
  <c r="BE338" i="13"/>
  <c r="BJ338" i="13"/>
  <c r="BO338" i="13"/>
  <c r="BI338" i="13"/>
  <c r="BC338" i="13"/>
  <c r="BN338" i="13"/>
  <c r="BS354" i="13"/>
  <c r="AZ354" i="13"/>
  <c r="BD354" i="13"/>
  <c r="BH354" i="13"/>
  <c r="BL354" i="13"/>
  <c r="BP354" i="13"/>
  <c r="BA354" i="13"/>
  <c r="BF354" i="13"/>
  <c r="BK354" i="13"/>
  <c r="BB354" i="13"/>
  <c r="BG354" i="13"/>
  <c r="BM354" i="13"/>
  <c r="BE354" i="13"/>
  <c r="BJ354" i="13"/>
  <c r="BO354" i="13"/>
  <c r="BC354" i="13"/>
  <c r="BN354" i="13"/>
  <c r="BI354" i="13"/>
  <c r="AZ370" i="13"/>
  <c r="BD370" i="13"/>
  <c r="BH370" i="13"/>
  <c r="BL370" i="13"/>
  <c r="BP370" i="13"/>
  <c r="BA370" i="13"/>
  <c r="BF370" i="13"/>
  <c r="BK370" i="13"/>
  <c r="BB370" i="13"/>
  <c r="BG370" i="13"/>
  <c r="BM370" i="13"/>
  <c r="BE370" i="13"/>
  <c r="BJ370" i="13"/>
  <c r="BO370" i="13"/>
  <c r="BI370" i="13"/>
  <c r="BC370" i="13"/>
  <c r="BN370" i="13"/>
  <c r="BA386" i="13"/>
  <c r="BE386" i="13"/>
  <c r="BI386" i="13"/>
  <c r="BM386" i="13"/>
  <c r="BB386" i="13"/>
  <c r="BF386" i="13"/>
  <c r="BJ386" i="13"/>
  <c r="BN386" i="13"/>
  <c r="AZ386" i="13"/>
  <c r="BD386" i="13"/>
  <c r="BH386" i="13"/>
  <c r="BL386" i="13"/>
  <c r="BP386" i="13"/>
  <c r="BG386" i="13"/>
  <c r="BO386" i="13"/>
  <c r="BC386" i="13"/>
  <c r="BK386" i="13"/>
  <c r="BS402" i="13"/>
  <c r="BA402" i="13"/>
  <c r="BE402" i="13"/>
  <c r="BI402" i="13"/>
  <c r="BM402" i="13"/>
  <c r="BB402" i="13"/>
  <c r="BF402" i="13"/>
  <c r="BJ402" i="13"/>
  <c r="BN402" i="13"/>
  <c r="AZ402" i="13"/>
  <c r="BD402" i="13"/>
  <c r="BH402" i="13"/>
  <c r="BL402" i="13"/>
  <c r="BP402" i="13"/>
  <c r="BG402" i="13"/>
  <c r="BO402" i="13"/>
  <c r="BC402" i="13"/>
  <c r="BK402" i="13"/>
  <c r="BA418" i="13"/>
  <c r="BE418" i="13"/>
  <c r="BI418" i="13"/>
  <c r="BM418" i="13"/>
  <c r="BB418" i="13"/>
  <c r="BF418" i="13"/>
  <c r="BJ418" i="13"/>
  <c r="BN418" i="13"/>
  <c r="AZ418" i="13"/>
  <c r="BD418" i="13"/>
  <c r="BH418" i="13"/>
  <c r="BL418" i="13"/>
  <c r="BP418" i="13"/>
  <c r="BG418" i="13"/>
  <c r="BO418" i="13"/>
  <c r="BC418" i="13"/>
  <c r="BK418" i="13"/>
  <c r="BA434" i="13"/>
  <c r="BE434" i="13"/>
  <c r="BI434" i="13"/>
  <c r="BM434" i="13"/>
  <c r="BB434" i="13"/>
  <c r="BF434" i="13"/>
  <c r="BJ434" i="13"/>
  <c r="BN434" i="13"/>
  <c r="AZ434" i="13"/>
  <c r="BD434" i="13"/>
  <c r="BH434" i="13"/>
  <c r="BL434" i="13"/>
  <c r="BP434" i="13"/>
  <c r="BG434" i="13"/>
  <c r="BO434" i="13"/>
  <c r="BC434" i="13"/>
  <c r="BK434" i="13"/>
  <c r="BA450" i="13"/>
  <c r="BE450" i="13"/>
  <c r="BI450" i="13"/>
  <c r="BM450" i="13"/>
  <c r="BB450" i="13"/>
  <c r="BF450" i="13"/>
  <c r="BJ450" i="13"/>
  <c r="BN450" i="13"/>
  <c r="AZ450" i="13"/>
  <c r="BD450" i="13"/>
  <c r="BH450" i="13"/>
  <c r="BL450" i="13"/>
  <c r="BP450" i="13"/>
  <c r="BG450" i="13"/>
  <c r="BO450" i="13"/>
  <c r="BC450" i="13"/>
  <c r="BK450" i="13"/>
  <c r="BS466" i="13"/>
  <c r="BA466" i="13"/>
  <c r="BE466" i="13"/>
  <c r="BI466" i="13"/>
  <c r="BM466" i="13"/>
  <c r="BB466" i="13"/>
  <c r="BF466" i="13"/>
  <c r="BJ466" i="13"/>
  <c r="BN466" i="13"/>
  <c r="AZ466" i="13"/>
  <c r="BD466" i="13"/>
  <c r="BH466" i="13"/>
  <c r="BL466" i="13"/>
  <c r="BP466" i="13"/>
  <c r="BG466" i="13"/>
  <c r="BO466" i="13"/>
  <c r="BC466" i="13"/>
  <c r="BK466" i="13"/>
  <c r="BA482" i="13"/>
  <c r="BE482" i="13"/>
  <c r="BI482" i="13"/>
  <c r="BM482" i="13"/>
  <c r="BC482" i="13"/>
  <c r="BG482" i="13"/>
  <c r="BK482" i="13"/>
  <c r="BO482" i="13"/>
  <c r="BD482" i="13"/>
  <c r="BL482" i="13"/>
  <c r="BF482" i="13"/>
  <c r="BN482" i="13"/>
  <c r="AZ482" i="13"/>
  <c r="BP482" i="13"/>
  <c r="BB482" i="13"/>
  <c r="BH482" i="13"/>
  <c r="BJ482" i="13"/>
  <c r="BB498" i="13"/>
  <c r="BF498" i="13"/>
  <c r="BJ498" i="13"/>
  <c r="BN498" i="13"/>
  <c r="AZ498" i="13"/>
  <c r="BD498" i="13"/>
  <c r="BH498" i="13"/>
  <c r="BL498" i="13"/>
  <c r="BP498" i="13"/>
  <c r="BE498" i="13"/>
  <c r="BM498" i="13"/>
  <c r="BG498" i="13"/>
  <c r="BO498" i="13"/>
  <c r="BA498" i="13"/>
  <c r="BC498" i="13"/>
  <c r="BI498" i="13"/>
  <c r="BK498" i="13"/>
  <c r="BS514" i="13"/>
  <c r="BB514" i="13"/>
  <c r="BF514" i="13"/>
  <c r="BJ514" i="13"/>
  <c r="BN514" i="13"/>
  <c r="AZ514" i="13"/>
  <c r="BD514" i="13"/>
  <c r="BH514" i="13"/>
  <c r="BL514" i="13"/>
  <c r="BP514" i="13"/>
  <c r="BE514" i="13"/>
  <c r="BM514" i="13"/>
  <c r="BG514" i="13"/>
  <c r="BO514" i="13"/>
  <c r="BA514" i="13"/>
  <c r="BI514" i="13"/>
  <c r="BC514" i="13"/>
  <c r="BK514" i="13"/>
  <c r="BB530" i="13"/>
  <c r="BF530" i="13"/>
  <c r="BJ530" i="13"/>
  <c r="BN530" i="13"/>
  <c r="AZ530" i="13"/>
  <c r="BD530" i="13"/>
  <c r="BH530" i="13"/>
  <c r="BL530" i="13"/>
  <c r="BP530" i="13"/>
  <c r="BE530" i="13"/>
  <c r="BM530" i="13"/>
  <c r="BG530" i="13"/>
  <c r="BO530" i="13"/>
  <c r="BA530" i="13"/>
  <c r="BI530" i="13"/>
  <c r="BC530" i="13"/>
  <c r="BK530" i="13"/>
  <c r="BB546" i="13"/>
  <c r="BF546" i="13"/>
  <c r="BJ546" i="13"/>
  <c r="BN546" i="13"/>
  <c r="AZ546" i="13"/>
  <c r="BD546" i="13"/>
  <c r="BH546" i="13"/>
  <c r="BL546" i="13"/>
  <c r="BP546" i="13"/>
  <c r="BE546" i="13"/>
  <c r="BM546" i="13"/>
  <c r="BG546" i="13"/>
  <c r="BO546" i="13"/>
  <c r="BA546" i="13"/>
  <c r="BC546" i="13"/>
  <c r="BI546" i="13"/>
  <c r="BK546" i="13"/>
  <c r="BB562" i="13"/>
  <c r="BF562" i="13"/>
  <c r="BJ562" i="13"/>
  <c r="BN562" i="13"/>
  <c r="AZ562" i="13"/>
  <c r="BD562" i="13"/>
  <c r="BH562" i="13"/>
  <c r="BL562" i="13"/>
  <c r="BP562" i="13"/>
  <c r="BE562" i="13"/>
  <c r="BM562" i="13"/>
  <c r="BG562" i="13"/>
  <c r="BO562" i="13"/>
  <c r="BA562" i="13"/>
  <c r="BC562" i="13"/>
  <c r="BI562" i="13"/>
  <c r="BK562" i="13"/>
  <c r="BS578" i="13"/>
  <c r="BB578" i="13"/>
  <c r="BF578" i="13"/>
  <c r="BJ578" i="13"/>
  <c r="BN578" i="13"/>
  <c r="AZ578" i="13"/>
  <c r="BD578" i="13"/>
  <c r="BH578" i="13"/>
  <c r="BL578" i="13"/>
  <c r="BP578" i="13"/>
  <c r="BE578" i="13"/>
  <c r="BM578" i="13"/>
  <c r="BG578" i="13"/>
  <c r="BO578" i="13"/>
  <c r="BA578" i="13"/>
  <c r="BI578" i="13"/>
  <c r="BC578" i="13"/>
  <c r="BK578" i="13"/>
  <c r="BB594" i="13"/>
  <c r="BF594" i="13"/>
  <c r="BJ594" i="13"/>
  <c r="BN594" i="13"/>
  <c r="AZ594" i="13"/>
  <c r="BD594" i="13"/>
  <c r="BH594" i="13"/>
  <c r="BL594" i="13"/>
  <c r="BP594" i="13"/>
  <c r="BE594" i="13"/>
  <c r="BM594" i="13"/>
  <c r="BG594" i="13"/>
  <c r="BO594" i="13"/>
  <c r="BA594" i="13"/>
  <c r="BC594" i="13"/>
  <c r="BI594" i="13"/>
  <c r="BK594" i="13"/>
  <c r="BA610" i="13"/>
  <c r="BE610" i="13"/>
  <c r="BI610" i="13"/>
  <c r="BM610" i="13"/>
  <c r="BB610" i="13"/>
  <c r="BF610" i="13"/>
  <c r="BJ610" i="13"/>
  <c r="BN610" i="13"/>
  <c r="BC610" i="13"/>
  <c r="BK610" i="13"/>
  <c r="BD610" i="13"/>
  <c r="BL610" i="13"/>
  <c r="BG610" i="13"/>
  <c r="BO610" i="13"/>
  <c r="AZ610" i="13"/>
  <c r="BH610" i="13"/>
  <c r="BP610" i="13"/>
  <c r="BS626" i="13"/>
  <c r="BA626" i="13"/>
  <c r="BE626" i="13"/>
  <c r="BI626" i="13"/>
  <c r="BM626" i="13"/>
  <c r="BB626" i="13"/>
  <c r="BF626" i="13"/>
  <c r="BJ626" i="13"/>
  <c r="BN626" i="13"/>
  <c r="BC626" i="13"/>
  <c r="BK626" i="13"/>
  <c r="BO626" i="13"/>
  <c r="BD626" i="13"/>
  <c r="BL626" i="13"/>
  <c r="BG626" i="13"/>
  <c r="AZ626" i="13"/>
  <c r="BH626" i="13"/>
  <c r="BP626" i="13"/>
  <c r="BA642" i="13"/>
  <c r="BE642" i="13"/>
  <c r="BI642" i="13"/>
  <c r="BM642" i="13"/>
  <c r="BB642" i="13"/>
  <c r="BF642" i="13"/>
  <c r="BJ642" i="13"/>
  <c r="BN642" i="13"/>
  <c r="BC642" i="13"/>
  <c r="BK642" i="13"/>
  <c r="BD642" i="13"/>
  <c r="BG642" i="13"/>
  <c r="BL642" i="13"/>
  <c r="BO642" i="13"/>
  <c r="AZ642" i="13"/>
  <c r="BH642" i="13"/>
  <c r="BP642" i="13"/>
  <c r="BA658" i="13"/>
  <c r="BE658" i="13"/>
  <c r="BI658" i="13"/>
  <c r="BM658" i="13"/>
  <c r="BB658" i="13"/>
  <c r="BF658" i="13"/>
  <c r="BJ658" i="13"/>
  <c r="BN658" i="13"/>
  <c r="BC658" i="13"/>
  <c r="BK658" i="13"/>
  <c r="BL658" i="13"/>
  <c r="BD658" i="13"/>
  <c r="BG658" i="13"/>
  <c r="BO658" i="13"/>
  <c r="AZ658" i="13"/>
  <c r="BH658" i="13"/>
  <c r="BP658" i="13"/>
  <c r="BA674" i="13"/>
  <c r="BE674" i="13"/>
  <c r="BI674" i="13"/>
  <c r="BM674" i="13"/>
  <c r="BB674" i="13"/>
  <c r="BF674" i="13"/>
  <c r="BJ674" i="13"/>
  <c r="BN674" i="13"/>
  <c r="BC674" i="13"/>
  <c r="BK674" i="13"/>
  <c r="BO674" i="13"/>
  <c r="BD674" i="13"/>
  <c r="BL674" i="13"/>
  <c r="BG674" i="13"/>
  <c r="AZ674" i="13"/>
  <c r="BH674" i="13"/>
  <c r="BP674" i="13"/>
  <c r="BS690" i="13"/>
  <c r="BA690" i="13"/>
  <c r="BE690" i="13"/>
  <c r="BI690" i="13"/>
  <c r="BM690" i="13"/>
  <c r="BC690" i="13"/>
  <c r="BK690" i="13"/>
  <c r="BO690" i="13"/>
  <c r="BB690" i="13"/>
  <c r="BF690" i="13"/>
  <c r="BJ690" i="13"/>
  <c r="BN690" i="13"/>
  <c r="BG690" i="13"/>
  <c r="AZ690" i="13"/>
  <c r="BD690" i="13"/>
  <c r="BH690" i="13"/>
  <c r="BL690" i="13"/>
  <c r="BP690" i="13"/>
  <c r="BB348" i="13"/>
  <c r="BF348" i="13"/>
  <c r="BJ348" i="13"/>
  <c r="BN348" i="13"/>
  <c r="BA348" i="13"/>
  <c r="BG348" i="13"/>
  <c r="BL348" i="13"/>
  <c r="BC348" i="13"/>
  <c r="BH348" i="13"/>
  <c r="BM348" i="13"/>
  <c r="AZ348" i="13"/>
  <c r="BE348" i="13"/>
  <c r="BK348" i="13"/>
  <c r="BP348" i="13"/>
  <c r="BI348" i="13"/>
  <c r="BD348" i="13"/>
  <c r="BO348" i="13"/>
  <c r="BC392" i="13"/>
  <c r="BG392" i="13"/>
  <c r="BK392" i="13"/>
  <c r="BO392" i="13"/>
  <c r="AZ392" i="13"/>
  <c r="BD392" i="13"/>
  <c r="BH392" i="13"/>
  <c r="BL392" i="13"/>
  <c r="BP392" i="13"/>
  <c r="BB392" i="13"/>
  <c r="BF392" i="13"/>
  <c r="BJ392" i="13"/>
  <c r="BN392" i="13"/>
  <c r="BA392" i="13"/>
  <c r="BI392" i="13"/>
  <c r="BM392" i="13"/>
  <c r="BE392" i="13"/>
  <c r="BC440" i="13"/>
  <c r="BG440" i="13"/>
  <c r="BK440" i="13"/>
  <c r="BO440" i="13"/>
  <c r="AZ440" i="13"/>
  <c r="BD440" i="13"/>
  <c r="BH440" i="13"/>
  <c r="BL440" i="13"/>
  <c r="BP440" i="13"/>
  <c r="BB440" i="13"/>
  <c r="BF440" i="13"/>
  <c r="BJ440" i="13"/>
  <c r="BN440" i="13"/>
  <c r="BA440" i="13"/>
  <c r="BI440" i="13"/>
  <c r="BE440" i="13"/>
  <c r="BM440" i="13"/>
  <c r="BC484" i="13"/>
  <c r="BG484" i="13"/>
  <c r="BK484" i="13"/>
  <c r="BO484" i="13"/>
  <c r="BA484" i="13"/>
  <c r="BE484" i="13"/>
  <c r="BI484" i="13"/>
  <c r="BM484" i="13"/>
  <c r="BB484" i="13"/>
  <c r="BJ484" i="13"/>
  <c r="BD484" i="13"/>
  <c r="BL484" i="13"/>
  <c r="BN484" i="13"/>
  <c r="AZ484" i="13"/>
  <c r="BP484" i="13"/>
  <c r="BF484" i="13"/>
  <c r="BH484" i="13"/>
  <c r="AZ532" i="13"/>
  <c r="BD532" i="13"/>
  <c r="BH532" i="13"/>
  <c r="BL532" i="13"/>
  <c r="BP532" i="13"/>
  <c r="BB532" i="13"/>
  <c r="BF532" i="13"/>
  <c r="BJ532" i="13"/>
  <c r="BN532" i="13"/>
  <c r="BC532" i="13"/>
  <c r="BK532" i="13"/>
  <c r="BE532" i="13"/>
  <c r="BM532" i="13"/>
  <c r="BO532" i="13"/>
  <c r="BG532" i="13"/>
  <c r="BA532" i="13"/>
  <c r="BI532" i="13"/>
  <c r="AZ588" i="13"/>
  <c r="BD588" i="13"/>
  <c r="BH588" i="13"/>
  <c r="BL588" i="13"/>
  <c r="BP588" i="13"/>
  <c r="BB588" i="13"/>
  <c r="BF588" i="13"/>
  <c r="BJ588" i="13"/>
  <c r="BN588" i="13"/>
  <c r="BC588" i="13"/>
  <c r="BK588" i="13"/>
  <c r="BE588" i="13"/>
  <c r="BM588" i="13"/>
  <c r="BG588" i="13"/>
  <c r="BI588" i="13"/>
  <c r="BO588" i="13"/>
  <c r="BA588" i="13"/>
  <c r="BS648" i="13"/>
  <c r="BC648" i="13"/>
  <c r="BG648" i="13"/>
  <c r="BK648" i="13"/>
  <c r="BO648" i="13"/>
  <c r="AZ648" i="13"/>
  <c r="BD648" i="13"/>
  <c r="BH648" i="13"/>
  <c r="BL648" i="13"/>
  <c r="BP648" i="13"/>
  <c r="BE648" i="13"/>
  <c r="BM648" i="13"/>
  <c r="BN648" i="13"/>
  <c r="BI648" i="13"/>
  <c r="BF648" i="13"/>
  <c r="BA648" i="13"/>
  <c r="BB648" i="13"/>
  <c r="BJ648" i="13"/>
  <c r="BB43" i="13"/>
  <c r="BF43" i="13"/>
  <c r="BJ43" i="13"/>
  <c r="BN43" i="13"/>
  <c r="BD43" i="13"/>
  <c r="BI43" i="13"/>
  <c r="BO43" i="13"/>
  <c r="BA43" i="13"/>
  <c r="BH43" i="13"/>
  <c r="BP43" i="13"/>
  <c r="BC43" i="13"/>
  <c r="BK43" i="13"/>
  <c r="AZ43" i="13"/>
  <c r="BG43" i="13"/>
  <c r="BM43" i="13"/>
  <c r="BL43" i="13"/>
  <c r="BE43" i="13"/>
  <c r="BS59" i="13"/>
  <c r="BB59" i="13"/>
  <c r="BF59" i="13"/>
  <c r="BJ59" i="13"/>
  <c r="BN59" i="13"/>
  <c r="BD59" i="13"/>
  <c r="BI59" i="13"/>
  <c r="BO59" i="13"/>
  <c r="BA59" i="13"/>
  <c r="BG59" i="13"/>
  <c r="BL59" i="13"/>
  <c r="BH59" i="13"/>
  <c r="AZ59" i="13"/>
  <c r="BK59" i="13"/>
  <c r="BE59" i="13"/>
  <c r="BP59" i="13"/>
  <c r="BC59" i="13"/>
  <c r="BM59" i="13"/>
  <c r="BB75" i="13"/>
  <c r="BF75" i="13"/>
  <c r="BJ75" i="13"/>
  <c r="BN75" i="13"/>
  <c r="BD75" i="13"/>
  <c r="BI75" i="13"/>
  <c r="BO75" i="13"/>
  <c r="BA75" i="13"/>
  <c r="BG75" i="13"/>
  <c r="BL75" i="13"/>
  <c r="BC75" i="13"/>
  <c r="BM75" i="13"/>
  <c r="BE75" i="13"/>
  <c r="BP75" i="13"/>
  <c r="AZ75" i="13"/>
  <c r="BK75" i="13"/>
  <c r="BH75" i="13"/>
  <c r="AZ187" i="13"/>
  <c r="BD187" i="13"/>
  <c r="BH187" i="13"/>
  <c r="BL187" i="13"/>
  <c r="BP187" i="13"/>
  <c r="BB187" i="13"/>
  <c r="BG187" i="13"/>
  <c r="BM187" i="13"/>
  <c r="BC187" i="13"/>
  <c r="BI187" i="13"/>
  <c r="BN187" i="13"/>
  <c r="BA187" i="13"/>
  <c r="BF187" i="13"/>
  <c r="BK187" i="13"/>
  <c r="BE187" i="13"/>
  <c r="BO187" i="13"/>
  <c r="BJ187" i="13"/>
  <c r="AZ219" i="13"/>
  <c r="BD219" i="13"/>
  <c r="BH219" i="13"/>
  <c r="BL219" i="13"/>
  <c r="BP219" i="13"/>
  <c r="BB219" i="13"/>
  <c r="BG219" i="13"/>
  <c r="BM219" i="13"/>
  <c r="BC219" i="13"/>
  <c r="BI219" i="13"/>
  <c r="BN219" i="13"/>
  <c r="BA219" i="13"/>
  <c r="BF219" i="13"/>
  <c r="BK219" i="13"/>
  <c r="BJ219" i="13"/>
  <c r="BO219" i="13"/>
  <c r="BE219" i="13"/>
  <c r="BB255" i="13"/>
  <c r="BF255" i="13"/>
  <c r="BJ255" i="13"/>
  <c r="BN255" i="13"/>
  <c r="AZ255" i="13"/>
  <c r="BD255" i="13"/>
  <c r="BH255" i="13"/>
  <c r="BL255" i="13"/>
  <c r="BP255" i="13"/>
  <c r="BG255" i="13"/>
  <c r="BO255" i="13"/>
  <c r="BA255" i="13"/>
  <c r="BI255" i="13"/>
  <c r="BE255" i="13"/>
  <c r="BM255" i="13"/>
  <c r="BC255" i="13"/>
  <c r="BK255" i="13"/>
  <c r="AZ415" i="13"/>
  <c r="BD415" i="13"/>
  <c r="BH415" i="13"/>
  <c r="BL415" i="13"/>
  <c r="BP415" i="13"/>
  <c r="BA415" i="13"/>
  <c r="BE415" i="13"/>
  <c r="BI415" i="13"/>
  <c r="BM415" i="13"/>
  <c r="BC415" i="13"/>
  <c r="BG415" i="13"/>
  <c r="BK415" i="13"/>
  <c r="BO415" i="13"/>
  <c r="BJ415" i="13"/>
  <c r="BB415" i="13"/>
  <c r="BF415" i="13"/>
  <c r="BN415" i="13"/>
  <c r="BA495" i="13"/>
  <c r="BE495" i="13"/>
  <c r="BI495" i="13"/>
  <c r="BM495" i="13"/>
  <c r="BC495" i="13"/>
  <c r="BG495" i="13"/>
  <c r="BK495" i="13"/>
  <c r="BO495" i="13"/>
  <c r="AZ495" i="13"/>
  <c r="BH495" i="13"/>
  <c r="BP495" i="13"/>
  <c r="BB495" i="13"/>
  <c r="BJ495" i="13"/>
  <c r="BD495" i="13"/>
  <c r="BL495" i="13"/>
  <c r="BF495" i="13"/>
  <c r="BN495" i="13"/>
  <c r="BA575" i="13"/>
  <c r="BE575" i="13"/>
  <c r="BI575" i="13"/>
  <c r="BM575" i="13"/>
  <c r="BC575" i="13"/>
  <c r="BG575" i="13"/>
  <c r="BK575" i="13"/>
  <c r="BO575" i="13"/>
  <c r="AZ575" i="13"/>
  <c r="BH575" i="13"/>
  <c r="BP575" i="13"/>
  <c r="BB575" i="13"/>
  <c r="BJ575" i="13"/>
  <c r="BD575" i="13"/>
  <c r="BF575" i="13"/>
  <c r="BL575" i="13"/>
  <c r="BN575" i="13"/>
  <c r="BS591" i="13"/>
  <c r="BA591" i="13"/>
  <c r="BE591" i="13"/>
  <c r="BI591" i="13"/>
  <c r="BM591" i="13"/>
  <c r="BC591" i="13"/>
  <c r="BG591" i="13"/>
  <c r="BK591" i="13"/>
  <c r="BO591" i="13"/>
  <c r="AZ591" i="13"/>
  <c r="BH591" i="13"/>
  <c r="BP591" i="13"/>
  <c r="BB591" i="13"/>
  <c r="BJ591" i="13"/>
  <c r="BD591" i="13"/>
  <c r="BF591" i="13"/>
  <c r="BL591" i="13"/>
  <c r="BN591" i="13"/>
  <c r="AZ607" i="13"/>
  <c r="BD607" i="13"/>
  <c r="BH607" i="13"/>
  <c r="BL607" i="13"/>
  <c r="BP607" i="13"/>
  <c r="BA607" i="13"/>
  <c r="BE607" i="13"/>
  <c r="BI607" i="13"/>
  <c r="BM607" i="13"/>
  <c r="BF607" i="13"/>
  <c r="BN607" i="13"/>
  <c r="BG607" i="13"/>
  <c r="BO607" i="13"/>
  <c r="BB607" i="13"/>
  <c r="BJ607" i="13"/>
  <c r="BC607" i="13"/>
  <c r="BK607" i="13"/>
  <c r="BS655" i="13"/>
  <c r="AZ655" i="13"/>
  <c r="BD655" i="13"/>
  <c r="BH655" i="13"/>
  <c r="BL655" i="13"/>
  <c r="BP655" i="13"/>
  <c r="BA655" i="13"/>
  <c r="BE655" i="13"/>
  <c r="BI655" i="13"/>
  <c r="BM655" i="13"/>
  <c r="BF655" i="13"/>
  <c r="BN655" i="13"/>
  <c r="BO655" i="13"/>
  <c r="BB655" i="13"/>
  <c r="BG655" i="13"/>
  <c r="BJ655" i="13"/>
  <c r="BC655" i="13"/>
  <c r="BK655" i="13"/>
  <c r="AZ687" i="13"/>
  <c r="BD687" i="13"/>
  <c r="BH687" i="13"/>
  <c r="BL687" i="13"/>
  <c r="BP687" i="13"/>
  <c r="BF687" i="13"/>
  <c r="BN687" i="13"/>
  <c r="BA687" i="13"/>
  <c r="BE687" i="13"/>
  <c r="BI687" i="13"/>
  <c r="BM687" i="13"/>
  <c r="BB687" i="13"/>
  <c r="BJ687" i="13"/>
  <c r="BC687" i="13"/>
  <c r="BG687" i="13"/>
  <c r="BK687" i="13"/>
  <c r="BO687" i="13"/>
  <c r="BS480" i="13"/>
  <c r="BB480" i="13"/>
  <c r="BF480" i="13"/>
  <c r="BJ480" i="13"/>
  <c r="BN480" i="13"/>
  <c r="AZ480" i="13"/>
  <c r="BE480" i="13"/>
  <c r="BK480" i="13"/>
  <c r="BP480" i="13"/>
  <c r="BC480" i="13"/>
  <c r="BH480" i="13"/>
  <c r="BM480" i="13"/>
  <c r="BI480" i="13"/>
  <c r="BA480" i="13"/>
  <c r="BL480" i="13"/>
  <c r="BO480" i="13"/>
  <c r="BD480" i="13"/>
  <c r="BG480" i="13"/>
  <c r="BS528" i="13"/>
  <c r="AZ528" i="13"/>
  <c r="BD528" i="13"/>
  <c r="BH528" i="13"/>
  <c r="BL528" i="13"/>
  <c r="BP528" i="13"/>
  <c r="BB528" i="13"/>
  <c r="BF528" i="13"/>
  <c r="BJ528" i="13"/>
  <c r="BN528" i="13"/>
  <c r="BG528" i="13"/>
  <c r="BO528" i="13"/>
  <c r="BA528" i="13"/>
  <c r="BI528" i="13"/>
  <c r="BC528" i="13"/>
  <c r="BK528" i="13"/>
  <c r="BE528" i="13"/>
  <c r="BM528" i="13"/>
  <c r="BS4" i="13"/>
  <c r="AZ4" i="13"/>
  <c r="BD4" i="13"/>
  <c r="BH4" i="13"/>
  <c r="BL4" i="13"/>
  <c r="BP4" i="13"/>
  <c r="BA4" i="13"/>
  <c r="BE4" i="13"/>
  <c r="BI4" i="13"/>
  <c r="BM4" i="13"/>
  <c r="BC4" i="13"/>
  <c r="BG4" i="13"/>
  <c r="BK4" i="13"/>
  <c r="BO4" i="13"/>
  <c r="BJ4" i="13"/>
  <c r="BB4" i="13"/>
  <c r="BN4" i="13"/>
  <c r="BF4" i="13"/>
  <c r="AZ20" i="13"/>
  <c r="BD20" i="13"/>
  <c r="BH20" i="13"/>
  <c r="BC20" i="13"/>
  <c r="BG20" i="13"/>
  <c r="BK20" i="13"/>
  <c r="BO20" i="13"/>
  <c r="BE20" i="13"/>
  <c r="BL20" i="13"/>
  <c r="BA20" i="13"/>
  <c r="BJ20" i="13"/>
  <c r="BB20" i="13"/>
  <c r="BM20" i="13"/>
  <c r="BI20" i="13"/>
  <c r="BP20" i="13"/>
  <c r="BN20" i="13"/>
  <c r="BF20" i="13"/>
  <c r="BA36" i="13"/>
  <c r="BE36" i="13"/>
  <c r="BI36" i="13"/>
  <c r="BM36" i="13"/>
  <c r="BB36" i="13"/>
  <c r="BG36" i="13"/>
  <c r="BL36" i="13"/>
  <c r="BC36" i="13"/>
  <c r="BH36" i="13"/>
  <c r="BN36" i="13"/>
  <c r="AZ36" i="13"/>
  <c r="BF36" i="13"/>
  <c r="BK36" i="13"/>
  <c r="BP36" i="13"/>
  <c r="BD36" i="13"/>
  <c r="BJ36" i="13"/>
  <c r="BO36" i="13"/>
  <c r="BS52" i="13"/>
  <c r="BA52" i="13"/>
  <c r="BE52" i="13"/>
  <c r="BI52" i="13"/>
  <c r="BM52" i="13"/>
  <c r="AZ52" i="13"/>
  <c r="BF52" i="13"/>
  <c r="BK52" i="13"/>
  <c r="BP52" i="13"/>
  <c r="BD52" i="13"/>
  <c r="BL52" i="13"/>
  <c r="BG52" i="13"/>
  <c r="BN52" i="13"/>
  <c r="BC52" i="13"/>
  <c r="BJ52" i="13"/>
  <c r="BH52" i="13"/>
  <c r="BO52" i="13"/>
  <c r="BB52" i="13"/>
  <c r="BA68" i="13"/>
  <c r="BE68" i="13"/>
  <c r="BI68" i="13"/>
  <c r="BM68" i="13"/>
  <c r="AZ68" i="13"/>
  <c r="BF68" i="13"/>
  <c r="BK68" i="13"/>
  <c r="BP68" i="13"/>
  <c r="BC68" i="13"/>
  <c r="BH68" i="13"/>
  <c r="BN68" i="13"/>
  <c r="BD68" i="13"/>
  <c r="BO68" i="13"/>
  <c r="BG68" i="13"/>
  <c r="BB68" i="13"/>
  <c r="BL68" i="13"/>
  <c r="BJ68" i="13"/>
  <c r="BA84" i="13"/>
  <c r="AZ84" i="13"/>
  <c r="BE84" i="13"/>
  <c r="BI84" i="13"/>
  <c r="BM84" i="13"/>
  <c r="BC84" i="13"/>
  <c r="BG84" i="13"/>
  <c r="BK84" i="13"/>
  <c r="BO84" i="13"/>
  <c r="BH84" i="13"/>
  <c r="BP84" i="13"/>
  <c r="BB84" i="13"/>
  <c r="BJ84" i="13"/>
  <c r="BF84" i="13"/>
  <c r="BN84" i="13"/>
  <c r="BD84" i="13"/>
  <c r="BL84" i="13"/>
  <c r="BC296" i="13"/>
  <c r="BG296" i="13"/>
  <c r="BK296" i="13"/>
  <c r="BO296" i="13"/>
  <c r="AZ296" i="13"/>
  <c r="BD296" i="13"/>
  <c r="BH296" i="13"/>
  <c r="BL296" i="13"/>
  <c r="BP296" i="13"/>
  <c r="BB296" i="13"/>
  <c r="BF296" i="13"/>
  <c r="BJ296" i="13"/>
  <c r="BN296" i="13"/>
  <c r="BI296" i="13"/>
  <c r="BM296" i="13"/>
  <c r="BE296" i="13"/>
  <c r="BA296" i="13"/>
  <c r="BC105" i="13"/>
  <c r="BG105" i="13"/>
  <c r="BK105" i="13"/>
  <c r="BO105" i="13"/>
  <c r="BD105" i="13"/>
  <c r="BI105" i="13"/>
  <c r="BN105" i="13"/>
  <c r="AZ105" i="13"/>
  <c r="BE105" i="13"/>
  <c r="BJ105" i="13"/>
  <c r="BP105" i="13"/>
  <c r="BB105" i="13"/>
  <c r="BH105" i="13"/>
  <c r="BM105" i="13"/>
  <c r="BA105" i="13"/>
  <c r="BF105" i="13"/>
  <c r="BL105" i="13"/>
  <c r="BB233" i="13"/>
  <c r="BF233" i="13"/>
  <c r="BJ233" i="13"/>
  <c r="BN233" i="13"/>
  <c r="BD233" i="13"/>
  <c r="BI233" i="13"/>
  <c r="BO233" i="13"/>
  <c r="AZ233" i="13"/>
  <c r="BE233" i="13"/>
  <c r="BK233" i="13"/>
  <c r="BP233" i="13"/>
  <c r="BC233" i="13"/>
  <c r="BH233" i="13"/>
  <c r="BM233" i="13"/>
  <c r="BG233" i="13"/>
  <c r="BL233" i="13"/>
  <c r="BA233" i="13"/>
  <c r="BB285" i="13"/>
  <c r="BF285" i="13"/>
  <c r="BJ285" i="13"/>
  <c r="BN285" i="13"/>
  <c r="BC285" i="13"/>
  <c r="BG285" i="13"/>
  <c r="BK285" i="13"/>
  <c r="BO285" i="13"/>
  <c r="BA285" i="13"/>
  <c r="BE285" i="13"/>
  <c r="BI285" i="13"/>
  <c r="BM285" i="13"/>
  <c r="BD285" i="13"/>
  <c r="BH285" i="13"/>
  <c r="AZ285" i="13"/>
  <c r="BP285" i="13"/>
  <c r="BL285" i="13"/>
  <c r="BS381" i="13"/>
  <c r="BA381" i="13"/>
  <c r="BE381" i="13"/>
  <c r="BI381" i="13"/>
  <c r="BM381" i="13"/>
  <c r="AZ381" i="13"/>
  <c r="BF381" i="13"/>
  <c r="BK381" i="13"/>
  <c r="BP381" i="13"/>
  <c r="BB381" i="13"/>
  <c r="BG381" i="13"/>
  <c r="BL381" i="13"/>
  <c r="BD381" i="13"/>
  <c r="BJ381" i="13"/>
  <c r="BO381" i="13"/>
  <c r="BN381" i="13"/>
  <c r="BC381" i="13"/>
  <c r="BH381" i="13"/>
  <c r="BB413" i="13"/>
  <c r="BF413" i="13"/>
  <c r="BJ413" i="13"/>
  <c r="BN413" i="13"/>
  <c r="BC413" i="13"/>
  <c r="BG413" i="13"/>
  <c r="BK413" i="13"/>
  <c r="BO413" i="13"/>
  <c r="BA413" i="13"/>
  <c r="BE413" i="13"/>
  <c r="BI413" i="13"/>
  <c r="BM413" i="13"/>
  <c r="BL413" i="13"/>
  <c r="BD413" i="13"/>
  <c r="BH413" i="13"/>
  <c r="BP413" i="13"/>
  <c r="AZ413" i="13"/>
  <c r="BS493" i="13"/>
  <c r="BB493" i="13"/>
  <c r="BF493" i="13"/>
  <c r="BJ493" i="13"/>
  <c r="BN493" i="13"/>
  <c r="AZ493" i="13"/>
  <c r="BD493" i="13"/>
  <c r="BH493" i="13"/>
  <c r="BL493" i="13"/>
  <c r="BP493" i="13"/>
  <c r="BA493" i="13"/>
  <c r="BI493" i="13"/>
  <c r="BC493" i="13"/>
  <c r="BK493" i="13"/>
  <c r="BE493" i="13"/>
  <c r="BM493" i="13"/>
  <c r="BG493" i="13"/>
  <c r="BO493" i="13"/>
  <c r="BC541" i="13"/>
  <c r="BG541" i="13"/>
  <c r="BK541" i="13"/>
  <c r="BO541" i="13"/>
  <c r="BA541" i="13"/>
  <c r="BE541" i="13"/>
  <c r="BI541" i="13"/>
  <c r="BM541" i="13"/>
  <c r="BB541" i="13"/>
  <c r="BJ541" i="13"/>
  <c r="BD541" i="13"/>
  <c r="BL541" i="13"/>
  <c r="BF541" i="13"/>
  <c r="BH541" i="13"/>
  <c r="BN541" i="13"/>
  <c r="AZ541" i="13"/>
  <c r="BP541" i="13"/>
  <c r="BS669" i="13"/>
  <c r="BB669" i="13"/>
  <c r="BF669" i="13"/>
  <c r="BJ669" i="13"/>
  <c r="BN669" i="13"/>
  <c r="BC669" i="13"/>
  <c r="BG669" i="13"/>
  <c r="BK669" i="13"/>
  <c r="BO669" i="13"/>
  <c r="AZ669" i="13"/>
  <c r="BH669" i="13"/>
  <c r="BP669" i="13"/>
  <c r="BD669" i="13"/>
  <c r="BA669" i="13"/>
  <c r="BI669" i="13"/>
  <c r="BL669" i="13"/>
  <c r="BE669" i="13"/>
  <c r="BM669" i="13"/>
  <c r="BC660" i="13"/>
  <c r="BG660" i="13"/>
  <c r="BK660" i="13"/>
  <c r="BO660" i="13"/>
  <c r="AZ660" i="13"/>
  <c r="BD660" i="13"/>
  <c r="BH660" i="13"/>
  <c r="BL660" i="13"/>
  <c r="BP660" i="13"/>
  <c r="BA660" i="13"/>
  <c r="BI660" i="13"/>
  <c r="BJ660" i="13"/>
  <c r="BE660" i="13"/>
  <c r="BB660" i="13"/>
  <c r="BM660" i="13"/>
  <c r="BF660" i="13"/>
  <c r="BN660" i="13"/>
  <c r="BC42" i="13"/>
  <c r="BG42" i="13"/>
  <c r="BK42" i="13"/>
  <c r="BO42" i="13"/>
  <c r="BA42" i="13"/>
  <c r="BF42" i="13"/>
  <c r="BL42" i="13"/>
  <c r="BB42" i="13"/>
  <c r="BH42" i="13"/>
  <c r="AZ42" i="13"/>
  <c r="BE42" i="13"/>
  <c r="BJ42" i="13"/>
  <c r="BP42" i="13"/>
  <c r="BI42" i="13"/>
  <c r="BM42" i="13"/>
  <c r="BD42" i="13"/>
  <c r="BN42" i="13"/>
  <c r="BC90" i="13"/>
  <c r="BG90" i="13"/>
  <c r="BA90" i="13"/>
  <c r="BE90" i="13"/>
  <c r="BI90" i="13"/>
  <c r="BM90" i="13"/>
  <c r="BB90" i="13"/>
  <c r="BJ90" i="13"/>
  <c r="BO90" i="13"/>
  <c r="BD90" i="13"/>
  <c r="BK90" i="13"/>
  <c r="BP90" i="13"/>
  <c r="AZ90" i="13"/>
  <c r="BH90" i="13"/>
  <c r="BN90" i="13"/>
  <c r="BL90" i="13"/>
  <c r="BF90" i="13"/>
  <c r="BB106" i="13"/>
  <c r="BF106" i="13"/>
  <c r="BJ106" i="13"/>
  <c r="BN106" i="13"/>
  <c r="BC106" i="13"/>
  <c r="BH106" i="13"/>
  <c r="BM106" i="13"/>
  <c r="BD106" i="13"/>
  <c r="BI106" i="13"/>
  <c r="BO106" i="13"/>
  <c r="BA106" i="13"/>
  <c r="BG106" i="13"/>
  <c r="BL106" i="13"/>
  <c r="BE106" i="13"/>
  <c r="BK106" i="13"/>
  <c r="AZ106" i="13"/>
  <c r="BP106" i="13"/>
  <c r="BB138" i="13"/>
  <c r="BF138" i="13"/>
  <c r="BJ138" i="13"/>
  <c r="BN138" i="13"/>
  <c r="BC138" i="13"/>
  <c r="BA138" i="13"/>
  <c r="BG138" i="13"/>
  <c r="BL138" i="13"/>
  <c r="BE138" i="13"/>
  <c r="BM138" i="13"/>
  <c r="BH138" i="13"/>
  <c r="BO138" i="13"/>
  <c r="BD138" i="13"/>
  <c r="BK138" i="13"/>
  <c r="AZ138" i="13"/>
  <c r="BI138" i="13"/>
  <c r="BP138" i="13"/>
  <c r="AZ170" i="13"/>
  <c r="BD170" i="13"/>
  <c r="BH170" i="13"/>
  <c r="BL170" i="13"/>
  <c r="BP170" i="13"/>
  <c r="BE170" i="13"/>
  <c r="BJ170" i="13"/>
  <c r="BO170" i="13"/>
  <c r="BA170" i="13"/>
  <c r="BF170" i="13"/>
  <c r="BK170" i="13"/>
  <c r="BC170" i="13"/>
  <c r="BI170" i="13"/>
  <c r="BN170" i="13"/>
  <c r="BM170" i="13"/>
  <c r="BG170" i="13"/>
  <c r="BB170" i="13"/>
  <c r="BA202" i="13"/>
  <c r="BE202" i="13"/>
  <c r="BI202" i="13"/>
  <c r="BM202" i="13"/>
  <c r="BC202" i="13"/>
  <c r="BH202" i="13"/>
  <c r="BN202" i="13"/>
  <c r="BD202" i="13"/>
  <c r="BJ202" i="13"/>
  <c r="BO202" i="13"/>
  <c r="BB202" i="13"/>
  <c r="BG202" i="13"/>
  <c r="BL202" i="13"/>
  <c r="AZ202" i="13"/>
  <c r="BF202" i="13"/>
  <c r="BP202" i="13"/>
  <c r="BK202" i="13"/>
  <c r="BS234" i="13"/>
  <c r="BA234" i="13"/>
  <c r="BE234" i="13"/>
  <c r="BI234" i="13"/>
  <c r="BM234" i="13"/>
  <c r="BC234" i="13"/>
  <c r="BH234" i="13"/>
  <c r="BN234" i="13"/>
  <c r="BD234" i="13"/>
  <c r="BJ234" i="13"/>
  <c r="BO234" i="13"/>
  <c r="BB234" i="13"/>
  <c r="BG234" i="13"/>
  <c r="BL234" i="13"/>
  <c r="BK234" i="13"/>
  <c r="BP234" i="13"/>
  <c r="BF234" i="13"/>
  <c r="AZ234" i="13"/>
  <c r="BA270" i="13"/>
  <c r="BE270" i="13"/>
  <c r="BI270" i="13"/>
  <c r="BM270" i="13"/>
  <c r="BD270" i="13"/>
  <c r="BJ270" i="13"/>
  <c r="BO270" i="13"/>
  <c r="AZ270" i="13"/>
  <c r="BF270" i="13"/>
  <c r="BK270" i="13"/>
  <c r="BP270" i="13"/>
  <c r="BC270" i="13"/>
  <c r="BH270" i="13"/>
  <c r="BN270" i="13"/>
  <c r="BG270" i="13"/>
  <c r="BL270" i="13"/>
  <c r="BB270" i="13"/>
  <c r="BA302" i="13"/>
  <c r="BE302" i="13"/>
  <c r="BI302" i="13"/>
  <c r="BM302" i="13"/>
  <c r="BB302" i="13"/>
  <c r="BF302" i="13"/>
  <c r="BJ302" i="13"/>
  <c r="BN302" i="13"/>
  <c r="AZ302" i="13"/>
  <c r="BD302" i="13"/>
  <c r="BH302" i="13"/>
  <c r="BL302" i="13"/>
  <c r="BP302" i="13"/>
  <c r="BC302" i="13"/>
  <c r="BG302" i="13"/>
  <c r="BO302" i="13"/>
  <c r="BK302" i="13"/>
  <c r="BS318" i="13"/>
  <c r="BA318" i="13"/>
  <c r="BE318" i="13"/>
  <c r="BI318" i="13"/>
  <c r="BM318" i="13"/>
  <c r="BB318" i="13"/>
  <c r="BF318" i="13"/>
  <c r="BJ318" i="13"/>
  <c r="BN318" i="13"/>
  <c r="AZ318" i="13"/>
  <c r="BD318" i="13"/>
  <c r="BH318" i="13"/>
  <c r="BL318" i="13"/>
  <c r="BP318" i="13"/>
  <c r="BC318" i="13"/>
  <c r="BG318" i="13"/>
  <c r="BO318" i="13"/>
  <c r="BK318" i="13"/>
  <c r="AZ334" i="13"/>
  <c r="BD334" i="13"/>
  <c r="BH334" i="13"/>
  <c r="BL334" i="13"/>
  <c r="BP334" i="13"/>
  <c r="BE334" i="13"/>
  <c r="BJ334" i="13"/>
  <c r="BO334" i="13"/>
  <c r="BA334" i="13"/>
  <c r="BF334" i="13"/>
  <c r="BK334" i="13"/>
  <c r="BC334" i="13"/>
  <c r="BI334" i="13"/>
  <c r="BN334" i="13"/>
  <c r="BB334" i="13"/>
  <c r="BM334" i="13"/>
  <c r="BG334" i="13"/>
  <c r="AZ350" i="13"/>
  <c r="BD350" i="13"/>
  <c r="BH350" i="13"/>
  <c r="BL350" i="13"/>
  <c r="BP350" i="13"/>
  <c r="BE350" i="13"/>
  <c r="BJ350" i="13"/>
  <c r="BO350" i="13"/>
  <c r="BA350" i="13"/>
  <c r="BF350" i="13"/>
  <c r="BK350" i="13"/>
  <c r="BC350" i="13"/>
  <c r="BI350" i="13"/>
  <c r="BN350" i="13"/>
  <c r="BG350" i="13"/>
  <c r="BB350" i="13"/>
  <c r="BM350" i="13"/>
  <c r="BS430" i="13"/>
  <c r="BA430" i="13"/>
  <c r="BE430" i="13"/>
  <c r="BI430" i="13"/>
  <c r="BM430" i="13"/>
  <c r="BB430" i="13"/>
  <c r="BF430" i="13"/>
  <c r="BJ430" i="13"/>
  <c r="BN430" i="13"/>
  <c r="AZ430" i="13"/>
  <c r="BD430" i="13"/>
  <c r="BH430" i="13"/>
  <c r="BL430" i="13"/>
  <c r="BP430" i="13"/>
  <c r="BK430" i="13"/>
  <c r="BC430" i="13"/>
  <c r="BG430" i="13"/>
  <c r="BO430" i="13"/>
  <c r="BA446" i="13"/>
  <c r="BE446" i="13"/>
  <c r="BI446" i="13"/>
  <c r="BM446" i="13"/>
  <c r="BB446" i="13"/>
  <c r="BF446" i="13"/>
  <c r="BJ446" i="13"/>
  <c r="BN446" i="13"/>
  <c r="AZ446" i="13"/>
  <c r="BD446" i="13"/>
  <c r="BH446" i="13"/>
  <c r="BL446" i="13"/>
  <c r="BP446" i="13"/>
  <c r="BK446" i="13"/>
  <c r="BC446" i="13"/>
  <c r="BG446" i="13"/>
  <c r="BO446" i="13"/>
  <c r="BA462" i="13"/>
  <c r="BE462" i="13"/>
  <c r="BI462" i="13"/>
  <c r="BM462" i="13"/>
  <c r="BB462" i="13"/>
  <c r="BF462" i="13"/>
  <c r="BJ462" i="13"/>
  <c r="BN462" i="13"/>
  <c r="AZ462" i="13"/>
  <c r="BD462" i="13"/>
  <c r="BH462" i="13"/>
  <c r="BL462" i="13"/>
  <c r="BP462" i="13"/>
  <c r="BK462" i="13"/>
  <c r="BC462" i="13"/>
  <c r="BG462" i="13"/>
  <c r="BO462" i="13"/>
  <c r="BS494" i="13"/>
  <c r="AZ494" i="13"/>
  <c r="BB494" i="13"/>
  <c r="BF494" i="13"/>
  <c r="BJ494" i="13"/>
  <c r="BN494" i="13"/>
  <c r="BD494" i="13"/>
  <c r="BH494" i="13"/>
  <c r="BL494" i="13"/>
  <c r="BP494" i="13"/>
  <c r="BA494" i="13"/>
  <c r="BI494" i="13"/>
  <c r="BC494" i="13"/>
  <c r="BK494" i="13"/>
  <c r="BE494" i="13"/>
  <c r="BG494" i="13"/>
  <c r="BM494" i="13"/>
  <c r="BO494" i="13"/>
  <c r="BB526" i="13"/>
  <c r="BF526" i="13"/>
  <c r="BJ526" i="13"/>
  <c r="BN526" i="13"/>
  <c r="AZ526" i="13"/>
  <c r="BD526" i="13"/>
  <c r="BH526" i="13"/>
  <c r="BL526" i="13"/>
  <c r="BP526" i="13"/>
  <c r="BA526" i="13"/>
  <c r="BI526" i="13"/>
  <c r="BC526" i="13"/>
  <c r="BK526" i="13"/>
  <c r="BE526" i="13"/>
  <c r="BM526" i="13"/>
  <c r="BG526" i="13"/>
  <c r="BO526" i="13"/>
  <c r="BB590" i="13"/>
  <c r="BF590" i="13"/>
  <c r="BJ590" i="13"/>
  <c r="BN590" i="13"/>
  <c r="AZ590" i="13"/>
  <c r="BD590" i="13"/>
  <c r="BH590" i="13"/>
  <c r="BL590" i="13"/>
  <c r="BP590" i="13"/>
  <c r="BA590" i="13"/>
  <c r="BI590" i="13"/>
  <c r="BC590" i="13"/>
  <c r="BK590" i="13"/>
  <c r="BE590" i="13"/>
  <c r="BG590" i="13"/>
  <c r="BM590" i="13"/>
  <c r="BO590" i="13"/>
  <c r="BS654" i="13"/>
  <c r="BA654" i="13"/>
  <c r="BE654" i="13"/>
  <c r="BI654" i="13"/>
  <c r="BM654" i="13"/>
  <c r="BB654" i="13"/>
  <c r="BF654" i="13"/>
  <c r="BJ654" i="13"/>
  <c r="BN654" i="13"/>
  <c r="BG654" i="13"/>
  <c r="BO654" i="13"/>
  <c r="AZ654" i="13"/>
  <c r="BP654" i="13"/>
  <c r="BC654" i="13"/>
  <c r="BH654" i="13"/>
  <c r="BK654" i="13"/>
  <c r="BD654" i="13"/>
  <c r="BL654" i="13"/>
  <c r="BC244" i="13"/>
  <c r="BG244" i="13"/>
  <c r="BK244" i="13"/>
  <c r="BO244" i="13"/>
  <c r="BD244" i="13"/>
  <c r="BI244" i="13"/>
  <c r="BN244" i="13"/>
  <c r="AZ244" i="13"/>
  <c r="BE244" i="13"/>
  <c r="BJ244" i="13"/>
  <c r="BP244" i="13"/>
  <c r="BB244" i="13"/>
  <c r="BH244" i="13"/>
  <c r="BM244" i="13"/>
  <c r="BL244" i="13"/>
  <c r="BF244" i="13"/>
  <c r="BA244" i="13"/>
  <c r="BA19" i="13"/>
  <c r="BE19" i="13"/>
  <c r="BI19" i="13"/>
  <c r="BM19" i="13"/>
  <c r="BB19" i="13"/>
  <c r="BF19" i="13"/>
  <c r="BJ19" i="13"/>
  <c r="BN19" i="13"/>
  <c r="AZ19" i="13"/>
  <c r="BD19" i="13"/>
  <c r="BH19" i="13"/>
  <c r="BL19" i="13"/>
  <c r="BP19" i="13"/>
  <c r="BK19" i="13"/>
  <c r="BC19" i="13"/>
  <c r="BO19" i="13"/>
  <c r="BG19" i="13"/>
  <c r="BB35" i="13"/>
  <c r="BF35" i="13"/>
  <c r="BJ35" i="13"/>
  <c r="BN35" i="13"/>
  <c r="BC35" i="13"/>
  <c r="BH35" i="13"/>
  <c r="BM35" i="13"/>
  <c r="BD35" i="13"/>
  <c r="BI35" i="13"/>
  <c r="BO35" i="13"/>
  <c r="BA35" i="13"/>
  <c r="BG35" i="13"/>
  <c r="BL35" i="13"/>
  <c r="AZ35" i="13"/>
  <c r="BE35" i="13"/>
  <c r="BP35" i="13"/>
  <c r="BK35" i="13"/>
  <c r="BB51" i="13"/>
  <c r="BF51" i="13"/>
  <c r="BJ51" i="13"/>
  <c r="BN51" i="13"/>
  <c r="BA51" i="13"/>
  <c r="BG51" i="13"/>
  <c r="BL51" i="13"/>
  <c r="AZ51" i="13"/>
  <c r="BH51" i="13"/>
  <c r="BO51" i="13"/>
  <c r="BC51" i="13"/>
  <c r="BI51" i="13"/>
  <c r="BP51" i="13"/>
  <c r="BE51" i="13"/>
  <c r="BM51" i="13"/>
  <c r="BD51" i="13"/>
  <c r="BK51" i="13"/>
  <c r="BS67" i="13"/>
  <c r="BB67" i="13"/>
  <c r="BF67" i="13"/>
  <c r="BJ67" i="13"/>
  <c r="BN67" i="13"/>
  <c r="BA67" i="13"/>
  <c r="BG67" i="13"/>
  <c r="BL67" i="13"/>
  <c r="BD67" i="13"/>
  <c r="BI67" i="13"/>
  <c r="BO67" i="13"/>
  <c r="AZ67" i="13"/>
  <c r="BK67" i="13"/>
  <c r="BC67" i="13"/>
  <c r="BM67" i="13"/>
  <c r="BH67" i="13"/>
  <c r="BP67" i="13"/>
  <c r="BE67" i="13"/>
  <c r="BB83" i="13"/>
  <c r="BF83" i="13"/>
  <c r="BJ83" i="13"/>
  <c r="BN83" i="13"/>
  <c r="BA83" i="13"/>
  <c r="BG83" i="13"/>
  <c r="BL83" i="13"/>
  <c r="BD83" i="13"/>
  <c r="BI83" i="13"/>
  <c r="BO83" i="13"/>
  <c r="BE83" i="13"/>
  <c r="BP83" i="13"/>
  <c r="BH83" i="13"/>
  <c r="BC83" i="13"/>
  <c r="BM83" i="13"/>
  <c r="BK83" i="13"/>
  <c r="AZ83" i="13"/>
  <c r="BA99" i="13"/>
  <c r="BE99" i="13"/>
  <c r="BI99" i="13"/>
  <c r="BM99" i="13"/>
  <c r="BD99" i="13"/>
  <c r="BJ99" i="13"/>
  <c r="BO99" i="13"/>
  <c r="AZ99" i="13"/>
  <c r="BF99" i="13"/>
  <c r="BK99" i="13"/>
  <c r="BP99" i="13"/>
  <c r="BC99" i="13"/>
  <c r="BH99" i="13"/>
  <c r="BN99" i="13"/>
  <c r="BB99" i="13"/>
  <c r="BL99" i="13"/>
  <c r="BG99" i="13"/>
  <c r="BS115" i="13"/>
  <c r="BA115" i="13"/>
  <c r="BE115" i="13"/>
  <c r="BI115" i="13"/>
  <c r="BM115" i="13"/>
  <c r="BD115" i="13"/>
  <c r="BJ115" i="13"/>
  <c r="BO115" i="13"/>
  <c r="AZ115" i="13"/>
  <c r="BF115" i="13"/>
  <c r="BK115" i="13"/>
  <c r="BP115" i="13"/>
  <c r="BC115" i="13"/>
  <c r="BH115" i="13"/>
  <c r="BN115" i="13"/>
  <c r="BB115" i="13"/>
  <c r="BG115" i="13"/>
  <c r="BL115" i="13"/>
  <c r="BA131" i="13"/>
  <c r="BE131" i="13"/>
  <c r="BI131" i="13"/>
  <c r="BM131" i="13"/>
  <c r="BD131" i="13"/>
  <c r="BJ131" i="13"/>
  <c r="BO131" i="13"/>
  <c r="AZ131" i="13"/>
  <c r="BF131" i="13"/>
  <c r="BK131" i="13"/>
  <c r="BP131" i="13"/>
  <c r="BC131" i="13"/>
  <c r="BH131" i="13"/>
  <c r="BN131" i="13"/>
  <c r="BG131" i="13"/>
  <c r="BL131" i="13"/>
  <c r="BB131" i="13"/>
  <c r="BA147" i="13"/>
  <c r="BE147" i="13"/>
  <c r="BI147" i="13"/>
  <c r="BM147" i="13"/>
  <c r="BC147" i="13"/>
  <c r="BH147" i="13"/>
  <c r="BN147" i="13"/>
  <c r="BB147" i="13"/>
  <c r="BJ147" i="13"/>
  <c r="BP147" i="13"/>
  <c r="BD147" i="13"/>
  <c r="BK147" i="13"/>
  <c r="AZ147" i="13"/>
  <c r="BG147" i="13"/>
  <c r="BO147" i="13"/>
  <c r="BL147" i="13"/>
  <c r="BF147" i="13"/>
  <c r="BC163" i="13"/>
  <c r="BG163" i="13"/>
  <c r="BK163" i="13"/>
  <c r="BO163" i="13"/>
  <c r="BA163" i="13"/>
  <c r="BF163" i="13"/>
  <c r="BL163" i="13"/>
  <c r="BB163" i="13"/>
  <c r="BH163" i="13"/>
  <c r="BM163" i="13"/>
  <c r="AZ163" i="13"/>
  <c r="BE163" i="13"/>
  <c r="BJ163" i="13"/>
  <c r="BP163" i="13"/>
  <c r="BD163" i="13"/>
  <c r="BI163" i="13"/>
  <c r="BN163" i="13"/>
  <c r="BS179" i="13"/>
  <c r="BC179" i="13"/>
  <c r="BG179" i="13"/>
  <c r="BK179" i="13"/>
  <c r="BO179" i="13"/>
  <c r="BA179" i="13"/>
  <c r="BF179" i="13"/>
  <c r="BL179" i="13"/>
  <c r="BB179" i="13"/>
  <c r="BH179" i="13"/>
  <c r="BM179" i="13"/>
  <c r="AZ179" i="13"/>
  <c r="BE179" i="13"/>
  <c r="BJ179" i="13"/>
  <c r="BP179" i="13"/>
  <c r="BI179" i="13"/>
  <c r="BN179" i="13"/>
  <c r="BD179" i="13"/>
  <c r="AZ195" i="13"/>
  <c r="BD195" i="13"/>
  <c r="BH195" i="13"/>
  <c r="BL195" i="13"/>
  <c r="BP195" i="13"/>
  <c r="BE195" i="13"/>
  <c r="BJ195" i="13"/>
  <c r="BO195" i="13"/>
  <c r="BA195" i="13"/>
  <c r="BF195" i="13"/>
  <c r="BK195" i="13"/>
  <c r="BC195" i="13"/>
  <c r="BI195" i="13"/>
  <c r="BN195" i="13"/>
  <c r="BM195" i="13"/>
  <c r="BG195" i="13"/>
  <c r="BB195" i="13"/>
  <c r="AZ211" i="13"/>
  <c r="BD211" i="13"/>
  <c r="BH211" i="13"/>
  <c r="BL211" i="13"/>
  <c r="BP211" i="13"/>
  <c r="BE211" i="13"/>
  <c r="BJ211" i="13"/>
  <c r="BO211" i="13"/>
  <c r="BA211" i="13"/>
  <c r="BF211" i="13"/>
  <c r="BK211" i="13"/>
  <c r="BC211" i="13"/>
  <c r="BI211" i="13"/>
  <c r="BN211" i="13"/>
  <c r="BB211" i="13"/>
  <c r="BM211" i="13"/>
  <c r="BG211" i="13"/>
  <c r="BS227" i="13"/>
  <c r="AZ227" i="13"/>
  <c r="BD227" i="13"/>
  <c r="BH227" i="13"/>
  <c r="BL227" i="13"/>
  <c r="BP227" i="13"/>
  <c r="BE227" i="13"/>
  <c r="BJ227" i="13"/>
  <c r="BO227" i="13"/>
  <c r="BA227" i="13"/>
  <c r="BF227" i="13"/>
  <c r="BK227" i="13"/>
  <c r="BC227" i="13"/>
  <c r="BI227" i="13"/>
  <c r="BN227" i="13"/>
  <c r="BB227" i="13"/>
  <c r="BG227" i="13"/>
  <c r="BM227" i="13"/>
  <c r="AZ247" i="13"/>
  <c r="BA247" i="13"/>
  <c r="BE247" i="13"/>
  <c r="BI247" i="13"/>
  <c r="BM247" i="13"/>
  <c r="BB247" i="13"/>
  <c r="BF247" i="13"/>
  <c r="BJ247" i="13"/>
  <c r="BN247" i="13"/>
  <c r="BD247" i="13"/>
  <c r="BH247" i="13"/>
  <c r="BL247" i="13"/>
  <c r="BP247" i="13"/>
  <c r="BC247" i="13"/>
  <c r="BG247" i="13"/>
  <c r="BO247" i="13"/>
  <c r="BK247" i="13"/>
  <c r="BB263" i="13"/>
  <c r="BF263" i="13"/>
  <c r="BJ263" i="13"/>
  <c r="BN263" i="13"/>
  <c r="AZ263" i="13"/>
  <c r="BD263" i="13"/>
  <c r="BH263" i="13"/>
  <c r="BL263" i="13"/>
  <c r="BP263" i="13"/>
  <c r="BG263" i="13"/>
  <c r="BO263" i="13"/>
  <c r="BA263" i="13"/>
  <c r="BI263" i="13"/>
  <c r="BE263" i="13"/>
  <c r="BM263" i="13"/>
  <c r="BK263" i="13"/>
  <c r="BC263" i="13"/>
  <c r="AZ279" i="13"/>
  <c r="BD279" i="13"/>
  <c r="BH279" i="13"/>
  <c r="BL279" i="13"/>
  <c r="BP279" i="13"/>
  <c r="BA279" i="13"/>
  <c r="BE279" i="13"/>
  <c r="BI279" i="13"/>
  <c r="BM279" i="13"/>
  <c r="BC279" i="13"/>
  <c r="BG279" i="13"/>
  <c r="BK279" i="13"/>
  <c r="BO279" i="13"/>
  <c r="BJ279" i="13"/>
  <c r="BN279" i="13"/>
  <c r="BF279" i="13"/>
  <c r="BB279" i="13"/>
  <c r="AZ295" i="13"/>
  <c r="BD295" i="13"/>
  <c r="BH295" i="13"/>
  <c r="BL295" i="13"/>
  <c r="BP295" i="13"/>
  <c r="BA295" i="13"/>
  <c r="BE295" i="13"/>
  <c r="BI295" i="13"/>
  <c r="BM295" i="13"/>
  <c r="BC295" i="13"/>
  <c r="BG295" i="13"/>
  <c r="BK295" i="13"/>
  <c r="BO295" i="13"/>
  <c r="BJ295" i="13"/>
  <c r="BN295" i="13"/>
  <c r="BF295" i="13"/>
  <c r="BB295" i="13"/>
  <c r="BS311" i="13"/>
  <c r="AZ311" i="13"/>
  <c r="BD311" i="13"/>
  <c r="BH311" i="13"/>
  <c r="BL311" i="13"/>
  <c r="BP311" i="13"/>
  <c r="BA311" i="13"/>
  <c r="BE311" i="13"/>
  <c r="BI311" i="13"/>
  <c r="BM311" i="13"/>
  <c r="BC311" i="13"/>
  <c r="BG311" i="13"/>
  <c r="BK311" i="13"/>
  <c r="BO311" i="13"/>
  <c r="BJ311" i="13"/>
  <c r="BN311" i="13"/>
  <c r="BF311" i="13"/>
  <c r="BB311" i="13"/>
  <c r="BC327" i="13"/>
  <c r="BG327" i="13"/>
  <c r="BK327" i="13"/>
  <c r="BO327" i="13"/>
  <c r="BA327" i="13"/>
  <c r="BF327" i="13"/>
  <c r="BL327" i="13"/>
  <c r="BB327" i="13"/>
  <c r="BH327" i="13"/>
  <c r="BM327" i="13"/>
  <c r="AZ327" i="13"/>
  <c r="BE327" i="13"/>
  <c r="BJ327" i="13"/>
  <c r="BP327" i="13"/>
  <c r="BN327" i="13"/>
  <c r="BD327" i="13"/>
  <c r="BI327" i="13"/>
  <c r="BC343" i="13"/>
  <c r="BG343" i="13"/>
  <c r="BK343" i="13"/>
  <c r="BO343" i="13"/>
  <c r="BA343" i="13"/>
  <c r="BF343" i="13"/>
  <c r="BL343" i="13"/>
  <c r="BB343" i="13"/>
  <c r="BH343" i="13"/>
  <c r="BM343" i="13"/>
  <c r="AZ343" i="13"/>
  <c r="BE343" i="13"/>
  <c r="BJ343" i="13"/>
  <c r="BP343" i="13"/>
  <c r="BI343" i="13"/>
  <c r="BD343" i="13"/>
  <c r="BN343" i="13"/>
  <c r="BC359" i="13"/>
  <c r="BG359" i="13"/>
  <c r="BK359" i="13"/>
  <c r="BO359" i="13"/>
  <c r="BA359" i="13"/>
  <c r="BF359" i="13"/>
  <c r="BL359" i="13"/>
  <c r="BB359" i="13"/>
  <c r="BH359" i="13"/>
  <c r="BM359" i="13"/>
  <c r="AZ359" i="13"/>
  <c r="BE359" i="13"/>
  <c r="BJ359" i="13"/>
  <c r="BP359" i="13"/>
  <c r="BD359" i="13"/>
  <c r="BN359" i="13"/>
  <c r="BI359" i="13"/>
  <c r="BS375" i="13"/>
  <c r="BC375" i="13"/>
  <c r="BG375" i="13"/>
  <c r="BK375" i="13"/>
  <c r="BO375" i="13"/>
  <c r="BA375" i="13"/>
  <c r="BF375" i="13"/>
  <c r="BL375" i="13"/>
  <c r="BB375" i="13"/>
  <c r="BH375" i="13"/>
  <c r="BM375" i="13"/>
  <c r="AZ375" i="13"/>
  <c r="BE375" i="13"/>
  <c r="BJ375" i="13"/>
  <c r="BP375" i="13"/>
  <c r="BI375" i="13"/>
  <c r="BD375" i="13"/>
  <c r="BN375" i="13"/>
  <c r="AZ391" i="13"/>
  <c r="BD391" i="13"/>
  <c r="BH391" i="13"/>
  <c r="BL391" i="13"/>
  <c r="BP391" i="13"/>
  <c r="BA391" i="13"/>
  <c r="BE391" i="13"/>
  <c r="BI391" i="13"/>
  <c r="BM391" i="13"/>
  <c r="BC391" i="13"/>
  <c r="BG391" i="13"/>
  <c r="BK391" i="13"/>
  <c r="BO391" i="13"/>
  <c r="BB391" i="13"/>
  <c r="BJ391" i="13"/>
  <c r="BF391" i="13"/>
  <c r="BN391" i="13"/>
  <c r="AZ407" i="13"/>
  <c r="BD407" i="13"/>
  <c r="BH407" i="13"/>
  <c r="BL407" i="13"/>
  <c r="BP407" i="13"/>
  <c r="BA407" i="13"/>
  <c r="BE407" i="13"/>
  <c r="BI407" i="13"/>
  <c r="BM407" i="13"/>
  <c r="BC407" i="13"/>
  <c r="BG407" i="13"/>
  <c r="BK407" i="13"/>
  <c r="BO407" i="13"/>
  <c r="BB407" i="13"/>
  <c r="BJ407" i="13"/>
  <c r="BN407" i="13"/>
  <c r="BF407" i="13"/>
  <c r="BS423" i="13"/>
  <c r="AZ423" i="13"/>
  <c r="BD423" i="13"/>
  <c r="BH423" i="13"/>
  <c r="BL423" i="13"/>
  <c r="BP423" i="13"/>
  <c r="BA423" i="13"/>
  <c r="BE423" i="13"/>
  <c r="BI423" i="13"/>
  <c r="BM423" i="13"/>
  <c r="BC423" i="13"/>
  <c r="BG423" i="13"/>
  <c r="BK423" i="13"/>
  <c r="BO423" i="13"/>
  <c r="BB423" i="13"/>
  <c r="BJ423" i="13"/>
  <c r="BF423" i="13"/>
  <c r="BN423" i="13"/>
  <c r="AZ439" i="13"/>
  <c r="BD439" i="13"/>
  <c r="BH439" i="13"/>
  <c r="BL439" i="13"/>
  <c r="BP439" i="13"/>
  <c r="BA439" i="13"/>
  <c r="BE439" i="13"/>
  <c r="BI439" i="13"/>
  <c r="BM439" i="13"/>
  <c r="BC439" i="13"/>
  <c r="BG439" i="13"/>
  <c r="BK439" i="13"/>
  <c r="BO439" i="13"/>
  <c r="BB439" i="13"/>
  <c r="BJ439" i="13"/>
  <c r="BN439" i="13"/>
  <c r="BF439" i="13"/>
  <c r="AZ455" i="13"/>
  <c r="BD455" i="13"/>
  <c r="BH455" i="13"/>
  <c r="BL455" i="13"/>
  <c r="BP455" i="13"/>
  <c r="BA455" i="13"/>
  <c r="BE455" i="13"/>
  <c r="BI455" i="13"/>
  <c r="BM455" i="13"/>
  <c r="BC455" i="13"/>
  <c r="BG455" i="13"/>
  <c r="BK455" i="13"/>
  <c r="BO455" i="13"/>
  <c r="BB455" i="13"/>
  <c r="BJ455" i="13"/>
  <c r="BF455" i="13"/>
  <c r="BN455" i="13"/>
  <c r="AZ471" i="13"/>
  <c r="BD471" i="13"/>
  <c r="BH471" i="13"/>
  <c r="BL471" i="13"/>
  <c r="BP471" i="13"/>
  <c r="BA471" i="13"/>
  <c r="BE471" i="13"/>
  <c r="BI471" i="13"/>
  <c r="BM471" i="13"/>
  <c r="BC471" i="13"/>
  <c r="BG471" i="13"/>
  <c r="BK471" i="13"/>
  <c r="BO471" i="13"/>
  <c r="BB471" i="13"/>
  <c r="BJ471" i="13"/>
  <c r="BN471" i="13"/>
  <c r="BF471" i="13"/>
  <c r="BS487" i="13"/>
  <c r="AZ487" i="13"/>
  <c r="BD487" i="13"/>
  <c r="BH487" i="13"/>
  <c r="BL487" i="13"/>
  <c r="BP487" i="13"/>
  <c r="BB487" i="13"/>
  <c r="BF487" i="13"/>
  <c r="BJ487" i="13"/>
  <c r="BN487" i="13"/>
  <c r="BG487" i="13"/>
  <c r="BO487" i="13"/>
  <c r="BA487" i="13"/>
  <c r="BI487" i="13"/>
  <c r="BK487" i="13"/>
  <c r="BM487" i="13"/>
  <c r="BC487" i="13"/>
  <c r="BE487" i="13"/>
  <c r="BA503" i="13"/>
  <c r="BE503" i="13"/>
  <c r="BI503" i="13"/>
  <c r="BM503" i="13"/>
  <c r="BC503" i="13"/>
  <c r="BG503" i="13"/>
  <c r="BK503" i="13"/>
  <c r="BO503" i="13"/>
  <c r="AZ503" i="13"/>
  <c r="BH503" i="13"/>
  <c r="BP503" i="13"/>
  <c r="BB503" i="13"/>
  <c r="BJ503" i="13"/>
  <c r="BL503" i="13"/>
  <c r="BD503" i="13"/>
  <c r="BN503" i="13"/>
  <c r="BF503" i="13"/>
  <c r="BA519" i="13"/>
  <c r="BE519" i="13"/>
  <c r="BI519" i="13"/>
  <c r="BM519" i="13"/>
  <c r="BC519" i="13"/>
  <c r="BG519" i="13"/>
  <c r="BK519" i="13"/>
  <c r="BO519" i="13"/>
  <c r="AZ519" i="13"/>
  <c r="BH519" i="13"/>
  <c r="BP519" i="13"/>
  <c r="BB519" i="13"/>
  <c r="BJ519" i="13"/>
  <c r="BL519" i="13"/>
  <c r="BD519" i="13"/>
  <c r="BN519" i="13"/>
  <c r="BF519" i="13"/>
  <c r="BS535" i="13"/>
  <c r="BA535" i="13"/>
  <c r="BE535" i="13"/>
  <c r="BI535" i="13"/>
  <c r="BM535" i="13"/>
  <c r="BC535" i="13"/>
  <c r="BG535" i="13"/>
  <c r="BK535" i="13"/>
  <c r="BO535" i="13"/>
  <c r="AZ535" i="13"/>
  <c r="BH535" i="13"/>
  <c r="BP535" i="13"/>
  <c r="BB535" i="13"/>
  <c r="BJ535" i="13"/>
  <c r="BL535" i="13"/>
  <c r="BD535" i="13"/>
  <c r="BN535" i="13"/>
  <c r="BF535" i="13"/>
  <c r="BA551" i="13"/>
  <c r="BE551" i="13"/>
  <c r="BI551" i="13"/>
  <c r="BM551" i="13"/>
  <c r="BC551" i="13"/>
  <c r="BG551" i="13"/>
  <c r="BK551" i="13"/>
  <c r="BO551" i="13"/>
  <c r="AZ551" i="13"/>
  <c r="BH551" i="13"/>
  <c r="BP551" i="13"/>
  <c r="BB551" i="13"/>
  <c r="BJ551" i="13"/>
  <c r="BL551" i="13"/>
  <c r="BN551" i="13"/>
  <c r="BD551" i="13"/>
  <c r="BF551" i="13"/>
  <c r="BA567" i="13"/>
  <c r="BE567" i="13"/>
  <c r="BI567" i="13"/>
  <c r="BM567" i="13"/>
  <c r="BC567" i="13"/>
  <c r="BG567" i="13"/>
  <c r="BK567" i="13"/>
  <c r="BO567" i="13"/>
  <c r="AZ567" i="13"/>
  <c r="BH567" i="13"/>
  <c r="BP567" i="13"/>
  <c r="BB567" i="13"/>
  <c r="BJ567" i="13"/>
  <c r="BL567" i="13"/>
  <c r="BN567" i="13"/>
  <c r="BD567" i="13"/>
  <c r="BF567" i="13"/>
  <c r="BA583" i="13"/>
  <c r="BE583" i="13"/>
  <c r="BI583" i="13"/>
  <c r="BM583" i="13"/>
  <c r="BC583" i="13"/>
  <c r="BG583" i="13"/>
  <c r="BK583" i="13"/>
  <c r="BO583" i="13"/>
  <c r="AZ583" i="13"/>
  <c r="BH583" i="13"/>
  <c r="BP583" i="13"/>
  <c r="BB583" i="13"/>
  <c r="BJ583" i="13"/>
  <c r="BL583" i="13"/>
  <c r="BN583" i="13"/>
  <c r="BD583" i="13"/>
  <c r="BF583" i="13"/>
  <c r="BS599" i="13"/>
  <c r="BA599" i="13"/>
  <c r="BE599" i="13"/>
  <c r="BI599" i="13"/>
  <c r="BM599" i="13"/>
  <c r="BC599" i="13"/>
  <c r="BG599" i="13"/>
  <c r="BK599" i="13"/>
  <c r="BO599" i="13"/>
  <c r="AZ599" i="13"/>
  <c r="BH599" i="13"/>
  <c r="BP599" i="13"/>
  <c r="BB599" i="13"/>
  <c r="BJ599" i="13"/>
  <c r="BL599" i="13"/>
  <c r="BN599" i="13"/>
  <c r="BD599" i="13"/>
  <c r="BF599" i="13"/>
  <c r="AZ615" i="13"/>
  <c r="BD615" i="13"/>
  <c r="BH615" i="13"/>
  <c r="BL615" i="13"/>
  <c r="BP615" i="13"/>
  <c r="BA615" i="13"/>
  <c r="BE615" i="13"/>
  <c r="BI615" i="13"/>
  <c r="BM615" i="13"/>
  <c r="BF615" i="13"/>
  <c r="BN615" i="13"/>
  <c r="BB615" i="13"/>
  <c r="BG615" i="13"/>
  <c r="BO615" i="13"/>
  <c r="BJ615" i="13"/>
  <c r="BC615" i="13"/>
  <c r="BK615" i="13"/>
  <c r="AZ631" i="13"/>
  <c r="BD631" i="13"/>
  <c r="BH631" i="13"/>
  <c r="BL631" i="13"/>
  <c r="BP631" i="13"/>
  <c r="BA631" i="13"/>
  <c r="BE631" i="13"/>
  <c r="BI631" i="13"/>
  <c r="BM631" i="13"/>
  <c r="BF631" i="13"/>
  <c r="BN631" i="13"/>
  <c r="BB631" i="13"/>
  <c r="BG631" i="13"/>
  <c r="BO631" i="13"/>
  <c r="BJ631" i="13"/>
  <c r="BC631" i="13"/>
  <c r="BK631" i="13"/>
  <c r="BS647" i="13"/>
  <c r="AZ647" i="13"/>
  <c r="BD647" i="13"/>
  <c r="BH647" i="13"/>
  <c r="BL647" i="13"/>
  <c r="BP647" i="13"/>
  <c r="BA647" i="13"/>
  <c r="BE647" i="13"/>
  <c r="BI647" i="13"/>
  <c r="BM647" i="13"/>
  <c r="BF647" i="13"/>
  <c r="BN647" i="13"/>
  <c r="BG647" i="13"/>
  <c r="BO647" i="13"/>
  <c r="BJ647" i="13"/>
  <c r="BB647" i="13"/>
  <c r="BC647" i="13"/>
  <c r="BK647" i="13"/>
  <c r="AZ663" i="13"/>
  <c r="BD663" i="13"/>
  <c r="BH663" i="13"/>
  <c r="BL663" i="13"/>
  <c r="BP663" i="13"/>
  <c r="BA663" i="13"/>
  <c r="BE663" i="13"/>
  <c r="BI663" i="13"/>
  <c r="BM663" i="13"/>
  <c r="BF663" i="13"/>
  <c r="BN663" i="13"/>
  <c r="BJ663" i="13"/>
  <c r="BG663" i="13"/>
  <c r="BO663" i="13"/>
  <c r="BB663" i="13"/>
  <c r="BC663" i="13"/>
  <c r="BK663" i="13"/>
  <c r="AZ679" i="13"/>
  <c r="BD679" i="13"/>
  <c r="BH679" i="13"/>
  <c r="BL679" i="13"/>
  <c r="BP679" i="13"/>
  <c r="BA679" i="13"/>
  <c r="BE679" i="13"/>
  <c r="BI679" i="13"/>
  <c r="BM679" i="13"/>
  <c r="BF679" i="13"/>
  <c r="BN679" i="13"/>
  <c r="BB679" i="13"/>
  <c r="BG679" i="13"/>
  <c r="BO679" i="13"/>
  <c r="BJ679" i="13"/>
  <c r="BC679" i="13"/>
  <c r="BK679" i="13"/>
  <c r="AZ695" i="13"/>
  <c r="BD695" i="13"/>
  <c r="BH695" i="13"/>
  <c r="BL695" i="13"/>
  <c r="BP695" i="13"/>
  <c r="BB695" i="13"/>
  <c r="BJ695" i="13"/>
  <c r="BA695" i="13"/>
  <c r="BE695" i="13"/>
  <c r="BI695" i="13"/>
  <c r="BM695" i="13"/>
  <c r="BF695" i="13"/>
  <c r="BN695" i="13"/>
  <c r="BC695" i="13"/>
  <c r="BG695" i="13"/>
  <c r="BK695" i="13"/>
  <c r="BO695" i="13"/>
  <c r="BS360" i="13"/>
  <c r="BB360" i="13"/>
  <c r="BF360" i="13"/>
  <c r="BJ360" i="13"/>
  <c r="BN360" i="13"/>
  <c r="AZ360" i="13"/>
  <c r="BE360" i="13"/>
  <c r="BK360" i="13"/>
  <c r="BP360" i="13"/>
  <c r="BA360" i="13"/>
  <c r="BG360" i="13"/>
  <c r="BL360" i="13"/>
  <c r="BD360" i="13"/>
  <c r="BI360" i="13"/>
  <c r="BO360" i="13"/>
  <c r="BH360" i="13"/>
  <c r="BC360" i="13"/>
  <c r="BM360" i="13"/>
  <c r="BC408" i="13"/>
  <c r="BG408" i="13"/>
  <c r="BK408" i="13"/>
  <c r="BO408" i="13"/>
  <c r="AZ408" i="13"/>
  <c r="BD408" i="13"/>
  <c r="BH408" i="13"/>
  <c r="BL408" i="13"/>
  <c r="BP408" i="13"/>
  <c r="BB408" i="13"/>
  <c r="BF408" i="13"/>
  <c r="BJ408" i="13"/>
  <c r="BN408" i="13"/>
  <c r="BA408" i="13"/>
  <c r="BI408" i="13"/>
  <c r="BE408" i="13"/>
  <c r="BM408" i="13"/>
  <c r="BC456" i="13"/>
  <c r="BG456" i="13"/>
  <c r="BK456" i="13"/>
  <c r="BO456" i="13"/>
  <c r="AZ456" i="13"/>
  <c r="BD456" i="13"/>
  <c r="BH456" i="13"/>
  <c r="BL456" i="13"/>
  <c r="BP456" i="13"/>
  <c r="BB456" i="13"/>
  <c r="BF456" i="13"/>
  <c r="BJ456" i="13"/>
  <c r="BN456" i="13"/>
  <c r="BA456" i="13"/>
  <c r="BI456" i="13"/>
  <c r="BM456" i="13"/>
  <c r="BE456" i="13"/>
  <c r="AZ504" i="13"/>
  <c r="BD504" i="13"/>
  <c r="BH504" i="13"/>
  <c r="BL504" i="13"/>
  <c r="BP504" i="13"/>
  <c r="BB504" i="13"/>
  <c r="BF504" i="13"/>
  <c r="BJ504" i="13"/>
  <c r="BN504" i="13"/>
  <c r="BG504" i="13"/>
  <c r="BO504" i="13"/>
  <c r="BA504" i="13"/>
  <c r="BI504" i="13"/>
  <c r="BK504" i="13"/>
  <c r="BM504" i="13"/>
  <c r="BC504" i="13"/>
  <c r="BE504" i="13"/>
  <c r="BS556" i="13"/>
  <c r="AZ556" i="13"/>
  <c r="BD556" i="13"/>
  <c r="BH556" i="13"/>
  <c r="BL556" i="13"/>
  <c r="BP556" i="13"/>
  <c r="BB556" i="13"/>
  <c r="BF556" i="13"/>
  <c r="BJ556" i="13"/>
  <c r="BN556" i="13"/>
  <c r="BC556" i="13"/>
  <c r="BK556" i="13"/>
  <c r="BE556" i="13"/>
  <c r="BM556" i="13"/>
  <c r="BG556" i="13"/>
  <c r="BI556" i="13"/>
  <c r="BO556" i="13"/>
  <c r="BA556" i="13"/>
  <c r="BC616" i="13"/>
  <c r="BG616" i="13"/>
  <c r="BK616" i="13"/>
  <c r="BO616" i="13"/>
  <c r="AZ616" i="13"/>
  <c r="BD616" i="13"/>
  <c r="BH616" i="13"/>
  <c r="BL616" i="13"/>
  <c r="BP616" i="13"/>
  <c r="BE616" i="13"/>
  <c r="BM616" i="13"/>
  <c r="BI616" i="13"/>
  <c r="BF616" i="13"/>
  <c r="BN616" i="13"/>
  <c r="BA616" i="13"/>
  <c r="BB616" i="13"/>
  <c r="BJ616" i="13"/>
  <c r="BC684" i="13"/>
  <c r="BG684" i="13"/>
  <c r="BK684" i="13"/>
  <c r="BO684" i="13"/>
  <c r="BE684" i="13"/>
  <c r="BM684" i="13"/>
  <c r="AZ684" i="13"/>
  <c r="BD684" i="13"/>
  <c r="BH684" i="13"/>
  <c r="BL684" i="13"/>
  <c r="BP684" i="13"/>
  <c r="BA684" i="13"/>
  <c r="BI684" i="13"/>
  <c r="BB684" i="13"/>
  <c r="BF684" i="13"/>
  <c r="BJ684" i="13"/>
  <c r="BN684" i="13"/>
  <c r="AZ12" i="13"/>
  <c r="BD12" i="13"/>
  <c r="BH12" i="13"/>
  <c r="BL12" i="13"/>
  <c r="BP12" i="13"/>
  <c r="BA12" i="13"/>
  <c r="BE12" i="13"/>
  <c r="BI12" i="13"/>
  <c r="BM12" i="13"/>
  <c r="BC12" i="13"/>
  <c r="BG12" i="13"/>
  <c r="BK12" i="13"/>
  <c r="BO12" i="13"/>
  <c r="BB12" i="13"/>
  <c r="BJ12" i="13"/>
  <c r="BN12" i="13"/>
  <c r="BF12" i="13"/>
  <c r="BA28" i="13"/>
  <c r="BE28" i="13"/>
  <c r="BI28" i="13"/>
  <c r="BM28" i="13"/>
  <c r="BD28" i="13"/>
  <c r="BJ28" i="13"/>
  <c r="BO28" i="13"/>
  <c r="AZ28" i="13"/>
  <c r="BF28" i="13"/>
  <c r="BK28" i="13"/>
  <c r="BP28" i="13"/>
  <c r="BC28" i="13"/>
  <c r="BH28" i="13"/>
  <c r="BN28" i="13"/>
  <c r="BL28" i="13"/>
  <c r="BG28" i="13"/>
  <c r="BB28" i="13"/>
  <c r="BA44" i="13"/>
  <c r="BE44" i="13"/>
  <c r="BI44" i="13"/>
  <c r="BM44" i="13"/>
  <c r="BC44" i="13"/>
  <c r="BH44" i="13"/>
  <c r="BN44" i="13"/>
  <c r="BF44" i="13"/>
  <c r="BL44" i="13"/>
  <c r="AZ44" i="13"/>
  <c r="BG44" i="13"/>
  <c r="BO44" i="13"/>
  <c r="BD44" i="13"/>
  <c r="BK44" i="13"/>
  <c r="BB44" i="13"/>
  <c r="BJ44" i="13"/>
  <c r="BP44" i="13"/>
  <c r="BS60" i="13"/>
  <c r="BA60" i="13"/>
  <c r="BE60" i="13"/>
  <c r="BI60" i="13"/>
  <c r="BM60" i="13"/>
  <c r="BC60" i="13"/>
  <c r="BH60" i="13"/>
  <c r="BN60" i="13"/>
  <c r="AZ60" i="13"/>
  <c r="BF60" i="13"/>
  <c r="BK60" i="13"/>
  <c r="BP60" i="13"/>
  <c r="BB60" i="13"/>
  <c r="BL60" i="13"/>
  <c r="BD60" i="13"/>
  <c r="BO60" i="13"/>
  <c r="BJ60" i="13"/>
  <c r="BG60" i="13"/>
  <c r="BA76" i="13"/>
  <c r="BE76" i="13"/>
  <c r="BI76" i="13"/>
  <c r="BM76" i="13"/>
  <c r="BC76" i="13"/>
  <c r="BH76" i="13"/>
  <c r="BN76" i="13"/>
  <c r="AZ76" i="13"/>
  <c r="BF76" i="13"/>
  <c r="BK76" i="13"/>
  <c r="BP76" i="13"/>
  <c r="BG76" i="13"/>
  <c r="BJ76" i="13"/>
  <c r="BD76" i="13"/>
  <c r="BO76" i="13"/>
  <c r="BB76" i="13"/>
  <c r="BL76" i="13"/>
  <c r="BA92" i="13"/>
  <c r="BE92" i="13"/>
  <c r="BI92" i="13"/>
  <c r="BM92" i="13"/>
  <c r="BB92" i="13"/>
  <c r="BF92" i="13"/>
  <c r="BJ92" i="13"/>
  <c r="BN92" i="13"/>
  <c r="AZ92" i="13"/>
  <c r="BD92" i="13"/>
  <c r="BH92" i="13"/>
  <c r="BL92" i="13"/>
  <c r="BP92" i="13"/>
  <c r="BO92" i="13"/>
  <c r="BC92" i="13"/>
  <c r="BK92" i="13"/>
  <c r="BG92" i="13"/>
  <c r="BS108" i="13"/>
  <c r="AZ108" i="13"/>
  <c r="BD108" i="13"/>
  <c r="BH108" i="13"/>
  <c r="BL108" i="13"/>
  <c r="BP108" i="13"/>
  <c r="BA108" i="13"/>
  <c r="BF108" i="13"/>
  <c r="BK108" i="13"/>
  <c r="BB108" i="13"/>
  <c r="BG108" i="13"/>
  <c r="BM108" i="13"/>
  <c r="BE108" i="13"/>
  <c r="BJ108" i="13"/>
  <c r="BO108" i="13"/>
  <c r="BN108" i="13"/>
  <c r="BI108" i="13"/>
  <c r="BC108" i="13"/>
  <c r="AZ124" i="13"/>
  <c r="BD124" i="13"/>
  <c r="BH124" i="13"/>
  <c r="BL124" i="13"/>
  <c r="BP124" i="13"/>
  <c r="BA124" i="13"/>
  <c r="BF124" i="13"/>
  <c r="BK124" i="13"/>
  <c r="BB124" i="13"/>
  <c r="BG124" i="13"/>
  <c r="BM124" i="13"/>
  <c r="BE124" i="13"/>
  <c r="BJ124" i="13"/>
  <c r="BO124" i="13"/>
  <c r="BC124" i="13"/>
  <c r="BN124" i="13"/>
  <c r="BI124" i="13"/>
  <c r="AZ140" i="13"/>
  <c r="BD140" i="13"/>
  <c r="BH140" i="13"/>
  <c r="BL140" i="13"/>
  <c r="BP140" i="13"/>
  <c r="BE140" i="13"/>
  <c r="BJ140" i="13"/>
  <c r="BO140" i="13"/>
  <c r="BA140" i="13"/>
  <c r="BG140" i="13"/>
  <c r="BN140" i="13"/>
  <c r="BB140" i="13"/>
  <c r="BI140" i="13"/>
  <c r="BF140" i="13"/>
  <c r="BM140" i="13"/>
  <c r="BC140" i="13"/>
  <c r="BK140" i="13"/>
  <c r="BB156" i="13"/>
  <c r="BF156" i="13"/>
  <c r="BJ156" i="13"/>
  <c r="BN156" i="13"/>
  <c r="BC156" i="13"/>
  <c r="BH156" i="13"/>
  <c r="BM156" i="13"/>
  <c r="BD156" i="13"/>
  <c r="BI156" i="13"/>
  <c r="BO156" i="13"/>
  <c r="BA156" i="13"/>
  <c r="BG156" i="13"/>
  <c r="BL156" i="13"/>
  <c r="BP156" i="13"/>
  <c r="AZ156" i="13"/>
  <c r="BK156" i="13"/>
  <c r="BE156" i="13"/>
  <c r="BS172" i="13"/>
  <c r="BB172" i="13"/>
  <c r="BF172" i="13"/>
  <c r="BJ172" i="13"/>
  <c r="BN172" i="13"/>
  <c r="BC172" i="13"/>
  <c r="BH172" i="13"/>
  <c r="BM172" i="13"/>
  <c r="BD172" i="13"/>
  <c r="BI172" i="13"/>
  <c r="BO172" i="13"/>
  <c r="BA172" i="13"/>
  <c r="BG172" i="13"/>
  <c r="BL172" i="13"/>
  <c r="AZ172" i="13"/>
  <c r="BE172" i="13"/>
  <c r="BP172" i="13"/>
  <c r="BK172" i="13"/>
  <c r="BC188" i="13"/>
  <c r="BG188" i="13"/>
  <c r="BK188" i="13"/>
  <c r="BO188" i="13"/>
  <c r="BA188" i="13"/>
  <c r="BF188" i="13"/>
  <c r="BL188" i="13"/>
  <c r="BB188" i="13"/>
  <c r="BH188" i="13"/>
  <c r="BM188" i="13"/>
  <c r="AZ188" i="13"/>
  <c r="BE188" i="13"/>
  <c r="BJ188" i="13"/>
  <c r="BP188" i="13"/>
  <c r="BD188" i="13"/>
  <c r="BI188" i="13"/>
  <c r="BN188" i="13"/>
  <c r="BC204" i="13"/>
  <c r="BG204" i="13"/>
  <c r="BK204" i="13"/>
  <c r="BO204" i="13"/>
  <c r="BA204" i="13"/>
  <c r="BF204" i="13"/>
  <c r="BL204" i="13"/>
  <c r="BB204" i="13"/>
  <c r="BH204" i="13"/>
  <c r="BM204" i="13"/>
  <c r="AZ204" i="13"/>
  <c r="BE204" i="13"/>
  <c r="BJ204" i="13"/>
  <c r="BP204" i="13"/>
  <c r="BI204" i="13"/>
  <c r="BN204" i="13"/>
  <c r="BD204" i="13"/>
  <c r="BS220" i="13"/>
  <c r="BC220" i="13"/>
  <c r="BG220" i="13"/>
  <c r="BK220" i="13"/>
  <c r="BO220" i="13"/>
  <c r="BA220" i="13"/>
  <c r="BF220" i="13"/>
  <c r="BL220" i="13"/>
  <c r="BB220" i="13"/>
  <c r="BH220" i="13"/>
  <c r="BM220" i="13"/>
  <c r="AZ220" i="13"/>
  <c r="BE220" i="13"/>
  <c r="BJ220" i="13"/>
  <c r="BP220" i="13"/>
  <c r="BN220" i="13"/>
  <c r="BI220" i="13"/>
  <c r="BD220" i="13"/>
  <c r="BC236" i="13"/>
  <c r="BG236" i="13"/>
  <c r="BK236" i="13"/>
  <c r="BO236" i="13"/>
  <c r="BA236" i="13"/>
  <c r="BF236" i="13"/>
  <c r="BL236" i="13"/>
  <c r="BB236" i="13"/>
  <c r="BH236" i="13"/>
  <c r="BM236" i="13"/>
  <c r="AZ236" i="13"/>
  <c r="BE236" i="13"/>
  <c r="BJ236" i="13"/>
  <c r="BP236" i="13"/>
  <c r="BD236" i="13"/>
  <c r="BN236" i="13"/>
  <c r="BI236" i="13"/>
  <c r="BA256" i="13"/>
  <c r="BE256" i="13"/>
  <c r="BI256" i="13"/>
  <c r="BM256" i="13"/>
  <c r="BC256" i="13"/>
  <c r="BG256" i="13"/>
  <c r="BK256" i="13"/>
  <c r="BO256" i="13"/>
  <c r="BF256" i="13"/>
  <c r="BN256" i="13"/>
  <c r="AZ256" i="13"/>
  <c r="BH256" i="13"/>
  <c r="BP256" i="13"/>
  <c r="BD256" i="13"/>
  <c r="BL256" i="13"/>
  <c r="BJ256" i="13"/>
  <c r="BB256" i="13"/>
  <c r="BC272" i="13"/>
  <c r="BG272" i="13"/>
  <c r="BK272" i="13"/>
  <c r="BO272" i="13"/>
  <c r="BB272" i="13"/>
  <c r="BH272" i="13"/>
  <c r="BM272" i="13"/>
  <c r="BD272" i="13"/>
  <c r="BI272" i="13"/>
  <c r="BN272" i="13"/>
  <c r="BA272" i="13"/>
  <c r="BF272" i="13"/>
  <c r="BL272" i="13"/>
  <c r="BP272" i="13"/>
  <c r="AZ272" i="13"/>
  <c r="BJ272" i="13"/>
  <c r="BE272" i="13"/>
  <c r="BC288" i="13"/>
  <c r="BG288" i="13"/>
  <c r="BK288" i="13"/>
  <c r="BO288" i="13"/>
  <c r="AZ288" i="13"/>
  <c r="BD288" i="13"/>
  <c r="BH288" i="13"/>
  <c r="BL288" i="13"/>
  <c r="BP288" i="13"/>
  <c r="BB288" i="13"/>
  <c r="BF288" i="13"/>
  <c r="BJ288" i="13"/>
  <c r="BN288" i="13"/>
  <c r="BA288" i="13"/>
  <c r="BE288" i="13"/>
  <c r="BM288" i="13"/>
  <c r="BI288" i="13"/>
  <c r="BS304" i="13"/>
  <c r="BC304" i="13"/>
  <c r="BG304" i="13"/>
  <c r="BK304" i="13"/>
  <c r="BO304" i="13"/>
  <c r="AZ304" i="13"/>
  <c r="BD304" i="13"/>
  <c r="BH304" i="13"/>
  <c r="BL304" i="13"/>
  <c r="BP304" i="13"/>
  <c r="BB304" i="13"/>
  <c r="BF304" i="13"/>
  <c r="BJ304" i="13"/>
  <c r="BN304" i="13"/>
  <c r="BA304" i="13"/>
  <c r="BE304" i="13"/>
  <c r="BM304" i="13"/>
  <c r="BI304" i="13"/>
  <c r="BB328" i="13"/>
  <c r="BF328" i="13"/>
  <c r="BJ328" i="13"/>
  <c r="BN328" i="13"/>
  <c r="AZ328" i="13"/>
  <c r="BE328" i="13"/>
  <c r="BK328" i="13"/>
  <c r="BP328" i="13"/>
  <c r="BA328" i="13"/>
  <c r="BG328" i="13"/>
  <c r="BL328" i="13"/>
  <c r="BD328" i="13"/>
  <c r="BI328" i="13"/>
  <c r="BO328" i="13"/>
  <c r="BH328" i="13"/>
  <c r="BC328" i="13"/>
  <c r="BM328" i="13"/>
  <c r="BB352" i="13"/>
  <c r="BF352" i="13"/>
  <c r="BJ352" i="13"/>
  <c r="BN352" i="13"/>
  <c r="BC352" i="13"/>
  <c r="BH352" i="13"/>
  <c r="BM352" i="13"/>
  <c r="BD352" i="13"/>
  <c r="BI352" i="13"/>
  <c r="BO352" i="13"/>
  <c r="BA352" i="13"/>
  <c r="BG352" i="13"/>
  <c r="BL352" i="13"/>
  <c r="BP352" i="13"/>
  <c r="BE352" i="13"/>
  <c r="BK352" i="13"/>
  <c r="AZ352" i="13"/>
  <c r="BC400" i="13"/>
  <c r="BG400" i="13"/>
  <c r="BK400" i="13"/>
  <c r="BO400" i="13"/>
  <c r="AZ400" i="13"/>
  <c r="BD400" i="13"/>
  <c r="BH400" i="13"/>
  <c r="BL400" i="13"/>
  <c r="BP400" i="13"/>
  <c r="BB400" i="13"/>
  <c r="BF400" i="13"/>
  <c r="BJ400" i="13"/>
  <c r="BN400" i="13"/>
  <c r="BI400" i="13"/>
  <c r="BA400" i="13"/>
  <c r="BE400" i="13"/>
  <c r="BM400" i="13"/>
  <c r="BC448" i="13"/>
  <c r="BG448" i="13"/>
  <c r="BK448" i="13"/>
  <c r="BO448" i="13"/>
  <c r="AZ448" i="13"/>
  <c r="BD448" i="13"/>
  <c r="BH448" i="13"/>
  <c r="BL448" i="13"/>
  <c r="BP448" i="13"/>
  <c r="BB448" i="13"/>
  <c r="BF448" i="13"/>
  <c r="BJ448" i="13"/>
  <c r="BN448" i="13"/>
  <c r="BI448" i="13"/>
  <c r="BA448" i="13"/>
  <c r="BE448" i="13"/>
  <c r="BM448" i="13"/>
  <c r="BS500" i="13"/>
  <c r="AZ500" i="13"/>
  <c r="BD500" i="13"/>
  <c r="BH500" i="13"/>
  <c r="BL500" i="13"/>
  <c r="BP500" i="13"/>
  <c r="BB500" i="13"/>
  <c r="BF500" i="13"/>
  <c r="BJ500" i="13"/>
  <c r="BN500" i="13"/>
  <c r="BC500" i="13"/>
  <c r="BK500" i="13"/>
  <c r="BE500" i="13"/>
  <c r="BM500" i="13"/>
  <c r="BO500" i="13"/>
  <c r="BA500" i="13"/>
  <c r="BG500" i="13"/>
  <c r="BI500" i="13"/>
  <c r="BS564" i="13"/>
  <c r="AZ564" i="13"/>
  <c r="BD564" i="13"/>
  <c r="BH564" i="13"/>
  <c r="BL564" i="13"/>
  <c r="BP564" i="13"/>
  <c r="BB564" i="13"/>
  <c r="BF564" i="13"/>
  <c r="BJ564" i="13"/>
  <c r="BN564" i="13"/>
  <c r="BC564" i="13"/>
  <c r="BK564" i="13"/>
  <c r="BE564" i="13"/>
  <c r="BM564" i="13"/>
  <c r="BO564" i="13"/>
  <c r="BG564" i="13"/>
  <c r="BA564" i="13"/>
  <c r="BI564" i="13"/>
  <c r="BC628" i="13"/>
  <c r="BG628" i="13"/>
  <c r="BK628" i="13"/>
  <c r="BO628" i="13"/>
  <c r="AZ628" i="13"/>
  <c r="BD628" i="13"/>
  <c r="BH628" i="13"/>
  <c r="BL628" i="13"/>
  <c r="BP628" i="13"/>
  <c r="BA628" i="13"/>
  <c r="BI628" i="13"/>
  <c r="BM628" i="13"/>
  <c r="BB628" i="13"/>
  <c r="BJ628" i="13"/>
  <c r="BE628" i="13"/>
  <c r="BF628" i="13"/>
  <c r="BN628" i="13"/>
  <c r="BC688" i="13"/>
  <c r="BG688" i="13"/>
  <c r="BK688" i="13"/>
  <c r="BO688" i="13"/>
  <c r="BE688" i="13"/>
  <c r="BM688" i="13"/>
  <c r="AZ688" i="13"/>
  <c r="BD688" i="13"/>
  <c r="BH688" i="13"/>
  <c r="BL688" i="13"/>
  <c r="BP688" i="13"/>
  <c r="BA688" i="13"/>
  <c r="BI688" i="13"/>
  <c r="BB688" i="13"/>
  <c r="BF688" i="13"/>
  <c r="BJ688" i="13"/>
  <c r="BN688" i="13"/>
  <c r="BS17" i="13"/>
  <c r="BC17" i="13"/>
  <c r="BG17" i="13"/>
  <c r="BK17" i="13"/>
  <c r="BO17" i="13"/>
  <c r="AZ17" i="13"/>
  <c r="BD17" i="13"/>
  <c r="BH17" i="13"/>
  <c r="BL17" i="13"/>
  <c r="BP17" i="13"/>
  <c r="BB17" i="13"/>
  <c r="BF17" i="13"/>
  <c r="BJ17" i="13"/>
  <c r="BN17" i="13"/>
  <c r="BM17" i="13"/>
  <c r="BI17" i="13"/>
  <c r="BE17" i="13"/>
  <c r="BA17" i="13"/>
  <c r="AZ33" i="13"/>
  <c r="BD33" i="13"/>
  <c r="BH33" i="13"/>
  <c r="BL33" i="13"/>
  <c r="BP33" i="13"/>
  <c r="BE33" i="13"/>
  <c r="BJ33" i="13"/>
  <c r="BO33" i="13"/>
  <c r="BA33" i="13"/>
  <c r="BF33" i="13"/>
  <c r="BK33" i="13"/>
  <c r="BC33" i="13"/>
  <c r="BI33" i="13"/>
  <c r="BN33" i="13"/>
  <c r="BM33" i="13"/>
  <c r="BG33" i="13"/>
  <c r="BB33" i="13"/>
  <c r="AZ49" i="13"/>
  <c r="BD49" i="13"/>
  <c r="BH49" i="13"/>
  <c r="BL49" i="13"/>
  <c r="BP49" i="13"/>
  <c r="BC49" i="13"/>
  <c r="BI49" i="13"/>
  <c r="BN49" i="13"/>
  <c r="BF49" i="13"/>
  <c r="BM49" i="13"/>
  <c r="BA49" i="13"/>
  <c r="BG49" i="13"/>
  <c r="BO49" i="13"/>
  <c r="BE49" i="13"/>
  <c r="BK49" i="13"/>
  <c r="BB49" i="13"/>
  <c r="BJ49" i="13"/>
  <c r="AZ65" i="13"/>
  <c r="BD65" i="13"/>
  <c r="BH65" i="13"/>
  <c r="BL65" i="13"/>
  <c r="BP65" i="13"/>
  <c r="BC65" i="13"/>
  <c r="BI65" i="13"/>
  <c r="BN65" i="13"/>
  <c r="BA65" i="13"/>
  <c r="BF65" i="13"/>
  <c r="BK65" i="13"/>
  <c r="BB65" i="13"/>
  <c r="BM65" i="13"/>
  <c r="BE65" i="13"/>
  <c r="BO65" i="13"/>
  <c r="BJ65" i="13"/>
  <c r="BG65" i="13"/>
  <c r="BS81" i="13"/>
  <c r="AZ81" i="13"/>
  <c r="BD81" i="13"/>
  <c r="BH81" i="13"/>
  <c r="BL81" i="13"/>
  <c r="BP81" i="13"/>
  <c r="BC81" i="13"/>
  <c r="BI81" i="13"/>
  <c r="BN81" i="13"/>
  <c r="BA81" i="13"/>
  <c r="BF81" i="13"/>
  <c r="BK81" i="13"/>
  <c r="BG81" i="13"/>
  <c r="BJ81" i="13"/>
  <c r="BE81" i="13"/>
  <c r="BO81" i="13"/>
  <c r="BB81" i="13"/>
  <c r="BM81" i="13"/>
  <c r="BC97" i="13"/>
  <c r="BG97" i="13"/>
  <c r="BK97" i="13"/>
  <c r="BO97" i="13"/>
  <c r="BA97" i="13"/>
  <c r="BF97" i="13"/>
  <c r="BL97" i="13"/>
  <c r="BB97" i="13"/>
  <c r="BH97" i="13"/>
  <c r="BM97" i="13"/>
  <c r="AZ97" i="13"/>
  <c r="BE97" i="13"/>
  <c r="BJ97" i="13"/>
  <c r="BP97" i="13"/>
  <c r="BI97" i="13"/>
  <c r="BN97" i="13"/>
  <c r="BD97" i="13"/>
  <c r="BC113" i="13"/>
  <c r="BG113" i="13"/>
  <c r="BK113" i="13"/>
  <c r="BO113" i="13"/>
  <c r="BA113" i="13"/>
  <c r="BF113" i="13"/>
  <c r="BL113" i="13"/>
  <c r="BB113" i="13"/>
  <c r="BH113" i="13"/>
  <c r="BM113" i="13"/>
  <c r="AZ113" i="13"/>
  <c r="BE113" i="13"/>
  <c r="BJ113" i="13"/>
  <c r="BP113" i="13"/>
  <c r="BN113" i="13"/>
  <c r="BI113" i="13"/>
  <c r="BD113" i="13"/>
  <c r="BS129" i="13"/>
  <c r="BC129" i="13"/>
  <c r="BG129" i="13"/>
  <c r="BK129" i="13"/>
  <c r="BO129" i="13"/>
  <c r="BA129" i="13"/>
  <c r="BF129" i="13"/>
  <c r="BL129" i="13"/>
  <c r="BB129" i="13"/>
  <c r="BH129" i="13"/>
  <c r="BM129" i="13"/>
  <c r="AZ129" i="13"/>
  <c r="BE129" i="13"/>
  <c r="BJ129" i="13"/>
  <c r="BP129" i="13"/>
  <c r="BD129" i="13"/>
  <c r="BN129" i="13"/>
  <c r="BI129" i="13"/>
  <c r="BC145" i="13"/>
  <c r="BG145" i="13"/>
  <c r="BK145" i="13"/>
  <c r="BO145" i="13"/>
  <c r="AZ145" i="13"/>
  <c r="BE145" i="13"/>
  <c r="BJ145" i="13"/>
  <c r="BP145" i="13"/>
  <c r="BA145" i="13"/>
  <c r="BH145" i="13"/>
  <c r="BN145" i="13"/>
  <c r="BB145" i="13"/>
  <c r="BI145" i="13"/>
  <c r="BF145" i="13"/>
  <c r="BM145" i="13"/>
  <c r="BD145" i="13"/>
  <c r="BL145" i="13"/>
  <c r="BA161" i="13"/>
  <c r="BE161" i="13"/>
  <c r="BI161" i="13"/>
  <c r="BM161" i="13"/>
  <c r="BC161" i="13"/>
  <c r="BH161" i="13"/>
  <c r="BN161" i="13"/>
  <c r="BD161" i="13"/>
  <c r="BJ161" i="13"/>
  <c r="BO161" i="13"/>
  <c r="BB161" i="13"/>
  <c r="BG161" i="13"/>
  <c r="BL161" i="13"/>
  <c r="BP161" i="13"/>
  <c r="AZ161" i="13"/>
  <c r="BK161" i="13"/>
  <c r="BF161" i="13"/>
  <c r="BA177" i="13"/>
  <c r="BE177" i="13"/>
  <c r="BI177" i="13"/>
  <c r="BM177" i="13"/>
  <c r="BC177" i="13"/>
  <c r="BH177" i="13"/>
  <c r="BN177" i="13"/>
  <c r="BD177" i="13"/>
  <c r="BJ177" i="13"/>
  <c r="BO177" i="13"/>
  <c r="BB177" i="13"/>
  <c r="BG177" i="13"/>
  <c r="BL177" i="13"/>
  <c r="AZ177" i="13"/>
  <c r="BF177" i="13"/>
  <c r="BP177" i="13"/>
  <c r="BK177" i="13"/>
  <c r="BS193" i="13"/>
  <c r="BB193" i="13"/>
  <c r="BF193" i="13"/>
  <c r="BJ193" i="13"/>
  <c r="BN193" i="13"/>
  <c r="BA193" i="13"/>
  <c r="BG193" i="13"/>
  <c r="BL193" i="13"/>
  <c r="BC193" i="13"/>
  <c r="BH193" i="13"/>
  <c r="BM193" i="13"/>
  <c r="AZ193" i="13"/>
  <c r="BE193" i="13"/>
  <c r="BK193" i="13"/>
  <c r="BP193" i="13"/>
  <c r="BD193" i="13"/>
  <c r="BI193" i="13"/>
  <c r="BO193" i="13"/>
  <c r="BB209" i="13"/>
  <c r="BF209" i="13"/>
  <c r="BJ209" i="13"/>
  <c r="BN209" i="13"/>
  <c r="BA209" i="13"/>
  <c r="BG209" i="13"/>
  <c r="BL209" i="13"/>
  <c r="BC209" i="13"/>
  <c r="BH209" i="13"/>
  <c r="BM209" i="13"/>
  <c r="AZ209" i="13"/>
  <c r="BE209" i="13"/>
  <c r="BK209" i="13"/>
  <c r="BP209" i="13"/>
  <c r="BI209" i="13"/>
  <c r="BO209" i="13"/>
  <c r="BD209" i="13"/>
  <c r="BB225" i="13"/>
  <c r="BF225" i="13"/>
  <c r="BJ225" i="13"/>
  <c r="BN225" i="13"/>
  <c r="BA225" i="13"/>
  <c r="BG225" i="13"/>
  <c r="BL225" i="13"/>
  <c r="BC225" i="13"/>
  <c r="BH225" i="13"/>
  <c r="BM225" i="13"/>
  <c r="AZ225" i="13"/>
  <c r="BE225" i="13"/>
  <c r="BK225" i="13"/>
  <c r="BP225" i="13"/>
  <c r="BO225" i="13"/>
  <c r="BI225" i="13"/>
  <c r="BD225" i="13"/>
  <c r="BS241" i="13"/>
  <c r="BB241" i="13"/>
  <c r="BF241" i="13"/>
  <c r="BJ241" i="13"/>
  <c r="BN241" i="13"/>
  <c r="BA241" i="13"/>
  <c r="BG241" i="13"/>
  <c r="BL241" i="13"/>
  <c r="BC241" i="13"/>
  <c r="BH241" i="13"/>
  <c r="BM241" i="13"/>
  <c r="AZ241" i="13"/>
  <c r="BE241" i="13"/>
  <c r="BK241" i="13"/>
  <c r="BP241" i="13"/>
  <c r="BD241" i="13"/>
  <c r="BO241" i="13"/>
  <c r="BI241" i="13"/>
  <c r="AZ261" i="13"/>
  <c r="BD261" i="13"/>
  <c r="BH261" i="13"/>
  <c r="BL261" i="13"/>
  <c r="BP261" i="13"/>
  <c r="BB261" i="13"/>
  <c r="BF261" i="13"/>
  <c r="BJ261" i="13"/>
  <c r="BN261" i="13"/>
  <c r="BA261" i="13"/>
  <c r="BI261" i="13"/>
  <c r="BC261" i="13"/>
  <c r="BK261" i="13"/>
  <c r="BG261" i="13"/>
  <c r="BO261" i="13"/>
  <c r="BM261" i="13"/>
  <c r="BE261" i="13"/>
  <c r="BB277" i="13"/>
  <c r="BF277" i="13"/>
  <c r="BJ277" i="13"/>
  <c r="BN277" i="13"/>
  <c r="BC277" i="13"/>
  <c r="BG277" i="13"/>
  <c r="BK277" i="13"/>
  <c r="BO277" i="13"/>
  <c r="BA277" i="13"/>
  <c r="BE277" i="13"/>
  <c r="BI277" i="13"/>
  <c r="BM277" i="13"/>
  <c r="BL277" i="13"/>
  <c r="AZ277" i="13"/>
  <c r="BP277" i="13"/>
  <c r="BH277" i="13"/>
  <c r="BD277" i="13"/>
  <c r="BB293" i="13"/>
  <c r="BF293" i="13"/>
  <c r="BJ293" i="13"/>
  <c r="BN293" i="13"/>
  <c r="BC293" i="13"/>
  <c r="BG293" i="13"/>
  <c r="BK293" i="13"/>
  <c r="BO293" i="13"/>
  <c r="BA293" i="13"/>
  <c r="BE293" i="13"/>
  <c r="BI293" i="13"/>
  <c r="BM293" i="13"/>
  <c r="BL293" i="13"/>
  <c r="AZ293" i="13"/>
  <c r="BP293" i="13"/>
  <c r="BH293" i="13"/>
  <c r="BD293" i="13"/>
  <c r="BB309" i="13"/>
  <c r="BF309" i="13"/>
  <c r="BJ309" i="13"/>
  <c r="BN309" i="13"/>
  <c r="BC309" i="13"/>
  <c r="BG309" i="13"/>
  <c r="BK309" i="13"/>
  <c r="BO309" i="13"/>
  <c r="BA309" i="13"/>
  <c r="BE309" i="13"/>
  <c r="BI309" i="13"/>
  <c r="BM309" i="13"/>
  <c r="BL309" i="13"/>
  <c r="AZ309" i="13"/>
  <c r="BP309" i="13"/>
  <c r="BH309" i="13"/>
  <c r="BD309" i="13"/>
  <c r="BS325" i="13"/>
  <c r="BB325" i="13"/>
  <c r="BF325" i="13"/>
  <c r="BJ325" i="13"/>
  <c r="BN325" i="13"/>
  <c r="BC325" i="13"/>
  <c r="BG325" i="13"/>
  <c r="BK325" i="13"/>
  <c r="BO325" i="13"/>
  <c r="BA325" i="13"/>
  <c r="BE325" i="13"/>
  <c r="BI325" i="13"/>
  <c r="BM325" i="13"/>
  <c r="BL325" i="13"/>
  <c r="AZ325" i="13"/>
  <c r="BP325" i="13"/>
  <c r="BH325" i="13"/>
  <c r="BD325" i="13"/>
  <c r="BA341" i="13"/>
  <c r="BE341" i="13"/>
  <c r="BI341" i="13"/>
  <c r="BM341" i="13"/>
  <c r="BC341" i="13"/>
  <c r="BH341" i="13"/>
  <c r="BN341" i="13"/>
  <c r="BD341" i="13"/>
  <c r="BJ341" i="13"/>
  <c r="BO341" i="13"/>
  <c r="BB341" i="13"/>
  <c r="BG341" i="13"/>
  <c r="BL341" i="13"/>
  <c r="BK341" i="13"/>
  <c r="AZ341" i="13"/>
  <c r="BF341" i="13"/>
  <c r="BP341" i="13"/>
  <c r="BA357" i="13"/>
  <c r="BE357" i="13"/>
  <c r="BI357" i="13"/>
  <c r="BM357" i="13"/>
  <c r="BC357" i="13"/>
  <c r="BH357" i="13"/>
  <c r="BN357" i="13"/>
  <c r="BD357" i="13"/>
  <c r="BJ357" i="13"/>
  <c r="BO357" i="13"/>
  <c r="BB357" i="13"/>
  <c r="BG357" i="13"/>
  <c r="BL357" i="13"/>
  <c r="BP357" i="13"/>
  <c r="BF357" i="13"/>
  <c r="BK357" i="13"/>
  <c r="AZ357" i="13"/>
  <c r="BA373" i="13"/>
  <c r="BE373" i="13"/>
  <c r="BI373" i="13"/>
  <c r="BM373" i="13"/>
  <c r="BC373" i="13"/>
  <c r="BH373" i="13"/>
  <c r="BN373" i="13"/>
  <c r="BD373" i="13"/>
  <c r="BJ373" i="13"/>
  <c r="BO373" i="13"/>
  <c r="BB373" i="13"/>
  <c r="BG373" i="13"/>
  <c r="BL373" i="13"/>
  <c r="AZ373" i="13"/>
  <c r="BK373" i="13"/>
  <c r="BF373" i="13"/>
  <c r="BP373" i="13"/>
  <c r="BS389" i="13"/>
  <c r="BB389" i="13"/>
  <c r="BF389" i="13"/>
  <c r="BJ389" i="13"/>
  <c r="BN389" i="13"/>
  <c r="BC389" i="13"/>
  <c r="BG389" i="13"/>
  <c r="BK389" i="13"/>
  <c r="BO389" i="13"/>
  <c r="BA389" i="13"/>
  <c r="BE389" i="13"/>
  <c r="BI389" i="13"/>
  <c r="BM389" i="13"/>
  <c r="BD389" i="13"/>
  <c r="BL389" i="13"/>
  <c r="AZ389" i="13"/>
  <c r="BH389" i="13"/>
  <c r="BP389" i="13"/>
  <c r="BB405" i="13"/>
  <c r="BF405" i="13"/>
  <c r="BJ405" i="13"/>
  <c r="BN405" i="13"/>
  <c r="BC405" i="13"/>
  <c r="BG405" i="13"/>
  <c r="BK405" i="13"/>
  <c r="BO405" i="13"/>
  <c r="BA405" i="13"/>
  <c r="BE405" i="13"/>
  <c r="BI405" i="13"/>
  <c r="BM405" i="13"/>
  <c r="BD405" i="13"/>
  <c r="BL405" i="13"/>
  <c r="BP405" i="13"/>
  <c r="AZ405" i="13"/>
  <c r="BH405" i="13"/>
  <c r="BB421" i="13"/>
  <c r="BF421" i="13"/>
  <c r="BJ421" i="13"/>
  <c r="BN421" i="13"/>
  <c r="BC421" i="13"/>
  <c r="BG421" i="13"/>
  <c r="BK421" i="13"/>
  <c r="BO421" i="13"/>
  <c r="BA421" i="13"/>
  <c r="BE421" i="13"/>
  <c r="BI421" i="13"/>
  <c r="BM421" i="13"/>
  <c r="BD421" i="13"/>
  <c r="BL421" i="13"/>
  <c r="AZ421" i="13"/>
  <c r="BH421" i="13"/>
  <c r="BP421" i="13"/>
  <c r="BS437" i="13"/>
  <c r="BB437" i="13"/>
  <c r="BF437" i="13"/>
  <c r="BJ437" i="13"/>
  <c r="BN437" i="13"/>
  <c r="BC437" i="13"/>
  <c r="BG437" i="13"/>
  <c r="BK437" i="13"/>
  <c r="BO437" i="13"/>
  <c r="BA437" i="13"/>
  <c r="BE437" i="13"/>
  <c r="BI437" i="13"/>
  <c r="BM437" i="13"/>
  <c r="BD437" i="13"/>
  <c r="BL437" i="13"/>
  <c r="BP437" i="13"/>
  <c r="AZ437" i="13"/>
  <c r="BH437" i="13"/>
  <c r="BB453" i="13"/>
  <c r="BF453" i="13"/>
  <c r="BJ453" i="13"/>
  <c r="BN453" i="13"/>
  <c r="BC453" i="13"/>
  <c r="BG453" i="13"/>
  <c r="BK453" i="13"/>
  <c r="BO453" i="13"/>
  <c r="BA453" i="13"/>
  <c r="BE453" i="13"/>
  <c r="BI453" i="13"/>
  <c r="BM453" i="13"/>
  <c r="BD453" i="13"/>
  <c r="BL453" i="13"/>
  <c r="AZ453" i="13"/>
  <c r="BH453" i="13"/>
  <c r="BP453" i="13"/>
  <c r="BB469" i="13"/>
  <c r="BF469" i="13"/>
  <c r="BJ469" i="13"/>
  <c r="BN469" i="13"/>
  <c r="BC469" i="13"/>
  <c r="BG469" i="13"/>
  <c r="BK469" i="13"/>
  <c r="BO469" i="13"/>
  <c r="BA469" i="13"/>
  <c r="BE469" i="13"/>
  <c r="BI469" i="13"/>
  <c r="BM469" i="13"/>
  <c r="BD469" i="13"/>
  <c r="BL469" i="13"/>
  <c r="BP469" i="13"/>
  <c r="AZ469" i="13"/>
  <c r="BH469" i="13"/>
  <c r="BB485" i="13"/>
  <c r="BF485" i="13"/>
  <c r="BJ485" i="13"/>
  <c r="BN485" i="13"/>
  <c r="AZ485" i="13"/>
  <c r="BD485" i="13"/>
  <c r="BH485" i="13"/>
  <c r="BL485" i="13"/>
  <c r="BP485" i="13"/>
  <c r="BA485" i="13"/>
  <c r="BI485" i="13"/>
  <c r="BC485" i="13"/>
  <c r="BK485" i="13"/>
  <c r="BM485" i="13"/>
  <c r="BE485" i="13"/>
  <c r="BO485" i="13"/>
  <c r="BG485" i="13"/>
  <c r="BS501" i="13"/>
  <c r="BC501" i="13"/>
  <c r="BG501" i="13"/>
  <c r="BK501" i="13"/>
  <c r="BO501" i="13"/>
  <c r="BA501" i="13"/>
  <c r="BE501" i="13"/>
  <c r="BI501" i="13"/>
  <c r="BM501" i="13"/>
  <c r="BB501" i="13"/>
  <c r="BJ501" i="13"/>
  <c r="BD501" i="13"/>
  <c r="BL501" i="13"/>
  <c r="BN501" i="13"/>
  <c r="BF501" i="13"/>
  <c r="AZ501" i="13"/>
  <c r="BP501" i="13"/>
  <c r="BH501" i="13"/>
  <c r="BC517" i="13"/>
  <c r="BG517" i="13"/>
  <c r="BK517" i="13"/>
  <c r="BO517" i="13"/>
  <c r="BA517" i="13"/>
  <c r="BE517" i="13"/>
  <c r="BI517" i="13"/>
  <c r="BM517" i="13"/>
  <c r="BB517" i="13"/>
  <c r="BJ517" i="13"/>
  <c r="BD517" i="13"/>
  <c r="BL517" i="13"/>
  <c r="BN517" i="13"/>
  <c r="AZ517" i="13"/>
  <c r="BP517" i="13"/>
  <c r="BF517" i="13"/>
  <c r="BH517" i="13"/>
  <c r="BC533" i="13"/>
  <c r="BG533" i="13"/>
  <c r="BK533" i="13"/>
  <c r="BO533" i="13"/>
  <c r="BA533" i="13"/>
  <c r="BE533" i="13"/>
  <c r="BI533" i="13"/>
  <c r="BM533" i="13"/>
  <c r="BB533" i="13"/>
  <c r="BJ533" i="13"/>
  <c r="BD533" i="13"/>
  <c r="BL533" i="13"/>
  <c r="BN533" i="13"/>
  <c r="BF533" i="13"/>
  <c r="AZ533" i="13"/>
  <c r="BP533" i="13"/>
  <c r="BH533" i="13"/>
  <c r="BS549" i="13"/>
  <c r="BC549" i="13"/>
  <c r="BG549" i="13"/>
  <c r="BK549" i="13"/>
  <c r="BO549" i="13"/>
  <c r="BA549" i="13"/>
  <c r="BE549" i="13"/>
  <c r="BI549" i="13"/>
  <c r="BM549" i="13"/>
  <c r="BB549" i="13"/>
  <c r="BJ549" i="13"/>
  <c r="BD549" i="13"/>
  <c r="BL549" i="13"/>
  <c r="BN549" i="13"/>
  <c r="AZ549" i="13"/>
  <c r="BP549" i="13"/>
  <c r="BF549" i="13"/>
  <c r="BH549" i="13"/>
  <c r="BC565" i="13"/>
  <c r="BG565" i="13"/>
  <c r="BK565" i="13"/>
  <c r="BO565" i="13"/>
  <c r="BA565" i="13"/>
  <c r="BE565" i="13"/>
  <c r="BI565" i="13"/>
  <c r="BM565" i="13"/>
  <c r="BB565" i="13"/>
  <c r="BJ565" i="13"/>
  <c r="BD565" i="13"/>
  <c r="BL565" i="13"/>
  <c r="BN565" i="13"/>
  <c r="AZ565" i="13"/>
  <c r="BP565" i="13"/>
  <c r="BF565" i="13"/>
  <c r="BH565" i="13"/>
  <c r="BC581" i="13"/>
  <c r="BG581" i="13"/>
  <c r="BK581" i="13"/>
  <c r="BO581" i="13"/>
  <c r="BA581" i="13"/>
  <c r="BE581" i="13"/>
  <c r="BI581" i="13"/>
  <c r="BM581" i="13"/>
  <c r="BB581" i="13"/>
  <c r="BJ581" i="13"/>
  <c r="BD581" i="13"/>
  <c r="BL581" i="13"/>
  <c r="BN581" i="13"/>
  <c r="AZ581" i="13"/>
  <c r="BP581" i="13"/>
  <c r="BF581" i="13"/>
  <c r="BH581" i="13"/>
  <c r="BC597" i="13"/>
  <c r="BG597" i="13"/>
  <c r="BK597" i="13"/>
  <c r="BO597" i="13"/>
  <c r="BA597" i="13"/>
  <c r="BE597" i="13"/>
  <c r="BI597" i="13"/>
  <c r="BM597" i="13"/>
  <c r="BB597" i="13"/>
  <c r="BJ597" i="13"/>
  <c r="BD597" i="13"/>
  <c r="BL597" i="13"/>
  <c r="BN597" i="13"/>
  <c r="AZ597" i="13"/>
  <c r="BP597" i="13"/>
  <c r="BF597" i="13"/>
  <c r="BH597" i="13"/>
  <c r="BS613" i="13"/>
  <c r="BB613" i="13"/>
  <c r="BF613" i="13"/>
  <c r="BJ613" i="13"/>
  <c r="BN613" i="13"/>
  <c r="BC613" i="13"/>
  <c r="BG613" i="13"/>
  <c r="BK613" i="13"/>
  <c r="BO613" i="13"/>
  <c r="AZ613" i="13"/>
  <c r="BH613" i="13"/>
  <c r="BP613" i="13"/>
  <c r="BA613" i="13"/>
  <c r="BI613" i="13"/>
  <c r="BD613" i="13"/>
  <c r="BL613" i="13"/>
  <c r="BE613" i="13"/>
  <c r="BM613" i="13"/>
  <c r="BB629" i="13"/>
  <c r="BF629" i="13"/>
  <c r="BJ629" i="13"/>
  <c r="BN629" i="13"/>
  <c r="BC629" i="13"/>
  <c r="BG629" i="13"/>
  <c r="BK629" i="13"/>
  <c r="BO629" i="13"/>
  <c r="AZ629" i="13"/>
  <c r="BH629" i="13"/>
  <c r="BP629" i="13"/>
  <c r="BL629" i="13"/>
  <c r="BA629" i="13"/>
  <c r="BI629" i="13"/>
  <c r="BD629" i="13"/>
  <c r="BE629" i="13"/>
  <c r="BM629" i="13"/>
  <c r="BB645" i="13"/>
  <c r="BF645" i="13"/>
  <c r="BJ645" i="13"/>
  <c r="BN645" i="13"/>
  <c r="BC645" i="13"/>
  <c r="BG645" i="13"/>
  <c r="BK645" i="13"/>
  <c r="BO645" i="13"/>
  <c r="AZ645" i="13"/>
  <c r="BH645" i="13"/>
  <c r="BP645" i="13"/>
  <c r="BI645" i="13"/>
  <c r="BL645" i="13"/>
  <c r="BA645" i="13"/>
  <c r="BD645" i="13"/>
  <c r="BE645" i="13"/>
  <c r="BM645" i="13"/>
  <c r="BS661" i="13"/>
  <c r="BB661" i="13"/>
  <c r="BF661" i="13"/>
  <c r="BJ661" i="13"/>
  <c r="BN661" i="13"/>
  <c r="BC661" i="13"/>
  <c r="BG661" i="13"/>
  <c r="BK661" i="13"/>
  <c r="BO661" i="13"/>
  <c r="AZ661" i="13"/>
  <c r="BH661" i="13"/>
  <c r="BP661" i="13"/>
  <c r="BI661" i="13"/>
  <c r="BD661" i="13"/>
  <c r="BA661" i="13"/>
  <c r="BL661" i="13"/>
  <c r="BE661" i="13"/>
  <c r="BM661" i="13"/>
  <c r="BB677" i="13"/>
  <c r="BF677" i="13"/>
  <c r="BJ677" i="13"/>
  <c r="BN677" i="13"/>
  <c r="BC677" i="13"/>
  <c r="BG677" i="13"/>
  <c r="BK677" i="13"/>
  <c r="BO677" i="13"/>
  <c r="AZ677" i="13"/>
  <c r="BH677" i="13"/>
  <c r="BP677" i="13"/>
  <c r="BL677" i="13"/>
  <c r="BA677" i="13"/>
  <c r="BI677" i="13"/>
  <c r="BD677" i="13"/>
  <c r="BE677" i="13"/>
  <c r="BM677" i="13"/>
  <c r="BB693" i="13"/>
  <c r="BF693" i="13"/>
  <c r="BJ693" i="13"/>
  <c r="BN693" i="13"/>
  <c r="AZ693" i="13"/>
  <c r="BH693" i="13"/>
  <c r="BP693" i="13"/>
  <c r="BC693" i="13"/>
  <c r="BG693" i="13"/>
  <c r="BK693" i="13"/>
  <c r="BO693" i="13"/>
  <c r="BD693" i="13"/>
  <c r="BL693" i="13"/>
  <c r="BA693" i="13"/>
  <c r="BE693" i="13"/>
  <c r="BI693" i="13"/>
  <c r="BM693" i="13"/>
  <c r="AZ560" i="13"/>
  <c r="BD560" i="13"/>
  <c r="BH560" i="13"/>
  <c r="BL560" i="13"/>
  <c r="BP560" i="13"/>
  <c r="BB560" i="13"/>
  <c r="BF560" i="13"/>
  <c r="BJ560" i="13"/>
  <c r="BN560" i="13"/>
  <c r="BG560" i="13"/>
  <c r="BO560" i="13"/>
  <c r="BA560" i="13"/>
  <c r="BI560" i="13"/>
  <c r="BC560" i="13"/>
  <c r="BE560" i="13"/>
  <c r="BK560" i="13"/>
  <c r="BM560" i="13"/>
  <c r="BC624" i="13"/>
  <c r="BG624" i="13"/>
  <c r="BK624" i="13"/>
  <c r="BO624" i="13"/>
  <c r="AZ624" i="13"/>
  <c r="BD624" i="13"/>
  <c r="BH624" i="13"/>
  <c r="BL624" i="13"/>
  <c r="BP624" i="13"/>
  <c r="BE624" i="13"/>
  <c r="BM624" i="13"/>
  <c r="BA624" i="13"/>
  <c r="BF624" i="13"/>
  <c r="BN624" i="13"/>
  <c r="BI624" i="13"/>
  <c r="BB624" i="13"/>
  <c r="BJ624" i="13"/>
  <c r="BC692" i="13"/>
  <c r="BG692" i="13"/>
  <c r="BK692" i="13"/>
  <c r="BO692" i="13"/>
  <c r="BE692" i="13"/>
  <c r="BM692" i="13"/>
  <c r="AZ692" i="13"/>
  <c r="BD692" i="13"/>
  <c r="BH692" i="13"/>
  <c r="BL692" i="13"/>
  <c r="BP692" i="13"/>
  <c r="BA692" i="13"/>
  <c r="BI692" i="13"/>
  <c r="BB692" i="13"/>
  <c r="BF692" i="13"/>
  <c r="BJ692" i="13"/>
  <c r="BN692" i="13"/>
  <c r="BS18" i="13"/>
  <c r="BB18" i="13"/>
  <c r="BF18" i="13"/>
  <c r="BJ18" i="13"/>
  <c r="BN18" i="13"/>
  <c r="BC18" i="13"/>
  <c r="BG18" i="13"/>
  <c r="BK18" i="13"/>
  <c r="BO18" i="13"/>
  <c r="BA18" i="13"/>
  <c r="BE18" i="13"/>
  <c r="BI18" i="13"/>
  <c r="BM18" i="13"/>
  <c r="BL18" i="13"/>
  <c r="BP18" i="13"/>
  <c r="AZ18" i="13"/>
  <c r="BH18" i="13"/>
  <c r="BD18" i="13"/>
  <c r="BC34" i="13"/>
  <c r="BG34" i="13"/>
  <c r="BK34" i="13"/>
  <c r="BO34" i="13"/>
  <c r="BD34" i="13"/>
  <c r="BI34" i="13"/>
  <c r="BN34" i="13"/>
  <c r="AZ34" i="13"/>
  <c r="BE34" i="13"/>
  <c r="BJ34" i="13"/>
  <c r="BP34" i="13"/>
  <c r="BB34" i="13"/>
  <c r="BH34" i="13"/>
  <c r="BM34" i="13"/>
  <c r="BA34" i="13"/>
  <c r="BL34" i="13"/>
  <c r="BF34" i="13"/>
  <c r="BC50" i="13"/>
  <c r="BG50" i="13"/>
  <c r="BK50" i="13"/>
  <c r="BO50" i="13"/>
  <c r="BB50" i="13"/>
  <c r="BH50" i="13"/>
  <c r="BM50" i="13"/>
  <c r="BD50" i="13"/>
  <c r="BJ50" i="13"/>
  <c r="BE50" i="13"/>
  <c r="BL50" i="13"/>
  <c r="BA50" i="13"/>
  <c r="BI50" i="13"/>
  <c r="BP50" i="13"/>
  <c r="BN50" i="13"/>
  <c r="BF50" i="13"/>
  <c r="AZ50" i="13"/>
  <c r="BS66" i="13"/>
  <c r="BC66" i="13"/>
  <c r="BG66" i="13"/>
  <c r="BK66" i="13"/>
  <c r="BO66" i="13"/>
  <c r="BB66" i="13"/>
  <c r="BH66" i="13"/>
  <c r="BM66" i="13"/>
  <c r="AZ66" i="13"/>
  <c r="BE66" i="13"/>
  <c r="BJ66" i="13"/>
  <c r="BP66" i="13"/>
  <c r="BF66" i="13"/>
  <c r="BI66" i="13"/>
  <c r="BD66" i="13"/>
  <c r="BN66" i="13"/>
  <c r="BA66" i="13"/>
  <c r="BL66" i="13"/>
  <c r="BC82" i="13"/>
  <c r="BG82" i="13"/>
  <c r="BK82" i="13"/>
  <c r="BO82" i="13"/>
  <c r="BB82" i="13"/>
  <c r="BH82" i="13"/>
  <c r="BM82" i="13"/>
  <c r="AZ82" i="13"/>
  <c r="BE82" i="13"/>
  <c r="BJ82" i="13"/>
  <c r="BP82" i="13"/>
  <c r="BA82" i="13"/>
  <c r="BL82" i="13"/>
  <c r="BD82" i="13"/>
  <c r="BN82" i="13"/>
  <c r="BI82" i="13"/>
  <c r="BF82" i="13"/>
  <c r="BB98" i="13"/>
  <c r="BF98" i="13"/>
  <c r="BJ98" i="13"/>
  <c r="BN98" i="13"/>
  <c r="AZ98" i="13"/>
  <c r="BE98" i="13"/>
  <c r="BK98" i="13"/>
  <c r="BP98" i="13"/>
  <c r="BA98" i="13"/>
  <c r="BG98" i="13"/>
  <c r="BL98" i="13"/>
  <c r="BD98" i="13"/>
  <c r="BI98" i="13"/>
  <c r="BO98" i="13"/>
  <c r="BM98" i="13"/>
  <c r="BH98" i="13"/>
  <c r="BC98" i="13"/>
  <c r="BB114" i="13"/>
  <c r="BF114" i="13"/>
  <c r="BJ114" i="13"/>
  <c r="BN114" i="13"/>
  <c r="AZ114" i="13"/>
  <c r="BE114" i="13"/>
  <c r="BK114" i="13"/>
  <c r="BP114" i="13"/>
  <c r="BA114" i="13"/>
  <c r="BG114" i="13"/>
  <c r="BL114" i="13"/>
  <c r="BD114" i="13"/>
  <c r="BI114" i="13"/>
  <c r="BO114" i="13"/>
  <c r="BC114" i="13"/>
  <c r="BM114" i="13"/>
  <c r="BH114" i="13"/>
  <c r="BB130" i="13"/>
  <c r="BF130" i="13"/>
  <c r="BJ130" i="13"/>
  <c r="BN130" i="13"/>
  <c r="AZ130" i="13"/>
  <c r="BE130" i="13"/>
  <c r="BK130" i="13"/>
  <c r="BP130" i="13"/>
  <c r="BA130" i="13"/>
  <c r="BG130" i="13"/>
  <c r="BL130" i="13"/>
  <c r="BD130" i="13"/>
  <c r="BI130" i="13"/>
  <c r="BO130" i="13"/>
  <c r="BC130" i="13"/>
  <c r="BH130" i="13"/>
  <c r="BM130" i="13"/>
  <c r="BB146" i="13"/>
  <c r="BF146" i="13"/>
  <c r="BJ146" i="13"/>
  <c r="BN146" i="13"/>
  <c r="BD146" i="13"/>
  <c r="BI146" i="13"/>
  <c r="BO146" i="13"/>
  <c r="BE146" i="13"/>
  <c r="BL146" i="13"/>
  <c r="AZ146" i="13"/>
  <c r="BG146" i="13"/>
  <c r="BM146" i="13"/>
  <c r="BC146" i="13"/>
  <c r="BK146" i="13"/>
  <c r="BH146" i="13"/>
  <c r="BP146" i="13"/>
  <c r="BA146" i="13"/>
  <c r="AZ162" i="13"/>
  <c r="BD162" i="13"/>
  <c r="BH162" i="13"/>
  <c r="BL162" i="13"/>
  <c r="BP162" i="13"/>
  <c r="BB162" i="13"/>
  <c r="BG162" i="13"/>
  <c r="BM162" i="13"/>
  <c r="BC162" i="13"/>
  <c r="BI162" i="13"/>
  <c r="BN162" i="13"/>
  <c r="BA162" i="13"/>
  <c r="BF162" i="13"/>
  <c r="BK162" i="13"/>
  <c r="BE162" i="13"/>
  <c r="BO162" i="13"/>
  <c r="BJ162" i="13"/>
  <c r="BS178" i="13"/>
  <c r="AZ178" i="13"/>
  <c r="BD178" i="13"/>
  <c r="BH178" i="13"/>
  <c r="BL178" i="13"/>
  <c r="BP178" i="13"/>
  <c r="BB178" i="13"/>
  <c r="BG178" i="13"/>
  <c r="BM178" i="13"/>
  <c r="BC178" i="13"/>
  <c r="BI178" i="13"/>
  <c r="BN178" i="13"/>
  <c r="BA178" i="13"/>
  <c r="BF178" i="13"/>
  <c r="BK178" i="13"/>
  <c r="BE178" i="13"/>
  <c r="BJ178" i="13"/>
  <c r="BO178" i="13"/>
  <c r="BA194" i="13"/>
  <c r="BE194" i="13"/>
  <c r="BI194" i="13"/>
  <c r="BM194" i="13"/>
  <c r="AZ194" i="13"/>
  <c r="BF194" i="13"/>
  <c r="BK194" i="13"/>
  <c r="BP194" i="13"/>
  <c r="BB194" i="13"/>
  <c r="BG194" i="13"/>
  <c r="BL194" i="13"/>
  <c r="BD194" i="13"/>
  <c r="BJ194" i="13"/>
  <c r="BO194" i="13"/>
  <c r="BH194" i="13"/>
  <c r="BN194" i="13"/>
  <c r="BC194" i="13"/>
  <c r="BA210" i="13"/>
  <c r="BE210" i="13"/>
  <c r="BI210" i="13"/>
  <c r="BM210" i="13"/>
  <c r="AZ210" i="13"/>
  <c r="BF210" i="13"/>
  <c r="BK210" i="13"/>
  <c r="BP210" i="13"/>
  <c r="BB210" i="13"/>
  <c r="BG210" i="13"/>
  <c r="BL210" i="13"/>
  <c r="BD210" i="13"/>
  <c r="BJ210" i="13"/>
  <c r="BO210" i="13"/>
  <c r="BN210" i="13"/>
  <c r="BH210" i="13"/>
  <c r="BC210" i="13"/>
  <c r="BA226" i="13"/>
  <c r="BE226" i="13"/>
  <c r="BI226" i="13"/>
  <c r="BM226" i="13"/>
  <c r="AZ226" i="13"/>
  <c r="BF226" i="13"/>
  <c r="BK226" i="13"/>
  <c r="BP226" i="13"/>
  <c r="BB226" i="13"/>
  <c r="BG226" i="13"/>
  <c r="BL226" i="13"/>
  <c r="BD226" i="13"/>
  <c r="BJ226" i="13"/>
  <c r="BO226" i="13"/>
  <c r="BC226" i="13"/>
  <c r="BN226" i="13"/>
  <c r="BH226" i="13"/>
  <c r="BS242" i="13"/>
  <c r="BA242" i="13"/>
  <c r="BE242" i="13"/>
  <c r="BI242" i="13"/>
  <c r="BM242" i="13"/>
  <c r="AZ242" i="13"/>
  <c r="BF242" i="13"/>
  <c r="BK242" i="13"/>
  <c r="BP242" i="13"/>
  <c r="BB242" i="13"/>
  <c r="BG242" i="13"/>
  <c r="BL242" i="13"/>
  <c r="BD242" i="13"/>
  <c r="BJ242" i="13"/>
  <c r="BO242" i="13"/>
  <c r="BC242" i="13"/>
  <c r="BH242" i="13"/>
  <c r="BN242" i="13"/>
  <c r="BC262" i="13"/>
  <c r="BG262" i="13"/>
  <c r="BK262" i="13"/>
  <c r="BO262" i="13"/>
  <c r="BA262" i="13"/>
  <c r="BE262" i="13"/>
  <c r="BI262" i="13"/>
  <c r="BM262" i="13"/>
  <c r="AZ262" i="13"/>
  <c r="BH262" i="13"/>
  <c r="BP262" i="13"/>
  <c r="BB262" i="13"/>
  <c r="BJ262" i="13"/>
  <c r="BF262" i="13"/>
  <c r="BN262" i="13"/>
  <c r="BD262" i="13"/>
  <c r="BL262" i="13"/>
  <c r="BA278" i="13"/>
  <c r="BE278" i="13"/>
  <c r="BI278" i="13"/>
  <c r="BM278" i="13"/>
  <c r="BB278" i="13"/>
  <c r="BF278" i="13"/>
  <c r="BJ278" i="13"/>
  <c r="BN278" i="13"/>
  <c r="AZ278" i="13"/>
  <c r="BD278" i="13"/>
  <c r="BH278" i="13"/>
  <c r="BL278" i="13"/>
  <c r="BP278" i="13"/>
  <c r="BK278" i="13"/>
  <c r="BO278" i="13"/>
  <c r="BG278" i="13"/>
  <c r="BC278" i="13"/>
  <c r="BA294" i="13"/>
  <c r="BE294" i="13"/>
  <c r="BI294" i="13"/>
  <c r="BM294" i="13"/>
  <c r="BB294" i="13"/>
  <c r="BF294" i="13"/>
  <c r="BJ294" i="13"/>
  <c r="BN294" i="13"/>
  <c r="AZ294" i="13"/>
  <c r="BD294" i="13"/>
  <c r="BH294" i="13"/>
  <c r="BL294" i="13"/>
  <c r="BP294" i="13"/>
  <c r="BK294" i="13"/>
  <c r="BO294" i="13"/>
  <c r="BG294" i="13"/>
  <c r="BC294" i="13"/>
  <c r="BA310" i="13"/>
  <c r="BE310" i="13"/>
  <c r="BI310" i="13"/>
  <c r="BM310" i="13"/>
  <c r="BB310" i="13"/>
  <c r="BF310" i="13"/>
  <c r="BJ310" i="13"/>
  <c r="BN310" i="13"/>
  <c r="AZ310" i="13"/>
  <c r="BD310" i="13"/>
  <c r="BH310" i="13"/>
  <c r="BL310" i="13"/>
  <c r="BP310" i="13"/>
  <c r="BK310" i="13"/>
  <c r="BO310" i="13"/>
  <c r="BG310" i="13"/>
  <c r="BC310" i="13"/>
  <c r="BS326" i="13"/>
  <c r="BA326" i="13"/>
  <c r="BE326" i="13"/>
  <c r="BI326" i="13"/>
  <c r="AZ326" i="13"/>
  <c r="BD326" i="13"/>
  <c r="BH326" i="13"/>
  <c r="BL326" i="13"/>
  <c r="BP326" i="13"/>
  <c r="BF326" i="13"/>
  <c r="BM326" i="13"/>
  <c r="BG326" i="13"/>
  <c r="BN326" i="13"/>
  <c r="BC326" i="13"/>
  <c r="BK326" i="13"/>
  <c r="BJ326" i="13"/>
  <c r="BB326" i="13"/>
  <c r="BO326" i="13"/>
  <c r="AZ342" i="13"/>
  <c r="BD342" i="13"/>
  <c r="BH342" i="13"/>
  <c r="BL342" i="13"/>
  <c r="BP342" i="13"/>
  <c r="BB342" i="13"/>
  <c r="BG342" i="13"/>
  <c r="BM342" i="13"/>
  <c r="BC342" i="13"/>
  <c r="BI342" i="13"/>
  <c r="BN342" i="13"/>
  <c r="BA342" i="13"/>
  <c r="BF342" i="13"/>
  <c r="BK342" i="13"/>
  <c r="BO342" i="13"/>
  <c r="BE342" i="13"/>
  <c r="BJ342" i="13"/>
  <c r="AZ358" i="13"/>
  <c r="BD358" i="13"/>
  <c r="BH358" i="13"/>
  <c r="BL358" i="13"/>
  <c r="BP358" i="13"/>
  <c r="BB358" i="13"/>
  <c r="BG358" i="13"/>
  <c r="BM358" i="13"/>
  <c r="BC358" i="13"/>
  <c r="BI358" i="13"/>
  <c r="BN358" i="13"/>
  <c r="BA358" i="13"/>
  <c r="BF358" i="13"/>
  <c r="BK358" i="13"/>
  <c r="BJ358" i="13"/>
  <c r="BE358" i="13"/>
  <c r="BO358" i="13"/>
  <c r="BS374" i="13"/>
  <c r="AZ374" i="13"/>
  <c r="BD374" i="13"/>
  <c r="BH374" i="13"/>
  <c r="BL374" i="13"/>
  <c r="BP374" i="13"/>
  <c r="BB374" i="13"/>
  <c r="BG374" i="13"/>
  <c r="BM374" i="13"/>
  <c r="BC374" i="13"/>
  <c r="BI374" i="13"/>
  <c r="BN374" i="13"/>
  <c r="BA374" i="13"/>
  <c r="BF374" i="13"/>
  <c r="BK374" i="13"/>
  <c r="BE374" i="13"/>
  <c r="BO374" i="13"/>
  <c r="BJ374" i="13"/>
  <c r="BA390" i="13"/>
  <c r="BE390" i="13"/>
  <c r="BI390" i="13"/>
  <c r="BM390" i="13"/>
  <c r="BB390" i="13"/>
  <c r="BF390" i="13"/>
  <c r="BJ390" i="13"/>
  <c r="BN390" i="13"/>
  <c r="AZ390" i="13"/>
  <c r="BD390" i="13"/>
  <c r="BH390" i="13"/>
  <c r="BL390" i="13"/>
  <c r="BP390" i="13"/>
  <c r="BC390" i="13"/>
  <c r="BK390" i="13"/>
  <c r="BO390" i="13"/>
  <c r="BG390" i="13"/>
  <c r="BA406" i="13"/>
  <c r="BE406" i="13"/>
  <c r="BI406" i="13"/>
  <c r="BM406" i="13"/>
  <c r="BB406" i="13"/>
  <c r="BF406" i="13"/>
  <c r="BJ406" i="13"/>
  <c r="BN406" i="13"/>
  <c r="AZ406" i="13"/>
  <c r="BD406" i="13"/>
  <c r="BH406" i="13"/>
  <c r="BL406" i="13"/>
  <c r="BP406" i="13"/>
  <c r="BC406" i="13"/>
  <c r="BK406" i="13"/>
  <c r="BG406" i="13"/>
  <c r="BO406" i="13"/>
  <c r="BA422" i="13"/>
  <c r="BE422" i="13"/>
  <c r="BI422" i="13"/>
  <c r="BM422" i="13"/>
  <c r="BB422" i="13"/>
  <c r="BF422" i="13"/>
  <c r="BJ422" i="13"/>
  <c r="BN422" i="13"/>
  <c r="AZ422" i="13"/>
  <c r="BD422" i="13"/>
  <c r="BH422" i="13"/>
  <c r="BL422" i="13"/>
  <c r="BP422" i="13"/>
  <c r="BC422" i="13"/>
  <c r="BK422" i="13"/>
  <c r="BO422" i="13"/>
  <c r="BG422" i="13"/>
  <c r="BS438" i="13"/>
  <c r="BA438" i="13"/>
  <c r="BE438" i="13"/>
  <c r="BI438" i="13"/>
  <c r="BM438" i="13"/>
  <c r="BB438" i="13"/>
  <c r="BF438" i="13"/>
  <c r="BJ438" i="13"/>
  <c r="BN438" i="13"/>
  <c r="AZ438" i="13"/>
  <c r="BD438" i="13"/>
  <c r="BH438" i="13"/>
  <c r="BL438" i="13"/>
  <c r="BP438" i="13"/>
  <c r="BC438" i="13"/>
  <c r="BK438" i="13"/>
  <c r="BG438" i="13"/>
  <c r="BO438" i="13"/>
  <c r="BA454" i="13"/>
  <c r="BE454" i="13"/>
  <c r="BI454" i="13"/>
  <c r="BM454" i="13"/>
  <c r="BB454" i="13"/>
  <c r="BF454" i="13"/>
  <c r="BJ454" i="13"/>
  <c r="BN454" i="13"/>
  <c r="AZ454" i="13"/>
  <c r="BD454" i="13"/>
  <c r="BH454" i="13"/>
  <c r="BL454" i="13"/>
  <c r="BP454" i="13"/>
  <c r="BC454" i="13"/>
  <c r="BK454" i="13"/>
  <c r="BO454" i="13"/>
  <c r="BG454" i="13"/>
  <c r="BA470" i="13"/>
  <c r="BE470" i="13"/>
  <c r="BI470" i="13"/>
  <c r="BM470" i="13"/>
  <c r="BB470" i="13"/>
  <c r="BF470" i="13"/>
  <c r="BJ470" i="13"/>
  <c r="BN470" i="13"/>
  <c r="AZ470" i="13"/>
  <c r="BD470" i="13"/>
  <c r="BH470" i="13"/>
  <c r="BL470" i="13"/>
  <c r="BP470" i="13"/>
  <c r="BC470" i="13"/>
  <c r="BK470" i="13"/>
  <c r="BG470" i="13"/>
  <c r="BO470" i="13"/>
  <c r="BS486" i="13"/>
  <c r="BA486" i="13"/>
  <c r="BE486" i="13"/>
  <c r="BI486" i="13"/>
  <c r="BM486" i="13"/>
  <c r="BC486" i="13"/>
  <c r="BG486" i="13"/>
  <c r="BK486" i="13"/>
  <c r="BO486" i="13"/>
  <c r="AZ486" i="13"/>
  <c r="BH486" i="13"/>
  <c r="BP486" i="13"/>
  <c r="BB486" i="13"/>
  <c r="BJ486" i="13"/>
  <c r="BL486" i="13"/>
  <c r="BN486" i="13"/>
  <c r="BD486" i="13"/>
  <c r="BF486" i="13"/>
  <c r="BB502" i="13"/>
  <c r="BF502" i="13"/>
  <c r="BJ502" i="13"/>
  <c r="BN502" i="13"/>
  <c r="AZ502" i="13"/>
  <c r="BD502" i="13"/>
  <c r="BH502" i="13"/>
  <c r="BL502" i="13"/>
  <c r="BP502" i="13"/>
  <c r="BA502" i="13"/>
  <c r="BI502" i="13"/>
  <c r="BC502" i="13"/>
  <c r="BK502" i="13"/>
  <c r="BM502" i="13"/>
  <c r="BO502" i="13"/>
  <c r="BE502" i="13"/>
  <c r="BG502" i="13"/>
  <c r="BB518" i="13"/>
  <c r="BF518" i="13"/>
  <c r="BJ518" i="13"/>
  <c r="BN518" i="13"/>
  <c r="AZ518" i="13"/>
  <c r="BD518" i="13"/>
  <c r="BH518" i="13"/>
  <c r="BL518" i="13"/>
  <c r="BP518" i="13"/>
  <c r="BA518" i="13"/>
  <c r="BI518" i="13"/>
  <c r="BC518" i="13"/>
  <c r="BK518" i="13"/>
  <c r="BM518" i="13"/>
  <c r="BE518" i="13"/>
  <c r="BO518" i="13"/>
  <c r="BG518" i="13"/>
  <c r="BB534" i="13"/>
  <c r="BF534" i="13"/>
  <c r="BJ534" i="13"/>
  <c r="BN534" i="13"/>
  <c r="AZ534" i="13"/>
  <c r="BD534" i="13"/>
  <c r="BH534" i="13"/>
  <c r="BL534" i="13"/>
  <c r="BP534" i="13"/>
  <c r="BA534" i="13"/>
  <c r="BI534" i="13"/>
  <c r="BC534" i="13"/>
  <c r="BK534" i="13"/>
  <c r="BM534" i="13"/>
  <c r="BO534" i="13"/>
  <c r="BE534" i="13"/>
  <c r="BG534" i="13"/>
  <c r="BS550" i="13"/>
  <c r="BB550" i="13"/>
  <c r="BF550" i="13"/>
  <c r="BJ550" i="13"/>
  <c r="BN550" i="13"/>
  <c r="AZ550" i="13"/>
  <c r="BD550" i="13"/>
  <c r="BH550" i="13"/>
  <c r="BL550" i="13"/>
  <c r="BP550" i="13"/>
  <c r="BA550" i="13"/>
  <c r="BI550" i="13"/>
  <c r="BC550" i="13"/>
  <c r="BK550" i="13"/>
  <c r="BM550" i="13"/>
  <c r="BE550" i="13"/>
  <c r="BO550" i="13"/>
  <c r="BG550" i="13"/>
  <c r="BB566" i="13"/>
  <c r="BF566" i="13"/>
  <c r="BJ566" i="13"/>
  <c r="BN566" i="13"/>
  <c r="AZ566" i="13"/>
  <c r="BD566" i="13"/>
  <c r="BH566" i="13"/>
  <c r="BL566" i="13"/>
  <c r="BP566" i="13"/>
  <c r="BA566" i="13"/>
  <c r="BI566" i="13"/>
  <c r="BC566" i="13"/>
  <c r="BK566" i="13"/>
  <c r="BM566" i="13"/>
  <c r="BE566" i="13"/>
  <c r="BO566" i="13"/>
  <c r="BG566" i="13"/>
  <c r="BB582" i="13"/>
  <c r="BF582" i="13"/>
  <c r="BJ582" i="13"/>
  <c r="BN582" i="13"/>
  <c r="AZ582" i="13"/>
  <c r="BD582" i="13"/>
  <c r="BH582" i="13"/>
  <c r="BL582" i="13"/>
  <c r="BP582" i="13"/>
  <c r="BA582" i="13"/>
  <c r="BI582" i="13"/>
  <c r="BC582" i="13"/>
  <c r="BK582" i="13"/>
  <c r="BM582" i="13"/>
  <c r="BE582" i="13"/>
  <c r="BO582" i="13"/>
  <c r="BG582" i="13"/>
  <c r="BS598" i="13"/>
  <c r="BB598" i="13"/>
  <c r="BF598" i="13"/>
  <c r="BJ598" i="13"/>
  <c r="BN598" i="13"/>
  <c r="AZ598" i="13"/>
  <c r="BD598" i="13"/>
  <c r="BH598" i="13"/>
  <c r="BL598" i="13"/>
  <c r="BP598" i="13"/>
  <c r="BA598" i="13"/>
  <c r="BI598" i="13"/>
  <c r="BC598" i="13"/>
  <c r="BK598" i="13"/>
  <c r="BM598" i="13"/>
  <c r="BO598" i="13"/>
  <c r="BE598" i="13"/>
  <c r="BG598" i="13"/>
  <c r="BA614" i="13"/>
  <c r="BE614" i="13"/>
  <c r="BI614" i="13"/>
  <c r="BM614" i="13"/>
  <c r="BB614" i="13"/>
  <c r="BF614" i="13"/>
  <c r="BJ614" i="13"/>
  <c r="BN614" i="13"/>
  <c r="BG614" i="13"/>
  <c r="BO614" i="13"/>
  <c r="AZ614" i="13"/>
  <c r="BH614" i="13"/>
  <c r="BP614" i="13"/>
  <c r="BC614" i="13"/>
  <c r="BK614" i="13"/>
  <c r="BD614" i="13"/>
  <c r="BL614" i="13"/>
  <c r="BA630" i="13"/>
  <c r="BE630" i="13"/>
  <c r="BI630" i="13"/>
  <c r="BM630" i="13"/>
  <c r="BB630" i="13"/>
  <c r="BF630" i="13"/>
  <c r="BJ630" i="13"/>
  <c r="BN630" i="13"/>
  <c r="BG630" i="13"/>
  <c r="BO630" i="13"/>
  <c r="BH630" i="13"/>
  <c r="AZ630" i="13"/>
  <c r="BP630" i="13"/>
  <c r="BC630" i="13"/>
  <c r="BK630" i="13"/>
  <c r="BD630" i="13"/>
  <c r="BL630" i="13"/>
  <c r="BA646" i="13"/>
  <c r="BE646" i="13"/>
  <c r="BI646" i="13"/>
  <c r="BM646" i="13"/>
  <c r="BB646" i="13"/>
  <c r="BF646" i="13"/>
  <c r="BJ646" i="13"/>
  <c r="BN646" i="13"/>
  <c r="BG646" i="13"/>
  <c r="BO646" i="13"/>
  <c r="BH646" i="13"/>
  <c r="BK646" i="13"/>
  <c r="AZ646" i="13"/>
  <c r="BP646" i="13"/>
  <c r="BC646" i="13"/>
  <c r="BD646" i="13"/>
  <c r="BL646" i="13"/>
  <c r="BS662" i="13"/>
  <c r="BA662" i="13"/>
  <c r="BE662" i="13"/>
  <c r="BI662" i="13"/>
  <c r="BM662" i="13"/>
  <c r="BB662" i="13"/>
  <c r="BF662" i="13"/>
  <c r="BJ662" i="13"/>
  <c r="BN662" i="13"/>
  <c r="BG662" i="13"/>
  <c r="BO662" i="13"/>
  <c r="BH662" i="13"/>
  <c r="BK662" i="13"/>
  <c r="AZ662" i="13"/>
  <c r="BP662" i="13"/>
  <c r="BC662" i="13"/>
  <c r="BD662" i="13"/>
  <c r="BL662" i="13"/>
  <c r="BA678" i="13"/>
  <c r="BE678" i="13"/>
  <c r="BI678" i="13"/>
  <c r="BM678" i="13"/>
  <c r="BB678" i="13"/>
  <c r="BF678" i="13"/>
  <c r="BJ678" i="13"/>
  <c r="BN678" i="13"/>
  <c r="BG678" i="13"/>
  <c r="BO678" i="13"/>
  <c r="BC678" i="13"/>
  <c r="AZ678" i="13"/>
  <c r="BH678" i="13"/>
  <c r="BP678" i="13"/>
  <c r="BK678" i="13"/>
  <c r="BD678" i="13"/>
  <c r="BL678" i="13"/>
  <c r="BA694" i="13"/>
  <c r="BE694" i="13"/>
  <c r="BI694" i="13"/>
  <c r="BM694" i="13"/>
  <c r="BG694" i="13"/>
  <c r="BK694" i="13"/>
  <c r="BB694" i="13"/>
  <c r="BF694" i="13"/>
  <c r="BJ694" i="13"/>
  <c r="BN694" i="13"/>
  <c r="BC694" i="13"/>
  <c r="BO694" i="13"/>
  <c r="AZ694" i="13"/>
  <c r="BD694" i="13"/>
  <c r="BH694" i="13"/>
  <c r="BL694" i="13"/>
  <c r="BP694" i="13"/>
  <c r="BB356" i="13"/>
  <c r="BF356" i="13"/>
  <c r="BJ356" i="13"/>
  <c r="BN356" i="13"/>
  <c r="BD356" i="13"/>
  <c r="BI356" i="13"/>
  <c r="BO356" i="13"/>
  <c r="AZ356" i="13"/>
  <c r="BE356" i="13"/>
  <c r="BK356" i="13"/>
  <c r="BP356" i="13"/>
  <c r="BC356" i="13"/>
  <c r="BH356" i="13"/>
  <c r="BM356" i="13"/>
  <c r="BL356" i="13"/>
  <c r="BA356" i="13"/>
  <c r="BG356" i="13"/>
  <c r="BC404" i="13"/>
  <c r="BG404" i="13"/>
  <c r="BK404" i="13"/>
  <c r="BO404" i="13"/>
  <c r="AZ404" i="13"/>
  <c r="BD404" i="13"/>
  <c r="BH404" i="13"/>
  <c r="BL404" i="13"/>
  <c r="BP404" i="13"/>
  <c r="BB404" i="13"/>
  <c r="BF404" i="13"/>
  <c r="BJ404" i="13"/>
  <c r="BN404" i="13"/>
  <c r="BE404" i="13"/>
  <c r="BM404" i="13"/>
  <c r="BA404" i="13"/>
  <c r="BI404" i="13"/>
  <c r="BS452" i="13"/>
  <c r="BC452" i="13"/>
  <c r="BG452" i="13"/>
  <c r="BK452" i="13"/>
  <c r="BO452" i="13"/>
  <c r="AZ452" i="13"/>
  <c r="BD452" i="13"/>
  <c r="BH452" i="13"/>
  <c r="BL452" i="13"/>
  <c r="BP452" i="13"/>
  <c r="BB452" i="13"/>
  <c r="BF452" i="13"/>
  <c r="BJ452" i="13"/>
  <c r="BN452" i="13"/>
  <c r="BE452" i="13"/>
  <c r="BM452" i="13"/>
  <c r="BA452" i="13"/>
  <c r="BI452" i="13"/>
  <c r="AZ496" i="13"/>
  <c r="BD496" i="13"/>
  <c r="BH496" i="13"/>
  <c r="BL496" i="13"/>
  <c r="BP496" i="13"/>
  <c r="BB496" i="13"/>
  <c r="BF496" i="13"/>
  <c r="BJ496" i="13"/>
  <c r="BN496" i="13"/>
  <c r="BG496" i="13"/>
  <c r="BO496" i="13"/>
  <c r="BA496" i="13"/>
  <c r="BI496" i="13"/>
  <c r="BC496" i="13"/>
  <c r="BE496" i="13"/>
  <c r="BK496" i="13"/>
  <c r="BM496" i="13"/>
  <c r="AZ540" i="13"/>
  <c r="BD540" i="13"/>
  <c r="BH540" i="13"/>
  <c r="BL540" i="13"/>
  <c r="BP540" i="13"/>
  <c r="BB540" i="13"/>
  <c r="BF540" i="13"/>
  <c r="BJ540" i="13"/>
  <c r="BN540" i="13"/>
  <c r="BC540" i="13"/>
  <c r="BK540" i="13"/>
  <c r="BE540" i="13"/>
  <c r="BM540" i="13"/>
  <c r="BG540" i="13"/>
  <c r="BO540" i="13"/>
  <c r="BI540" i="13"/>
  <c r="BA540" i="13"/>
  <c r="AZ600" i="13"/>
  <c r="BD600" i="13"/>
  <c r="BH600" i="13"/>
  <c r="BL600" i="13"/>
  <c r="BB600" i="13"/>
  <c r="BF600" i="13"/>
  <c r="BJ600" i="13"/>
  <c r="BN600" i="13"/>
  <c r="BG600" i="13"/>
  <c r="BO600" i="13"/>
  <c r="BA600" i="13"/>
  <c r="BI600" i="13"/>
  <c r="BP600" i="13"/>
  <c r="BK600" i="13"/>
  <c r="BM600" i="13"/>
  <c r="BC600" i="13"/>
  <c r="BE600" i="13"/>
  <c r="BS668" i="13"/>
  <c r="BC668" i="13"/>
  <c r="BG668" i="13"/>
  <c r="BK668" i="13"/>
  <c r="BO668" i="13"/>
  <c r="AZ668" i="13"/>
  <c r="BD668" i="13"/>
  <c r="BH668" i="13"/>
  <c r="BL668" i="13"/>
  <c r="BP668" i="13"/>
  <c r="BA668" i="13"/>
  <c r="BI668" i="13"/>
  <c r="BE668" i="13"/>
  <c r="BB668" i="13"/>
  <c r="BJ668" i="13"/>
  <c r="BM668" i="13"/>
  <c r="BF668" i="13"/>
  <c r="BN668" i="13"/>
  <c r="BS263" i="13"/>
  <c r="BS256" i="13"/>
  <c r="BS277" i="13"/>
  <c r="BS262" i="13"/>
  <c r="BS276" i="13"/>
  <c r="BS249" i="13"/>
  <c r="BS255" i="13"/>
  <c r="BS248" i="13"/>
  <c r="BS269" i="13"/>
  <c r="BS270" i="13"/>
  <c r="P24" i="10"/>
  <c r="M24" i="10"/>
  <c r="BR246" i="13"/>
  <c r="BR31" i="13"/>
  <c r="BR95" i="13"/>
  <c r="BR143" i="13"/>
  <c r="BR207" i="13"/>
  <c r="BR291" i="13"/>
  <c r="BR339" i="13"/>
  <c r="BR403" i="13"/>
  <c r="BR451" i="13"/>
  <c r="BR515" i="13"/>
  <c r="BR563" i="13"/>
  <c r="BR579" i="13"/>
  <c r="BR627" i="13"/>
  <c r="BR675" i="13"/>
  <c r="BR396" i="13"/>
  <c r="BR444" i="13"/>
  <c r="BR24" i="13"/>
  <c r="BR88" i="13"/>
  <c r="BR136" i="13"/>
  <c r="BR200" i="13"/>
  <c r="BR284" i="13"/>
  <c r="BR340" i="13"/>
  <c r="BR388" i="13"/>
  <c r="BR45" i="13"/>
  <c r="BR109" i="13"/>
  <c r="BR157" i="13"/>
  <c r="BR221" i="13"/>
  <c r="BR305" i="13"/>
  <c r="BR353" i="13"/>
  <c r="BR417" i="13"/>
  <c r="BR465" i="13"/>
  <c r="BR529" i="13"/>
  <c r="BR577" i="13"/>
  <c r="BR641" i="13"/>
  <c r="BR689" i="13"/>
  <c r="BR612" i="13"/>
  <c r="BR676" i="13"/>
  <c r="BR46" i="13"/>
  <c r="BR94" i="13"/>
  <c r="BR158" i="13"/>
  <c r="BR206" i="13"/>
  <c r="BR290" i="13"/>
  <c r="BR354" i="13"/>
  <c r="BR402" i="13"/>
  <c r="BR466" i="13"/>
  <c r="BR514" i="13"/>
  <c r="BR578" i="13"/>
  <c r="BR626" i="13"/>
  <c r="BR690" i="13"/>
  <c r="BR648" i="13"/>
  <c r="BR67" i="13"/>
  <c r="BR115" i="13"/>
  <c r="BR179" i="13"/>
  <c r="BR227" i="13"/>
  <c r="BR263" i="13"/>
  <c r="BR311" i="13"/>
  <c r="BR375" i="13"/>
  <c r="BR423" i="13"/>
  <c r="BR487" i="13"/>
  <c r="BR535" i="13"/>
  <c r="BR599" i="13"/>
  <c r="BR647" i="13"/>
  <c r="BR360" i="13"/>
  <c r="BR556" i="13"/>
  <c r="BR60" i="13"/>
  <c r="BR108" i="13"/>
  <c r="BR172" i="13"/>
  <c r="BR220" i="13"/>
  <c r="BR256" i="13"/>
  <c r="BR304" i="13"/>
  <c r="BR500" i="13"/>
  <c r="BR564" i="13"/>
  <c r="BR17" i="13"/>
  <c r="BR81" i="13"/>
  <c r="BR129" i="13"/>
  <c r="BR193" i="13"/>
  <c r="BR241" i="13"/>
  <c r="BR277" i="13"/>
  <c r="BR325" i="13"/>
  <c r="BR389" i="13"/>
  <c r="BR437" i="13"/>
  <c r="BR501" i="13"/>
  <c r="BR549" i="13"/>
  <c r="BR613" i="13"/>
  <c r="BR661" i="13"/>
  <c r="BR18" i="13"/>
  <c r="BR66" i="13"/>
  <c r="BR130" i="13"/>
  <c r="BR178" i="13"/>
  <c r="BR242" i="13"/>
  <c r="BR262" i="13"/>
  <c r="BR326" i="13"/>
  <c r="BR374" i="13"/>
  <c r="BR438" i="13"/>
  <c r="BR486" i="13"/>
  <c r="BR550" i="13"/>
  <c r="BR598" i="13"/>
  <c r="BR662" i="13"/>
  <c r="BR452" i="13"/>
  <c r="BR668" i="13"/>
  <c r="BR7" i="13"/>
  <c r="BR23" i="13"/>
  <c r="BR39" i="13"/>
  <c r="BR55" i="13"/>
  <c r="BR71" i="13"/>
  <c r="BR87" i="13"/>
  <c r="BR103" i="13"/>
  <c r="BR119" i="13"/>
  <c r="BR135" i="13"/>
  <c r="BR151" i="13"/>
  <c r="BR167" i="13"/>
  <c r="BR183" i="13"/>
  <c r="BR199" i="13"/>
  <c r="BR215" i="13"/>
  <c r="BR231" i="13"/>
  <c r="BR251" i="13"/>
  <c r="BR267" i="13"/>
  <c r="BR283" i="13"/>
  <c r="BR299" i="13"/>
  <c r="BR315" i="13"/>
  <c r="BR331" i="13"/>
  <c r="BR347" i="13"/>
  <c r="BR363" i="13"/>
  <c r="BR395" i="13"/>
  <c r="BR411" i="13"/>
  <c r="BR443" i="13"/>
  <c r="BR459" i="13"/>
  <c r="BR475" i="13"/>
  <c r="BR491" i="13"/>
  <c r="BR507" i="13"/>
  <c r="BR523" i="13"/>
  <c r="BR539" i="13"/>
  <c r="BR555" i="13"/>
  <c r="BR571" i="13"/>
  <c r="BR587" i="13"/>
  <c r="BR603" i="13"/>
  <c r="BR619" i="13"/>
  <c r="BR635" i="13"/>
  <c r="BR651" i="13"/>
  <c r="BR667" i="13"/>
  <c r="BR683" i="13"/>
  <c r="BR699" i="13"/>
  <c r="BR368" i="13"/>
  <c r="BR468" i="13"/>
  <c r="BR512" i="13"/>
  <c r="BR568" i="13"/>
  <c r="BR636" i="13"/>
  <c r="BR696" i="13"/>
  <c r="BR16" i="13"/>
  <c r="BR32" i="13"/>
  <c r="BR48" i="13"/>
  <c r="BR64" i="13"/>
  <c r="BR80" i="13"/>
  <c r="BR96" i="13"/>
  <c r="BR112" i="13"/>
  <c r="BR128" i="13"/>
  <c r="BR144" i="13"/>
  <c r="BR160" i="13"/>
  <c r="BR176" i="13"/>
  <c r="BR192" i="13"/>
  <c r="BR208" i="13"/>
  <c r="BR224" i="13"/>
  <c r="BR240" i="13"/>
  <c r="BR260" i="13"/>
  <c r="BR276" i="13"/>
  <c r="BR292" i="13"/>
  <c r="BR308" i="13"/>
  <c r="BR332" i="13"/>
  <c r="BR364" i="13"/>
  <c r="BR460" i="13"/>
  <c r="BR516" i="13"/>
  <c r="BR576" i="13"/>
  <c r="BR640" i="13"/>
  <c r="BR5" i="13"/>
  <c r="BR21" i="13"/>
  <c r="BR37" i="13"/>
  <c r="BR53" i="13"/>
  <c r="BR69" i="13"/>
  <c r="BR85" i="13"/>
  <c r="BR101" i="13"/>
  <c r="BR117" i="13"/>
  <c r="BR133" i="13"/>
  <c r="BR149" i="13"/>
  <c r="BR165" i="13"/>
  <c r="BR181" i="13"/>
  <c r="BR197" i="13"/>
  <c r="BR213" i="13"/>
  <c r="BR229" i="13"/>
  <c r="BR249" i="13"/>
  <c r="BR265" i="13"/>
  <c r="BR281" i="13"/>
  <c r="BR297" i="13"/>
  <c r="BR313" i="13"/>
  <c r="BR329" i="13"/>
  <c r="BR345" i="13"/>
  <c r="BR361" i="13"/>
  <c r="BR393" i="13"/>
  <c r="BR409" i="13"/>
  <c r="BR441" i="13"/>
  <c r="BR457" i="13"/>
  <c r="BR473" i="13"/>
  <c r="BR489" i="13"/>
  <c r="BR505" i="13"/>
  <c r="BR521" i="13"/>
  <c r="BR537" i="13"/>
  <c r="BR553" i="13"/>
  <c r="BR569" i="13"/>
  <c r="BR585" i="13"/>
  <c r="BR601" i="13"/>
  <c r="BR617" i="13"/>
  <c r="BR633" i="13"/>
  <c r="BR649" i="13"/>
  <c r="BR665" i="13"/>
  <c r="BR681" i="13"/>
  <c r="BR697" i="13"/>
  <c r="BR580" i="13"/>
  <c r="BR644" i="13"/>
  <c r="BR6" i="13"/>
  <c r="BR22" i="13"/>
  <c r="BR38" i="13"/>
  <c r="BR54" i="13"/>
  <c r="BR70" i="13"/>
  <c r="BR86" i="13"/>
  <c r="BR102" i="13"/>
  <c r="BR118" i="13"/>
  <c r="BR134" i="13"/>
  <c r="BR150" i="13"/>
  <c r="BR166" i="13"/>
  <c r="BR182" i="13"/>
  <c r="BR198" i="13"/>
  <c r="BR214" i="13"/>
  <c r="BR230" i="13"/>
  <c r="BR250" i="13"/>
  <c r="BR266" i="13"/>
  <c r="BR282" i="13"/>
  <c r="BR298" i="13"/>
  <c r="BR314" i="13"/>
  <c r="BR330" i="13"/>
  <c r="BR346" i="13"/>
  <c r="BR362" i="13"/>
  <c r="BR394" i="13"/>
  <c r="BR410" i="13"/>
  <c r="BR442" i="13"/>
  <c r="BR458" i="13"/>
  <c r="BR474" i="13"/>
  <c r="BR490" i="13"/>
  <c r="BR506" i="13"/>
  <c r="BR522" i="13"/>
  <c r="BR538" i="13"/>
  <c r="BR554" i="13"/>
  <c r="BR570" i="13"/>
  <c r="BR586" i="13"/>
  <c r="BR602" i="13"/>
  <c r="BR618" i="13"/>
  <c r="BR634" i="13"/>
  <c r="BR650" i="13"/>
  <c r="BR666" i="13"/>
  <c r="BR682" i="13"/>
  <c r="BR698" i="13"/>
  <c r="BR416" i="13"/>
  <c r="BR464" i="13"/>
  <c r="BR508" i="13"/>
  <c r="BR552" i="13"/>
  <c r="BR620" i="13"/>
  <c r="BR680" i="13"/>
  <c r="BR245" i="13"/>
  <c r="BR11" i="13"/>
  <c r="BR27" i="13"/>
  <c r="BR59" i="13"/>
  <c r="BR91" i="13"/>
  <c r="BR107" i="13"/>
  <c r="BR123" i="13"/>
  <c r="BR139" i="13"/>
  <c r="BR155" i="13"/>
  <c r="BR171" i="13"/>
  <c r="BR203" i="13"/>
  <c r="BR235" i="13"/>
  <c r="BR255" i="13"/>
  <c r="BR271" i="13"/>
  <c r="BR287" i="13"/>
  <c r="BR303" i="13"/>
  <c r="BR319" i="13"/>
  <c r="BR335" i="13"/>
  <c r="BR351" i="13"/>
  <c r="BR367" i="13"/>
  <c r="BR431" i="13"/>
  <c r="BR447" i="13"/>
  <c r="BR463" i="13"/>
  <c r="BR479" i="13"/>
  <c r="BR527" i="13"/>
  <c r="BR543" i="13"/>
  <c r="BR559" i="13"/>
  <c r="BR591" i="13"/>
  <c r="BR623" i="13"/>
  <c r="BR639" i="13"/>
  <c r="BR655" i="13"/>
  <c r="BR320" i="13"/>
  <c r="BR480" i="13"/>
  <c r="BR528" i="13"/>
  <c r="BR584" i="13"/>
  <c r="BR652" i="13"/>
  <c r="BR4" i="13"/>
  <c r="BR52" i="13"/>
  <c r="BR116" i="13"/>
  <c r="BR132" i="13"/>
  <c r="BR148" i="13"/>
  <c r="BR164" i="13"/>
  <c r="BR196" i="13"/>
  <c r="BR212" i="13"/>
  <c r="BR228" i="13"/>
  <c r="BR248" i="13"/>
  <c r="BR264" i="13"/>
  <c r="BR280" i="13"/>
  <c r="BR312" i="13"/>
  <c r="BR336" i="13"/>
  <c r="BR424" i="13"/>
  <c r="BR536" i="13"/>
  <c r="BR592" i="13"/>
  <c r="BR656" i="13"/>
  <c r="BR25" i="13"/>
  <c r="BR57" i="13"/>
  <c r="BR73" i="13"/>
  <c r="BR89" i="13"/>
  <c r="BR121" i="13"/>
  <c r="BR137" i="13"/>
  <c r="BR185" i="13"/>
  <c r="BR253" i="13"/>
  <c r="BR269" i="13"/>
  <c r="BR333" i="13"/>
  <c r="BR365" i="13"/>
  <c r="BR381" i="13"/>
  <c r="BR445" i="13"/>
  <c r="BR477" i="13"/>
  <c r="BR493" i="13"/>
  <c r="BR509" i="13"/>
  <c r="BR525" i="13"/>
  <c r="BR557" i="13"/>
  <c r="BR589" i="13"/>
  <c r="BR605" i="13"/>
  <c r="BR653" i="13"/>
  <c r="BR669" i="13"/>
  <c r="BR685" i="13"/>
  <c r="BR596" i="13"/>
  <c r="BR10" i="13"/>
  <c r="BR26" i="13"/>
  <c r="BR58" i="13"/>
  <c r="BR74" i="13"/>
  <c r="BR122" i="13"/>
  <c r="BR186" i="13"/>
  <c r="BR234" i="13"/>
  <c r="BR270" i="13"/>
  <c r="BR318" i="13"/>
  <c r="BR382" i="13"/>
  <c r="BR430" i="13"/>
  <c r="BR494" i="13"/>
  <c r="BR542" i="13"/>
  <c r="BR558" i="13"/>
  <c r="BR606" i="13"/>
  <c r="BR654" i="13"/>
  <c r="BR324" i="13"/>
  <c r="BR472" i="13"/>
  <c r="BR700" i="13"/>
  <c r="AQ4" i="10"/>
  <c r="H3" i="3"/>
  <c r="H2" i="3"/>
  <c r="M41" i="16" l="1"/>
  <c r="B44" i="16"/>
  <c r="D43" i="16"/>
  <c r="H43" i="16"/>
  <c r="G43" i="16"/>
  <c r="I43" i="16" s="1"/>
  <c r="W43" i="16" s="1"/>
  <c r="BR449" i="13"/>
  <c r="BR237" i="13"/>
  <c r="BR152" i="13"/>
  <c r="BR544" i="13"/>
  <c r="BR344" i="13"/>
  <c r="BR371" i="13"/>
  <c r="BR307" i="13"/>
  <c r="BR239" i="13"/>
  <c r="BR175" i="13"/>
  <c r="BR111" i="13"/>
  <c r="BR47" i="13"/>
  <c r="BR243" i="13"/>
  <c r="BR572" i="13"/>
  <c r="BR638" i="13"/>
  <c r="BR478" i="13"/>
  <c r="BR301" i="13"/>
  <c r="BR201" i="13"/>
  <c r="BR153" i="13"/>
  <c r="BR9" i="13"/>
  <c r="BR100" i="13"/>
  <c r="BR380" i="13"/>
  <c r="BR420" i="13"/>
  <c r="BR428" i="13"/>
  <c r="BR174" i="13"/>
  <c r="BR62" i="13"/>
  <c r="BR513" i="13"/>
  <c r="BR369" i="13"/>
  <c r="BR173" i="13"/>
  <c r="BR608" i="13"/>
  <c r="BR216" i="13"/>
  <c r="BR643" i="13"/>
  <c r="BR412" i="13"/>
  <c r="BR399" i="13"/>
  <c r="BR426" i="13"/>
  <c r="BR425" i="13"/>
  <c r="BR427" i="13"/>
  <c r="BR42" i="13"/>
  <c r="BR607" i="13"/>
  <c r="BR415" i="13"/>
  <c r="BR219" i="13"/>
  <c r="BR75" i="13"/>
  <c r="BR674" i="13"/>
  <c r="BR530" i="13"/>
  <c r="BR338" i="13"/>
  <c r="BR238" i="13"/>
  <c r="BR222" i="13"/>
  <c r="BR126" i="13"/>
  <c r="BR14" i="13"/>
  <c r="BR673" i="13"/>
  <c r="BR657" i="13"/>
  <c r="BR625" i="13"/>
  <c r="BR609" i="13"/>
  <c r="BR593" i="13"/>
  <c r="BR561" i="13"/>
  <c r="BR545" i="13"/>
  <c r="BR497" i="13"/>
  <c r="BR481" i="13"/>
  <c r="BR433" i="13"/>
  <c r="BR401" i="13"/>
  <c r="BR337" i="13"/>
  <c r="BR321" i="13"/>
  <c r="BR397" i="13"/>
  <c r="BR289" i="13"/>
  <c r="BR273" i="13"/>
  <c r="BR257" i="13"/>
  <c r="BR205" i="13"/>
  <c r="BR189" i="13"/>
  <c r="BR141" i="13"/>
  <c r="BR125" i="13"/>
  <c r="BR93" i="13"/>
  <c r="BR77" i="13"/>
  <c r="BR61" i="13"/>
  <c r="BR29" i="13"/>
  <c r="BR13" i="13"/>
  <c r="BR672" i="13"/>
  <c r="BR548" i="13"/>
  <c r="BR488" i="13"/>
  <c r="BR436" i="13"/>
  <c r="BR316" i="13"/>
  <c r="BR300" i="13"/>
  <c r="BR268" i="13"/>
  <c r="BR252" i="13"/>
  <c r="BR232" i="13"/>
  <c r="BR184" i="13"/>
  <c r="BR168" i="13"/>
  <c r="BR120" i="13"/>
  <c r="BR104" i="13"/>
  <c r="BR72" i="13"/>
  <c r="BR56" i="13"/>
  <c r="BR40" i="13"/>
  <c r="BR8" i="13"/>
  <c r="BR664" i="13"/>
  <c r="BR604" i="13"/>
  <c r="BR492" i="13"/>
  <c r="BR691" i="13"/>
  <c r="BR659" i="13"/>
  <c r="BR611" i="13"/>
  <c r="BR595" i="13"/>
  <c r="BR547" i="13"/>
  <c r="BR531" i="13"/>
  <c r="BR499" i="13"/>
  <c r="BR483" i="13"/>
  <c r="BR467" i="13"/>
  <c r="BR435" i="13"/>
  <c r="BR419" i="13"/>
  <c r="BR355" i="13"/>
  <c r="BR323" i="13"/>
  <c r="BR275" i="13"/>
  <c r="BR259" i="13"/>
  <c r="BR223" i="13"/>
  <c r="BR191" i="13"/>
  <c r="BR159" i="13"/>
  <c r="BR127" i="13"/>
  <c r="BR79" i="13"/>
  <c r="BR63" i="13"/>
  <c r="BR15" i="13"/>
  <c r="BR632" i="13"/>
  <c r="BR520" i="13"/>
  <c r="BR432" i="13"/>
  <c r="BR686" i="13"/>
  <c r="BR670" i="13"/>
  <c r="BR622" i="13"/>
  <c r="BR574" i="13"/>
  <c r="BR510" i="13"/>
  <c r="BR414" i="13"/>
  <c r="BR366" i="13"/>
  <c r="BR286" i="13"/>
  <c r="BR254" i="13"/>
  <c r="BR218" i="13"/>
  <c r="BR154" i="13"/>
  <c r="BR701" i="13"/>
  <c r="BR637" i="13"/>
  <c r="BR621" i="13"/>
  <c r="BR573" i="13"/>
  <c r="BR461" i="13"/>
  <c r="BR429" i="13"/>
  <c r="BR349" i="13"/>
  <c r="BR317" i="13"/>
  <c r="BR217" i="13"/>
  <c r="BR169" i="13"/>
  <c r="BR41" i="13"/>
  <c r="BR476" i="13"/>
  <c r="BR376" i="13"/>
  <c r="BR180" i="13"/>
  <c r="BR671" i="13"/>
  <c r="BR511" i="13"/>
  <c r="BR377" i="13"/>
  <c r="BR398" i="13"/>
  <c r="BR383" i="13"/>
  <c r="BR600" i="13"/>
  <c r="BS678" i="13"/>
  <c r="BR454" i="13"/>
  <c r="BR384" i="13"/>
  <c r="BR372" i="13"/>
  <c r="BR378" i="13"/>
  <c r="BR385" i="13"/>
  <c r="BR379" i="13"/>
  <c r="BR387" i="13"/>
  <c r="BR293" i="13"/>
  <c r="BR628" i="13"/>
  <c r="BR567" i="13"/>
  <c r="BR247" i="13"/>
  <c r="BR147" i="13"/>
  <c r="BR19" i="13"/>
  <c r="BR590" i="13"/>
  <c r="BR462" i="13"/>
  <c r="BR446" i="13"/>
  <c r="BR350" i="13"/>
  <c r="BR334" i="13"/>
  <c r="BR302" i="13"/>
  <c r="BR106" i="13"/>
  <c r="BR594" i="13"/>
  <c r="BS650" i="13"/>
  <c r="BS649" i="13"/>
  <c r="BR695" i="13"/>
  <c r="BR170" i="13"/>
  <c r="N9" i="16"/>
  <c r="O9" i="16" s="1"/>
  <c r="V9" i="16" s="1"/>
  <c r="N14" i="16"/>
  <c r="O14" i="16" s="1"/>
  <c r="V14" i="16" s="1"/>
  <c r="BR582" i="13"/>
  <c r="BR392" i="13"/>
  <c r="BR610" i="13"/>
  <c r="BR322" i="13"/>
  <c r="BR110" i="13"/>
  <c r="BR30" i="13"/>
  <c r="BR524" i="13"/>
  <c r="R41" i="16"/>
  <c r="X41" i="16" s="1"/>
  <c r="P42" i="16"/>
  <c r="Q42" i="16"/>
  <c r="BR33" i="13"/>
  <c r="BR140" i="13"/>
  <c r="BR202" i="13"/>
  <c r="N34" i="16" s="1"/>
  <c r="O34" i="16" s="1"/>
  <c r="V34" i="16" s="1"/>
  <c r="BR588" i="13"/>
  <c r="BR546" i="13"/>
  <c r="BR482" i="13"/>
  <c r="BR418" i="13"/>
  <c r="BR692" i="13"/>
  <c r="BR439" i="13"/>
  <c r="BR327" i="13"/>
  <c r="BR83" i="13"/>
  <c r="BR526" i="13"/>
  <c r="BR356" i="13"/>
  <c r="BR194" i="13"/>
  <c r="BR161" i="13"/>
  <c r="BR421" i="13"/>
  <c r="BR97" i="13"/>
  <c r="BR352" i="13"/>
  <c r="BR272" i="13"/>
  <c r="BR12" i="13"/>
  <c r="N7" i="16" s="1"/>
  <c r="O7" i="16" s="1"/>
  <c r="V7" i="16" s="1"/>
  <c r="BR225" i="13"/>
  <c r="BR195" i="13"/>
  <c r="BR163" i="13"/>
  <c r="BR131" i="13"/>
  <c r="BR99" i="13"/>
  <c r="BR51" i="13"/>
  <c r="BR35" i="13"/>
  <c r="BR244" i="13"/>
  <c r="BR138" i="13"/>
  <c r="BR386" i="13"/>
  <c r="BR190" i="13"/>
  <c r="BR496" i="13"/>
  <c r="BR404" i="13"/>
  <c r="BS630" i="13"/>
  <c r="BR614" i="13"/>
  <c r="BS677" i="13"/>
  <c r="BR485" i="13"/>
  <c r="BR679" i="13"/>
  <c r="BR631" i="13"/>
  <c r="BR471" i="13"/>
  <c r="BR359" i="13"/>
  <c r="BR343" i="13"/>
  <c r="BR295" i="13"/>
  <c r="BR90" i="13"/>
  <c r="BS660" i="13"/>
  <c r="BR440" i="13"/>
  <c r="BR658" i="13"/>
  <c r="BR642" i="13"/>
  <c r="BR204" i="13"/>
  <c r="BR76" i="13"/>
  <c r="N16" i="16" s="1"/>
  <c r="O16" i="16" s="1"/>
  <c r="V16" i="16" s="1"/>
  <c r="BR504" i="13"/>
  <c r="BR583" i="13"/>
  <c r="BR551" i="13"/>
  <c r="BR519" i="13"/>
  <c r="BR503" i="13"/>
  <c r="BR455" i="13"/>
  <c r="BR407" i="13"/>
  <c r="BR391" i="13"/>
  <c r="BR279" i="13"/>
  <c r="BR211" i="13"/>
  <c r="BS694" i="13"/>
  <c r="BS646" i="13"/>
  <c r="BR646" i="13"/>
  <c r="BR624" i="13"/>
  <c r="BR540" i="13"/>
  <c r="BR694" i="13"/>
  <c r="BR518" i="13"/>
  <c r="BS629" i="13"/>
  <c r="BR390" i="13"/>
  <c r="BR629" i="13"/>
  <c r="BR357" i="13"/>
  <c r="BR677" i="13"/>
  <c r="BS672" i="13"/>
  <c r="BS670" i="13"/>
  <c r="BS701" i="13"/>
  <c r="BS621" i="13"/>
  <c r="BS700" i="13"/>
  <c r="BS680" i="13"/>
  <c r="BS636" i="13"/>
  <c r="BS635" i="13"/>
  <c r="BS653" i="13"/>
  <c r="BR630" i="13"/>
  <c r="BS692" i="13"/>
  <c r="BR560" i="13"/>
  <c r="BR693" i="13"/>
  <c r="BR597" i="13"/>
  <c r="BR581" i="13"/>
  <c r="BR565" i="13"/>
  <c r="BR533" i="13"/>
  <c r="BR517" i="13"/>
  <c r="BR469" i="13"/>
  <c r="BR453" i="13"/>
  <c r="BR405" i="13"/>
  <c r="BR373" i="13"/>
  <c r="BR341" i="13"/>
  <c r="E2" i="16" s="1"/>
  <c r="F2" i="16" s="1"/>
  <c r="U2" i="16" s="1"/>
  <c r="BR309" i="13"/>
  <c r="BR261" i="13"/>
  <c r="BR209" i="13"/>
  <c r="BR177" i="13"/>
  <c r="BR145" i="13"/>
  <c r="BR113" i="13"/>
  <c r="BR65" i="13"/>
  <c r="BR49" i="13"/>
  <c r="BR688" i="13"/>
  <c r="BR456" i="13"/>
  <c r="BR408" i="13"/>
  <c r="BS695" i="13"/>
  <c r="BR615" i="13"/>
  <c r="BS687" i="13"/>
  <c r="BS674" i="13"/>
  <c r="BS658" i="13"/>
  <c r="BS673" i="13"/>
  <c r="BS625" i="13"/>
  <c r="BS664" i="13"/>
  <c r="BS659" i="13"/>
  <c r="BS638" i="13"/>
  <c r="BS644" i="13"/>
  <c r="BS665" i="13"/>
  <c r="BS685" i="13"/>
  <c r="BS656" i="13"/>
  <c r="BS623" i="13"/>
  <c r="BS684" i="13"/>
  <c r="BR616" i="13"/>
  <c r="BS679" i="13"/>
  <c r="BS631" i="13"/>
  <c r="BR575" i="13"/>
  <c r="BR495" i="13"/>
  <c r="BR187" i="13"/>
  <c r="BR43" i="13"/>
  <c r="BR532" i="13"/>
  <c r="BR484" i="13"/>
  <c r="E35" i="16" s="1"/>
  <c r="F35" i="16" s="1"/>
  <c r="U35" i="16" s="1"/>
  <c r="BR348" i="13"/>
  <c r="BS691" i="13"/>
  <c r="BS643" i="13"/>
  <c r="BS686" i="13"/>
  <c r="BS622" i="13"/>
  <c r="BS639" i="13"/>
  <c r="BS666" i="13"/>
  <c r="BS681" i="13"/>
  <c r="BS667" i="13"/>
  <c r="BS652" i="13"/>
  <c r="BR678" i="13"/>
  <c r="BR566" i="13"/>
  <c r="BR534" i="13"/>
  <c r="BR502" i="13"/>
  <c r="BR470" i="13"/>
  <c r="BR422" i="13"/>
  <c r="BR406" i="13"/>
  <c r="BR358" i="13"/>
  <c r="BR342" i="13"/>
  <c r="BR310" i="13"/>
  <c r="BR294" i="13"/>
  <c r="BR278" i="13"/>
  <c r="BR226" i="13"/>
  <c r="BR210" i="13"/>
  <c r="BR162" i="13"/>
  <c r="BR146" i="13"/>
  <c r="BR114" i="13"/>
  <c r="BR98" i="13"/>
  <c r="BR82" i="13"/>
  <c r="BR50" i="13"/>
  <c r="BR34" i="13"/>
  <c r="BS693" i="13"/>
  <c r="BR645" i="13"/>
  <c r="BS688" i="13"/>
  <c r="BR448" i="13"/>
  <c r="BR400" i="13"/>
  <c r="BR328" i="13"/>
  <c r="BR288" i="13"/>
  <c r="BR236" i="13"/>
  <c r="BR188" i="13"/>
  <c r="BR156" i="13"/>
  <c r="BR124" i="13"/>
  <c r="BR92" i="13"/>
  <c r="BR44" i="13"/>
  <c r="N25" i="16" s="1"/>
  <c r="O25" i="16" s="1"/>
  <c r="V25" i="16" s="1"/>
  <c r="BR28" i="13"/>
  <c r="N22" i="16" s="1"/>
  <c r="O22" i="16" s="1"/>
  <c r="V22" i="16" s="1"/>
  <c r="BR684" i="13"/>
  <c r="BR663" i="13"/>
  <c r="BS615" i="13"/>
  <c r="BR541" i="13"/>
  <c r="BR413" i="13"/>
  <c r="BR285" i="13"/>
  <c r="BR233" i="13"/>
  <c r="BR105" i="13"/>
  <c r="BR296" i="13"/>
  <c r="BR84" i="13"/>
  <c r="BR68" i="13"/>
  <c r="BR36" i="13"/>
  <c r="BR20" i="13"/>
  <c r="BR687" i="13"/>
  <c r="BS642" i="13"/>
  <c r="BR562" i="13"/>
  <c r="BR498" i="13"/>
  <c r="BR450" i="13"/>
  <c r="BR434" i="13"/>
  <c r="BR370" i="13"/>
  <c r="E19" i="16" s="1"/>
  <c r="F19" i="16" s="1"/>
  <c r="U19" i="16" s="1"/>
  <c r="BR306" i="13"/>
  <c r="BR274" i="13"/>
  <c r="BR142" i="13"/>
  <c r="N26" i="16" s="1"/>
  <c r="O26" i="16" s="1"/>
  <c r="V26" i="16" s="1"/>
  <c r="BR78" i="13"/>
  <c r="BS657" i="13"/>
  <c r="BS632" i="13"/>
  <c r="BS637" i="13"/>
  <c r="BS671" i="13"/>
  <c r="BS698" i="13"/>
  <c r="BS618" i="13"/>
  <c r="BS617" i="13"/>
  <c r="BS699" i="13"/>
  <c r="BS651" i="13"/>
  <c r="K43" i="16"/>
  <c r="BS628" i="13"/>
  <c r="BS616" i="13"/>
  <c r="BR660" i="13"/>
  <c r="BS624" i="13"/>
  <c r="BS614" i="13"/>
  <c r="BS645" i="13"/>
  <c r="BS663" i="13"/>
  <c r="E29" i="16"/>
  <c r="F29" i="16" s="1"/>
  <c r="U29" i="16" s="1"/>
  <c r="E7" i="16"/>
  <c r="F7" i="16" s="1"/>
  <c r="U7" i="16" s="1"/>
  <c r="AG6" i="15"/>
  <c r="AG3" i="15" s="1"/>
  <c r="AD6" i="15"/>
  <c r="AD3" i="15" s="1"/>
  <c r="AH6" i="15"/>
  <c r="AH3" i="15" s="1"/>
  <c r="AF6" i="15"/>
  <c r="AF3" i="15" s="1"/>
  <c r="AC6" i="15"/>
  <c r="AC3" i="15" s="1"/>
  <c r="X6" i="15"/>
  <c r="X3" i="15" s="1"/>
  <c r="W6" i="15"/>
  <c r="W3" i="15" s="1"/>
  <c r="Z6" i="15"/>
  <c r="Z3" i="15" s="1"/>
  <c r="AA6" i="15"/>
  <c r="AA3" i="15" s="1"/>
  <c r="BR258" i="13"/>
  <c r="Y6" i="15"/>
  <c r="Y3" i="15" s="1"/>
  <c r="V6" i="15"/>
  <c r="V3" i="15" s="1"/>
  <c r="AB6" i="15"/>
  <c r="AB3" i="15" s="1"/>
  <c r="AE6" i="15"/>
  <c r="AE3" i="15" s="1"/>
  <c r="P25" i="10"/>
  <c r="C1" i="8"/>
  <c r="G4" i="8"/>
  <c r="G1" i="8"/>
  <c r="M25" i="10"/>
  <c r="G17" i="3"/>
  <c r="G13" i="3"/>
  <c r="G9" i="3"/>
  <c r="G10" i="3"/>
  <c r="G7" i="3"/>
  <c r="G14" i="3"/>
  <c r="G16" i="3"/>
  <c r="G11" i="3"/>
  <c r="G8" i="3"/>
  <c r="G12" i="3"/>
  <c r="G15" i="3"/>
  <c r="G18" i="3"/>
  <c r="G6" i="3"/>
  <c r="B3" i="5"/>
  <c r="B2" i="5"/>
  <c r="M42" i="16" l="1"/>
  <c r="E32" i="16"/>
  <c r="F32" i="16" s="1"/>
  <c r="U32" i="16" s="1"/>
  <c r="E39" i="16"/>
  <c r="F39" i="16" s="1"/>
  <c r="U39" i="16" s="1"/>
  <c r="B45" i="16"/>
  <c r="D44" i="16"/>
  <c r="H44" i="16"/>
  <c r="G44" i="16"/>
  <c r="I44" i="16" s="1"/>
  <c r="W44" i="16" s="1"/>
  <c r="E20" i="16"/>
  <c r="F20" i="16" s="1"/>
  <c r="U20" i="16" s="1"/>
  <c r="N40" i="16"/>
  <c r="O40" i="16" s="1"/>
  <c r="V40" i="16" s="1"/>
  <c r="E41" i="16"/>
  <c r="F41" i="16" s="1"/>
  <c r="U41" i="16" s="1"/>
  <c r="AT32" i="10"/>
  <c r="AY42" i="10" s="1"/>
  <c r="AX42" i="10" s="1"/>
  <c r="E3" i="16"/>
  <c r="F3" i="16" s="1"/>
  <c r="U3" i="16" s="1"/>
  <c r="N33" i="16"/>
  <c r="O33" i="16" s="1"/>
  <c r="V33" i="16" s="1"/>
  <c r="E16" i="16"/>
  <c r="F16" i="16" s="1"/>
  <c r="U16" i="16" s="1"/>
  <c r="E44" i="16"/>
  <c r="F44" i="16" s="1"/>
  <c r="U44" i="16" s="1"/>
  <c r="N37" i="16"/>
  <c r="O37" i="16" s="1"/>
  <c r="V37" i="16" s="1"/>
  <c r="E15" i="16"/>
  <c r="F15" i="16" s="1"/>
  <c r="U15" i="16" s="1"/>
  <c r="AT40" i="10"/>
  <c r="AY34" i="10" s="1"/>
  <c r="AX34" i="10" s="1"/>
  <c r="AT37" i="10"/>
  <c r="AY37" i="10" s="1"/>
  <c r="AX37" i="10" s="1"/>
  <c r="E14" i="16"/>
  <c r="F14" i="16" s="1"/>
  <c r="U14" i="16" s="1"/>
  <c r="N31" i="16"/>
  <c r="O31" i="16" s="1"/>
  <c r="V31" i="16" s="1"/>
  <c r="E8" i="16"/>
  <c r="F8" i="16" s="1"/>
  <c r="U8" i="16" s="1"/>
  <c r="N41" i="16"/>
  <c r="E23" i="16"/>
  <c r="F23" i="16" s="1"/>
  <c r="U23" i="16" s="1"/>
  <c r="N20" i="16"/>
  <c r="O20" i="16" s="1"/>
  <c r="V20" i="16" s="1"/>
  <c r="E31" i="16"/>
  <c r="F31" i="16" s="1"/>
  <c r="U31" i="16" s="1"/>
  <c r="AT35" i="10"/>
  <c r="AY39" i="10" s="1"/>
  <c r="AX39" i="10" s="1"/>
  <c r="E36" i="16"/>
  <c r="F36" i="16" s="1"/>
  <c r="U36" i="16" s="1"/>
  <c r="E17" i="16"/>
  <c r="F17" i="16" s="1"/>
  <c r="U17" i="16" s="1"/>
  <c r="E25" i="16"/>
  <c r="F25" i="16" s="1"/>
  <c r="U25" i="16" s="1"/>
  <c r="N23" i="16"/>
  <c r="O23" i="16" s="1"/>
  <c r="V23" i="16" s="1"/>
  <c r="E30" i="16"/>
  <c r="F30" i="16" s="1"/>
  <c r="U30" i="16" s="1"/>
  <c r="E28" i="16"/>
  <c r="F28" i="16" s="1"/>
  <c r="U28" i="16" s="1"/>
  <c r="N27" i="16"/>
  <c r="O27" i="16" s="1"/>
  <c r="V27" i="16" s="1"/>
  <c r="E33" i="16"/>
  <c r="F33" i="16" s="1"/>
  <c r="U33" i="16" s="1"/>
  <c r="E37" i="16"/>
  <c r="F37" i="16" s="1"/>
  <c r="U37" i="16" s="1"/>
  <c r="E26" i="16"/>
  <c r="F26" i="16" s="1"/>
  <c r="U26" i="16" s="1"/>
  <c r="N32" i="16"/>
  <c r="O32" i="16" s="1"/>
  <c r="V32" i="16" s="1"/>
  <c r="N24" i="16"/>
  <c r="O24" i="16" s="1"/>
  <c r="V24" i="16" s="1"/>
  <c r="N30" i="16"/>
  <c r="O30" i="16" s="1"/>
  <c r="V30" i="16" s="1"/>
  <c r="E38" i="16"/>
  <c r="F38" i="16" s="1"/>
  <c r="U38" i="16" s="1"/>
  <c r="E27" i="16"/>
  <c r="F27" i="16" s="1"/>
  <c r="U27" i="16" s="1"/>
  <c r="AT33" i="10"/>
  <c r="AY41" i="10" s="1"/>
  <c r="AX41" i="10" s="1"/>
  <c r="E11" i="16"/>
  <c r="F11" i="16" s="1"/>
  <c r="U11" i="16" s="1"/>
  <c r="AT34" i="10"/>
  <c r="AY40" i="10" s="1"/>
  <c r="AX40" i="10" s="1"/>
  <c r="AT36" i="10"/>
  <c r="AY38" i="10" s="1"/>
  <c r="AX38" i="10" s="1"/>
  <c r="E12" i="16"/>
  <c r="F12" i="16" s="1"/>
  <c r="U12" i="16" s="1"/>
  <c r="N38" i="16"/>
  <c r="O38" i="16" s="1"/>
  <c r="V38" i="16" s="1"/>
  <c r="AT31" i="10"/>
  <c r="AY43" i="10" s="1"/>
  <c r="AX43" i="10" s="1"/>
  <c r="E21" i="16"/>
  <c r="F21" i="16" s="1"/>
  <c r="U21" i="16" s="1"/>
  <c r="E13" i="16"/>
  <c r="F13" i="16" s="1"/>
  <c r="U13" i="16" s="1"/>
  <c r="N17" i="16"/>
  <c r="O17" i="16" s="1"/>
  <c r="V17" i="16" s="1"/>
  <c r="E34" i="16"/>
  <c r="F34" i="16" s="1"/>
  <c r="U34" i="16" s="1"/>
  <c r="N10" i="16"/>
  <c r="O10" i="16" s="1"/>
  <c r="V10" i="16" s="1"/>
  <c r="E18" i="16"/>
  <c r="F18" i="16" s="1"/>
  <c r="U18" i="16" s="1"/>
  <c r="AT38" i="10"/>
  <c r="AY36" i="10" s="1"/>
  <c r="AX36" i="10" s="1"/>
  <c r="N29" i="16"/>
  <c r="O29" i="16" s="1"/>
  <c r="V29" i="16" s="1"/>
  <c r="E10" i="16"/>
  <c r="F10" i="16" s="1"/>
  <c r="U10" i="16" s="1"/>
  <c r="N8" i="16"/>
  <c r="O8" i="16" s="1"/>
  <c r="V8" i="16" s="1"/>
  <c r="E9" i="16"/>
  <c r="F9" i="16" s="1"/>
  <c r="U9" i="16" s="1"/>
  <c r="N12" i="16"/>
  <c r="O12" i="16" s="1"/>
  <c r="V12" i="16" s="1"/>
  <c r="E22" i="16"/>
  <c r="F22" i="16" s="1"/>
  <c r="U22" i="16" s="1"/>
  <c r="N13" i="16"/>
  <c r="O13" i="16" s="1"/>
  <c r="V13" i="16" s="1"/>
  <c r="N18" i="16"/>
  <c r="O18" i="16" s="1"/>
  <c r="V18" i="16" s="1"/>
  <c r="N28" i="16"/>
  <c r="O28" i="16" s="1"/>
  <c r="V28" i="16" s="1"/>
  <c r="E40" i="16"/>
  <c r="F40" i="16" s="1"/>
  <c r="U40" i="16" s="1"/>
  <c r="N11" i="16"/>
  <c r="O11" i="16" s="1"/>
  <c r="V11" i="16" s="1"/>
  <c r="E5" i="16"/>
  <c r="F5" i="16" s="1"/>
  <c r="U5" i="16" s="1"/>
  <c r="N21" i="16"/>
  <c r="O21" i="16" s="1"/>
  <c r="V21" i="16" s="1"/>
  <c r="N36" i="16"/>
  <c r="O36" i="16" s="1"/>
  <c r="V36" i="16" s="1"/>
  <c r="N39" i="16"/>
  <c r="O39" i="16" s="1"/>
  <c r="V39" i="16" s="1"/>
  <c r="E6" i="16"/>
  <c r="F6" i="16" s="1"/>
  <c r="U6" i="16" s="1"/>
  <c r="N35" i="16"/>
  <c r="O35" i="16" s="1"/>
  <c r="V35" i="16" s="1"/>
  <c r="E4" i="16"/>
  <c r="F4" i="16" s="1"/>
  <c r="U4" i="16" s="1"/>
  <c r="E24" i="16"/>
  <c r="F24" i="16" s="1"/>
  <c r="U24" i="16" s="1"/>
  <c r="E42" i="16"/>
  <c r="F42" i="16" s="1"/>
  <c r="U42" i="16" s="1"/>
  <c r="E43" i="16"/>
  <c r="F43" i="16" s="1"/>
  <c r="U43" i="16" s="1"/>
  <c r="N15" i="16"/>
  <c r="O15" i="16" s="1"/>
  <c r="V15" i="16" s="1"/>
  <c r="O41" i="16"/>
  <c r="V41" i="16" s="1"/>
  <c r="Q43" i="16"/>
  <c r="P43" i="16"/>
  <c r="N42" i="16"/>
  <c r="R42" i="16"/>
  <c r="X42" i="16" s="1"/>
  <c r="K44" i="16"/>
  <c r="AI6" i="15"/>
  <c r="AI3" i="15" s="1"/>
  <c r="P26" i="10"/>
  <c r="M26" i="10"/>
  <c r="D4" i="5"/>
  <c r="O29" i="2"/>
  <c r="O27" i="2"/>
  <c r="O26" i="2"/>
  <c r="M43" i="16" l="1"/>
  <c r="B46" i="16"/>
  <c r="D45" i="16"/>
  <c r="H45" i="16"/>
  <c r="G45" i="16"/>
  <c r="I45" i="16" s="1"/>
  <c r="W45" i="16" s="1"/>
  <c r="C4" i="8"/>
  <c r="O42" i="16"/>
  <c r="V42" i="16" s="1"/>
  <c r="Q44" i="16"/>
  <c r="P44" i="16"/>
  <c r="R43" i="16"/>
  <c r="X43" i="16" s="1"/>
  <c r="K45" i="16"/>
  <c r="N43" i="16"/>
  <c r="O43" i="16" s="1"/>
  <c r="V43" i="16" s="1"/>
  <c r="V8" i="15"/>
  <c r="X8" i="15"/>
  <c r="AB8" i="15"/>
  <c r="Z8" i="15"/>
  <c r="Y8" i="15"/>
  <c r="AC8" i="15"/>
  <c r="AG8" i="15"/>
  <c r="W8" i="15"/>
  <c r="AA8" i="15"/>
  <c r="AF8" i="15"/>
  <c r="AD8" i="15"/>
  <c r="AH8" i="15"/>
  <c r="AE8" i="15"/>
  <c r="M27" i="10"/>
  <c r="C2" i="8" s="1"/>
  <c r="P27" i="10"/>
  <c r="G2" i="8" s="1"/>
  <c r="Q26" i="2"/>
  <c r="R26" i="2"/>
  <c r="R27" i="2"/>
  <c r="Q27" i="2"/>
  <c r="Q29" i="2"/>
  <c r="R29" i="2"/>
  <c r="O25" i="2"/>
  <c r="D15" i="5"/>
  <c r="D14" i="5"/>
  <c r="D13" i="5"/>
  <c r="D12" i="5"/>
  <c r="D11" i="5"/>
  <c r="D10" i="5"/>
  <c r="D9" i="5"/>
  <c r="D8" i="5"/>
  <c r="D7" i="5"/>
  <c r="D6" i="5"/>
  <c r="D5" i="5"/>
  <c r="D3" i="5"/>
  <c r="A1" i="3"/>
  <c r="M44" i="16" l="1"/>
  <c r="B47" i="16"/>
  <c r="D46" i="16"/>
  <c r="H46" i="16"/>
  <c r="G46" i="16"/>
  <c r="I46" i="16" s="1"/>
  <c r="W46" i="16" s="1"/>
  <c r="E45" i="16"/>
  <c r="F45" i="16" s="1"/>
  <c r="U45" i="16" s="1"/>
  <c r="E46" i="16"/>
  <c r="F46" i="16" s="1"/>
  <c r="U46" i="16" s="1"/>
  <c r="R44" i="16"/>
  <c r="X44" i="16" s="1"/>
  <c r="N44" i="16"/>
  <c r="Q45" i="16"/>
  <c r="P45" i="16"/>
  <c r="K46" i="16"/>
  <c r="K4" i="5"/>
  <c r="F5" i="5"/>
  <c r="E5" i="5"/>
  <c r="G5" i="5"/>
  <c r="I5" i="5"/>
  <c r="H5" i="5"/>
  <c r="K8" i="5"/>
  <c r="F9" i="5"/>
  <c r="E9" i="5"/>
  <c r="G9" i="5"/>
  <c r="I9" i="5"/>
  <c r="H9" i="5"/>
  <c r="K12" i="5"/>
  <c r="F13" i="5"/>
  <c r="E13" i="5"/>
  <c r="G13" i="5"/>
  <c r="H13" i="5"/>
  <c r="I13" i="5"/>
  <c r="F4" i="5"/>
  <c r="I6" i="5"/>
  <c r="G6" i="5"/>
  <c r="E6" i="5"/>
  <c r="F6" i="5"/>
  <c r="H6" i="5"/>
  <c r="G10" i="5"/>
  <c r="E10" i="5"/>
  <c r="I10" i="5"/>
  <c r="F10" i="5"/>
  <c r="H10" i="5"/>
  <c r="K13" i="5"/>
  <c r="G14" i="5"/>
  <c r="I14" i="5"/>
  <c r="E14" i="5"/>
  <c r="F14" i="5"/>
  <c r="H14" i="5"/>
  <c r="H4" i="5"/>
  <c r="E4" i="5"/>
  <c r="E7" i="5"/>
  <c r="F7" i="5"/>
  <c r="G7" i="5"/>
  <c r="I7" i="5"/>
  <c r="H7" i="5"/>
  <c r="E11" i="5"/>
  <c r="G11" i="5"/>
  <c r="F11" i="5"/>
  <c r="H11" i="5"/>
  <c r="I11" i="5"/>
  <c r="I4" i="5"/>
  <c r="G4" i="5"/>
  <c r="G8" i="5"/>
  <c r="F8" i="5"/>
  <c r="E8" i="5"/>
  <c r="I8" i="5"/>
  <c r="H8" i="5"/>
  <c r="E12" i="5"/>
  <c r="F12" i="5"/>
  <c r="G12" i="5"/>
  <c r="H12" i="5"/>
  <c r="I12" i="5"/>
  <c r="K3" i="5"/>
  <c r="K9" i="5"/>
  <c r="K6" i="5"/>
  <c r="K10" i="5"/>
  <c r="K14" i="5"/>
  <c r="K5" i="5"/>
  <c r="K7" i="5"/>
  <c r="K11" i="5"/>
  <c r="Q25" i="2"/>
  <c r="R25" i="2"/>
  <c r="P4" i="5"/>
  <c r="N4" i="5"/>
  <c r="O4" i="5" s="1"/>
  <c r="P8" i="5"/>
  <c r="N8" i="5"/>
  <c r="O8" i="5" s="1"/>
  <c r="P12" i="5"/>
  <c r="N12" i="5"/>
  <c r="O12" i="5" s="1"/>
  <c r="P5" i="5"/>
  <c r="N5" i="5"/>
  <c r="O5" i="5" s="1"/>
  <c r="P9" i="5"/>
  <c r="N9" i="5"/>
  <c r="O9" i="5" s="1"/>
  <c r="P13" i="5"/>
  <c r="N13" i="5"/>
  <c r="O13" i="5" s="1"/>
  <c r="N6" i="5"/>
  <c r="O6" i="5" s="1"/>
  <c r="P6" i="5"/>
  <c r="N10" i="5"/>
  <c r="O10" i="5" s="1"/>
  <c r="P10" i="5"/>
  <c r="P14" i="5"/>
  <c r="N14" i="5"/>
  <c r="O14" i="5" s="1"/>
  <c r="P3" i="5"/>
  <c r="N3" i="5"/>
  <c r="O3" i="5" s="1"/>
  <c r="P7" i="5"/>
  <c r="N7" i="5"/>
  <c r="O7" i="5" s="1"/>
  <c r="P11" i="5"/>
  <c r="N11" i="5"/>
  <c r="O11" i="5" s="1"/>
  <c r="D1" i="3"/>
  <c r="A246" i="3"/>
  <c r="B246" i="3" s="1"/>
  <c r="A245" i="3"/>
  <c r="B245" i="3" s="1"/>
  <c r="A244" i="3"/>
  <c r="B244" i="3" s="1"/>
  <c r="A243" i="3"/>
  <c r="B243" i="3" s="1"/>
  <c r="A242" i="3"/>
  <c r="B242" i="3" s="1"/>
  <c r="A241" i="3"/>
  <c r="B241" i="3" s="1"/>
  <c r="A240" i="3"/>
  <c r="B240" i="3" s="1"/>
  <c r="A239" i="3"/>
  <c r="B239" i="3" s="1"/>
  <c r="A238" i="3"/>
  <c r="B238" i="3" s="1"/>
  <c r="A237" i="3"/>
  <c r="B237" i="3" s="1"/>
  <c r="A236" i="3"/>
  <c r="B236" i="3" s="1"/>
  <c r="A235" i="3"/>
  <c r="B235" i="3" s="1"/>
  <c r="A234" i="3"/>
  <c r="B234" i="3" s="1"/>
  <c r="A233" i="3"/>
  <c r="B233" i="3" s="1"/>
  <c r="A232" i="3"/>
  <c r="B232" i="3" s="1"/>
  <c r="A231" i="3"/>
  <c r="B231" i="3" s="1"/>
  <c r="A230" i="3"/>
  <c r="B230" i="3" s="1"/>
  <c r="A229" i="3"/>
  <c r="B229" i="3" s="1"/>
  <c r="A228" i="3"/>
  <c r="B228" i="3" s="1"/>
  <c r="A227" i="3"/>
  <c r="B227" i="3" s="1"/>
  <c r="A226" i="3"/>
  <c r="B226" i="3" s="1"/>
  <c r="A225" i="3"/>
  <c r="B225" i="3" s="1"/>
  <c r="A224" i="3"/>
  <c r="B224" i="3" s="1"/>
  <c r="A223" i="3"/>
  <c r="B223" i="3" s="1"/>
  <c r="A222" i="3"/>
  <c r="B222" i="3" s="1"/>
  <c r="A221" i="3"/>
  <c r="B221" i="3" s="1"/>
  <c r="A220" i="3"/>
  <c r="B220" i="3" s="1"/>
  <c r="A219" i="3"/>
  <c r="B219" i="3" s="1"/>
  <c r="A218" i="3"/>
  <c r="B218" i="3" s="1"/>
  <c r="A217" i="3"/>
  <c r="B217" i="3" s="1"/>
  <c r="A216" i="3"/>
  <c r="B216" i="3" s="1"/>
  <c r="A215" i="3"/>
  <c r="B215" i="3" s="1"/>
  <c r="A214" i="3"/>
  <c r="B214" i="3" s="1"/>
  <c r="A213" i="3"/>
  <c r="B213" i="3" s="1"/>
  <c r="A212" i="3"/>
  <c r="B212" i="3" s="1"/>
  <c r="A211" i="3"/>
  <c r="B211" i="3" s="1"/>
  <c r="A210" i="3"/>
  <c r="B210" i="3" s="1"/>
  <c r="A209" i="3"/>
  <c r="B209" i="3" s="1"/>
  <c r="A208" i="3"/>
  <c r="B208" i="3" s="1"/>
  <c r="A207" i="3"/>
  <c r="B207" i="3" s="1"/>
  <c r="A206" i="3"/>
  <c r="B206" i="3" s="1"/>
  <c r="A205" i="3"/>
  <c r="B205" i="3" s="1"/>
  <c r="A204" i="3"/>
  <c r="B204" i="3" s="1"/>
  <c r="A203" i="3"/>
  <c r="B203" i="3" s="1"/>
  <c r="A202" i="3"/>
  <c r="B202" i="3" s="1"/>
  <c r="A201" i="3"/>
  <c r="B201" i="3" s="1"/>
  <c r="A200" i="3"/>
  <c r="B200" i="3" s="1"/>
  <c r="A199" i="3"/>
  <c r="B199" i="3" s="1"/>
  <c r="A198" i="3"/>
  <c r="B198" i="3" s="1"/>
  <c r="A197" i="3"/>
  <c r="B197" i="3" s="1"/>
  <c r="A196" i="3"/>
  <c r="B196" i="3" s="1"/>
  <c r="A195" i="3"/>
  <c r="B195" i="3" s="1"/>
  <c r="A194" i="3"/>
  <c r="B194" i="3" s="1"/>
  <c r="A193" i="3"/>
  <c r="B193" i="3" s="1"/>
  <c r="A192" i="3"/>
  <c r="B192" i="3" s="1"/>
  <c r="A191" i="3"/>
  <c r="B191" i="3" s="1"/>
  <c r="A190" i="3"/>
  <c r="B190" i="3" s="1"/>
  <c r="A189" i="3"/>
  <c r="B189" i="3" s="1"/>
  <c r="A188" i="3"/>
  <c r="B188" i="3" s="1"/>
  <c r="A187" i="3"/>
  <c r="B187" i="3" s="1"/>
  <c r="A186" i="3"/>
  <c r="B186" i="3" s="1"/>
  <c r="A185" i="3"/>
  <c r="B185" i="3" s="1"/>
  <c r="A184" i="3"/>
  <c r="B184" i="3" s="1"/>
  <c r="A183" i="3"/>
  <c r="B183" i="3" s="1"/>
  <c r="A182" i="3"/>
  <c r="B182" i="3" s="1"/>
  <c r="A181" i="3"/>
  <c r="B181" i="3" s="1"/>
  <c r="A180" i="3"/>
  <c r="B180" i="3" s="1"/>
  <c r="A179" i="3"/>
  <c r="B179" i="3" s="1"/>
  <c r="A178" i="3"/>
  <c r="B178" i="3" s="1"/>
  <c r="A177" i="3"/>
  <c r="B177" i="3" s="1"/>
  <c r="A176" i="3"/>
  <c r="B176" i="3" s="1"/>
  <c r="A175" i="3"/>
  <c r="B175" i="3" s="1"/>
  <c r="A174" i="3"/>
  <c r="B174" i="3" s="1"/>
  <c r="A173" i="3"/>
  <c r="B173" i="3" s="1"/>
  <c r="A172" i="3"/>
  <c r="B172" i="3" s="1"/>
  <c r="A171" i="3"/>
  <c r="B171" i="3" s="1"/>
  <c r="A170" i="3"/>
  <c r="B170" i="3" s="1"/>
  <c r="A169" i="3"/>
  <c r="B169" i="3" s="1"/>
  <c r="A168" i="3"/>
  <c r="B168" i="3" s="1"/>
  <c r="A167" i="3"/>
  <c r="B167" i="3" s="1"/>
  <c r="A166" i="3"/>
  <c r="B166" i="3" s="1"/>
  <c r="A165" i="3"/>
  <c r="B165" i="3" s="1"/>
  <c r="A164" i="3"/>
  <c r="B164" i="3" s="1"/>
  <c r="A163" i="3"/>
  <c r="B163" i="3" s="1"/>
  <c r="A162" i="3"/>
  <c r="B162" i="3" s="1"/>
  <c r="A161" i="3"/>
  <c r="B161" i="3" s="1"/>
  <c r="A160" i="3"/>
  <c r="B160" i="3" s="1"/>
  <c r="A159" i="3"/>
  <c r="B159" i="3" s="1"/>
  <c r="A158" i="3"/>
  <c r="B158" i="3" s="1"/>
  <c r="A157" i="3"/>
  <c r="B157" i="3" s="1"/>
  <c r="A156" i="3"/>
  <c r="B156" i="3" s="1"/>
  <c r="A155" i="3"/>
  <c r="B155" i="3" s="1"/>
  <c r="A154" i="3"/>
  <c r="B154" i="3" s="1"/>
  <c r="A153" i="3"/>
  <c r="B153" i="3" s="1"/>
  <c r="A152" i="3"/>
  <c r="B152" i="3" s="1"/>
  <c r="A151" i="3"/>
  <c r="B151" i="3" s="1"/>
  <c r="A150" i="3"/>
  <c r="B150" i="3" s="1"/>
  <c r="A149" i="3"/>
  <c r="B149" i="3" s="1"/>
  <c r="A148" i="3"/>
  <c r="B148" i="3" s="1"/>
  <c r="A147" i="3"/>
  <c r="B147" i="3" s="1"/>
  <c r="A146" i="3"/>
  <c r="B146" i="3" s="1"/>
  <c r="A145" i="3"/>
  <c r="B145" i="3" s="1"/>
  <c r="A144" i="3"/>
  <c r="B144" i="3" s="1"/>
  <c r="A143" i="3"/>
  <c r="B143" i="3" s="1"/>
  <c r="A142" i="3"/>
  <c r="B142" i="3" s="1"/>
  <c r="A141" i="3"/>
  <c r="B141" i="3" s="1"/>
  <c r="A140" i="3"/>
  <c r="B140" i="3" s="1"/>
  <c r="A139" i="3"/>
  <c r="B139" i="3" s="1"/>
  <c r="A138" i="3"/>
  <c r="B138" i="3" s="1"/>
  <c r="A137" i="3"/>
  <c r="B137" i="3" s="1"/>
  <c r="A136" i="3"/>
  <c r="B136" i="3" s="1"/>
  <c r="A135" i="3"/>
  <c r="B135" i="3" s="1"/>
  <c r="A134" i="3"/>
  <c r="B134" i="3" s="1"/>
  <c r="A133" i="3"/>
  <c r="B133" i="3" s="1"/>
  <c r="A132" i="3"/>
  <c r="B132" i="3" s="1"/>
  <c r="A131" i="3"/>
  <c r="B131" i="3" s="1"/>
  <c r="A130" i="3"/>
  <c r="B130" i="3" s="1"/>
  <c r="A129" i="3"/>
  <c r="B129" i="3" s="1"/>
  <c r="A128" i="3"/>
  <c r="B128" i="3" s="1"/>
  <c r="A127" i="3"/>
  <c r="B127" i="3" s="1"/>
  <c r="A126" i="3"/>
  <c r="B126" i="3" s="1"/>
  <c r="A125" i="3"/>
  <c r="B125" i="3" s="1"/>
  <c r="A124" i="3"/>
  <c r="B124" i="3" s="1"/>
  <c r="A123" i="3"/>
  <c r="B123" i="3" s="1"/>
  <c r="A122" i="3"/>
  <c r="B122" i="3" s="1"/>
  <c r="A121" i="3"/>
  <c r="B121" i="3" s="1"/>
  <c r="A120" i="3"/>
  <c r="B120" i="3" s="1"/>
  <c r="A119" i="3"/>
  <c r="B119" i="3" s="1"/>
  <c r="A118" i="3"/>
  <c r="B118" i="3" s="1"/>
  <c r="A117" i="3"/>
  <c r="B117" i="3" s="1"/>
  <c r="A116" i="3"/>
  <c r="B116" i="3" s="1"/>
  <c r="A115" i="3"/>
  <c r="B115" i="3" s="1"/>
  <c r="A114" i="3"/>
  <c r="B114" i="3" s="1"/>
  <c r="A113" i="3"/>
  <c r="B113" i="3" s="1"/>
  <c r="A112" i="3"/>
  <c r="B112" i="3" s="1"/>
  <c r="A111" i="3"/>
  <c r="B111" i="3" s="1"/>
  <c r="A110" i="3"/>
  <c r="B110" i="3" s="1"/>
  <c r="A109" i="3"/>
  <c r="B109" i="3" s="1"/>
  <c r="A108" i="3"/>
  <c r="B108" i="3" s="1"/>
  <c r="A107" i="3"/>
  <c r="B107" i="3" s="1"/>
  <c r="A106" i="3"/>
  <c r="B106" i="3" s="1"/>
  <c r="A105" i="3"/>
  <c r="B105" i="3" s="1"/>
  <c r="A104" i="3"/>
  <c r="B104" i="3" s="1"/>
  <c r="A103" i="3"/>
  <c r="B103" i="3" s="1"/>
  <c r="A102" i="3"/>
  <c r="B102" i="3" s="1"/>
  <c r="A101" i="3"/>
  <c r="B101" i="3" s="1"/>
  <c r="A100" i="3"/>
  <c r="B100" i="3" s="1"/>
  <c r="A99" i="3"/>
  <c r="B99" i="3" s="1"/>
  <c r="A98" i="3"/>
  <c r="B98" i="3" s="1"/>
  <c r="A97" i="3"/>
  <c r="B97" i="3" s="1"/>
  <c r="A96" i="3"/>
  <c r="B96" i="3" s="1"/>
  <c r="A95" i="3"/>
  <c r="B95" i="3" s="1"/>
  <c r="A94" i="3"/>
  <c r="B94" i="3" s="1"/>
  <c r="A93" i="3"/>
  <c r="B93" i="3" s="1"/>
  <c r="A92" i="3"/>
  <c r="B92" i="3" s="1"/>
  <c r="A91" i="3"/>
  <c r="B91" i="3" s="1"/>
  <c r="A90" i="3"/>
  <c r="B90" i="3" s="1"/>
  <c r="A89" i="3"/>
  <c r="B89" i="3" s="1"/>
  <c r="A88" i="3"/>
  <c r="B88" i="3" s="1"/>
  <c r="A87" i="3"/>
  <c r="B87" i="3" s="1"/>
  <c r="A86" i="3"/>
  <c r="B86" i="3" s="1"/>
  <c r="A85" i="3"/>
  <c r="B85" i="3" s="1"/>
  <c r="A84" i="3"/>
  <c r="B84" i="3" s="1"/>
  <c r="A83" i="3"/>
  <c r="B83" i="3" s="1"/>
  <c r="A82" i="3"/>
  <c r="B82" i="3" s="1"/>
  <c r="A81" i="3"/>
  <c r="B81" i="3" s="1"/>
  <c r="A80" i="3"/>
  <c r="B80" i="3" s="1"/>
  <c r="A79" i="3"/>
  <c r="B79" i="3" s="1"/>
  <c r="A78" i="3"/>
  <c r="B78" i="3" s="1"/>
  <c r="A77" i="3"/>
  <c r="B77" i="3" s="1"/>
  <c r="A76" i="3"/>
  <c r="B76" i="3" s="1"/>
  <c r="A75" i="3"/>
  <c r="B75" i="3" s="1"/>
  <c r="A74" i="3"/>
  <c r="B74" i="3" s="1"/>
  <c r="A73" i="3"/>
  <c r="B73" i="3" s="1"/>
  <c r="A72" i="3"/>
  <c r="B72" i="3" s="1"/>
  <c r="A71" i="3"/>
  <c r="B71" i="3" s="1"/>
  <c r="A70" i="3"/>
  <c r="B70" i="3" s="1"/>
  <c r="A69" i="3"/>
  <c r="B69" i="3" s="1"/>
  <c r="A68" i="3"/>
  <c r="B68" i="3" s="1"/>
  <c r="A67" i="3"/>
  <c r="B67" i="3" s="1"/>
  <c r="A66" i="3"/>
  <c r="B66" i="3" s="1"/>
  <c r="A65" i="3"/>
  <c r="B65" i="3" s="1"/>
  <c r="A64" i="3"/>
  <c r="B64" i="3" s="1"/>
  <c r="A63" i="3"/>
  <c r="B63" i="3" s="1"/>
  <c r="A62" i="3"/>
  <c r="B62" i="3" s="1"/>
  <c r="A61" i="3"/>
  <c r="B61" i="3" s="1"/>
  <c r="A60" i="3"/>
  <c r="B60" i="3" s="1"/>
  <c r="A59" i="3"/>
  <c r="B59" i="3" s="1"/>
  <c r="A58" i="3"/>
  <c r="B58" i="3" s="1"/>
  <c r="A57" i="3"/>
  <c r="B57" i="3" s="1"/>
  <c r="A56" i="3"/>
  <c r="B56" i="3" s="1"/>
  <c r="A55" i="3"/>
  <c r="B55" i="3" s="1"/>
  <c r="A54" i="3"/>
  <c r="B54" i="3" s="1"/>
  <c r="A53" i="3"/>
  <c r="B53" i="3" s="1"/>
  <c r="A52" i="3"/>
  <c r="B52" i="3" s="1"/>
  <c r="A51" i="3"/>
  <c r="B51" i="3" s="1"/>
  <c r="A50" i="3"/>
  <c r="B50" i="3" s="1"/>
  <c r="A49" i="3"/>
  <c r="B49" i="3" s="1"/>
  <c r="A48" i="3"/>
  <c r="B48" i="3" s="1"/>
  <c r="A47" i="3"/>
  <c r="B47" i="3" s="1"/>
  <c r="A46" i="3"/>
  <c r="B46" i="3" s="1"/>
  <c r="A45" i="3"/>
  <c r="B45" i="3" s="1"/>
  <c r="A44" i="3"/>
  <c r="B44" i="3" s="1"/>
  <c r="A43" i="3"/>
  <c r="B43" i="3" s="1"/>
  <c r="A42" i="3"/>
  <c r="B42" i="3" s="1"/>
  <c r="A41" i="3"/>
  <c r="B41" i="3" s="1"/>
  <c r="A40" i="3"/>
  <c r="B40" i="3" s="1"/>
  <c r="A39" i="3"/>
  <c r="B39" i="3" s="1"/>
  <c r="A38" i="3"/>
  <c r="B38" i="3" s="1"/>
  <c r="A37" i="3"/>
  <c r="B37" i="3" s="1"/>
  <c r="A36" i="3"/>
  <c r="B36" i="3" s="1"/>
  <c r="A35" i="3"/>
  <c r="B35" i="3" s="1"/>
  <c r="A34" i="3"/>
  <c r="B34" i="3" s="1"/>
  <c r="A33" i="3"/>
  <c r="B33" i="3" s="1"/>
  <c r="A32" i="3"/>
  <c r="B32" i="3" s="1"/>
  <c r="A31" i="3"/>
  <c r="B31" i="3" s="1"/>
  <c r="A30" i="3"/>
  <c r="B30" i="3" s="1"/>
  <c r="A29" i="3"/>
  <c r="B29" i="3" s="1"/>
  <c r="A28" i="3"/>
  <c r="B28" i="3" s="1"/>
  <c r="A27" i="3"/>
  <c r="B27" i="3" s="1"/>
  <c r="A26" i="3"/>
  <c r="B26" i="3" s="1"/>
  <c r="A25" i="3"/>
  <c r="B25" i="3" s="1"/>
  <c r="A24" i="3"/>
  <c r="B24" i="3" s="1"/>
  <c r="A23" i="3"/>
  <c r="B23" i="3" s="1"/>
  <c r="A22" i="3"/>
  <c r="B22" i="3" s="1"/>
  <c r="A21" i="3"/>
  <c r="B21" i="3" s="1"/>
  <c r="A20" i="3"/>
  <c r="B20" i="3" s="1"/>
  <c r="A19" i="3"/>
  <c r="B19" i="3" s="1"/>
  <c r="A18" i="3"/>
  <c r="B18" i="3" s="1"/>
  <c r="A17" i="3"/>
  <c r="B17" i="3" s="1"/>
  <c r="A16" i="3"/>
  <c r="B16" i="3" s="1"/>
  <c r="A15" i="3"/>
  <c r="B15" i="3" s="1"/>
  <c r="A14" i="3"/>
  <c r="B14" i="3" s="1"/>
  <c r="A13" i="3"/>
  <c r="B13" i="3" s="1"/>
  <c r="A12" i="3"/>
  <c r="B12" i="3" s="1"/>
  <c r="A11" i="3"/>
  <c r="B11" i="3" s="1"/>
  <c r="A10" i="3"/>
  <c r="B10" i="3" s="1"/>
  <c r="A9" i="3"/>
  <c r="B9" i="3" s="1"/>
  <c r="A8" i="3"/>
  <c r="B8" i="3" s="1"/>
  <c r="A7" i="3"/>
  <c r="B7" i="3" s="1"/>
  <c r="A6" i="3"/>
  <c r="B6" i="3" s="1"/>
  <c r="A5" i="3"/>
  <c r="B5" i="3" s="1"/>
  <c r="A4" i="3"/>
  <c r="B4" i="3" s="1"/>
  <c r="A3" i="3"/>
  <c r="B3" i="3" s="1"/>
  <c r="A2" i="3"/>
  <c r="B2" i="3" s="1"/>
  <c r="C1" i="3"/>
  <c r="M45" i="16" l="1"/>
  <c r="B48" i="16"/>
  <c r="D47" i="16"/>
  <c r="H47" i="16"/>
  <c r="G47" i="16"/>
  <c r="I47" i="16" s="1"/>
  <c r="W47" i="16" s="1"/>
  <c r="E47" i="16"/>
  <c r="F47" i="16" s="1"/>
  <c r="U47" i="16" s="1"/>
  <c r="O44" i="16"/>
  <c r="V44" i="16" s="1"/>
  <c r="N45" i="16"/>
  <c r="R45" i="16"/>
  <c r="X45" i="16" s="1"/>
  <c r="K47" i="16"/>
  <c r="H1" i="3"/>
  <c r="E1" i="3"/>
  <c r="S10" i="3"/>
  <c r="Q10" i="3"/>
  <c r="R10" i="3" s="1"/>
  <c r="S16" i="3"/>
  <c r="Q16" i="3"/>
  <c r="R16" i="3" s="1"/>
  <c r="S15" i="3"/>
  <c r="Q15" i="3"/>
  <c r="R15" i="3" s="1"/>
  <c r="S11" i="3"/>
  <c r="Q11" i="3"/>
  <c r="R11" i="3" s="1"/>
  <c r="S7" i="3"/>
  <c r="Q7" i="3"/>
  <c r="R7" i="3" s="1"/>
  <c r="S6" i="3"/>
  <c r="Q6" i="3"/>
  <c r="R6" i="3" s="1"/>
  <c r="S17" i="3"/>
  <c r="Q17" i="3"/>
  <c r="R17" i="3" s="1"/>
  <c r="S13" i="3"/>
  <c r="Q13" i="3"/>
  <c r="R13" i="3" s="1"/>
  <c r="S9" i="3"/>
  <c r="Q9" i="3"/>
  <c r="R9" i="3" s="1"/>
  <c r="S14" i="3"/>
  <c r="Q14" i="3"/>
  <c r="R14" i="3" s="1"/>
  <c r="S12" i="3"/>
  <c r="Q12" i="3"/>
  <c r="R12" i="3" s="1"/>
  <c r="S8" i="3"/>
  <c r="Q8" i="3"/>
  <c r="R8" i="3" s="1"/>
  <c r="D23" i="5"/>
  <c r="D24" i="5"/>
  <c r="D27" i="5"/>
  <c r="D19" i="5"/>
  <c r="D20" i="5"/>
  <c r="D22" i="5"/>
  <c r="D21" i="5"/>
  <c r="D28" i="5"/>
  <c r="D26" i="5"/>
  <c r="D18" i="5"/>
  <c r="D25" i="5"/>
  <c r="D17" i="5"/>
  <c r="M46" i="16" l="1"/>
  <c r="B49" i="16"/>
  <c r="D48" i="16"/>
  <c r="H48" i="16"/>
  <c r="G48" i="16"/>
  <c r="I48" i="16" s="1"/>
  <c r="W48" i="16" s="1"/>
  <c r="E48" i="16"/>
  <c r="F48" i="16" s="1"/>
  <c r="U48" i="16" s="1"/>
  <c r="P46" i="16"/>
  <c r="Q46" i="16"/>
  <c r="O45" i="16"/>
  <c r="V45" i="16" s="1"/>
  <c r="N46" i="16"/>
  <c r="O46" i="16" s="1"/>
  <c r="V46" i="16" s="1"/>
  <c r="K48" i="16"/>
  <c r="T12" i="3"/>
  <c r="T9" i="3"/>
  <c r="T17" i="3"/>
  <c r="D252" i="3"/>
  <c r="D260" i="3"/>
  <c r="D264" i="3"/>
  <c r="D268" i="3"/>
  <c r="D272" i="3"/>
  <c r="D280" i="3"/>
  <c r="D288" i="3"/>
  <c r="D292" i="3"/>
  <c r="D296" i="3"/>
  <c r="D300" i="3"/>
  <c r="D308" i="3"/>
  <c r="D316" i="3"/>
  <c r="D320" i="3"/>
  <c r="D324" i="3"/>
  <c r="D328" i="3"/>
  <c r="D336" i="3"/>
  <c r="D344" i="3"/>
  <c r="D348" i="3"/>
  <c r="D352" i="3"/>
  <c r="D356" i="3"/>
  <c r="D364" i="3"/>
  <c r="D372" i="3"/>
  <c r="D376" i="3"/>
  <c r="D380" i="3"/>
  <c r="D384" i="3"/>
  <c r="D392" i="3"/>
  <c r="D400" i="3"/>
  <c r="D404" i="3"/>
  <c r="D408" i="3"/>
  <c r="D412" i="3"/>
  <c r="D420" i="3"/>
  <c r="D428" i="3"/>
  <c r="D432" i="3"/>
  <c r="D436" i="3"/>
  <c r="D440" i="3"/>
  <c r="D448" i="3"/>
  <c r="D456" i="3"/>
  <c r="D460" i="3"/>
  <c r="D464" i="3"/>
  <c r="D468" i="3"/>
  <c r="D476" i="3"/>
  <c r="D484" i="3"/>
  <c r="D488" i="3"/>
  <c r="D492" i="3"/>
  <c r="D496" i="3"/>
  <c r="D504" i="3"/>
  <c r="D512" i="3"/>
  <c r="D516" i="3"/>
  <c r="D520" i="3"/>
  <c r="D524" i="3"/>
  <c r="D532" i="3"/>
  <c r="D540" i="3"/>
  <c r="D544" i="3"/>
  <c r="D548" i="3"/>
  <c r="D552" i="3"/>
  <c r="D560" i="3"/>
  <c r="D568" i="3"/>
  <c r="D572" i="3"/>
  <c r="D576" i="3"/>
  <c r="D580" i="3"/>
  <c r="D253" i="3"/>
  <c r="D257" i="3"/>
  <c r="D261" i="3"/>
  <c r="D265" i="3"/>
  <c r="D273" i="3"/>
  <c r="D281" i="3"/>
  <c r="D285" i="3"/>
  <c r="D289" i="3"/>
  <c r="D293" i="3"/>
  <c r="D301" i="3"/>
  <c r="D309" i="3"/>
  <c r="D313" i="3"/>
  <c r="D317" i="3"/>
  <c r="D321" i="3"/>
  <c r="D329" i="3"/>
  <c r="D337" i="3"/>
  <c r="D341" i="3"/>
  <c r="D345" i="3"/>
  <c r="D349" i="3"/>
  <c r="D357" i="3"/>
  <c r="D365" i="3"/>
  <c r="D369" i="3"/>
  <c r="D373" i="3"/>
  <c r="D377" i="3"/>
  <c r="D385" i="3"/>
  <c r="D393" i="3"/>
  <c r="D397" i="3"/>
  <c r="D401" i="3"/>
  <c r="D405" i="3"/>
  <c r="D413" i="3"/>
  <c r="D421" i="3"/>
  <c r="D425" i="3"/>
  <c r="D429" i="3"/>
  <c r="D433" i="3"/>
  <c r="D441" i="3"/>
  <c r="D449" i="3"/>
  <c r="D453" i="3"/>
  <c r="D457" i="3"/>
  <c r="D461" i="3"/>
  <c r="D469" i="3"/>
  <c r="D477" i="3"/>
  <c r="D481" i="3"/>
  <c r="D485" i="3"/>
  <c r="D489" i="3"/>
  <c r="D497" i="3"/>
  <c r="D505" i="3"/>
  <c r="D509" i="3"/>
  <c r="D513" i="3"/>
  <c r="D517" i="3"/>
  <c r="D525" i="3"/>
  <c r="D533" i="3"/>
  <c r="D537" i="3"/>
  <c r="D541" i="3"/>
  <c r="D545" i="3"/>
  <c r="D553" i="3"/>
  <c r="D561" i="3"/>
  <c r="D565" i="3"/>
  <c r="D569" i="3"/>
  <c r="D573" i="3"/>
  <c r="D581" i="3"/>
  <c r="D589" i="3"/>
  <c r="D593" i="3"/>
  <c r="D597" i="3"/>
  <c r="D601" i="3"/>
  <c r="D250" i="3"/>
  <c r="D254" i="3"/>
  <c r="D258" i="3"/>
  <c r="D266" i="3"/>
  <c r="D274" i="3"/>
  <c r="D278" i="3"/>
  <c r="D282" i="3"/>
  <c r="D286" i="3"/>
  <c r="D294" i="3"/>
  <c r="D302" i="3"/>
  <c r="D306" i="3"/>
  <c r="D310" i="3"/>
  <c r="D314" i="3"/>
  <c r="D322" i="3"/>
  <c r="D330" i="3"/>
  <c r="D334" i="3"/>
  <c r="D338" i="3"/>
  <c r="D342" i="3"/>
  <c r="D350" i="3"/>
  <c r="D358" i="3"/>
  <c r="D362" i="3"/>
  <c r="D366" i="3"/>
  <c r="D370" i="3"/>
  <c r="D378" i="3"/>
  <c r="D386" i="3"/>
  <c r="D390" i="3"/>
  <c r="D394" i="3"/>
  <c r="D398" i="3"/>
  <c r="D406" i="3"/>
  <c r="D414" i="3"/>
  <c r="D418" i="3"/>
  <c r="D422" i="3"/>
  <c r="D426" i="3"/>
  <c r="D434" i="3"/>
  <c r="D442" i="3"/>
  <c r="D446" i="3"/>
  <c r="D450" i="3"/>
  <c r="D454" i="3"/>
  <c r="D462" i="3"/>
  <c r="D470" i="3"/>
  <c r="D474" i="3"/>
  <c r="D478" i="3"/>
  <c r="D482" i="3"/>
  <c r="D490" i="3"/>
  <c r="D498" i="3"/>
  <c r="D502" i="3"/>
  <c r="D506" i="3"/>
  <c r="D510" i="3"/>
  <c r="D518" i="3"/>
  <c r="D526" i="3"/>
  <c r="D530" i="3"/>
  <c r="D534" i="3"/>
  <c r="D538" i="3"/>
  <c r="D546" i="3"/>
  <c r="D554" i="3"/>
  <c r="D558" i="3"/>
  <c r="D562" i="3"/>
  <c r="D566" i="3"/>
  <c r="D574" i="3"/>
  <c r="D582" i="3"/>
  <c r="D586" i="3"/>
  <c r="D590" i="3"/>
  <c r="D594" i="3"/>
  <c r="D602" i="3"/>
  <c r="D267" i="3"/>
  <c r="D275" i="3"/>
  <c r="D299" i="3"/>
  <c r="D307" i="3"/>
  <c r="D343" i="3"/>
  <c r="D379" i="3"/>
  <c r="D387" i="3"/>
  <c r="D411" i="3"/>
  <c r="D419" i="3"/>
  <c r="D455" i="3"/>
  <c r="D491" i="3"/>
  <c r="D499" i="3"/>
  <c r="D523" i="3"/>
  <c r="D531" i="3"/>
  <c r="D567" i="3"/>
  <c r="D604" i="3"/>
  <c r="D608" i="3"/>
  <c r="D616" i="3"/>
  <c r="D624" i="3"/>
  <c r="D628" i="3"/>
  <c r="D632" i="3"/>
  <c r="D636" i="3"/>
  <c r="D644" i="3"/>
  <c r="D652" i="3"/>
  <c r="D656" i="3"/>
  <c r="D660" i="3"/>
  <c r="D664" i="3"/>
  <c r="D672" i="3"/>
  <c r="D680" i="3"/>
  <c r="D684" i="3"/>
  <c r="D688" i="3"/>
  <c r="D692" i="3"/>
  <c r="D700" i="3"/>
  <c r="D259" i="3"/>
  <c r="D295" i="3"/>
  <c r="D303" i="3"/>
  <c r="D327" i="3"/>
  <c r="D335" i="3"/>
  <c r="D371" i="3"/>
  <c r="D407" i="3"/>
  <c r="D415" i="3"/>
  <c r="D439" i="3"/>
  <c r="D447" i="3"/>
  <c r="D483" i="3"/>
  <c r="D519" i="3"/>
  <c r="D527" i="3"/>
  <c r="D551" i="3"/>
  <c r="D559" i="3"/>
  <c r="D609" i="3"/>
  <c r="D617" i="3"/>
  <c r="D621" i="3"/>
  <c r="D625" i="3"/>
  <c r="D629" i="3"/>
  <c r="D637" i="3"/>
  <c r="D645" i="3"/>
  <c r="D649" i="3"/>
  <c r="D653" i="3"/>
  <c r="D657" i="3"/>
  <c r="D665" i="3"/>
  <c r="D673" i="3"/>
  <c r="D677" i="3"/>
  <c r="D681" i="3"/>
  <c r="D685" i="3"/>
  <c r="D693" i="3"/>
  <c r="D701" i="3"/>
  <c r="D251" i="3"/>
  <c r="D287" i="3"/>
  <c r="D323" i="3"/>
  <c r="D331" i="3"/>
  <c r="D355" i="3"/>
  <c r="D363" i="3"/>
  <c r="D399" i="3"/>
  <c r="D435" i="3"/>
  <c r="D443" i="3"/>
  <c r="D467" i="3"/>
  <c r="D475" i="3"/>
  <c r="D511" i="3"/>
  <c r="D547" i="3"/>
  <c r="D555" i="3"/>
  <c r="D579" i="3"/>
  <c r="D587" i="3"/>
  <c r="D595" i="3"/>
  <c r="D600" i="3"/>
  <c r="D610" i="3"/>
  <c r="D614" i="3"/>
  <c r="D618" i="3"/>
  <c r="D622" i="3"/>
  <c r="D630" i="3"/>
  <c r="D638" i="3"/>
  <c r="D642" i="3"/>
  <c r="D646" i="3"/>
  <c r="D650" i="3"/>
  <c r="D658" i="3"/>
  <c r="D666" i="3"/>
  <c r="D670" i="3"/>
  <c r="D674" i="3"/>
  <c r="D678" i="3"/>
  <c r="D686" i="3"/>
  <c r="D694" i="3"/>
  <c r="D698" i="3"/>
  <c r="D247" i="3"/>
  <c r="D271" i="3"/>
  <c r="D279" i="3"/>
  <c r="D315" i="3"/>
  <c r="D351" i="3"/>
  <c r="D359" i="3"/>
  <c r="D383" i="3"/>
  <c r="D391" i="3"/>
  <c r="D427" i="3"/>
  <c r="D463" i="3"/>
  <c r="D471" i="3"/>
  <c r="D495" i="3"/>
  <c r="D503" i="3"/>
  <c r="D539" i="3"/>
  <c r="D575" i="3"/>
  <c r="D583" i="3"/>
  <c r="D588" i="3"/>
  <c r="D596" i="3"/>
  <c r="D603" i="3"/>
  <c r="D607" i="3"/>
  <c r="D611" i="3"/>
  <c r="D615" i="3"/>
  <c r="D623" i="3"/>
  <c r="D631" i="3"/>
  <c r="D635" i="3"/>
  <c r="D639" i="3"/>
  <c r="D643" i="3"/>
  <c r="D651" i="3"/>
  <c r="D659" i="3"/>
  <c r="D663" i="3"/>
  <c r="D667" i="3"/>
  <c r="D671" i="3"/>
  <c r="D679" i="3"/>
  <c r="D687" i="3"/>
  <c r="D691" i="3"/>
  <c r="D695" i="3"/>
  <c r="D699" i="3"/>
  <c r="T7" i="3"/>
  <c r="T15" i="3"/>
  <c r="T10" i="3"/>
  <c r="T8" i="3"/>
  <c r="T14" i="3"/>
  <c r="T13" i="3"/>
  <c r="T6" i="3"/>
  <c r="T11" i="3"/>
  <c r="T16" i="3"/>
  <c r="P47" i="16" l="1"/>
  <c r="M47" i="16"/>
  <c r="B50" i="16"/>
  <c r="D49" i="16"/>
  <c r="H49" i="16"/>
  <c r="G49" i="16"/>
  <c r="I49" i="16" s="1"/>
  <c r="W49" i="16" s="1"/>
  <c r="E49" i="16"/>
  <c r="F49" i="16" s="1"/>
  <c r="U49" i="16" s="1"/>
  <c r="R46" i="16"/>
  <c r="X46" i="16" s="1"/>
  <c r="Q47" i="16"/>
  <c r="R47" i="16" s="1"/>
  <c r="X47" i="16" s="1"/>
  <c r="N47" i="16"/>
  <c r="K49" i="16"/>
  <c r="AP3" i="13"/>
  <c r="AP4" i="13"/>
  <c r="AP5" i="13"/>
  <c r="AP6" i="13"/>
  <c r="AP7" i="13"/>
  <c r="AP8" i="13"/>
  <c r="AP9" i="13"/>
  <c r="AP10" i="13"/>
  <c r="AP11" i="13"/>
  <c r="AP12" i="13"/>
  <c r="AP13" i="13"/>
  <c r="AP14" i="13"/>
  <c r="AP15" i="13"/>
  <c r="AP16" i="13"/>
  <c r="AP17" i="13"/>
  <c r="AP18" i="13"/>
  <c r="AP19" i="13"/>
  <c r="AP20" i="13"/>
  <c r="AP21" i="13"/>
  <c r="AP22" i="13"/>
  <c r="AP23" i="13"/>
  <c r="AP24" i="13"/>
  <c r="AP25" i="13"/>
  <c r="AP26" i="13"/>
  <c r="AP27" i="13"/>
  <c r="AP28" i="13"/>
  <c r="AP29" i="13"/>
  <c r="AP30" i="13"/>
  <c r="AP31" i="13"/>
  <c r="AP32" i="13"/>
  <c r="AP33" i="13"/>
  <c r="AP34" i="13"/>
  <c r="AP35" i="13"/>
  <c r="AP36" i="13"/>
  <c r="AP37" i="13"/>
  <c r="AP38" i="13"/>
  <c r="AP39" i="13"/>
  <c r="AP40" i="13"/>
  <c r="AP41" i="13"/>
  <c r="AP42" i="13"/>
  <c r="AP43" i="13"/>
  <c r="AP44" i="13"/>
  <c r="AP45" i="13"/>
  <c r="AP46" i="13"/>
  <c r="AP47" i="13"/>
  <c r="AP48" i="13"/>
  <c r="AP49" i="13"/>
  <c r="AP50" i="13"/>
  <c r="AP51" i="13"/>
  <c r="AP52" i="13"/>
  <c r="AP53" i="13"/>
  <c r="AP54" i="13"/>
  <c r="AP55" i="13"/>
  <c r="AP56" i="13"/>
  <c r="AP57" i="13"/>
  <c r="AP58" i="13"/>
  <c r="AP59" i="13"/>
  <c r="AP60" i="13"/>
  <c r="AP61" i="13"/>
  <c r="AP62" i="13"/>
  <c r="AP63" i="13"/>
  <c r="AP64" i="13"/>
  <c r="AP65" i="13"/>
  <c r="AP66" i="13"/>
  <c r="AP67" i="13"/>
  <c r="AP68" i="13"/>
  <c r="AP69" i="13"/>
  <c r="AP70" i="13"/>
  <c r="AP71" i="13"/>
  <c r="AP72" i="13"/>
  <c r="AP73" i="13"/>
  <c r="AP74" i="13"/>
  <c r="AP75" i="13"/>
  <c r="AP76" i="13"/>
  <c r="AP77" i="13"/>
  <c r="AP78" i="13"/>
  <c r="AP79" i="13"/>
  <c r="AP80" i="13"/>
  <c r="AP81" i="13"/>
  <c r="AP82" i="13"/>
  <c r="AP83" i="13"/>
  <c r="AP84" i="13"/>
  <c r="AP85" i="13"/>
  <c r="AP86" i="13"/>
  <c r="AP87" i="13"/>
  <c r="AP88" i="13"/>
  <c r="AP89" i="13"/>
  <c r="AP90" i="13"/>
  <c r="AP91" i="13"/>
  <c r="AP92" i="13"/>
  <c r="AP93" i="13"/>
  <c r="AP94" i="13"/>
  <c r="AP95" i="13"/>
  <c r="AP96" i="13"/>
  <c r="AP97" i="13"/>
  <c r="AP98" i="13"/>
  <c r="AP99" i="13"/>
  <c r="AP100" i="13"/>
  <c r="AP101" i="13"/>
  <c r="AP102" i="13"/>
  <c r="AP103" i="13"/>
  <c r="AP104" i="13"/>
  <c r="AP105" i="13"/>
  <c r="AP106" i="13"/>
  <c r="AP107" i="13"/>
  <c r="AP108" i="13"/>
  <c r="AP109" i="13"/>
  <c r="AP110" i="13"/>
  <c r="AP111" i="13"/>
  <c r="AP112" i="13"/>
  <c r="AP113" i="13"/>
  <c r="AP114" i="13"/>
  <c r="AP115" i="13"/>
  <c r="AP116" i="13"/>
  <c r="AP117" i="13"/>
  <c r="AP118" i="13"/>
  <c r="AP119" i="13"/>
  <c r="AP120" i="13"/>
  <c r="AP121" i="13"/>
  <c r="AP122" i="13"/>
  <c r="AP123" i="13"/>
  <c r="AP124" i="13"/>
  <c r="AP125" i="13"/>
  <c r="AP126" i="13"/>
  <c r="AP127" i="13"/>
  <c r="AP128" i="13"/>
  <c r="AP129" i="13"/>
  <c r="AP130" i="13"/>
  <c r="AP131" i="13"/>
  <c r="AP132" i="13"/>
  <c r="AP133" i="13"/>
  <c r="AP134" i="13"/>
  <c r="AP135" i="13"/>
  <c r="AP136" i="13"/>
  <c r="AP137" i="13"/>
  <c r="AP138" i="13"/>
  <c r="AP139" i="13"/>
  <c r="AP140" i="13"/>
  <c r="AP141" i="13"/>
  <c r="AP142" i="13"/>
  <c r="AP143" i="13"/>
  <c r="AP144" i="13"/>
  <c r="AP145" i="13"/>
  <c r="AP146" i="13"/>
  <c r="AP147" i="13"/>
  <c r="AP148" i="13"/>
  <c r="AP149" i="13"/>
  <c r="AP150" i="13"/>
  <c r="AP151" i="13"/>
  <c r="AP152" i="13"/>
  <c r="AP153" i="13"/>
  <c r="AP154" i="13"/>
  <c r="AP155" i="13"/>
  <c r="AP156" i="13"/>
  <c r="AP157" i="13"/>
  <c r="AP158" i="13"/>
  <c r="AP159" i="13"/>
  <c r="AP160" i="13"/>
  <c r="AP161" i="13"/>
  <c r="AP162" i="13"/>
  <c r="AP163" i="13"/>
  <c r="AP164" i="13"/>
  <c r="AP165" i="13"/>
  <c r="AP166" i="13"/>
  <c r="AP167" i="13"/>
  <c r="AP168" i="13"/>
  <c r="AP169" i="13"/>
  <c r="AP170" i="13"/>
  <c r="AP171" i="13"/>
  <c r="AP172" i="13"/>
  <c r="AP173" i="13"/>
  <c r="AP174" i="13"/>
  <c r="AP175" i="13"/>
  <c r="AP176" i="13"/>
  <c r="AP177" i="13"/>
  <c r="AP178" i="13"/>
  <c r="AP179" i="13"/>
  <c r="AP180" i="13"/>
  <c r="AP181" i="13"/>
  <c r="AP182" i="13"/>
  <c r="AP183" i="13"/>
  <c r="AP184" i="13"/>
  <c r="AP185" i="13"/>
  <c r="AP186" i="13"/>
  <c r="AP187" i="13"/>
  <c r="AP188" i="13"/>
  <c r="AP189" i="13"/>
  <c r="AP190" i="13"/>
  <c r="AP191" i="13"/>
  <c r="AP192" i="13"/>
  <c r="AP193" i="13"/>
  <c r="AP194" i="13"/>
  <c r="AP195" i="13"/>
  <c r="AP196" i="13"/>
  <c r="AP197" i="13"/>
  <c r="AP198" i="13"/>
  <c r="AP199" i="13"/>
  <c r="AP200" i="13"/>
  <c r="AP201" i="13"/>
  <c r="AP202" i="13"/>
  <c r="AP203" i="13"/>
  <c r="AP204" i="13"/>
  <c r="AP205" i="13"/>
  <c r="AP206" i="13"/>
  <c r="AP207" i="13"/>
  <c r="AP208" i="13"/>
  <c r="AP209" i="13"/>
  <c r="AP210" i="13"/>
  <c r="AP211" i="13"/>
  <c r="AP212" i="13"/>
  <c r="AP213" i="13"/>
  <c r="AP214" i="13"/>
  <c r="AP215" i="13"/>
  <c r="AP216" i="13"/>
  <c r="AP217" i="13"/>
  <c r="AP218" i="13"/>
  <c r="AP219" i="13"/>
  <c r="AP220" i="13"/>
  <c r="AP221" i="13"/>
  <c r="AP222" i="13"/>
  <c r="AP223" i="13"/>
  <c r="AP224" i="13"/>
  <c r="AP225" i="13"/>
  <c r="AP226" i="13"/>
  <c r="AP227" i="13"/>
  <c r="AP228" i="13"/>
  <c r="AP229" i="13"/>
  <c r="AP230" i="13"/>
  <c r="AP231" i="13"/>
  <c r="AP232" i="13"/>
  <c r="AP233" i="13"/>
  <c r="AP234" i="13"/>
  <c r="AP235" i="13"/>
  <c r="AP236" i="13"/>
  <c r="AP237" i="13"/>
  <c r="AP238" i="13"/>
  <c r="AP239" i="13"/>
  <c r="AP240" i="13"/>
  <c r="AP241" i="13"/>
  <c r="AP242" i="13"/>
  <c r="AP243" i="13"/>
  <c r="AP244" i="13"/>
  <c r="AP245" i="13"/>
  <c r="AP246" i="13"/>
  <c r="AP247" i="13"/>
  <c r="AP248" i="13"/>
  <c r="AP249" i="13"/>
  <c r="AP250" i="13"/>
  <c r="AP251" i="13"/>
  <c r="AP252" i="13"/>
  <c r="AP253" i="13"/>
  <c r="AP254" i="13"/>
  <c r="AP255" i="13"/>
  <c r="AP256" i="13"/>
  <c r="AP257" i="13"/>
  <c r="AP258" i="13"/>
  <c r="AP259" i="13"/>
  <c r="AP260" i="13"/>
  <c r="AP261" i="13"/>
  <c r="AP262" i="13"/>
  <c r="AP263" i="13"/>
  <c r="AP264" i="13"/>
  <c r="AP265" i="13"/>
  <c r="AP266" i="13"/>
  <c r="AP267" i="13"/>
  <c r="AP268" i="13"/>
  <c r="AP269" i="13"/>
  <c r="AP270" i="13"/>
  <c r="AP271" i="13"/>
  <c r="AP272" i="13"/>
  <c r="AP273" i="13"/>
  <c r="AP274" i="13"/>
  <c r="AP275" i="13"/>
  <c r="AP276" i="13"/>
  <c r="AP277" i="13"/>
  <c r="AP278" i="13"/>
  <c r="AP279" i="13"/>
  <c r="AP280" i="13"/>
  <c r="AP281" i="13"/>
  <c r="AP282" i="13"/>
  <c r="AP283" i="13"/>
  <c r="AP284" i="13"/>
  <c r="AP285" i="13"/>
  <c r="AP286" i="13"/>
  <c r="AP287" i="13"/>
  <c r="AP288" i="13"/>
  <c r="AP289" i="13"/>
  <c r="AP290" i="13"/>
  <c r="AP291" i="13"/>
  <c r="AP292" i="13"/>
  <c r="AP293" i="13"/>
  <c r="AP294" i="13"/>
  <c r="AP295" i="13"/>
  <c r="AP296" i="13"/>
  <c r="AP297" i="13"/>
  <c r="AP298" i="13"/>
  <c r="AP299" i="13"/>
  <c r="AP300" i="13"/>
  <c r="AP301" i="13"/>
  <c r="AP302" i="13"/>
  <c r="AP303" i="13"/>
  <c r="AP304" i="13"/>
  <c r="AP305" i="13"/>
  <c r="AP306" i="13"/>
  <c r="AP307" i="13"/>
  <c r="AP308" i="13"/>
  <c r="AP309" i="13"/>
  <c r="AP310" i="13"/>
  <c r="AP311" i="13"/>
  <c r="AP312" i="13"/>
  <c r="AP313" i="13"/>
  <c r="AP314" i="13"/>
  <c r="AP315" i="13"/>
  <c r="AP316" i="13"/>
  <c r="AP317" i="13"/>
  <c r="AP318" i="13"/>
  <c r="AP319" i="13"/>
  <c r="AP320" i="13"/>
  <c r="AP321" i="13"/>
  <c r="AP322" i="13"/>
  <c r="AP323" i="13"/>
  <c r="AP324" i="13"/>
  <c r="AP325" i="13"/>
  <c r="AP326" i="13"/>
  <c r="AP327" i="13"/>
  <c r="AP328" i="13"/>
  <c r="AP329" i="13"/>
  <c r="AP330" i="13"/>
  <c r="AP331" i="13"/>
  <c r="AP332" i="13"/>
  <c r="AP333" i="13"/>
  <c r="AP334" i="13"/>
  <c r="AP335" i="13"/>
  <c r="AP336" i="13"/>
  <c r="AP337" i="13"/>
  <c r="AP338" i="13"/>
  <c r="AP339" i="13"/>
  <c r="AP340" i="13"/>
  <c r="AP341" i="13"/>
  <c r="AP342" i="13"/>
  <c r="AP343" i="13"/>
  <c r="AP344" i="13"/>
  <c r="AP345" i="13"/>
  <c r="AP346" i="13"/>
  <c r="AP347" i="13"/>
  <c r="AP348" i="13"/>
  <c r="AP349" i="13"/>
  <c r="AP350" i="13"/>
  <c r="AP351" i="13"/>
  <c r="AP352" i="13"/>
  <c r="AP353" i="13"/>
  <c r="AP354" i="13"/>
  <c r="AP355" i="13"/>
  <c r="AP356" i="13"/>
  <c r="AP357" i="13"/>
  <c r="AP358" i="13"/>
  <c r="AP359" i="13"/>
  <c r="AP360" i="13"/>
  <c r="AP361" i="13"/>
  <c r="AP362" i="13"/>
  <c r="AP363" i="13"/>
  <c r="AP364" i="13"/>
  <c r="AP365" i="13"/>
  <c r="AP366" i="13"/>
  <c r="AP367" i="13"/>
  <c r="AP368" i="13"/>
  <c r="AP369" i="13"/>
  <c r="AP370" i="13"/>
  <c r="AP371" i="13"/>
  <c r="AP372" i="13"/>
  <c r="AP373" i="13"/>
  <c r="AP374" i="13"/>
  <c r="AP375" i="13"/>
  <c r="AP376" i="13"/>
  <c r="AP377" i="13"/>
  <c r="AP378" i="13"/>
  <c r="AP379" i="13"/>
  <c r="AP380" i="13"/>
  <c r="AP381" i="13"/>
  <c r="AP382" i="13"/>
  <c r="AP383" i="13"/>
  <c r="AP384" i="13"/>
  <c r="AP385" i="13"/>
  <c r="AP386" i="13"/>
  <c r="AP387" i="13"/>
  <c r="AP388" i="13"/>
  <c r="AP389" i="13"/>
  <c r="AP390" i="13"/>
  <c r="AP391" i="13"/>
  <c r="AP392" i="13"/>
  <c r="AP393" i="13"/>
  <c r="AP394" i="13"/>
  <c r="AP395" i="13"/>
  <c r="AP396" i="13"/>
  <c r="AP397" i="13"/>
  <c r="AP398" i="13"/>
  <c r="AP399" i="13"/>
  <c r="AP400" i="13"/>
  <c r="AP401" i="13"/>
  <c r="AP402" i="13"/>
  <c r="AP403" i="13"/>
  <c r="AP404" i="13"/>
  <c r="AP405" i="13"/>
  <c r="AP406" i="13"/>
  <c r="AP407" i="13"/>
  <c r="AP408" i="13"/>
  <c r="AP409" i="13"/>
  <c r="AP410" i="13"/>
  <c r="AP411" i="13"/>
  <c r="AP412" i="13"/>
  <c r="AP413" i="13"/>
  <c r="AP414" i="13"/>
  <c r="AP415" i="13"/>
  <c r="AP416" i="13"/>
  <c r="AP417" i="13"/>
  <c r="AP418" i="13"/>
  <c r="AP419" i="13"/>
  <c r="AP420" i="13"/>
  <c r="AP421" i="13"/>
  <c r="AP422" i="13"/>
  <c r="AP423" i="13"/>
  <c r="AP424" i="13"/>
  <c r="AP425" i="13"/>
  <c r="AP426" i="13"/>
  <c r="AP427" i="13"/>
  <c r="AP428" i="13"/>
  <c r="AP429" i="13"/>
  <c r="AP430" i="13"/>
  <c r="AP431" i="13"/>
  <c r="AP432" i="13"/>
  <c r="AP433" i="13"/>
  <c r="AP434" i="13"/>
  <c r="AP435" i="13"/>
  <c r="AP436" i="13"/>
  <c r="AP437" i="13"/>
  <c r="AP438" i="13"/>
  <c r="AP439" i="13"/>
  <c r="AP440" i="13"/>
  <c r="AP441" i="13"/>
  <c r="AP442" i="13"/>
  <c r="AP443" i="13"/>
  <c r="AP444" i="13"/>
  <c r="AP445" i="13"/>
  <c r="AP446" i="13"/>
  <c r="AP447" i="13"/>
  <c r="AP448" i="13"/>
  <c r="AP449" i="13"/>
  <c r="AP450" i="13"/>
  <c r="AP451" i="13"/>
  <c r="AP452" i="13"/>
  <c r="AP453" i="13"/>
  <c r="AP454" i="13"/>
  <c r="AP455" i="13"/>
  <c r="AP456" i="13"/>
  <c r="AP457" i="13"/>
  <c r="AP458" i="13"/>
  <c r="AP459" i="13"/>
  <c r="AP460" i="13"/>
  <c r="AP461" i="13"/>
  <c r="AP462" i="13"/>
  <c r="AP463" i="13"/>
  <c r="AP464" i="13"/>
  <c r="AP465" i="13"/>
  <c r="AP466" i="13"/>
  <c r="AP467" i="13"/>
  <c r="AP468" i="13"/>
  <c r="AP469" i="13"/>
  <c r="AP470" i="13"/>
  <c r="AP471" i="13"/>
  <c r="AP472" i="13"/>
  <c r="AP473" i="13"/>
  <c r="AP474" i="13"/>
  <c r="AP475" i="13"/>
  <c r="AP476" i="13"/>
  <c r="AP477" i="13"/>
  <c r="AP478" i="13"/>
  <c r="AP479" i="13"/>
  <c r="AP480" i="13"/>
  <c r="AP481" i="13"/>
  <c r="AP482" i="13"/>
  <c r="AP483" i="13"/>
  <c r="AP484" i="13"/>
  <c r="AP485" i="13"/>
  <c r="AP486" i="13"/>
  <c r="AP487" i="13"/>
  <c r="AP488" i="13"/>
  <c r="AP489" i="13"/>
  <c r="AP490" i="13"/>
  <c r="AP491" i="13"/>
  <c r="AP492" i="13"/>
  <c r="AP493" i="13"/>
  <c r="AP494" i="13"/>
  <c r="AP495" i="13"/>
  <c r="AP496" i="13"/>
  <c r="AP497" i="13"/>
  <c r="AP498" i="13"/>
  <c r="AP499" i="13"/>
  <c r="AP500" i="13"/>
  <c r="AP501" i="13"/>
  <c r="AP502" i="13"/>
  <c r="AP503" i="13"/>
  <c r="AP504" i="13"/>
  <c r="AP505" i="13"/>
  <c r="AP506" i="13"/>
  <c r="AP507" i="13"/>
  <c r="AP508" i="13"/>
  <c r="AP509" i="13"/>
  <c r="AP510" i="13"/>
  <c r="AP511" i="13"/>
  <c r="AP512" i="13"/>
  <c r="AP513" i="13"/>
  <c r="AP514" i="13"/>
  <c r="AP515" i="13"/>
  <c r="AP516" i="13"/>
  <c r="AP517" i="13"/>
  <c r="AP518" i="13"/>
  <c r="AP519" i="13"/>
  <c r="AP520" i="13"/>
  <c r="AP521" i="13"/>
  <c r="AP522" i="13"/>
  <c r="AP523" i="13"/>
  <c r="AP524" i="13"/>
  <c r="AP525" i="13"/>
  <c r="AP526" i="13"/>
  <c r="AP527" i="13"/>
  <c r="AP528" i="13"/>
  <c r="AP529" i="13"/>
  <c r="AP530" i="13"/>
  <c r="AP531" i="13"/>
  <c r="AP532" i="13"/>
  <c r="AP533" i="13"/>
  <c r="AP534" i="13"/>
  <c r="AP535" i="13"/>
  <c r="AP536" i="13"/>
  <c r="AP537" i="13"/>
  <c r="AP538" i="13"/>
  <c r="AP539" i="13"/>
  <c r="AP540" i="13"/>
  <c r="AP541" i="13"/>
  <c r="AP542" i="13"/>
  <c r="AP543" i="13"/>
  <c r="AP544" i="13"/>
  <c r="AP545" i="13"/>
  <c r="AP546" i="13"/>
  <c r="AP547" i="13"/>
  <c r="AP548" i="13"/>
  <c r="AP549" i="13"/>
  <c r="AP550" i="13"/>
  <c r="AP551" i="13"/>
  <c r="AP552" i="13"/>
  <c r="AP553" i="13"/>
  <c r="AP554" i="13"/>
  <c r="AP555" i="13"/>
  <c r="AP556" i="13"/>
  <c r="AP557" i="13"/>
  <c r="AP558" i="13"/>
  <c r="AP559" i="13"/>
  <c r="AP560" i="13"/>
  <c r="AP561" i="13"/>
  <c r="AP562" i="13"/>
  <c r="AP563" i="13"/>
  <c r="AP564" i="13"/>
  <c r="AP565" i="13"/>
  <c r="AP566" i="13"/>
  <c r="AP567" i="13"/>
  <c r="AP568" i="13"/>
  <c r="AP569" i="13"/>
  <c r="AP570" i="13"/>
  <c r="AP571" i="13"/>
  <c r="AP572" i="13"/>
  <c r="AP573" i="13"/>
  <c r="AP574" i="13"/>
  <c r="AP575" i="13"/>
  <c r="AP576" i="13"/>
  <c r="AP577" i="13"/>
  <c r="AP578" i="13"/>
  <c r="AP579" i="13"/>
  <c r="AP580" i="13"/>
  <c r="AP581" i="13"/>
  <c r="AP582" i="13"/>
  <c r="AP583" i="13"/>
  <c r="AP584" i="13"/>
  <c r="AP585" i="13"/>
  <c r="AP586" i="13"/>
  <c r="AP587" i="13"/>
  <c r="AP588" i="13"/>
  <c r="AP589" i="13"/>
  <c r="AP590" i="13"/>
  <c r="AP591" i="13"/>
  <c r="AP592" i="13"/>
  <c r="AP593" i="13"/>
  <c r="AP594" i="13"/>
  <c r="AP595" i="13"/>
  <c r="AP596" i="13"/>
  <c r="AP597" i="13"/>
  <c r="AP598" i="13"/>
  <c r="AP599" i="13"/>
  <c r="AP600" i="13"/>
  <c r="AP601" i="13"/>
  <c r="AP602" i="13"/>
  <c r="AP603" i="13"/>
  <c r="AP604" i="13"/>
  <c r="AP605" i="13"/>
  <c r="AP606" i="13"/>
  <c r="AP607" i="13"/>
  <c r="AP608" i="13"/>
  <c r="AP609" i="13"/>
  <c r="AP610" i="13"/>
  <c r="AP611" i="13"/>
  <c r="AP612" i="13"/>
  <c r="AO3" i="13"/>
  <c r="AO4" i="13"/>
  <c r="AO5" i="13"/>
  <c r="AO6" i="13"/>
  <c r="AO7" i="13"/>
  <c r="AO8" i="13"/>
  <c r="AO9" i="13"/>
  <c r="AO10" i="13"/>
  <c r="AO11" i="13"/>
  <c r="AO12" i="13"/>
  <c r="AO13" i="13"/>
  <c r="AO14" i="13"/>
  <c r="AO15" i="13"/>
  <c r="AO16" i="13"/>
  <c r="AO17" i="13"/>
  <c r="AO18" i="13"/>
  <c r="AO19" i="13"/>
  <c r="AO20" i="13"/>
  <c r="AO21" i="13"/>
  <c r="AO22" i="13"/>
  <c r="AO23" i="13"/>
  <c r="AO24" i="13"/>
  <c r="AO25" i="13"/>
  <c r="AO26" i="13"/>
  <c r="AO27" i="13"/>
  <c r="AO28" i="13"/>
  <c r="AO29" i="13"/>
  <c r="AO30" i="13"/>
  <c r="AO31" i="13"/>
  <c r="AO32" i="13"/>
  <c r="AO33" i="13"/>
  <c r="AO34" i="13"/>
  <c r="AO35" i="13"/>
  <c r="AO36" i="13"/>
  <c r="AO37" i="13"/>
  <c r="AO38" i="13"/>
  <c r="AO39" i="13"/>
  <c r="AO40" i="13"/>
  <c r="AO41" i="13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BS63" i="13" s="1"/>
  <c r="AO64" i="13"/>
  <c r="AO65" i="13"/>
  <c r="AO66" i="13"/>
  <c r="AO67" i="13"/>
  <c r="AO68" i="13"/>
  <c r="AO69" i="13"/>
  <c r="AO70" i="13"/>
  <c r="AO71" i="13"/>
  <c r="BS71" i="13" s="1"/>
  <c r="AO72" i="13"/>
  <c r="AO73" i="13"/>
  <c r="AO74" i="13"/>
  <c r="AO75" i="13"/>
  <c r="BS75" i="13" s="1"/>
  <c r="AO76" i="13"/>
  <c r="AO77" i="13"/>
  <c r="AO78" i="13"/>
  <c r="AO79" i="13"/>
  <c r="BS79" i="13" s="1"/>
  <c r="AO80" i="13"/>
  <c r="AO81" i="13"/>
  <c r="AO82" i="13"/>
  <c r="AO83" i="13"/>
  <c r="BS83" i="13" s="1"/>
  <c r="AO84" i="13"/>
  <c r="AO85" i="13"/>
  <c r="AO86" i="13"/>
  <c r="AO87" i="13"/>
  <c r="AO88" i="13"/>
  <c r="AO89" i="13"/>
  <c r="AO90" i="13"/>
  <c r="AO91" i="13"/>
  <c r="BS91" i="13" s="1"/>
  <c r="AO92" i="13"/>
  <c r="AO93" i="13"/>
  <c r="AO94" i="13"/>
  <c r="AO95" i="13"/>
  <c r="AO96" i="13"/>
  <c r="AO97" i="13"/>
  <c r="AO98" i="13"/>
  <c r="AO99" i="13"/>
  <c r="BS99" i="13" s="1"/>
  <c r="AO100" i="13"/>
  <c r="AO101" i="13"/>
  <c r="AO102" i="13"/>
  <c r="AO103" i="13"/>
  <c r="BS103" i="13" s="1"/>
  <c r="AO104" i="13"/>
  <c r="AO105" i="13"/>
  <c r="AO106" i="13"/>
  <c r="AO107" i="13"/>
  <c r="BS107" i="13" s="1"/>
  <c r="AO108" i="13"/>
  <c r="AO109" i="13"/>
  <c r="AO110" i="13"/>
  <c r="AO111" i="13"/>
  <c r="BS111" i="13" s="1"/>
  <c r="AO112" i="13"/>
  <c r="AO113" i="13"/>
  <c r="AO114" i="13"/>
  <c r="AO115" i="13"/>
  <c r="AO116" i="13"/>
  <c r="AO117" i="13"/>
  <c r="AO118" i="13"/>
  <c r="AO119" i="13"/>
  <c r="BS119" i="13" s="1"/>
  <c r="AO120" i="13"/>
  <c r="AO121" i="13"/>
  <c r="AO122" i="13"/>
  <c r="AO123" i="13"/>
  <c r="AO124" i="13"/>
  <c r="AO125" i="13"/>
  <c r="AO126" i="13"/>
  <c r="AO127" i="13"/>
  <c r="BS127" i="13" s="1"/>
  <c r="AO128" i="13"/>
  <c r="AO129" i="13"/>
  <c r="AO130" i="13"/>
  <c r="AO131" i="13"/>
  <c r="BS131" i="13" s="1"/>
  <c r="AO132" i="13"/>
  <c r="AO133" i="13"/>
  <c r="AO134" i="13"/>
  <c r="AO135" i="13"/>
  <c r="BS135" i="13" s="1"/>
  <c r="AO136" i="13"/>
  <c r="AO137" i="13"/>
  <c r="AO138" i="13"/>
  <c r="AO139" i="13"/>
  <c r="BS139" i="13" s="1"/>
  <c r="AO140" i="13"/>
  <c r="AO141" i="13"/>
  <c r="AO142" i="13"/>
  <c r="AO143" i="13"/>
  <c r="AO144" i="13"/>
  <c r="AO145" i="13"/>
  <c r="AO146" i="13"/>
  <c r="AO147" i="13"/>
  <c r="BS147" i="13" s="1"/>
  <c r="AO148" i="13"/>
  <c r="AO149" i="13"/>
  <c r="AO150" i="13"/>
  <c r="AO151" i="13"/>
  <c r="AO152" i="13"/>
  <c r="AO153" i="13"/>
  <c r="AO154" i="13"/>
  <c r="AO155" i="13"/>
  <c r="BS155" i="13" s="1"/>
  <c r="AO156" i="13"/>
  <c r="AO157" i="13"/>
  <c r="AO158" i="13"/>
  <c r="AO159" i="13"/>
  <c r="BS159" i="13" s="1"/>
  <c r="AO160" i="13"/>
  <c r="AO161" i="13"/>
  <c r="AO162" i="13"/>
  <c r="AO163" i="13"/>
  <c r="BS163" i="13" s="1"/>
  <c r="AO164" i="13"/>
  <c r="AO165" i="13"/>
  <c r="AO166" i="13"/>
  <c r="AO167" i="13"/>
  <c r="BS167" i="13" s="1"/>
  <c r="AO168" i="13"/>
  <c r="AO169" i="13"/>
  <c r="AO170" i="13"/>
  <c r="AO171" i="13"/>
  <c r="AO172" i="13"/>
  <c r="AO173" i="13"/>
  <c r="AO174" i="13"/>
  <c r="AO175" i="13"/>
  <c r="BS175" i="13" s="1"/>
  <c r="AO176" i="13"/>
  <c r="AO177" i="13"/>
  <c r="AO178" i="13"/>
  <c r="AO179" i="13"/>
  <c r="AO180" i="13"/>
  <c r="AO181" i="13"/>
  <c r="AO182" i="13"/>
  <c r="AO183" i="13"/>
  <c r="BS183" i="13" s="1"/>
  <c r="AO184" i="13"/>
  <c r="AO185" i="13"/>
  <c r="AO186" i="13"/>
  <c r="AO187" i="13"/>
  <c r="BS187" i="13" s="1"/>
  <c r="AO188" i="13"/>
  <c r="AO189" i="13"/>
  <c r="AO190" i="13"/>
  <c r="AO191" i="13"/>
  <c r="BS191" i="13" s="1"/>
  <c r="AO192" i="13"/>
  <c r="AO193" i="13"/>
  <c r="AO194" i="13"/>
  <c r="AO195" i="13"/>
  <c r="BS195" i="13" s="1"/>
  <c r="AO196" i="13"/>
  <c r="AO197" i="13"/>
  <c r="AO198" i="13"/>
  <c r="AO199" i="13"/>
  <c r="AO200" i="13"/>
  <c r="AO201" i="13"/>
  <c r="AO202" i="13"/>
  <c r="AO203" i="13"/>
  <c r="BS203" i="13" s="1"/>
  <c r="AO204" i="13"/>
  <c r="AO205" i="13"/>
  <c r="AO206" i="13"/>
  <c r="AO207" i="13"/>
  <c r="AO208" i="13"/>
  <c r="AO209" i="13"/>
  <c r="AO210" i="13"/>
  <c r="AO211" i="13"/>
  <c r="BS211" i="13" s="1"/>
  <c r="AO212" i="13"/>
  <c r="AO213" i="13"/>
  <c r="AO214" i="13"/>
  <c r="AO215" i="13"/>
  <c r="BS215" i="13" s="1"/>
  <c r="AO216" i="13"/>
  <c r="AO217" i="13"/>
  <c r="AO218" i="13"/>
  <c r="AO219" i="13"/>
  <c r="BS219" i="13" s="1"/>
  <c r="AO220" i="13"/>
  <c r="AO221" i="13"/>
  <c r="AO222" i="13"/>
  <c r="AO223" i="13"/>
  <c r="BS223" i="13" s="1"/>
  <c r="AO224" i="13"/>
  <c r="AO225" i="13"/>
  <c r="AO226" i="13"/>
  <c r="AO227" i="13"/>
  <c r="AO228" i="13"/>
  <c r="AO229" i="13"/>
  <c r="AO230" i="13"/>
  <c r="AO231" i="13"/>
  <c r="BS231" i="13" s="1"/>
  <c r="AO232" i="13"/>
  <c r="AO233" i="13"/>
  <c r="AO234" i="13"/>
  <c r="AO235" i="13"/>
  <c r="AO236" i="13"/>
  <c r="AO237" i="13"/>
  <c r="AO238" i="13"/>
  <c r="AO239" i="13"/>
  <c r="AO240" i="13"/>
  <c r="AO241" i="13"/>
  <c r="AO242" i="13"/>
  <c r="AO243" i="13"/>
  <c r="BS243" i="13" s="1"/>
  <c r="AO244" i="13"/>
  <c r="AO245" i="13"/>
  <c r="AO246" i="13"/>
  <c r="AO247" i="13"/>
  <c r="BS247" i="13" s="1"/>
  <c r="AO248" i="13"/>
  <c r="AO249" i="13"/>
  <c r="AO250" i="13"/>
  <c r="AO251" i="13"/>
  <c r="BS251" i="13" s="1"/>
  <c r="AO252" i="13"/>
  <c r="AO253" i="13"/>
  <c r="AO254" i="13"/>
  <c r="AO255" i="13"/>
  <c r="AO256" i="13"/>
  <c r="AO257" i="13"/>
  <c r="AO258" i="13"/>
  <c r="AO259" i="13"/>
  <c r="BS259" i="13" s="1"/>
  <c r="AO260" i="13"/>
  <c r="AO261" i="13"/>
  <c r="AO262" i="13"/>
  <c r="AO263" i="13"/>
  <c r="AO264" i="13"/>
  <c r="AO265" i="13"/>
  <c r="AO266" i="13"/>
  <c r="AO267" i="13"/>
  <c r="BS267" i="13" s="1"/>
  <c r="AO268" i="13"/>
  <c r="BS268" i="13" s="1"/>
  <c r="AO269" i="13"/>
  <c r="AO270" i="13"/>
  <c r="AO271" i="13"/>
  <c r="BS271" i="13" s="1"/>
  <c r="AO272" i="13"/>
  <c r="BS272" i="13" s="1"/>
  <c r="AO273" i="13"/>
  <c r="AO274" i="13"/>
  <c r="AO275" i="13"/>
  <c r="BS275" i="13" s="1"/>
  <c r="AO276" i="13"/>
  <c r="AO277" i="13"/>
  <c r="AO278" i="13"/>
  <c r="AO279" i="13"/>
  <c r="BS279" i="13" s="1"/>
  <c r="AO280" i="13"/>
  <c r="BS280" i="13" s="1"/>
  <c r="AO281" i="13"/>
  <c r="AO282" i="13"/>
  <c r="AO283" i="13"/>
  <c r="AO284" i="13"/>
  <c r="AO285" i="13"/>
  <c r="AO286" i="13"/>
  <c r="AO287" i="13"/>
  <c r="BS287" i="13" s="1"/>
  <c r="AO288" i="13"/>
  <c r="BS288" i="13" s="1"/>
  <c r="AO289" i="13"/>
  <c r="AO290" i="13"/>
  <c r="AO291" i="13"/>
  <c r="AO292" i="13"/>
  <c r="BS292" i="13" s="1"/>
  <c r="AO293" i="13"/>
  <c r="AO294" i="13"/>
  <c r="AO295" i="13"/>
  <c r="BS295" i="13" s="1"/>
  <c r="AO296" i="13"/>
  <c r="BS296" i="13" s="1"/>
  <c r="AO297" i="13"/>
  <c r="AO298" i="13"/>
  <c r="AO299" i="13"/>
  <c r="BS299" i="13" s="1"/>
  <c r="AO300" i="13"/>
  <c r="BS300" i="13" s="1"/>
  <c r="AO301" i="13"/>
  <c r="AO302" i="13"/>
  <c r="AO303" i="13"/>
  <c r="BS303" i="13" s="1"/>
  <c r="AO304" i="13"/>
  <c r="AO305" i="13"/>
  <c r="AO306" i="13"/>
  <c r="AO307" i="13"/>
  <c r="BS307" i="13" s="1"/>
  <c r="AO308" i="13"/>
  <c r="BS308" i="13" s="1"/>
  <c r="AO309" i="13"/>
  <c r="AO310" i="13"/>
  <c r="AO311" i="13"/>
  <c r="AO312" i="13"/>
  <c r="AO313" i="13"/>
  <c r="AO314" i="13"/>
  <c r="AO315" i="13"/>
  <c r="BS315" i="13" s="1"/>
  <c r="AO316" i="13"/>
  <c r="BS316" i="13" s="1"/>
  <c r="AO317" i="13"/>
  <c r="AO318" i="13"/>
  <c r="AO319" i="13"/>
  <c r="AO320" i="13"/>
  <c r="BS320" i="13" s="1"/>
  <c r="AO321" i="13"/>
  <c r="AO322" i="13"/>
  <c r="AO323" i="13"/>
  <c r="BS323" i="13" s="1"/>
  <c r="AO324" i="13"/>
  <c r="BS324" i="13" s="1"/>
  <c r="AO325" i="13"/>
  <c r="AO326" i="13"/>
  <c r="AO327" i="13"/>
  <c r="BS327" i="13" s="1"/>
  <c r="AO328" i="13"/>
  <c r="BS328" i="13" s="1"/>
  <c r="AO329" i="13"/>
  <c r="AO330" i="13"/>
  <c r="AO331" i="13"/>
  <c r="BS331" i="13" s="1"/>
  <c r="AO332" i="13"/>
  <c r="AO333" i="13"/>
  <c r="AO334" i="13"/>
  <c r="AO335" i="13"/>
  <c r="BS335" i="13" s="1"/>
  <c r="AO336" i="13"/>
  <c r="BS336" i="13" s="1"/>
  <c r="AO337" i="13"/>
  <c r="AO338" i="13"/>
  <c r="AO339" i="13"/>
  <c r="AO340" i="13"/>
  <c r="AO341" i="13"/>
  <c r="AO342" i="13"/>
  <c r="AO343" i="13"/>
  <c r="BS343" i="13" s="1"/>
  <c r="AO344" i="13"/>
  <c r="BS344" i="13" s="1"/>
  <c r="AO345" i="13"/>
  <c r="AO346" i="13"/>
  <c r="AO347" i="13"/>
  <c r="AO348" i="13"/>
  <c r="BS348" i="13" s="1"/>
  <c r="AO349" i="13"/>
  <c r="AO350" i="13"/>
  <c r="AO351" i="13"/>
  <c r="BS351" i="13" s="1"/>
  <c r="AO352" i="13"/>
  <c r="BS352" i="13" s="1"/>
  <c r="AO353" i="13"/>
  <c r="AO354" i="13"/>
  <c r="AO355" i="13"/>
  <c r="BS355" i="13" s="1"/>
  <c r="AO356" i="13"/>
  <c r="BS356" i="13" s="1"/>
  <c r="AO357" i="13"/>
  <c r="AO358" i="13"/>
  <c r="AO359" i="13"/>
  <c r="AO360" i="13"/>
  <c r="AO361" i="13"/>
  <c r="AO362" i="13"/>
  <c r="AO363" i="13"/>
  <c r="BS363" i="13" s="1"/>
  <c r="AO364" i="13"/>
  <c r="BS364" i="13" s="1"/>
  <c r="AO365" i="13"/>
  <c r="AO366" i="13"/>
  <c r="AO367" i="13"/>
  <c r="AO368" i="13"/>
  <c r="AO369" i="13"/>
  <c r="AO370" i="13"/>
  <c r="AO371" i="13"/>
  <c r="BS371" i="13" s="1"/>
  <c r="AO372" i="13"/>
  <c r="BS372" i="13" s="1"/>
  <c r="AO373" i="13"/>
  <c r="AO374" i="13"/>
  <c r="AO375" i="13"/>
  <c r="AO376" i="13"/>
  <c r="BS376" i="13" s="1"/>
  <c r="AO377" i="13"/>
  <c r="AO378" i="13"/>
  <c r="AO379" i="13"/>
  <c r="BS379" i="13" s="1"/>
  <c r="AO380" i="13"/>
  <c r="BS380" i="13" s="1"/>
  <c r="AO381" i="13"/>
  <c r="AO382" i="13"/>
  <c r="AO383" i="13"/>
  <c r="BS383" i="13" s="1"/>
  <c r="AO384" i="13"/>
  <c r="BS384" i="13" s="1"/>
  <c r="AO385" i="13"/>
  <c r="AO386" i="13"/>
  <c r="AO387" i="13"/>
  <c r="AO388" i="13"/>
  <c r="AO389" i="13"/>
  <c r="AO390" i="13"/>
  <c r="AO391" i="13"/>
  <c r="AO392" i="13"/>
  <c r="BS392" i="13" s="1"/>
  <c r="AO393" i="13"/>
  <c r="AO394" i="13"/>
  <c r="AO395" i="13"/>
  <c r="AO396" i="13"/>
  <c r="AO397" i="13"/>
  <c r="AO398" i="13"/>
  <c r="AO399" i="13"/>
  <c r="BS399" i="13" s="1"/>
  <c r="AO400" i="13"/>
  <c r="BS400" i="13" s="1"/>
  <c r="AO401" i="13"/>
  <c r="AO402" i="13"/>
  <c r="AO403" i="13"/>
  <c r="AO404" i="13"/>
  <c r="BS404" i="13" s="1"/>
  <c r="AO405" i="13"/>
  <c r="AO406" i="13"/>
  <c r="AO407" i="13"/>
  <c r="BS407" i="13" s="1"/>
  <c r="AO408" i="13"/>
  <c r="AO409" i="13"/>
  <c r="AO410" i="13"/>
  <c r="AO411" i="13"/>
  <c r="BS411" i="13" s="1"/>
  <c r="AO412" i="13"/>
  <c r="BS412" i="13" s="1"/>
  <c r="AO413" i="13"/>
  <c r="AO414" i="13"/>
  <c r="AO415" i="13"/>
  <c r="BS415" i="13" s="1"/>
  <c r="AO416" i="13"/>
  <c r="AO417" i="13"/>
  <c r="AO418" i="13"/>
  <c r="AO419" i="13"/>
  <c r="BS419" i="13" s="1"/>
  <c r="AO420" i="13"/>
  <c r="AO421" i="13"/>
  <c r="AO422" i="13"/>
  <c r="AO423" i="13"/>
  <c r="AO424" i="13"/>
  <c r="AO425" i="13"/>
  <c r="AO426" i="13"/>
  <c r="AO427" i="13"/>
  <c r="BS427" i="13" s="1"/>
  <c r="AO428" i="13"/>
  <c r="BS428" i="13" s="1"/>
  <c r="AO429" i="13"/>
  <c r="AO430" i="13"/>
  <c r="AO431" i="13"/>
  <c r="AO432" i="13"/>
  <c r="BS432" i="13" s="1"/>
  <c r="AO433" i="13"/>
  <c r="AO434" i="13"/>
  <c r="AO435" i="13"/>
  <c r="BS435" i="13" s="1"/>
  <c r="AO436" i="13"/>
  <c r="BS436" i="13" s="1"/>
  <c r="AO437" i="13"/>
  <c r="AO438" i="13"/>
  <c r="AO439" i="13"/>
  <c r="BS439" i="13" s="1"/>
  <c r="AO440" i="13"/>
  <c r="BS440" i="13" s="1"/>
  <c r="AO441" i="13"/>
  <c r="AO442" i="13"/>
  <c r="AO443" i="13"/>
  <c r="BS443" i="13" s="1"/>
  <c r="AO444" i="13"/>
  <c r="AO445" i="13"/>
  <c r="AO446" i="13"/>
  <c r="AO447" i="13"/>
  <c r="BS447" i="13" s="1"/>
  <c r="AO448" i="13"/>
  <c r="BS448" i="13" s="1"/>
  <c r="AO449" i="13"/>
  <c r="AO450" i="13"/>
  <c r="AO451" i="13"/>
  <c r="AO452" i="13"/>
  <c r="AO453" i="13"/>
  <c r="AO454" i="13"/>
  <c r="AO455" i="13"/>
  <c r="BS455" i="13" s="1"/>
  <c r="AO456" i="13"/>
  <c r="BS456" i="13" s="1"/>
  <c r="AO457" i="13"/>
  <c r="AO458" i="13"/>
  <c r="AO459" i="13"/>
  <c r="AO460" i="13"/>
  <c r="BS460" i="13" s="1"/>
  <c r="AO461" i="13"/>
  <c r="AO462" i="13"/>
  <c r="AO463" i="13"/>
  <c r="BS463" i="13" s="1"/>
  <c r="AO464" i="13"/>
  <c r="BS464" i="13" s="1"/>
  <c r="AO465" i="13"/>
  <c r="AO466" i="13"/>
  <c r="AO467" i="13"/>
  <c r="BS467" i="13" s="1"/>
  <c r="AO468" i="13"/>
  <c r="BS468" i="13" s="1"/>
  <c r="AO469" i="13"/>
  <c r="AO470" i="13"/>
  <c r="AO471" i="13"/>
  <c r="BS471" i="13" s="1"/>
  <c r="AO472" i="13"/>
  <c r="AO473" i="13"/>
  <c r="AO474" i="13"/>
  <c r="AO475" i="13"/>
  <c r="BS475" i="13" s="1"/>
  <c r="AO476" i="13"/>
  <c r="BS476" i="13" s="1"/>
  <c r="AO477" i="13"/>
  <c r="AO478" i="13"/>
  <c r="AO479" i="13"/>
  <c r="AO480" i="13"/>
  <c r="AO481" i="13"/>
  <c r="AO482" i="13"/>
  <c r="AO483" i="13"/>
  <c r="BS483" i="13" s="1"/>
  <c r="AO484" i="13"/>
  <c r="BS484" i="13" s="1"/>
  <c r="AO485" i="13"/>
  <c r="AO486" i="13"/>
  <c r="AO487" i="13"/>
  <c r="AO488" i="13"/>
  <c r="BS488" i="13" s="1"/>
  <c r="AO489" i="13"/>
  <c r="AO490" i="13"/>
  <c r="AO491" i="13"/>
  <c r="BS491" i="13" s="1"/>
  <c r="AO492" i="13"/>
  <c r="BS492" i="13" s="1"/>
  <c r="AO493" i="13"/>
  <c r="AO494" i="13"/>
  <c r="AO495" i="13"/>
  <c r="BS495" i="13" s="1"/>
  <c r="AO496" i="13"/>
  <c r="BS496" i="13" s="1"/>
  <c r="AO497" i="13"/>
  <c r="AO498" i="13"/>
  <c r="AO499" i="13"/>
  <c r="BS499" i="13" s="1"/>
  <c r="AO500" i="13"/>
  <c r="AO501" i="13"/>
  <c r="AO502" i="13"/>
  <c r="AO503" i="13"/>
  <c r="BS503" i="13" s="1"/>
  <c r="AO504" i="13"/>
  <c r="BS504" i="13" s="1"/>
  <c r="AO505" i="13"/>
  <c r="AO506" i="13"/>
  <c r="AO507" i="13"/>
  <c r="AO508" i="13"/>
  <c r="AO509" i="13"/>
  <c r="AO510" i="13"/>
  <c r="AO511" i="13"/>
  <c r="BS511" i="13" s="1"/>
  <c r="AO512" i="13"/>
  <c r="BS512" i="13" s="1"/>
  <c r="AO513" i="13"/>
  <c r="AO514" i="13"/>
  <c r="AO515" i="13"/>
  <c r="AO516" i="13"/>
  <c r="BS516" i="13" s="1"/>
  <c r="AO517" i="13"/>
  <c r="AO518" i="13"/>
  <c r="AO519" i="13"/>
  <c r="BS519" i="13" s="1"/>
  <c r="AO520" i="13"/>
  <c r="BS520" i="13" s="1"/>
  <c r="AO521" i="13"/>
  <c r="AO522" i="13"/>
  <c r="AO523" i="13"/>
  <c r="BS523" i="13" s="1"/>
  <c r="AO524" i="13"/>
  <c r="BS524" i="13" s="1"/>
  <c r="AO525" i="13"/>
  <c r="AO526" i="13"/>
  <c r="AO527" i="13"/>
  <c r="BS527" i="13" s="1"/>
  <c r="AO528" i="13"/>
  <c r="AO529" i="13"/>
  <c r="AO530" i="13"/>
  <c r="AO531" i="13"/>
  <c r="BS531" i="13" s="1"/>
  <c r="AO532" i="13"/>
  <c r="BS532" i="13" s="1"/>
  <c r="AO533" i="13"/>
  <c r="AO534" i="13"/>
  <c r="AO535" i="13"/>
  <c r="AO536" i="13"/>
  <c r="AO537" i="13"/>
  <c r="AO538" i="13"/>
  <c r="AO539" i="13"/>
  <c r="BS539" i="13" s="1"/>
  <c r="AO540" i="13"/>
  <c r="BS540" i="13" s="1"/>
  <c r="AO541" i="13"/>
  <c r="AO542" i="13"/>
  <c r="AO543" i="13"/>
  <c r="AO544" i="13"/>
  <c r="BS544" i="13" s="1"/>
  <c r="AO545" i="13"/>
  <c r="AO546" i="13"/>
  <c r="AO547" i="13"/>
  <c r="BS547" i="13" s="1"/>
  <c r="AO548" i="13"/>
  <c r="BS548" i="13" s="1"/>
  <c r="AO549" i="13"/>
  <c r="AO550" i="13"/>
  <c r="AO551" i="13"/>
  <c r="BS551" i="13" s="1"/>
  <c r="AO552" i="13"/>
  <c r="BS552" i="13" s="1"/>
  <c r="AO553" i="13"/>
  <c r="AO554" i="13"/>
  <c r="AO555" i="13"/>
  <c r="BS555" i="13" s="1"/>
  <c r="AO556" i="13"/>
  <c r="AO557" i="13"/>
  <c r="AO558" i="13"/>
  <c r="AO559" i="13"/>
  <c r="BS559" i="13" s="1"/>
  <c r="AO560" i="13"/>
  <c r="BS560" i="13" s="1"/>
  <c r="AO561" i="13"/>
  <c r="AO562" i="13"/>
  <c r="AO563" i="13"/>
  <c r="AO564" i="13"/>
  <c r="AO565" i="13"/>
  <c r="AO566" i="13"/>
  <c r="AO567" i="13"/>
  <c r="BS567" i="13" s="1"/>
  <c r="AO568" i="13"/>
  <c r="BS568" i="13" s="1"/>
  <c r="AO569" i="13"/>
  <c r="AO570" i="13"/>
  <c r="AO571" i="13"/>
  <c r="AO572" i="13"/>
  <c r="BS572" i="13" s="1"/>
  <c r="AO573" i="13"/>
  <c r="AO574" i="13"/>
  <c r="AO575" i="13"/>
  <c r="BS575" i="13" s="1"/>
  <c r="AO576" i="13"/>
  <c r="BS576" i="13" s="1"/>
  <c r="AO577" i="13"/>
  <c r="AO578" i="13"/>
  <c r="AO579" i="13"/>
  <c r="BS579" i="13" s="1"/>
  <c r="AO580" i="13"/>
  <c r="BS580" i="13" s="1"/>
  <c r="AO581" i="13"/>
  <c r="AO582" i="13"/>
  <c r="AO583" i="13"/>
  <c r="BS583" i="13" s="1"/>
  <c r="AO584" i="13"/>
  <c r="AO585" i="13"/>
  <c r="AO586" i="13"/>
  <c r="AO587" i="13"/>
  <c r="BS587" i="13" s="1"/>
  <c r="AO588" i="13"/>
  <c r="BS588" i="13" s="1"/>
  <c r="AO589" i="13"/>
  <c r="AO590" i="13"/>
  <c r="AO591" i="13"/>
  <c r="AO592" i="13"/>
  <c r="AO593" i="13"/>
  <c r="AO594" i="13"/>
  <c r="AO595" i="13"/>
  <c r="BS595" i="13" s="1"/>
  <c r="AO596" i="13"/>
  <c r="BS596" i="13" s="1"/>
  <c r="AO597" i="13"/>
  <c r="AO598" i="13"/>
  <c r="AO599" i="13"/>
  <c r="AO600" i="13"/>
  <c r="BS600" i="13" s="1"/>
  <c r="AO601" i="13"/>
  <c r="AO602" i="13"/>
  <c r="AO603" i="13"/>
  <c r="BS603" i="13" s="1"/>
  <c r="AO604" i="13"/>
  <c r="BS604" i="13" s="1"/>
  <c r="AO605" i="13"/>
  <c r="AO606" i="13"/>
  <c r="AO607" i="13"/>
  <c r="BS607" i="13" s="1"/>
  <c r="AO608" i="13"/>
  <c r="BS608" i="13" s="1"/>
  <c r="AO609" i="13"/>
  <c r="AO610" i="13"/>
  <c r="AO611" i="13"/>
  <c r="BS611" i="13" s="1"/>
  <c r="AO612" i="13"/>
  <c r="P48" i="16" l="1"/>
  <c r="M48" i="16"/>
  <c r="B51" i="16"/>
  <c r="D50" i="16"/>
  <c r="H50" i="16"/>
  <c r="G50" i="16"/>
  <c r="I50" i="16" s="1"/>
  <c r="W50" i="16" s="1"/>
  <c r="E50" i="16"/>
  <c r="F50" i="16" s="1"/>
  <c r="U50" i="16" s="1"/>
  <c r="BS420" i="13"/>
  <c r="BS408" i="13"/>
  <c r="BS391" i="13"/>
  <c r="BS264" i="13"/>
  <c r="BS260" i="13"/>
  <c r="BS252" i="13"/>
  <c r="BS244" i="13"/>
  <c r="BS240" i="13"/>
  <c r="BS236" i="13"/>
  <c r="BS232" i="13"/>
  <c r="BS224" i="13"/>
  <c r="BS216" i="13"/>
  <c r="BS212" i="13"/>
  <c r="BS208" i="13"/>
  <c r="BS204" i="13"/>
  <c r="BS196" i="13"/>
  <c r="BS188" i="13"/>
  <c r="BS184" i="13"/>
  <c r="BS180" i="13"/>
  <c r="BS176" i="13"/>
  <c r="BS168" i="13"/>
  <c r="BS160" i="13"/>
  <c r="BS156" i="13"/>
  <c r="BS152" i="13"/>
  <c r="BS148" i="13"/>
  <c r="BS140" i="13"/>
  <c r="BS132" i="13"/>
  <c r="BS128" i="13"/>
  <c r="BS124" i="13"/>
  <c r="BS120" i="13"/>
  <c r="BS112" i="13"/>
  <c r="BS104" i="13"/>
  <c r="BS100" i="13"/>
  <c r="BS96" i="13"/>
  <c r="BS92" i="13"/>
  <c r="BS84" i="13"/>
  <c r="BS76" i="13"/>
  <c r="BS72" i="13"/>
  <c r="BS68" i="13"/>
  <c r="BS64" i="13"/>
  <c r="BS387" i="13"/>
  <c r="Q48" i="16"/>
  <c r="R48" i="16" s="1"/>
  <c r="X48" i="16" s="1"/>
  <c r="O47" i="16"/>
  <c r="V47" i="16" s="1"/>
  <c r="N48" i="16"/>
  <c r="K50" i="16"/>
  <c r="BS610" i="13"/>
  <c r="BS590" i="13"/>
  <c r="BS582" i="13"/>
  <c r="BS562" i="13"/>
  <c r="BS554" i="13"/>
  <c r="BS538" i="13"/>
  <c r="BS530" i="13"/>
  <c r="BS518" i="13"/>
  <c r="BS506" i="13"/>
  <c r="BS498" i="13"/>
  <c r="BS478" i="13"/>
  <c r="BS470" i="13"/>
  <c r="BS454" i="13"/>
  <c r="BS446" i="13"/>
  <c r="BS442" i="13"/>
  <c r="BS434" i="13"/>
  <c r="BS426" i="13"/>
  <c r="BS422" i="13"/>
  <c r="BS418" i="13"/>
  <c r="BS414" i="13"/>
  <c r="BS406" i="13"/>
  <c r="BS398" i="13"/>
  <c r="BS394" i="13"/>
  <c r="BS390" i="13"/>
  <c r="BS386" i="13"/>
  <c r="BS378" i="13"/>
  <c r="BS370" i="13"/>
  <c r="BS366" i="13"/>
  <c r="BS358" i="13"/>
  <c r="BS334" i="13"/>
  <c r="BS322" i="13"/>
  <c r="BS314" i="13"/>
  <c r="BS310" i="13"/>
  <c r="BS306" i="13"/>
  <c r="BS302" i="13"/>
  <c r="BS294" i="13"/>
  <c r="BS286" i="13"/>
  <c r="BS282" i="13"/>
  <c r="BS278" i="13"/>
  <c r="BS274" i="13"/>
  <c r="BS266" i="13"/>
  <c r="BS258" i="13"/>
  <c r="BS254" i="13"/>
  <c r="BS250" i="13"/>
  <c r="BS238" i="13"/>
  <c r="BS230" i="13"/>
  <c r="BS226" i="13"/>
  <c r="BS222" i="13"/>
  <c r="BS218" i="13"/>
  <c r="BS210" i="13"/>
  <c r="BS202" i="13"/>
  <c r="BS198" i="13"/>
  <c r="BS194" i="13"/>
  <c r="BS190" i="13"/>
  <c r="BS182" i="13"/>
  <c r="BS174" i="13"/>
  <c r="BS170" i="13"/>
  <c r="BS166" i="13"/>
  <c r="BS162" i="13"/>
  <c r="BS154" i="13"/>
  <c r="BS146" i="13"/>
  <c r="BS142" i="13"/>
  <c r="BS138" i="13"/>
  <c r="BS134" i="13"/>
  <c r="BS126" i="13"/>
  <c r="BS118" i="13"/>
  <c r="BS114" i="13"/>
  <c r="BS110" i="13"/>
  <c r="BS106" i="13"/>
  <c r="BS98" i="13"/>
  <c r="BS90" i="13"/>
  <c r="BS86" i="13"/>
  <c r="BS82" i="13"/>
  <c r="BS78" i="13"/>
  <c r="BS70" i="13"/>
  <c r="BS62" i="13"/>
  <c r="BS602" i="13"/>
  <c r="BS594" i="13"/>
  <c r="BS586" i="13"/>
  <c r="BS574" i="13"/>
  <c r="BS566" i="13"/>
  <c r="BS558" i="13"/>
  <c r="BS546" i="13"/>
  <c r="BS534" i="13"/>
  <c r="BS526" i="13"/>
  <c r="BS510" i="13"/>
  <c r="BS502" i="13"/>
  <c r="BS490" i="13"/>
  <c r="BS482" i="13"/>
  <c r="BS474" i="13"/>
  <c r="BS462" i="13"/>
  <c r="BS450" i="13"/>
  <c r="BS609" i="13"/>
  <c r="BS601" i="13"/>
  <c r="BS597" i="13"/>
  <c r="BS593" i="13"/>
  <c r="BS589" i="13"/>
  <c r="BS581" i="13"/>
  <c r="BS573" i="13"/>
  <c r="BS569" i="13"/>
  <c r="BS565" i="13"/>
  <c r="BS561" i="13"/>
  <c r="BS553" i="13"/>
  <c r="BS545" i="13"/>
  <c r="BS541" i="13"/>
  <c r="BS537" i="13"/>
  <c r="BS533" i="13"/>
  <c r="BS525" i="13"/>
  <c r="BS517" i="13"/>
  <c r="BS513" i="13"/>
  <c r="BS509" i="13"/>
  <c r="BS505" i="13"/>
  <c r="BS497" i="13"/>
  <c r="BS489" i="13"/>
  <c r="BS485" i="13"/>
  <c r="BS481" i="13"/>
  <c r="BS477" i="13"/>
  <c r="BS469" i="13"/>
  <c r="BS461" i="13"/>
  <c r="BS457" i="13"/>
  <c r="BS453" i="13"/>
  <c r="BS449" i="13"/>
  <c r="BS441" i="13"/>
  <c r="BS433" i="13"/>
  <c r="BS429" i="13"/>
  <c r="BS425" i="13"/>
  <c r="BS421" i="13"/>
  <c r="BS338" i="13"/>
  <c r="BS359" i="13"/>
  <c r="BS350" i="13"/>
  <c r="BS342" i="13"/>
  <c r="BS362" i="13"/>
  <c r="BS413" i="13"/>
  <c r="BS405" i="13"/>
  <c r="BS401" i="13"/>
  <c r="BS397" i="13"/>
  <c r="BS393" i="13"/>
  <c r="BS385" i="13"/>
  <c r="BS377" i="13"/>
  <c r="BS373" i="13"/>
  <c r="BS369" i="13"/>
  <c r="BS365" i="13"/>
  <c r="BS349" i="13"/>
  <c r="BS345" i="13"/>
  <c r="BS341" i="13"/>
  <c r="BS337" i="13"/>
  <c r="BS329" i="13"/>
  <c r="BS321" i="13"/>
  <c r="BS317" i="13"/>
  <c r="BS313" i="13"/>
  <c r="BS309" i="13"/>
  <c r="BS301" i="13"/>
  <c r="BS293" i="13"/>
  <c r="BS289" i="13"/>
  <c r="BS281" i="13"/>
  <c r="BS273" i="13"/>
  <c r="BS265" i="13"/>
  <c r="BS261" i="13"/>
  <c r="BS257" i="13"/>
  <c r="BS253" i="13"/>
  <c r="BS245" i="13"/>
  <c r="BS237" i="13"/>
  <c r="BS233" i="13"/>
  <c r="BS229" i="13"/>
  <c r="BS225" i="13"/>
  <c r="BS217" i="13"/>
  <c r="BS209" i="13"/>
  <c r="BS205" i="13"/>
  <c r="BS201" i="13"/>
  <c r="BS197" i="13"/>
  <c r="BS189" i="13"/>
  <c r="BS181" i="13"/>
  <c r="BS177" i="13"/>
  <c r="BS173" i="13"/>
  <c r="BS169" i="13"/>
  <c r="BS161" i="13"/>
  <c r="BS153" i="13"/>
  <c r="BS149" i="13"/>
  <c r="BS145" i="13"/>
  <c r="BS141" i="13"/>
  <c r="BS133" i="13"/>
  <c r="BS125" i="13"/>
  <c r="BS121" i="13"/>
  <c r="BS117" i="13"/>
  <c r="BS113" i="13"/>
  <c r="BS105" i="13"/>
  <c r="BS97" i="13"/>
  <c r="BS93" i="13"/>
  <c r="BS89" i="13"/>
  <c r="BS85" i="13"/>
  <c r="BS77" i="13"/>
  <c r="BS69" i="13"/>
  <c r="BS65" i="13"/>
  <c r="BS28" i="13"/>
  <c r="BS20" i="13"/>
  <c r="BS16" i="13"/>
  <c r="BS12" i="13"/>
  <c r="BS8" i="13"/>
  <c r="BS56" i="13"/>
  <c r="BS48" i="13"/>
  <c r="BS44" i="13"/>
  <c r="BS40" i="13"/>
  <c r="BS58" i="13"/>
  <c r="BS54" i="13"/>
  <c r="BS50" i="13"/>
  <c r="BS42" i="13"/>
  <c r="BS34" i="13"/>
  <c r="BS30" i="13"/>
  <c r="BS26" i="13"/>
  <c r="BS22" i="13"/>
  <c r="BS14" i="13"/>
  <c r="BS6" i="13"/>
  <c r="BS61" i="13"/>
  <c r="BS57" i="13"/>
  <c r="BS49" i="13"/>
  <c r="BS41" i="13"/>
  <c r="BS37" i="13"/>
  <c r="BS33" i="13"/>
  <c r="BS29" i="13"/>
  <c r="BS21" i="13"/>
  <c r="BS13" i="13"/>
  <c r="BS9" i="13"/>
  <c r="BS5" i="13"/>
  <c r="BS55" i="13"/>
  <c r="BS51" i="13"/>
  <c r="BS47" i="13"/>
  <c r="BS43" i="13"/>
  <c r="BS35" i="13"/>
  <c r="BS27" i="13"/>
  <c r="BS23" i="13"/>
  <c r="BS19" i="13"/>
  <c r="BS15" i="13"/>
  <c r="BS7" i="13"/>
  <c r="F27" i="5"/>
  <c r="H26" i="5"/>
  <c r="G25" i="5"/>
  <c r="F28" i="5"/>
  <c r="H27" i="5"/>
  <c r="G26" i="5"/>
  <c r="F26" i="5"/>
  <c r="H25" i="5"/>
  <c r="G28" i="5"/>
  <c r="F25" i="5"/>
  <c r="H28" i="5"/>
  <c r="G27" i="5"/>
  <c r="Q49" i="16" l="1"/>
  <c r="M49" i="16"/>
  <c r="B52" i="16"/>
  <c r="D51" i="16"/>
  <c r="H51" i="16"/>
  <c r="G51" i="16"/>
  <c r="I51" i="16" s="1"/>
  <c r="W51" i="16" s="1"/>
  <c r="E51" i="16"/>
  <c r="F51" i="16" s="1"/>
  <c r="U51" i="16" s="1"/>
  <c r="P49" i="16"/>
  <c r="R49" i="16" s="1"/>
  <c r="X49" i="16" s="1"/>
  <c r="O48" i="16"/>
  <c r="V48" i="16" s="1"/>
  <c r="N49" i="16"/>
  <c r="K51" i="16"/>
  <c r="J7" i="5"/>
  <c r="J10" i="5"/>
  <c r="J11" i="5"/>
  <c r="J14" i="5"/>
  <c r="C3" i="8"/>
  <c r="J8" i="5"/>
  <c r="J3" i="5"/>
  <c r="J12" i="5"/>
  <c r="J13" i="5"/>
  <c r="J4" i="5"/>
  <c r="J6" i="5"/>
  <c r="J9" i="5"/>
  <c r="J5" i="5"/>
  <c r="E26" i="5"/>
  <c r="E25" i="5"/>
  <c r="E27" i="5"/>
  <c r="E28" i="5"/>
  <c r="E22" i="5"/>
  <c r="F21" i="5"/>
  <c r="F24" i="5"/>
  <c r="H21" i="5"/>
  <c r="G24" i="5"/>
  <c r="G18" i="5"/>
  <c r="H24" i="5"/>
  <c r="B2" i="13"/>
  <c r="AG2" i="13" s="1"/>
  <c r="B3" i="13"/>
  <c r="Q50" i="16" l="1"/>
  <c r="M50" i="16"/>
  <c r="B53" i="16"/>
  <c r="D52" i="16"/>
  <c r="H52" i="16"/>
  <c r="G52" i="16"/>
  <c r="I52" i="16" s="1"/>
  <c r="W52" i="16" s="1"/>
  <c r="E52" i="16"/>
  <c r="F52" i="16" s="1"/>
  <c r="U52" i="16" s="1"/>
  <c r="O49" i="16"/>
  <c r="V49" i="16" s="1"/>
  <c r="P50" i="16"/>
  <c r="R50" i="16" s="1"/>
  <c r="X50" i="16" s="1"/>
  <c r="N50" i="16"/>
  <c r="K52" i="16"/>
  <c r="AY3" i="13"/>
  <c r="AJ3" i="13"/>
  <c r="AN3" i="13" s="1"/>
  <c r="AG3" i="13"/>
  <c r="AK3" i="13" s="1"/>
  <c r="AH3" i="13"/>
  <c r="AL3" i="13" s="1"/>
  <c r="AI3" i="13"/>
  <c r="AY2" i="13"/>
  <c r="AJ2" i="13"/>
  <c r="AI2" i="13"/>
  <c r="AH2" i="13"/>
  <c r="F18" i="5"/>
  <c r="G19" i="5"/>
  <c r="H18" i="5"/>
  <c r="E19" i="5"/>
  <c r="E18" i="5"/>
  <c r="H19" i="5"/>
  <c r="E20" i="5"/>
  <c r="G21" i="5"/>
  <c r="F23" i="5"/>
  <c r="F20" i="5"/>
  <c r="F22" i="5"/>
  <c r="G23" i="5"/>
  <c r="H20" i="5"/>
  <c r="F19" i="5"/>
  <c r="H23" i="5"/>
  <c r="G20" i="5"/>
  <c r="E23" i="5"/>
  <c r="E24" i="5"/>
  <c r="E21" i="5"/>
  <c r="C114" i="3"/>
  <c r="D114" i="3" s="1"/>
  <c r="C106" i="3"/>
  <c r="D106" i="3" s="1"/>
  <c r="C98" i="3"/>
  <c r="D98" i="3" s="1"/>
  <c r="C90" i="3"/>
  <c r="D90" i="3" s="1"/>
  <c r="C82" i="3"/>
  <c r="D82" i="3" s="1"/>
  <c r="C74" i="3"/>
  <c r="D74" i="3" s="1"/>
  <c r="C66" i="3"/>
  <c r="D66" i="3" s="1"/>
  <c r="C58" i="3"/>
  <c r="D58" i="3" s="1"/>
  <c r="C50" i="3"/>
  <c r="D50" i="3" s="1"/>
  <c r="C42" i="3"/>
  <c r="D42" i="3" s="1"/>
  <c r="C38" i="3"/>
  <c r="D38" i="3" s="1"/>
  <c r="C30" i="3"/>
  <c r="D30" i="3" s="1"/>
  <c r="C26" i="3"/>
  <c r="D26" i="3" s="1"/>
  <c r="C18" i="3"/>
  <c r="D18" i="3" s="1"/>
  <c r="C14" i="3"/>
  <c r="D14" i="3" s="1"/>
  <c r="C10" i="3"/>
  <c r="D10" i="3" s="1"/>
  <c r="C2" i="3"/>
  <c r="D2" i="3" s="1"/>
  <c r="C121" i="3"/>
  <c r="D121" i="3" s="1"/>
  <c r="C117" i="3"/>
  <c r="D117" i="3" s="1"/>
  <c r="C113" i="3"/>
  <c r="D113" i="3" s="1"/>
  <c r="C109" i="3"/>
  <c r="D109" i="3" s="1"/>
  <c r="C105" i="3"/>
  <c r="D105" i="3" s="1"/>
  <c r="C101" i="3"/>
  <c r="D101" i="3" s="1"/>
  <c r="C97" i="3"/>
  <c r="D97" i="3" s="1"/>
  <c r="C93" i="3"/>
  <c r="D93" i="3" s="1"/>
  <c r="C89" i="3"/>
  <c r="D89" i="3" s="1"/>
  <c r="C85" i="3"/>
  <c r="D85" i="3" s="1"/>
  <c r="C81" i="3"/>
  <c r="D81" i="3" s="1"/>
  <c r="C77" i="3"/>
  <c r="D77" i="3" s="1"/>
  <c r="C73" i="3"/>
  <c r="D73" i="3" s="1"/>
  <c r="C69" i="3"/>
  <c r="D69" i="3" s="1"/>
  <c r="C65" i="3"/>
  <c r="D65" i="3" s="1"/>
  <c r="C61" i="3"/>
  <c r="D61" i="3" s="1"/>
  <c r="C57" i="3"/>
  <c r="D57" i="3" s="1"/>
  <c r="C53" i="3"/>
  <c r="D53" i="3" s="1"/>
  <c r="C49" i="3"/>
  <c r="D49" i="3" s="1"/>
  <c r="C45" i="3"/>
  <c r="D45" i="3" s="1"/>
  <c r="C41" i="3"/>
  <c r="D41" i="3" s="1"/>
  <c r="C37" i="3"/>
  <c r="D37" i="3" s="1"/>
  <c r="C33" i="3"/>
  <c r="D33" i="3" s="1"/>
  <c r="C29" i="3"/>
  <c r="D29" i="3" s="1"/>
  <c r="C25" i="3"/>
  <c r="D25" i="3" s="1"/>
  <c r="C21" i="3"/>
  <c r="D21" i="3" s="1"/>
  <c r="C17" i="3"/>
  <c r="D17" i="3" s="1"/>
  <c r="C13" i="3"/>
  <c r="D13" i="3" s="1"/>
  <c r="C9" i="3"/>
  <c r="D9" i="3" s="1"/>
  <c r="C5" i="3"/>
  <c r="D5" i="3" s="1"/>
  <c r="C123" i="3"/>
  <c r="D123" i="3" s="1"/>
  <c r="C119" i="3"/>
  <c r="D119" i="3" s="1"/>
  <c r="C115" i="3"/>
  <c r="D115" i="3" s="1"/>
  <c r="C111" i="3"/>
  <c r="D111" i="3" s="1"/>
  <c r="C107" i="3"/>
  <c r="D107" i="3" s="1"/>
  <c r="C103" i="3"/>
  <c r="D103" i="3" s="1"/>
  <c r="C99" i="3"/>
  <c r="D99" i="3" s="1"/>
  <c r="C95" i="3"/>
  <c r="D95" i="3" s="1"/>
  <c r="C91" i="3"/>
  <c r="D91" i="3" s="1"/>
  <c r="C87" i="3"/>
  <c r="D87" i="3" s="1"/>
  <c r="C83" i="3"/>
  <c r="D83" i="3" s="1"/>
  <c r="C79" i="3"/>
  <c r="D79" i="3" s="1"/>
  <c r="C75" i="3"/>
  <c r="D75" i="3" s="1"/>
  <c r="C71" i="3"/>
  <c r="D71" i="3" s="1"/>
  <c r="C67" i="3"/>
  <c r="D67" i="3" s="1"/>
  <c r="C63" i="3"/>
  <c r="D63" i="3" s="1"/>
  <c r="C59" i="3"/>
  <c r="D59" i="3" s="1"/>
  <c r="C55" i="3"/>
  <c r="D55" i="3" s="1"/>
  <c r="C51" i="3"/>
  <c r="D51" i="3" s="1"/>
  <c r="C47" i="3"/>
  <c r="D47" i="3" s="1"/>
  <c r="C43" i="3"/>
  <c r="D43" i="3" s="1"/>
  <c r="C39" i="3"/>
  <c r="D39" i="3" s="1"/>
  <c r="C35" i="3"/>
  <c r="D35" i="3" s="1"/>
  <c r="C31" i="3"/>
  <c r="D31" i="3" s="1"/>
  <c r="C27" i="3"/>
  <c r="D27" i="3" s="1"/>
  <c r="C23" i="3"/>
  <c r="D23" i="3" s="1"/>
  <c r="C19" i="3"/>
  <c r="D19" i="3" s="1"/>
  <c r="C15" i="3"/>
  <c r="D15" i="3" s="1"/>
  <c r="C11" i="3"/>
  <c r="D11" i="3" s="1"/>
  <c r="C7" i="3"/>
  <c r="D7" i="3" s="1"/>
  <c r="C3" i="3"/>
  <c r="D3" i="3" s="1"/>
  <c r="C124" i="3"/>
  <c r="D124" i="3" s="1"/>
  <c r="C120" i="3"/>
  <c r="D120" i="3" s="1"/>
  <c r="C116" i="3"/>
  <c r="D116" i="3" s="1"/>
  <c r="C112" i="3"/>
  <c r="D112" i="3" s="1"/>
  <c r="C108" i="3"/>
  <c r="D108" i="3" s="1"/>
  <c r="C104" i="3"/>
  <c r="D104" i="3" s="1"/>
  <c r="C100" i="3"/>
  <c r="D100" i="3" s="1"/>
  <c r="C96" i="3"/>
  <c r="D96" i="3" s="1"/>
  <c r="C92" i="3"/>
  <c r="D92" i="3" s="1"/>
  <c r="C88" i="3"/>
  <c r="D88" i="3" s="1"/>
  <c r="C84" i="3"/>
  <c r="D84" i="3" s="1"/>
  <c r="C80" i="3"/>
  <c r="D80" i="3" s="1"/>
  <c r="C76" i="3"/>
  <c r="D76" i="3" s="1"/>
  <c r="C72" i="3"/>
  <c r="D72" i="3" s="1"/>
  <c r="C68" i="3"/>
  <c r="D68" i="3" s="1"/>
  <c r="C64" i="3"/>
  <c r="D64" i="3" s="1"/>
  <c r="C60" i="3"/>
  <c r="D60" i="3" s="1"/>
  <c r="C56" i="3"/>
  <c r="D56" i="3" s="1"/>
  <c r="C52" i="3"/>
  <c r="D52" i="3" s="1"/>
  <c r="C48" i="3"/>
  <c r="D48" i="3" s="1"/>
  <c r="C44" i="3"/>
  <c r="D44" i="3" s="1"/>
  <c r="C40" i="3"/>
  <c r="D40" i="3" s="1"/>
  <c r="C36" i="3"/>
  <c r="D36" i="3" s="1"/>
  <c r="C32" i="3"/>
  <c r="D32" i="3" s="1"/>
  <c r="C28" i="3"/>
  <c r="D28" i="3" s="1"/>
  <c r="C24" i="3"/>
  <c r="D24" i="3" s="1"/>
  <c r="C20" i="3"/>
  <c r="D20" i="3" s="1"/>
  <c r="C16" i="3"/>
  <c r="D16" i="3" s="1"/>
  <c r="C12" i="3"/>
  <c r="D12" i="3" s="1"/>
  <c r="C8" i="3"/>
  <c r="D8" i="3" s="1"/>
  <c r="C4" i="3"/>
  <c r="D4" i="3" s="1"/>
  <c r="C122" i="3"/>
  <c r="D122" i="3" s="1"/>
  <c r="C118" i="3"/>
  <c r="D118" i="3" s="1"/>
  <c r="C110" i="3"/>
  <c r="D110" i="3" s="1"/>
  <c r="C102" i="3"/>
  <c r="D102" i="3" s="1"/>
  <c r="C94" i="3"/>
  <c r="D94" i="3" s="1"/>
  <c r="C86" i="3"/>
  <c r="D86" i="3" s="1"/>
  <c r="C78" i="3"/>
  <c r="D78" i="3" s="1"/>
  <c r="C70" i="3"/>
  <c r="D70" i="3" s="1"/>
  <c r="C62" i="3"/>
  <c r="D62" i="3" s="1"/>
  <c r="C54" i="3"/>
  <c r="D54" i="3" s="1"/>
  <c r="C46" i="3"/>
  <c r="D46" i="3" s="1"/>
  <c r="C34" i="3"/>
  <c r="D34" i="3" s="1"/>
  <c r="C22" i="3"/>
  <c r="D22" i="3" s="1"/>
  <c r="C6" i="3"/>
  <c r="D6" i="3" s="1"/>
  <c r="AM115" i="13"/>
  <c r="H19" i="1"/>
  <c r="Q51" i="16" l="1"/>
  <c r="M51" i="16"/>
  <c r="B54" i="16"/>
  <c r="D53" i="16"/>
  <c r="H53" i="16"/>
  <c r="G53" i="16"/>
  <c r="I53" i="16" s="1"/>
  <c r="W53" i="16" s="1"/>
  <c r="E53" i="16"/>
  <c r="F53" i="16" s="1"/>
  <c r="U53" i="16" s="1"/>
  <c r="P51" i="16"/>
  <c r="R51" i="16" s="1"/>
  <c r="X51" i="16" s="1"/>
  <c r="O50" i="16"/>
  <c r="V50" i="16" s="1"/>
  <c r="N51" i="16"/>
  <c r="K53" i="16"/>
  <c r="BA2" i="13"/>
  <c r="BE2" i="13"/>
  <c r="BI2" i="13"/>
  <c r="BM2" i="13"/>
  <c r="BG2" i="13"/>
  <c r="BB2" i="13"/>
  <c r="BF2" i="13"/>
  <c r="BJ2" i="13"/>
  <c r="BN2" i="13"/>
  <c r="BC2" i="13"/>
  <c r="BK2" i="13"/>
  <c r="BO2" i="13"/>
  <c r="AZ2" i="13"/>
  <c r="BD2" i="13"/>
  <c r="BH2" i="13"/>
  <c r="BL2" i="13"/>
  <c r="BP2" i="13"/>
  <c r="BS3" i="13"/>
  <c r="BA3" i="13"/>
  <c r="BE3" i="13"/>
  <c r="BI3" i="13"/>
  <c r="BM3" i="13"/>
  <c r="BB3" i="13"/>
  <c r="BF3" i="13"/>
  <c r="BJ3" i="13"/>
  <c r="BN3" i="13"/>
  <c r="AZ3" i="13"/>
  <c r="BD3" i="13"/>
  <c r="BH3" i="13"/>
  <c r="BL3" i="13"/>
  <c r="BP3" i="13"/>
  <c r="BK3" i="13"/>
  <c r="BO3" i="13"/>
  <c r="BG3" i="13"/>
  <c r="BC3" i="13"/>
  <c r="AM2" i="13"/>
  <c r="G3" i="5"/>
  <c r="G17" i="5" s="1"/>
  <c r="AN2" i="13"/>
  <c r="H3" i="5"/>
  <c r="H17" i="5" s="1"/>
  <c r="AK2" i="13"/>
  <c r="E3" i="5"/>
  <c r="E17" i="5" s="1"/>
  <c r="AL2" i="13"/>
  <c r="F3" i="5"/>
  <c r="F17" i="5" s="1"/>
  <c r="BR3" i="13"/>
  <c r="H21" i="1"/>
  <c r="H20" i="1"/>
  <c r="H23" i="1"/>
  <c r="H22" i="1"/>
  <c r="G22" i="5"/>
  <c r="AM114" i="13"/>
  <c r="AM21" i="13"/>
  <c r="AM34" i="13"/>
  <c r="AM98" i="13"/>
  <c r="AM17" i="13"/>
  <c r="AM38" i="13"/>
  <c r="AM86" i="13"/>
  <c r="AM12" i="13"/>
  <c r="AM44" i="13"/>
  <c r="AM76" i="13"/>
  <c r="AM108" i="13"/>
  <c r="AM90" i="13"/>
  <c r="AM110" i="13"/>
  <c r="AM16" i="13"/>
  <c r="AM47" i="13"/>
  <c r="AM80" i="13"/>
  <c r="AM109" i="13"/>
  <c r="AM61" i="13"/>
  <c r="AM73" i="13"/>
  <c r="AM9" i="13"/>
  <c r="AM36" i="13"/>
  <c r="AM64" i="13"/>
  <c r="AM103" i="13"/>
  <c r="AM29" i="13"/>
  <c r="AM83" i="13"/>
  <c r="AM95" i="13"/>
  <c r="AM123" i="13"/>
  <c r="AM32" i="13"/>
  <c r="AM116" i="13"/>
  <c r="AM42" i="13"/>
  <c r="AM74" i="13"/>
  <c r="AM51" i="13"/>
  <c r="AM22" i="13"/>
  <c r="AM53" i="13"/>
  <c r="AM26" i="13"/>
  <c r="AM94" i="13"/>
  <c r="AM41" i="13"/>
  <c r="AM49" i="13"/>
  <c r="AM87" i="13"/>
  <c r="AM111" i="13"/>
  <c r="AM23" i="13"/>
  <c r="AM63" i="13"/>
  <c r="AM75" i="13"/>
  <c r="AM11" i="13"/>
  <c r="AM40" i="13"/>
  <c r="AM84" i="13"/>
  <c r="AM19" i="13"/>
  <c r="AM31" i="13"/>
  <c r="AM89" i="13"/>
  <c r="AM97" i="13"/>
  <c r="AM100" i="13"/>
  <c r="AM120" i="13"/>
  <c r="AM46" i="13"/>
  <c r="AM78" i="13"/>
  <c r="AM71" i="13"/>
  <c r="AM50" i="13"/>
  <c r="AM102" i="13"/>
  <c r="AM117" i="13"/>
  <c r="AM66" i="13"/>
  <c r="AM24" i="13"/>
  <c r="AM56" i="13"/>
  <c r="AM118" i="13"/>
  <c r="AM28" i="13"/>
  <c r="AM60" i="13"/>
  <c r="AM92" i="13"/>
  <c r="AM122" i="13"/>
  <c r="AM30" i="13"/>
  <c r="AM119" i="13"/>
  <c r="AM43" i="13"/>
  <c r="AM68" i="13"/>
  <c r="AM105" i="13"/>
  <c r="AM113" i="13"/>
  <c r="AM57" i="13"/>
  <c r="AM65" i="13"/>
  <c r="AM77" i="13"/>
  <c r="AM13" i="13"/>
  <c r="AM48" i="13"/>
  <c r="AM88" i="13"/>
  <c r="AM25" i="13"/>
  <c r="AM35" i="13"/>
  <c r="AM91" i="13"/>
  <c r="AM99" i="13"/>
  <c r="AM104" i="13"/>
  <c r="AM10" i="13"/>
  <c r="AM58" i="13"/>
  <c r="AM54" i="13"/>
  <c r="AM85" i="13"/>
  <c r="AM18" i="13"/>
  <c r="AM82" i="13"/>
  <c r="AM33" i="13"/>
  <c r="AM70" i="13"/>
  <c r="AM37" i="13"/>
  <c r="AM69" i="13"/>
  <c r="AM101" i="13"/>
  <c r="AM55" i="13"/>
  <c r="AM106" i="13"/>
  <c r="AM45" i="13"/>
  <c r="AM72" i="13"/>
  <c r="AM107" i="13"/>
  <c r="AM124" i="13"/>
  <c r="AM59" i="13"/>
  <c r="AM67" i="13"/>
  <c r="AM79" i="13"/>
  <c r="AM15" i="13"/>
  <c r="AM52" i="13"/>
  <c r="AM96" i="13"/>
  <c r="AM27" i="13"/>
  <c r="AM81" i="13"/>
  <c r="AM93" i="13"/>
  <c r="AM121" i="13"/>
  <c r="AM20" i="13"/>
  <c r="AM112" i="13"/>
  <c r="AM14" i="13"/>
  <c r="AM62" i="13"/>
  <c r="AM39" i="13"/>
  <c r="AM6" i="13"/>
  <c r="AM8" i="13"/>
  <c r="AM5" i="13"/>
  <c r="AM4" i="13"/>
  <c r="AM7" i="13"/>
  <c r="AM3" i="13"/>
  <c r="O14" i="2"/>
  <c r="P52" i="16" l="1"/>
  <c r="M52" i="16"/>
  <c r="B55" i="16"/>
  <c r="H55" i="16" s="1"/>
  <c r="I55" i="16" s="1"/>
  <c r="D54" i="16"/>
  <c r="H54" i="16"/>
  <c r="K55" i="16"/>
  <c r="G54" i="16"/>
  <c r="I54" i="16" s="1"/>
  <c r="W54" i="16" s="1"/>
  <c r="E54" i="16"/>
  <c r="F54" i="16" s="1"/>
  <c r="U54" i="16" s="1"/>
  <c r="O51" i="16"/>
  <c r="V51" i="16" s="1"/>
  <c r="Q52" i="16"/>
  <c r="R52" i="16" s="1"/>
  <c r="X52" i="16" s="1"/>
  <c r="N52" i="16"/>
  <c r="BR2" i="13"/>
  <c r="AT43" i="10" s="1"/>
  <c r="AY31" i="10" s="1"/>
  <c r="AX31" i="10" s="1"/>
  <c r="K54" i="16"/>
  <c r="AT39" i="10"/>
  <c r="AY35" i="10" s="1"/>
  <c r="AX35" i="10" s="1"/>
  <c r="AT41" i="10"/>
  <c r="AY33" i="10" s="1"/>
  <c r="AX33" i="10" s="1"/>
  <c r="I3" i="5"/>
  <c r="Q14" i="2"/>
  <c r="R14" i="2"/>
  <c r="H22" i="5"/>
  <c r="Q53" i="16" l="1"/>
  <c r="M54" i="16"/>
  <c r="M53" i="16"/>
  <c r="N19" i="16"/>
  <c r="O19" i="16" s="1"/>
  <c r="V19" i="16" s="1"/>
  <c r="N6" i="16"/>
  <c r="O6" i="16" s="1"/>
  <c r="V6" i="16" s="1"/>
  <c r="AT42" i="10"/>
  <c r="AY32" i="10" s="1"/>
  <c r="AX32" i="10" s="1"/>
  <c r="P53" i="16"/>
  <c r="R53" i="16" s="1"/>
  <c r="X53" i="16" s="1"/>
  <c r="O52" i="16"/>
  <c r="V52" i="16" s="1"/>
  <c r="P54" i="16"/>
  <c r="Q54" i="16"/>
  <c r="N53" i="16"/>
  <c r="N54" i="16"/>
  <c r="B14" i="2"/>
  <c r="O53" i="16" l="1"/>
  <c r="V53" i="16" s="1"/>
  <c r="R54" i="16"/>
  <c r="X54" i="16" s="1"/>
  <c r="O54" i="16"/>
  <c r="V54" i="16" s="1"/>
  <c r="D15" i="2"/>
  <c r="H6" i="1" s="1"/>
  <c r="O5" i="2"/>
  <c r="O6" i="2"/>
  <c r="Q6" i="2" l="1"/>
  <c r="R6" i="2"/>
  <c r="Q5" i="2"/>
  <c r="R5" i="2"/>
  <c r="J24" i="2"/>
  <c r="H15" i="2"/>
  <c r="I24" i="2" s="1"/>
  <c r="O10" i="2"/>
  <c r="O7" i="2"/>
  <c r="O9" i="2"/>
  <c r="O8" i="2"/>
  <c r="O4" i="2"/>
  <c r="O3" i="2"/>
  <c r="O2" i="2"/>
  <c r="Q9" i="2" l="1"/>
  <c r="R9" i="2"/>
  <c r="R3" i="2"/>
  <c r="Q3" i="2"/>
  <c r="Q4" i="2"/>
  <c r="R4" i="2"/>
  <c r="Q10" i="2"/>
  <c r="R10" i="2"/>
  <c r="Q8" i="2"/>
  <c r="R8" i="2"/>
  <c r="R7" i="2"/>
  <c r="Q7" i="2"/>
  <c r="R2" i="2"/>
  <c r="Q2" i="2"/>
  <c r="K24" i="2"/>
  <c r="O15" i="2"/>
  <c r="O12" i="2"/>
  <c r="O13" i="2"/>
  <c r="R15" i="2" l="1"/>
  <c r="Q15" i="2"/>
  <c r="Q13" i="2"/>
  <c r="R13" i="2"/>
  <c r="Q12" i="2"/>
  <c r="R12" i="2"/>
  <c r="O11" i="2"/>
  <c r="M13" i="3" s="1"/>
  <c r="M10" i="3" l="1"/>
  <c r="K33" i="2"/>
  <c r="M17" i="3"/>
  <c r="R11" i="2"/>
  <c r="Q11" i="2"/>
  <c r="M15" i="3"/>
  <c r="I15" i="3" s="1"/>
  <c r="V15" i="3" s="1"/>
  <c r="M9" i="3"/>
  <c r="M12" i="3"/>
  <c r="M6" i="3"/>
  <c r="K6" i="3" s="1"/>
  <c r="X6" i="3" s="1"/>
  <c r="M16" i="3"/>
  <c r="J16" i="3" s="1"/>
  <c r="W16" i="3" s="1"/>
  <c r="M14" i="3"/>
  <c r="K14" i="3" s="1"/>
  <c r="X14" i="3" s="1"/>
  <c r="M7" i="3"/>
  <c r="J7" i="3" s="1"/>
  <c r="W7" i="3" s="1"/>
  <c r="M8" i="3"/>
  <c r="M11" i="3"/>
  <c r="AM701" i="13"/>
  <c r="AM699" i="13"/>
  <c r="AM697" i="13"/>
  <c r="AM695" i="13"/>
  <c r="AM693" i="13"/>
  <c r="AM691" i="13"/>
  <c r="AM689" i="13"/>
  <c r="AM687" i="13"/>
  <c r="AM685" i="13"/>
  <c r="AM683" i="13"/>
  <c r="AM681" i="13"/>
  <c r="AM679" i="13"/>
  <c r="AM677" i="13"/>
  <c r="AM675" i="13"/>
  <c r="AM673" i="13"/>
  <c r="AM671" i="13"/>
  <c r="AM669" i="13"/>
  <c r="AM667" i="13"/>
  <c r="AM665" i="13"/>
  <c r="AM663" i="13"/>
  <c r="AM661" i="13"/>
  <c r="AM659" i="13"/>
  <c r="AM657" i="13"/>
  <c r="AM655" i="13"/>
  <c r="AM653" i="13"/>
  <c r="AM651" i="13"/>
  <c r="AM649" i="13"/>
  <c r="AM647" i="13"/>
  <c r="AM645" i="13"/>
  <c r="AM643" i="13"/>
  <c r="AM641" i="13"/>
  <c r="AM639" i="13"/>
  <c r="AM637" i="13"/>
  <c r="AM635" i="13"/>
  <c r="AM633" i="13"/>
  <c r="AM631" i="13"/>
  <c r="AM629" i="13"/>
  <c r="AM627" i="13"/>
  <c r="AM625" i="13"/>
  <c r="AM623" i="13"/>
  <c r="AM621" i="13"/>
  <c r="AM619" i="13"/>
  <c r="AM617" i="13"/>
  <c r="AM615" i="13"/>
  <c r="AM613" i="13"/>
  <c r="AM700" i="13"/>
  <c r="AM698" i="13"/>
  <c r="AM696" i="13"/>
  <c r="AM694" i="13"/>
  <c r="AM692" i="13"/>
  <c r="AM690" i="13"/>
  <c r="AM688" i="13"/>
  <c r="AM686" i="13"/>
  <c r="AM684" i="13"/>
  <c r="AM682" i="13"/>
  <c r="AM680" i="13"/>
  <c r="AM678" i="13"/>
  <c r="AM676" i="13"/>
  <c r="AM674" i="13"/>
  <c r="AM672" i="13"/>
  <c r="AM670" i="13"/>
  <c r="AM668" i="13"/>
  <c r="AM666" i="13"/>
  <c r="AM664" i="13"/>
  <c r="AM662" i="13"/>
  <c r="AM660" i="13"/>
  <c r="AM658" i="13"/>
  <c r="AM656" i="13"/>
  <c r="AM654" i="13"/>
  <c r="AM652" i="13"/>
  <c r="AM650" i="13"/>
  <c r="AM648" i="13"/>
  <c r="AM646" i="13"/>
  <c r="AM644" i="13"/>
  <c r="AM642" i="13"/>
  <c r="AM640" i="13"/>
  <c r="AM638" i="13"/>
  <c r="AM636" i="13"/>
  <c r="AM634" i="13"/>
  <c r="AM632" i="13"/>
  <c r="AM630" i="13"/>
  <c r="AM628" i="13"/>
  <c r="AM626" i="13"/>
  <c r="AM624" i="13"/>
  <c r="AM622" i="13"/>
  <c r="AM620" i="13"/>
  <c r="AM618" i="13"/>
  <c r="AM616" i="13"/>
  <c r="AM614" i="13"/>
  <c r="I20" i="5"/>
  <c r="I17" i="3"/>
  <c r="V17" i="3" s="1"/>
  <c r="K17" i="3"/>
  <c r="X17" i="3" s="1"/>
  <c r="H17" i="3"/>
  <c r="J17" i="3"/>
  <c r="W17" i="3" s="1"/>
  <c r="I7" i="3" l="1"/>
  <c r="V7" i="3" s="1"/>
  <c r="H6" i="3"/>
  <c r="U6" i="3" s="1"/>
  <c r="J6" i="3"/>
  <c r="W6" i="3" s="1"/>
  <c r="I28" i="5"/>
  <c r="I6" i="3"/>
  <c r="V6" i="3" s="1"/>
  <c r="H7" i="3"/>
  <c r="U7" i="3" s="1"/>
  <c r="J14" i="3"/>
  <c r="W14" i="3" s="1"/>
  <c r="K7" i="3"/>
  <c r="X7" i="3" s="1"/>
  <c r="H15" i="3"/>
  <c r="U15" i="3" s="1"/>
  <c r="I16" i="3"/>
  <c r="V16" i="3" s="1"/>
  <c r="I14" i="3"/>
  <c r="V14" i="3" s="1"/>
  <c r="K15" i="3"/>
  <c r="X15" i="3" s="1"/>
  <c r="H16" i="3"/>
  <c r="U16" i="3" s="1"/>
  <c r="K16" i="3"/>
  <c r="X16" i="3" s="1"/>
  <c r="J15" i="3"/>
  <c r="W15" i="3" s="1"/>
  <c r="H14" i="3"/>
  <c r="U14" i="3" s="1"/>
  <c r="I23" i="5"/>
  <c r="I21" i="5"/>
  <c r="I22" i="5"/>
  <c r="I18" i="5"/>
  <c r="I25" i="5"/>
  <c r="I27" i="5"/>
  <c r="I24" i="5"/>
  <c r="I19" i="5"/>
  <c r="I26" i="5"/>
  <c r="I17" i="5"/>
  <c r="U17" i="3"/>
  <c r="L17" i="3"/>
  <c r="Y17" i="3" s="1"/>
  <c r="B15" i="2"/>
  <c r="F9" i="1"/>
  <c r="L7" i="3" l="1"/>
  <c r="Y7" i="3" s="1"/>
  <c r="L6" i="3"/>
  <c r="Y6" i="3" s="1"/>
  <c r="L16" i="3"/>
  <c r="Y16" i="3" s="1"/>
  <c r="L15" i="3"/>
  <c r="Y15" i="3" s="1"/>
  <c r="L14" i="3"/>
  <c r="Y14" i="3" s="1"/>
  <c r="E15" i="2"/>
  <c r="F8" i="1"/>
  <c r="B4" i="1"/>
  <c r="F3" i="2" l="1"/>
  <c r="B16" i="2"/>
  <c r="B21" i="2" s="1"/>
  <c r="E3" i="2"/>
  <c r="D3" i="2"/>
  <c r="H4" i="1" s="1"/>
  <c r="I15" i="2"/>
  <c r="I25" i="2"/>
  <c r="AM131" i="13"/>
  <c r="AM147" i="13"/>
  <c r="AM195" i="13"/>
  <c r="AM168" i="13"/>
  <c r="AM188" i="13"/>
  <c r="AM212" i="13"/>
  <c r="AM252" i="13"/>
  <c r="AM296" i="13"/>
  <c r="AM316" i="13"/>
  <c r="AM380" i="13"/>
  <c r="AM251" i="13"/>
  <c r="AM299" i="13"/>
  <c r="AM379" i="13"/>
  <c r="AM411" i="13"/>
  <c r="AM443" i="13"/>
  <c r="AM246" i="13"/>
  <c r="AM294" i="13"/>
  <c r="AM441" i="13"/>
  <c r="AM149" i="13"/>
  <c r="AM209" i="13"/>
  <c r="AM172" i="13"/>
  <c r="AM236" i="13"/>
  <c r="AM364" i="13"/>
  <c r="AM415" i="13"/>
  <c r="AM127" i="13"/>
  <c r="AM159" i="13"/>
  <c r="AM175" i="13"/>
  <c r="AM191" i="13"/>
  <c r="AM140" i="13"/>
  <c r="AM164" i="13"/>
  <c r="AM184" i="13"/>
  <c r="AM204" i="13"/>
  <c r="AM268" i="13"/>
  <c r="AM292" i="13"/>
  <c r="AM356" i="13"/>
  <c r="AM376" i="13"/>
  <c r="AM420" i="13"/>
  <c r="AM440" i="13"/>
  <c r="AM460" i="13"/>
  <c r="AM215" i="13"/>
  <c r="AM231" i="13"/>
  <c r="AM247" i="13"/>
  <c r="AM279" i="13"/>
  <c r="AM295" i="13"/>
  <c r="AM327" i="13"/>
  <c r="AM343" i="13"/>
  <c r="AM359" i="13"/>
  <c r="AM391" i="13"/>
  <c r="AM407" i="13"/>
  <c r="AM439" i="13"/>
  <c r="AM455" i="13"/>
  <c r="AM471" i="13"/>
  <c r="AM432" i="13"/>
  <c r="AM146" i="13"/>
  <c r="AM162" i="13"/>
  <c r="AM178" i="13"/>
  <c r="AM194" i="13"/>
  <c r="AM210" i="13"/>
  <c r="AM226" i="13"/>
  <c r="AM258" i="13"/>
  <c r="AM274" i="13"/>
  <c r="AM306" i="13"/>
  <c r="AM322" i="13"/>
  <c r="AM338" i="13"/>
  <c r="AM370" i="13"/>
  <c r="AM386" i="13"/>
  <c r="AM261" i="13"/>
  <c r="AM422" i="13"/>
  <c r="AM454" i="13"/>
  <c r="AM453" i="13"/>
  <c r="AM469" i="13"/>
  <c r="AM145" i="13"/>
  <c r="AM161" i="13"/>
  <c r="AM160" i="13"/>
  <c r="AM185" i="13"/>
  <c r="AM205" i="13"/>
  <c r="AM225" i="13"/>
  <c r="AM257" i="13"/>
  <c r="AM281" i="13"/>
  <c r="AM313" i="13"/>
  <c r="AM329" i="13"/>
  <c r="AM345" i="13"/>
  <c r="AM377" i="13"/>
  <c r="AM393" i="13"/>
  <c r="AM425" i="13"/>
  <c r="AM128" i="13"/>
  <c r="AM208" i="13"/>
  <c r="AM336" i="13"/>
  <c r="AM163" i="13"/>
  <c r="AM232" i="13"/>
  <c r="AM203" i="13"/>
  <c r="AM315" i="13"/>
  <c r="AM363" i="13"/>
  <c r="AM320" i="13"/>
  <c r="AM134" i="13"/>
  <c r="AM166" i="13"/>
  <c r="AM198" i="13"/>
  <c r="AM230" i="13"/>
  <c r="AM390" i="13"/>
  <c r="AM426" i="13"/>
  <c r="AM470" i="13"/>
  <c r="AM457" i="13"/>
  <c r="AM229" i="13"/>
  <c r="AM245" i="13"/>
  <c r="AM265" i="13"/>
  <c r="AM285" i="13"/>
  <c r="AM301" i="13"/>
  <c r="AM317" i="13"/>
  <c r="AM349" i="13"/>
  <c r="AM365" i="13"/>
  <c r="AM397" i="13"/>
  <c r="AM413" i="13"/>
  <c r="AM429" i="13"/>
  <c r="AM224" i="13"/>
  <c r="AM352" i="13"/>
  <c r="AM167" i="13"/>
  <c r="AM132" i="13"/>
  <c r="AM216" i="13"/>
  <c r="AM280" i="13"/>
  <c r="AM324" i="13"/>
  <c r="AM344" i="13"/>
  <c r="AM428" i="13"/>
  <c r="AM223" i="13"/>
  <c r="AM239" i="13"/>
  <c r="AM271" i="13"/>
  <c r="AM287" i="13"/>
  <c r="AM303" i="13"/>
  <c r="AM335" i="13"/>
  <c r="AM351" i="13"/>
  <c r="AM383" i="13"/>
  <c r="AM399" i="13"/>
  <c r="AM447" i="13"/>
  <c r="AM463" i="13"/>
  <c r="AM240" i="13"/>
  <c r="AM138" i="13"/>
  <c r="AM154" i="13"/>
  <c r="AM170" i="13"/>
  <c r="AM202" i="13"/>
  <c r="AM218" i="13"/>
  <c r="AM250" i="13"/>
  <c r="AM266" i="13"/>
  <c r="AM282" i="13"/>
  <c r="AM314" i="13"/>
  <c r="AM330" i="13"/>
  <c r="AM362" i="13"/>
  <c r="AM378" i="13"/>
  <c r="AM394" i="13"/>
  <c r="AM446" i="13"/>
  <c r="AM462" i="13"/>
  <c r="AM461" i="13"/>
  <c r="AM133" i="13"/>
  <c r="AM153" i="13"/>
  <c r="AM169" i="13"/>
  <c r="AM177" i="13"/>
  <c r="AM217" i="13"/>
  <c r="AM233" i="13"/>
  <c r="AM289" i="13"/>
  <c r="AM321" i="13"/>
  <c r="AM337" i="13"/>
  <c r="AM369" i="13"/>
  <c r="AM385" i="13"/>
  <c r="AM401" i="13"/>
  <c r="AM433" i="13"/>
  <c r="AM176" i="13"/>
  <c r="AM272" i="13"/>
  <c r="AM400" i="13"/>
  <c r="F13" i="1"/>
  <c r="AM179" i="13"/>
  <c r="AM148" i="13"/>
  <c r="AM404" i="13"/>
  <c r="AM468" i="13"/>
  <c r="AM219" i="13"/>
  <c r="AM267" i="13"/>
  <c r="AM331" i="13"/>
  <c r="AM427" i="13"/>
  <c r="AM448" i="13"/>
  <c r="AM197" i="13"/>
  <c r="AM182" i="13"/>
  <c r="AM278" i="13"/>
  <c r="AM310" i="13"/>
  <c r="AM342" i="13"/>
  <c r="AM358" i="13"/>
  <c r="AM406" i="13"/>
  <c r="AM442" i="13"/>
  <c r="AM165" i="13"/>
  <c r="AM189" i="13"/>
  <c r="AM135" i="13"/>
  <c r="AM183" i="13"/>
  <c r="AM152" i="13"/>
  <c r="AM196" i="13"/>
  <c r="AM260" i="13"/>
  <c r="AM300" i="13"/>
  <c r="AM408" i="13"/>
  <c r="AM139" i="13"/>
  <c r="AM155" i="13"/>
  <c r="AM171" i="13"/>
  <c r="AM187" i="13"/>
  <c r="AM156" i="13"/>
  <c r="AM180" i="13"/>
  <c r="AM244" i="13"/>
  <c r="AM264" i="13"/>
  <c r="AM308" i="13"/>
  <c r="AM328" i="13"/>
  <c r="AM348" i="13"/>
  <c r="AM372" i="13"/>
  <c r="AM392" i="13"/>
  <c r="AM412" i="13"/>
  <c r="AM436" i="13"/>
  <c r="AM456" i="13"/>
  <c r="AM211" i="13"/>
  <c r="AM243" i="13"/>
  <c r="AM259" i="13"/>
  <c r="AM275" i="13"/>
  <c r="AM307" i="13"/>
  <c r="AM323" i="13"/>
  <c r="AM355" i="13"/>
  <c r="AM371" i="13"/>
  <c r="AM387" i="13"/>
  <c r="AM419" i="13"/>
  <c r="AM435" i="13"/>
  <c r="AM467" i="13"/>
  <c r="AM384" i="13"/>
  <c r="AM126" i="13"/>
  <c r="AM142" i="13"/>
  <c r="AM158" i="13"/>
  <c r="AM174" i="13"/>
  <c r="AM190" i="13"/>
  <c r="AM222" i="13"/>
  <c r="AM238" i="13"/>
  <c r="AM254" i="13"/>
  <c r="AM286" i="13"/>
  <c r="AM302" i="13"/>
  <c r="AM334" i="13"/>
  <c r="AM350" i="13"/>
  <c r="AM366" i="13"/>
  <c r="AM398" i="13"/>
  <c r="AM414" i="13"/>
  <c r="AM418" i="13"/>
  <c r="AM434" i="13"/>
  <c r="AM450" i="13"/>
  <c r="AM464" i="13"/>
  <c r="AM449" i="13"/>
  <c r="AM141" i="13"/>
  <c r="AM157" i="13"/>
  <c r="AM173" i="13"/>
  <c r="AM181" i="13"/>
  <c r="AM201" i="13"/>
  <c r="AM237" i="13"/>
  <c r="AM253" i="13"/>
  <c r="AM273" i="13"/>
  <c r="AM293" i="13"/>
  <c r="AM309" i="13"/>
  <c r="AM341" i="13"/>
  <c r="AM357" i="13"/>
  <c r="AM373" i="13"/>
  <c r="AM405" i="13"/>
  <c r="AM421" i="13"/>
  <c r="AM288" i="13"/>
  <c r="AM312" i="13"/>
  <c r="AM332" i="13"/>
  <c r="AM396" i="13"/>
  <c r="AM524" i="13"/>
  <c r="AM588" i="13"/>
  <c r="AM487" i="13"/>
  <c r="AM535" i="13"/>
  <c r="AM551" i="13"/>
  <c r="AM599" i="13"/>
  <c r="AM130" i="13"/>
  <c r="AM354" i="13"/>
  <c r="AM438" i="13"/>
  <c r="AM494" i="13"/>
  <c r="AM538" i="13"/>
  <c r="AM586" i="13"/>
  <c r="AM505" i="13"/>
  <c r="AM537" i="13"/>
  <c r="AM569" i="13"/>
  <c r="AM585" i="13"/>
  <c r="AM601" i="13"/>
  <c r="AM297" i="13"/>
  <c r="AM409" i="13"/>
  <c r="AM276" i="13"/>
  <c r="AM340" i="13"/>
  <c r="AM360" i="13"/>
  <c r="AM424" i="13"/>
  <c r="AM444" i="13"/>
  <c r="AM488" i="13"/>
  <c r="AM508" i="13"/>
  <c r="AM532" i="13"/>
  <c r="AM552" i="13"/>
  <c r="AM572" i="13"/>
  <c r="AM596" i="13"/>
  <c r="AM235" i="13"/>
  <c r="AM283" i="13"/>
  <c r="AM347" i="13"/>
  <c r="AM395" i="13"/>
  <c r="AM459" i="13"/>
  <c r="AM475" i="13"/>
  <c r="AM491" i="13"/>
  <c r="AM507" i="13"/>
  <c r="AM523" i="13"/>
  <c r="AM539" i="13"/>
  <c r="AM555" i="13"/>
  <c r="AM571" i="13"/>
  <c r="AM587" i="13"/>
  <c r="AM603" i="13"/>
  <c r="AM576" i="13"/>
  <c r="AM150" i="13"/>
  <c r="AM214" i="13"/>
  <c r="AM262" i="13"/>
  <c r="AM326" i="13"/>
  <c r="AM374" i="13"/>
  <c r="AM277" i="13"/>
  <c r="AM458" i="13"/>
  <c r="AM482" i="13"/>
  <c r="AM498" i="13"/>
  <c r="AM514" i="13"/>
  <c r="AM528" i="13"/>
  <c r="AM542" i="13"/>
  <c r="AM558" i="13"/>
  <c r="AM574" i="13"/>
  <c r="AM590" i="13"/>
  <c r="AM602" i="13"/>
  <c r="AM473" i="13"/>
  <c r="AM489" i="13"/>
  <c r="AM509" i="13"/>
  <c r="AM525" i="13"/>
  <c r="AM541" i="13"/>
  <c r="AM557" i="13"/>
  <c r="AM573" i="13"/>
  <c r="AM589" i="13"/>
  <c r="AM605" i="13"/>
  <c r="AM129" i="13"/>
  <c r="AM501" i="13"/>
  <c r="AM333" i="13"/>
  <c r="AM381" i="13"/>
  <c r="AM144" i="13"/>
  <c r="AM228" i="13"/>
  <c r="AM548" i="13"/>
  <c r="AM612" i="13"/>
  <c r="AM311" i="13"/>
  <c r="AM375" i="13"/>
  <c r="AM423" i="13"/>
  <c r="AM519" i="13"/>
  <c r="AM583" i="13"/>
  <c r="AM304" i="13"/>
  <c r="AM402" i="13"/>
  <c r="AM480" i="13"/>
  <c r="AM526" i="13"/>
  <c r="AM598" i="13"/>
  <c r="AM437" i="13"/>
  <c r="AM485" i="13"/>
  <c r="AM553" i="13"/>
  <c r="AM241" i="13"/>
  <c r="AM151" i="13"/>
  <c r="AM388" i="13"/>
  <c r="AM452" i="13"/>
  <c r="AM472" i="13"/>
  <c r="AM492" i="13"/>
  <c r="AM516" i="13"/>
  <c r="AM536" i="13"/>
  <c r="AM556" i="13"/>
  <c r="AM580" i="13"/>
  <c r="AM600" i="13"/>
  <c r="AM207" i="13"/>
  <c r="AM255" i="13"/>
  <c r="AM319" i="13"/>
  <c r="AM367" i="13"/>
  <c r="AM431" i="13"/>
  <c r="AM479" i="13"/>
  <c r="AM495" i="13"/>
  <c r="AM511" i="13"/>
  <c r="AM527" i="13"/>
  <c r="AM543" i="13"/>
  <c r="AM559" i="13"/>
  <c r="AM575" i="13"/>
  <c r="AM591" i="13"/>
  <c r="AM607" i="13"/>
  <c r="AM368" i="13"/>
  <c r="AM496" i="13"/>
  <c r="AM213" i="13"/>
  <c r="AM186" i="13"/>
  <c r="AM234" i="13"/>
  <c r="AM298" i="13"/>
  <c r="AM346" i="13"/>
  <c r="AM410" i="13"/>
  <c r="AM430" i="13"/>
  <c r="AM474" i="13"/>
  <c r="AM486" i="13"/>
  <c r="AM502" i="13"/>
  <c r="AM518" i="13"/>
  <c r="AM530" i="13"/>
  <c r="AM546" i="13"/>
  <c r="AM562" i="13"/>
  <c r="AM578" i="13"/>
  <c r="AM592" i="13"/>
  <c r="AM606" i="13"/>
  <c r="AM445" i="13"/>
  <c r="AM477" i="13"/>
  <c r="AM493" i="13"/>
  <c r="AM513" i="13"/>
  <c r="AM529" i="13"/>
  <c r="AM545" i="13"/>
  <c r="AM561" i="13"/>
  <c r="AM577" i="13"/>
  <c r="AM593" i="13"/>
  <c r="AM609" i="13"/>
  <c r="AM544" i="13"/>
  <c r="AM193" i="13"/>
  <c r="AM249" i="13"/>
  <c r="AM269" i="13"/>
  <c r="AM305" i="13"/>
  <c r="AM353" i="13"/>
  <c r="AM417" i="13"/>
  <c r="AM143" i="13"/>
  <c r="AM248" i="13"/>
  <c r="AM484" i="13"/>
  <c r="AM504" i="13"/>
  <c r="AM568" i="13"/>
  <c r="AM199" i="13"/>
  <c r="AM263" i="13"/>
  <c r="AM503" i="13"/>
  <c r="AM567" i="13"/>
  <c r="AM560" i="13"/>
  <c r="AM242" i="13"/>
  <c r="AM290" i="13"/>
  <c r="AM466" i="13"/>
  <c r="AM510" i="13"/>
  <c r="AM554" i="13"/>
  <c r="AM570" i="13"/>
  <c r="AM610" i="13"/>
  <c r="AM521" i="13"/>
  <c r="AM361" i="13"/>
  <c r="AM136" i="13"/>
  <c r="AM200" i="13"/>
  <c r="AM220" i="13"/>
  <c r="AM284" i="13"/>
  <c r="AM476" i="13"/>
  <c r="AM500" i="13"/>
  <c r="AM520" i="13"/>
  <c r="AM540" i="13"/>
  <c r="AM564" i="13"/>
  <c r="AM584" i="13"/>
  <c r="AM604" i="13"/>
  <c r="AM227" i="13"/>
  <c r="AM291" i="13"/>
  <c r="AM339" i="13"/>
  <c r="AM403" i="13"/>
  <c r="AM451" i="13"/>
  <c r="AM483" i="13"/>
  <c r="AM499" i="13"/>
  <c r="AM515" i="13"/>
  <c r="AM531" i="13"/>
  <c r="AM547" i="13"/>
  <c r="AM563" i="13"/>
  <c r="AM579" i="13"/>
  <c r="AM595" i="13"/>
  <c r="AM611" i="13"/>
  <c r="AM256" i="13"/>
  <c r="AM512" i="13"/>
  <c r="AM206" i="13"/>
  <c r="AM270" i="13"/>
  <c r="AM318" i="13"/>
  <c r="AM382" i="13"/>
  <c r="AM137" i="13"/>
  <c r="AM478" i="13"/>
  <c r="AM490" i="13"/>
  <c r="AM506" i="13"/>
  <c r="AM522" i="13"/>
  <c r="AM534" i="13"/>
  <c r="AM550" i="13"/>
  <c r="AM566" i="13"/>
  <c r="AM582" i="13"/>
  <c r="AM594" i="13"/>
  <c r="AM608" i="13"/>
  <c r="AM465" i="13"/>
  <c r="AM481" i="13"/>
  <c r="AM497" i="13"/>
  <c r="AM517" i="13"/>
  <c r="AM533" i="13"/>
  <c r="AM549" i="13"/>
  <c r="AM565" i="13"/>
  <c r="AM581" i="13"/>
  <c r="AM597" i="13"/>
  <c r="AM221" i="13"/>
  <c r="AM325" i="13"/>
  <c r="AM389" i="13"/>
  <c r="AM192" i="13"/>
  <c r="AM416" i="13"/>
  <c r="AM125" i="13"/>
  <c r="H5" i="1" l="1"/>
  <c r="H7" i="1" s="1"/>
  <c r="D21" i="2"/>
  <c r="C21" i="2"/>
  <c r="E21" i="2"/>
  <c r="F12" i="1"/>
  <c r="F11" i="1"/>
  <c r="F10" i="1"/>
  <c r="C155" i="3"/>
  <c r="D155" i="3" s="1"/>
  <c r="J25" i="2"/>
  <c r="K25" i="2" s="1"/>
  <c r="F21" i="2" l="1"/>
  <c r="K34" i="2"/>
  <c r="I26" i="2"/>
  <c r="J26" i="2" s="1"/>
  <c r="C245" i="3"/>
  <c r="D245" i="3" s="1"/>
  <c r="C241" i="3"/>
  <c r="D241" i="3" s="1"/>
  <c r="C237" i="3"/>
  <c r="D237" i="3" s="1"/>
  <c r="C233" i="3"/>
  <c r="D233" i="3" s="1"/>
  <c r="C229" i="3"/>
  <c r="D229" i="3" s="1"/>
  <c r="C225" i="3"/>
  <c r="D225" i="3" s="1"/>
  <c r="C221" i="3"/>
  <c r="D221" i="3" s="1"/>
  <c r="C217" i="3"/>
  <c r="D217" i="3" s="1"/>
  <c r="C213" i="3"/>
  <c r="D213" i="3" s="1"/>
  <c r="C209" i="3"/>
  <c r="D209" i="3" s="1"/>
  <c r="C205" i="3"/>
  <c r="D205" i="3" s="1"/>
  <c r="C201" i="3"/>
  <c r="D201" i="3" s="1"/>
  <c r="C197" i="3"/>
  <c r="D197" i="3" s="1"/>
  <c r="C193" i="3"/>
  <c r="D193" i="3" s="1"/>
  <c r="C189" i="3"/>
  <c r="D189" i="3" s="1"/>
  <c r="C185" i="3"/>
  <c r="D185" i="3" s="1"/>
  <c r="C181" i="3"/>
  <c r="D181" i="3" s="1"/>
  <c r="C177" i="3"/>
  <c r="D177" i="3" s="1"/>
  <c r="C173" i="3"/>
  <c r="D173" i="3" s="1"/>
  <c r="C169" i="3"/>
  <c r="D169" i="3" s="1"/>
  <c r="C165" i="3"/>
  <c r="D165" i="3" s="1"/>
  <c r="C161" i="3"/>
  <c r="D161" i="3" s="1"/>
  <c r="C157" i="3"/>
  <c r="D157" i="3" s="1"/>
  <c r="C152" i="3"/>
  <c r="D152" i="3" s="1"/>
  <c r="C148" i="3"/>
  <c r="D148" i="3" s="1"/>
  <c r="C144" i="3"/>
  <c r="D144" i="3" s="1"/>
  <c r="C140" i="3"/>
  <c r="D140" i="3" s="1"/>
  <c r="C136" i="3"/>
  <c r="D136" i="3" s="1"/>
  <c r="C132" i="3"/>
  <c r="D132" i="3" s="1"/>
  <c r="C128" i="3"/>
  <c r="D128" i="3" s="1"/>
  <c r="C127" i="3"/>
  <c r="D127" i="3" s="1"/>
  <c r="C244" i="3"/>
  <c r="D244" i="3" s="1"/>
  <c r="C240" i="3"/>
  <c r="D240" i="3" s="1"/>
  <c r="C236" i="3"/>
  <c r="D236" i="3" s="1"/>
  <c r="C232" i="3"/>
  <c r="D232" i="3" s="1"/>
  <c r="C228" i="3"/>
  <c r="D228" i="3" s="1"/>
  <c r="C224" i="3"/>
  <c r="D224" i="3" s="1"/>
  <c r="C220" i="3"/>
  <c r="D220" i="3" s="1"/>
  <c r="C216" i="3"/>
  <c r="D216" i="3" s="1"/>
  <c r="C212" i="3"/>
  <c r="D212" i="3" s="1"/>
  <c r="C208" i="3"/>
  <c r="D208" i="3" s="1"/>
  <c r="C204" i="3"/>
  <c r="D204" i="3" s="1"/>
  <c r="C200" i="3"/>
  <c r="D200" i="3" s="1"/>
  <c r="C196" i="3"/>
  <c r="D196" i="3" s="1"/>
  <c r="C192" i="3"/>
  <c r="D192" i="3" s="1"/>
  <c r="C188" i="3"/>
  <c r="D188" i="3" s="1"/>
  <c r="C184" i="3"/>
  <c r="D184" i="3" s="1"/>
  <c r="C180" i="3"/>
  <c r="D180" i="3" s="1"/>
  <c r="C176" i="3"/>
  <c r="D176" i="3" s="1"/>
  <c r="C172" i="3"/>
  <c r="D172" i="3" s="1"/>
  <c r="C168" i="3"/>
  <c r="D168" i="3" s="1"/>
  <c r="C164" i="3"/>
  <c r="D164" i="3" s="1"/>
  <c r="C160" i="3"/>
  <c r="D160" i="3" s="1"/>
  <c r="C156" i="3"/>
  <c r="D156" i="3" s="1"/>
  <c r="C151" i="3"/>
  <c r="D151" i="3" s="1"/>
  <c r="C147" i="3"/>
  <c r="D147" i="3" s="1"/>
  <c r="C143" i="3"/>
  <c r="D143" i="3" s="1"/>
  <c r="C139" i="3"/>
  <c r="D139" i="3" s="1"/>
  <c r="C135" i="3"/>
  <c r="D135" i="3" s="1"/>
  <c r="C131" i="3"/>
  <c r="D131" i="3" s="1"/>
  <c r="C243" i="3"/>
  <c r="D243" i="3" s="1"/>
  <c r="C239" i="3"/>
  <c r="D239" i="3" s="1"/>
  <c r="C235" i="3"/>
  <c r="D235" i="3" s="1"/>
  <c r="C231" i="3"/>
  <c r="D231" i="3" s="1"/>
  <c r="C227" i="3"/>
  <c r="D227" i="3" s="1"/>
  <c r="C223" i="3"/>
  <c r="D223" i="3" s="1"/>
  <c r="C219" i="3"/>
  <c r="D219" i="3" s="1"/>
  <c r="C215" i="3"/>
  <c r="D215" i="3" s="1"/>
  <c r="C211" i="3"/>
  <c r="D211" i="3" s="1"/>
  <c r="C207" i="3"/>
  <c r="D207" i="3" s="1"/>
  <c r="C203" i="3"/>
  <c r="D203" i="3" s="1"/>
  <c r="C199" i="3"/>
  <c r="D199" i="3" s="1"/>
  <c r="C195" i="3"/>
  <c r="D195" i="3" s="1"/>
  <c r="C191" i="3"/>
  <c r="D191" i="3" s="1"/>
  <c r="C187" i="3"/>
  <c r="D187" i="3" s="1"/>
  <c r="C183" i="3"/>
  <c r="D183" i="3" s="1"/>
  <c r="C179" i="3"/>
  <c r="D179" i="3" s="1"/>
  <c r="C175" i="3"/>
  <c r="D175" i="3" s="1"/>
  <c r="C171" i="3"/>
  <c r="D171" i="3" s="1"/>
  <c r="C167" i="3"/>
  <c r="D167" i="3" s="1"/>
  <c r="C163" i="3"/>
  <c r="D163" i="3" s="1"/>
  <c r="C159" i="3"/>
  <c r="D159" i="3" s="1"/>
  <c r="C154" i="3"/>
  <c r="D154" i="3" s="1"/>
  <c r="C150" i="3"/>
  <c r="D150" i="3" s="1"/>
  <c r="C146" i="3"/>
  <c r="D146" i="3" s="1"/>
  <c r="C142" i="3"/>
  <c r="D142" i="3" s="1"/>
  <c r="C138" i="3"/>
  <c r="D138" i="3" s="1"/>
  <c r="C134" i="3"/>
  <c r="D134" i="3" s="1"/>
  <c r="C130" i="3"/>
  <c r="D130" i="3" s="1"/>
  <c r="C126" i="3"/>
  <c r="D126" i="3" s="1"/>
  <c r="C246" i="3"/>
  <c r="D246" i="3" s="1"/>
  <c r="C242" i="3"/>
  <c r="D242" i="3" s="1"/>
  <c r="C238" i="3"/>
  <c r="D238" i="3" s="1"/>
  <c r="C234" i="3"/>
  <c r="D234" i="3" s="1"/>
  <c r="C230" i="3"/>
  <c r="D230" i="3" s="1"/>
  <c r="C226" i="3"/>
  <c r="D226" i="3" s="1"/>
  <c r="C222" i="3"/>
  <c r="D222" i="3" s="1"/>
  <c r="C218" i="3"/>
  <c r="D218" i="3" s="1"/>
  <c r="C214" i="3"/>
  <c r="D214" i="3" s="1"/>
  <c r="C210" i="3"/>
  <c r="D210" i="3" s="1"/>
  <c r="C206" i="3"/>
  <c r="D206" i="3" s="1"/>
  <c r="C202" i="3"/>
  <c r="D202" i="3" s="1"/>
  <c r="C198" i="3"/>
  <c r="D198" i="3" s="1"/>
  <c r="C194" i="3"/>
  <c r="D194" i="3" s="1"/>
  <c r="C190" i="3"/>
  <c r="D190" i="3" s="1"/>
  <c r="C186" i="3"/>
  <c r="D186" i="3" s="1"/>
  <c r="C182" i="3"/>
  <c r="D182" i="3" s="1"/>
  <c r="C178" i="3"/>
  <c r="D178" i="3" s="1"/>
  <c r="C174" i="3"/>
  <c r="D174" i="3" s="1"/>
  <c r="C170" i="3"/>
  <c r="D170" i="3" s="1"/>
  <c r="C166" i="3"/>
  <c r="D166" i="3" s="1"/>
  <c r="C162" i="3"/>
  <c r="D162" i="3" s="1"/>
  <c r="C158" i="3"/>
  <c r="D158" i="3" s="1"/>
  <c r="C153" i="3"/>
  <c r="D153" i="3" s="1"/>
  <c r="C149" i="3"/>
  <c r="D149" i="3" s="1"/>
  <c r="C145" i="3"/>
  <c r="D145" i="3" s="1"/>
  <c r="C141" i="3"/>
  <c r="D141" i="3" s="1"/>
  <c r="C137" i="3"/>
  <c r="D137" i="3" s="1"/>
  <c r="C133" i="3"/>
  <c r="D133" i="3" s="1"/>
  <c r="C129" i="3"/>
  <c r="D129" i="3" s="1"/>
  <c r="C125" i="3"/>
  <c r="D125" i="3" s="1"/>
  <c r="H34" i="1"/>
  <c r="G34" i="1"/>
  <c r="F34" i="1"/>
  <c r="E34" i="1"/>
  <c r="D34" i="1"/>
  <c r="C34" i="1"/>
  <c r="B34" i="1"/>
  <c r="H29" i="1"/>
  <c r="G29" i="1"/>
  <c r="F29" i="1"/>
  <c r="E29" i="1"/>
  <c r="D29" i="1"/>
  <c r="C29" i="1"/>
  <c r="B29" i="1"/>
  <c r="H24" i="1"/>
  <c r="G24" i="1"/>
  <c r="F24" i="1"/>
  <c r="E24" i="1"/>
  <c r="D24" i="1"/>
  <c r="C24" i="1"/>
  <c r="B24" i="1"/>
  <c r="G19" i="1"/>
  <c r="F19" i="1"/>
  <c r="E19" i="1"/>
  <c r="D19" i="1"/>
  <c r="C19" i="1"/>
  <c r="B19" i="1"/>
  <c r="H14" i="1"/>
  <c r="G14" i="1"/>
  <c r="F14" i="1"/>
  <c r="E14" i="1"/>
  <c r="D14" i="1"/>
  <c r="C14" i="1"/>
  <c r="B14" i="1"/>
  <c r="H9" i="1"/>
  <c r="G9" i="1"/>
  <c r="E9" i="1"/>
  <c r="D9" i="1"/>
  <c r="C9" i="1"/>
  <c r="B9" i="1"/>
  <c r="B2" i="1"/>
  <c r="I9" i="3" l="1"/>
  <c r="V9" i="3" s="1"/>
  <c r="K9" i="3"/>
  <c r="X9" i="3" s="1"/>
  <c r="H8" i="3"/>
  <c r="I8" i="3"/>
  <c r="V8" i="3" s="1"/>
  <c r="K8" i="3"/>
  <c r="X8" i="3" s="1"/>
  <c r="J8" i="3"/>
  <c r="W8" i="3" s="1"/>
  <c r="J9" i="3"/>
  <c r="W9" i="3" s="1"/>
  <c r="H9" i="3"/>
  <c r="I11" i="3"/>
  <c r="V11" i="3" s="1"/>
  <c r="I12" i="3"/>
  <c r="V12" i="3" s="1"/>
  <c r="K12" i="3"/>
  <c r="X12" i="3" s="1"/>
  <c r="J12" i="3"/>
  <c r="W12" i="3" s="1"/>
  <c r="H12" i="3"/>
  <c r="J11" i="3"/>
  <c r="W11" i="3" s="1"/>
  <c r="K10" i="3"/>
  <c r="X10" i="3" s="1"/>
  <c r="H10" i="3"/>
  <c r="J10" i="3"/>
  <c r="W10" i="3" s="1"/>
  <c r="I10" i="3"/>
  <c r="V10" i="3" s="1"/>
  <c r="K11" i="3"/>
  <c r="X11" i="3" s="1"/>
  <c r="H11" i="3"/>
  <c r="J13" i="3"/>
  <c r="W13" i="3" s="1"/>
  <c r="K13" i="3"/>
  <c r="X13" i="3" s="1"/>
  <c r="I13" i="3"/>
  <c r="V13" i="3" s="1"/>
  <c r="H13" i="3"/>
  <c r="C12" i="1"/>
  <c r="C13" i="1"/>
  <c r="C10" i="1"/>
  <c r="C11" i="1"/>
  <c r="H11" i="1"/>
  <c r="H12" i="1"/>
  <c r="H13" i="1"/>
  <c r="H10" i="1"/>
  <c r="D11" i="1"/>
  <c r="D12" i="1"/>
  <c r="D13" i="1"/>
  <c r="D10" i="1"/>
  <c r="E10" i="1"/>
  <c r="E11" i="1"/>
  <c r="E12" i="1"/>
  <c r="E13" i="1"/>
  <c r="B13" i="1"/>
  <c r="B10" i="1"/>
  <c r="B12" i="1"/>
  <c r="B11" i="1"/>
  <c r="G12" i="1"/>
  <c r="G13" i="1"/>
  <c r="G11" i="1"/>
  <c r="G10" i="1"/>
  <c r="B18" i="1"/>
  <c r="B17" i="1"/>
  <c r="B16" i="1"/>
  <c r="B15" i="1"/>
  <c r="C15" i="1"/>
  <c r="C17" i="1"/>
  <c r="C16" i="1"/>
  <c r="C18" i="1"/>
  <c r="D17" i="1"/>
  <c r="D18" i="1"/>
  <c r="D16" i="1"/>
  <c r="D15" i="1"/>
  <c r="E18" i="1"/>
  <c r="E15" i="1"/>
  <c r="E17" i="1"/>
  <c r="E16" i="1"/>
  <c r="F16" i="1"/>
  <c r="F17" i="1"/>
  <c r="F18" i="1"/>
  <c r="F15" i="1"/>
  <c r="G18" i="1"/>
  <c r="G16" i="1"/>
  <c r="G15" i="1"/>
  <c r="G17" i="1"/>
  <c r="H17" i="1"/>
  <c r="H16" i="1"/>
  <c r="H18" i="1"/>
  <c r="H15" i="1"/>
  <c r="B20" i="1"/>
  <c r="B23" i="1"/>
  <c r="B21" i="1"/>
  <c r="B22" i="1"/>
  <c r="C20" i="1"/>
  <c r="C21" i="1"/>
  <c r="C22" i="1"/>
  <c r="C23" i="1"/>
  <c r="D22" i="1"/>
  <c r="D21" i="1"/>
  <c r="D20" i="1"/>
  <c r="D23" i="1"/>
  <c r="E23" i="1"/>
  <c r="E22" i="1"/>
  <c r="E21" i="1"/>
  <c r="E20" i="1"/>
  <c r="F21" i="1"/>
  <c r="F20" i="1"/>
  <c r="F23" i="1"/>
  <c r="F22" i="1"/>
  <c r="G22" i="1"/>
  <c r="G20" i="1"/>
  <c r="G21" i="1"/>
  <c r="G23" i="1"/>
  <c r="B28" i="1"/>
  <c r="B27" i="1"/>
  <c r="B25" i="1"/>
  <c r="B26" i="1"/>
  <c r="C25" i="1"/>
  <c r="C28" i="1"/>
  <c r="C26" i="1"/>
  <c r="C27" i="1"/>
  <c r="D25" i="1"/>
  <c r="D27" i="1"/>
  <c r="D28" i="1"/>
  <c r="D26" i="1"/>
  <c r="E28" i="1"/>
  <c r="E27" i="1"/>
  <c r="E26" i="1"/>
  <c r="E25" i="1"/>
  <c r="F27" i="1"/>
  <c r="F28" i="1"/>
  <c r="F25" i="1"/>
  <c r="F26" i="1"/>
  <c r="G26" i="1"/>
  <c r="G25" i="1"/>
  <c r="G28" i="1"/>
  <c r="G27" i="1"/>
  <c r="H27" i="1"/>
  <c r="H26" i="1"/>
  <c r="H28" i="1"/>
  <c r="H25" i="1"/>
  <c r="B33" i="1"/>
  <c r="B31" i="1"/>
  <c r="B30" i="1"/>
  <c r="B32" i="1"/>
  <c r="C32" i="1"/>
  <c r="C30" i="1"/>
  <c r="C33" i="1"/>
  <c r="C31" i="1"/>
  <c r="D32" i="1"/>
  <c r="D31" i="1"/>
  <c r="D33" i="1"/>
  <c r="D30" i="1"/>
  <c r="E30" i="1"/>
  <c r="E31" i="1"/>
  <c r="E33" i="1"/>
  <c r="E32" i="1"/>
  <c r="F32" i="1"/>
  <c r="F31" i="1"/>
  <c r="F33" i="1"/>
  <c r="F30" i="1"/>
  <c r="G32" i="1"/>
  <c r="G33" i="1"/>
  <c r="G31" i="1"/>
  <c r="G30" i="1"/>
  <c r="H31" i="1"/>
  <c r="H30" i="1"/>
  <c r="H33" i="1"/>
  <c r="H32" i="1"/>
  <c r="B37" i="1"/>
  <c r="B38" i="1"/>
  <c r="B36" i="1"/>
  <c r="B35" i="1"/>
  <c r="C35" i="1"/>
  <c r="C36" i="1"/>
  <c r="C38" i="1"/>
  <c r="C37" i="1"/>
  <c r="D38" i="1"/>
  <c r="D37" i="1"/>
  <c r="D36" i="1"/>
  <c r="D35" i="1"/>
  <c r="E38" i="1"/>
  <c r="E37" i="1"/>
  <c r="E36" i="1"/>
  <c r="E35" i="1"/>
  <c r="F36" i="1"/>
  <c r="F35" i="1"/>
  <c r="F38" i="1"/>
  <c r="F37" i="1"/>
  <c r="G35" i="1"/>
  <c r="G36" i="1"/>
  <c r="G38" i="1"/>
  <c r="G37" i="1"/>
  <c r="H38" i="1"/>
  <c r="H37" i="1"/>
  <c r="H36" i="1"/>
  <c r="H35" i="1"/>
  <c r="K26" i="2"/>
  <c r="I27" i="2"/>
  <c r="K35" i="2"/>
  <c r="G8" i="1"/>
  <c r="C8" i="1"/>
  <c r="H8" i="1"/>
  <c r="D8" i="1"/>
  <c r="E8" i="1"/>
  <c r="B8" i="1"/>
  <c r="U8" i="3" l="1"/>
  <c r="L8" i="3"/>
  <c r="Y8" i="3" s="1"/>
  <c r="U9" i="3"/>
  <c r="L9" i="3"/>
  <c r="Y9" i="3" s="1"/>
  <c r="U12" i="3"/>
  <c r="L12" i="3"/>
  <c r="Y12" i="3" s="1"/>
  <c r="U13" i="3"/>
  <c r="L13" i="3"/>
  <c r="Y13" i="3" s="1"/>
  <c r="U11" i="3"/>
  <c r="L11" i="3"/>
  <c r="Y11" i="3" s="1"/>
  <c r="L10" i="3"/>
  <c r="Y10" i="3" s="1"/>
  <c r="U10" i="3"/>
  <c r="J27" i="2"/>
  <c r="K27" i="2" l="1"/>
  <c r="I28" i="2"/>
  <c r="K36" i="2"/>
  <c r="J28" i="2" l="1"/>
  <c r="I29" i="2" s="1"/>
  <c r="J29" i="2" l="1"/>
  <c r="K29" i="2" s="1"/>
  <c r="K28" i="2"/>
  <c r="K37" i="2"/>
  <c r="K38" i="2" l="1"/>
  <c r="K30" i="2"/>
  <c r="K3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Batista Uchoa Junior</author>
  </authors>
  <commentList>
    <comment ref="G18" authorId="0" shapeId="0" xr:uid="{00000000-0006-0000-0200-000001000000}">
      <text>
        <r>
          <rPr>
            <sz val="9"/>
            <color indexed="81"/>
            <rFont val="Segoe UI"/>
            <family val="2"/>
          </rPr>
          <t xml:space="preserve">Não APAGAR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Batista Uchoa Junior</author>
  </authors>
  <commentList>
    <comment ref="D15" authorId="0" shapeId="0" xr:uid="{00000000-0006-0000-0400-000001000000}">
      <text>
        <r>
          <rPr>
            <sz val="9"/>
            <color indexed="81"/>
            <rFont val="Segoe UI"/>
            <family val="2"/>
          </rPr>
          <t xml:space="preserve">Não APAGAR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sthenyosouza</author>
  </authors>
  <commentList>
    <comment ref="AL7" authorId="0" shapeId="0" xr:uid="{00000000-0006-0000-0E00-000001000000}">
      <text>
        <r>
          <rPr>
            <b/>
            <sz val="9"/>
            <color indexed="81"/>
            <rFont val="Segoe UI"/>
            <family val="2"/>
          </rPr>
          <t>sthenyosouza:</t>
        </r>
        <r>
          <rPr>
            <sz val="9"/>
            <color indexed="81"/>
            <rFont val="Segoe UI"/>
            <family val="2"/>
          </rPr>
          <t xml:space="preserve">
Compensado não retirando o abono natalino</t>
        </r>
      </text>
    </comment>
  </commentList>
</comments>
</file>

<file path=xl/sharedStrings.xml><?xml version="1.0" encoding="utf-8"?>
<sst xmlns="http://schemas.openxmlformats.org/spreadsheetml/2006/main" count="3504" uniqueCount="305">
  <si>
    <t>INSERIR MÊS:</t>
  </si>
  <si>
    <t>MAIO</t>
  </si>
  <si>
    <t>INSERIR DATA DE INÍCIO:</t>
  </si>
  <si>
    <t>DOMINGO</t>
  </si>
  <si>
    <t>INSERIR ANO:</t>
  </si>
  <si>
    <t>HORAS TRABALHADAS</t>
  </si>
  <si>
    <t>HORAS INDISPONÍVEIS</t>
  </si>
  <si>
    <t>HORAS EXTRAS</t>
  </si>
  <si>
    <t>HORAS TOTAIS (+extras)</t>
  </si>
  <si>
    <t>JANEIRO</t>
  </si>
  <si>
    <t>Horas Calendário</t>
  </si>
  <si>
    <t>Corresp dos motivos</t>
  </si>
  <si>
    <t>FEVEREIRO</t>
  </si>
  <si>
    <t>SEGUNDA-FEIRA</t>
  </si>
  <si>
    <t>HORAS TOTAIS</t>
  </si>
  <si>
    <t>Horas Extras</t>
  </si>
  <si>
    <t>Feriados FIXOS</t>
  </si>
  <si>
    <t>Ano Novo</t>
  </si>
  <si>
    <t>ABSENTEÍSMO PERCENTUAL</t>
  </si>
  <si>
    <t>MARÇO</t>
  </si>
  <si>
    <t>TERÇA-FEIRA</t>
  </si>
  <si>
    <t>Tiradentes</t>
  </si>
  <si>
    <t>DIREITOS CLT/ACT PERCENTUAL</t>
  </si>
  <si>
    <t>ABRIL</t>
  </si>
  <si>
    <t>QUARTA-FEIRA</t>
  </si>
  <si>
    <t>Dia do Trabalho</t>
  </si>
  <si>
    <t>TREINAMENTO E VIAGENS PERCENTUAL</t>
  </si>
  <si>
    <t>QUINTA-FEIRA</t>
  </si>
  <si>
    <t>7 de Setembro</t>
  </si>
  <si>
    <t>ASSEMBLÉIAS OU GREVES PERCENTUAL</t>
  </si>
  <si>
    <t>JUNHO</t>
  </si>
  <si>
    <t>SEXTA-FEIRA</t>
  </si>
  <si>
    <t>Nossa Senhora Aparecida</t>
  </si>
  <si>
    <t>JULHO</t>
  </si>
  <si>
    <t>SÁBADO</t>
  </si>
  <si>
    <t>Finados</t>
  </si>
  <si>
    <t>AGOSTO</t>
  </si>
  <si>
    <t>Proclamação da República</t>
  </si>
  <si>
    <t>SETEMBRO</t>
  </si>
  <si>
    <t>NATAL</t>
  </si>
  <si>
    <t>OUTUBRO</t>
  </si>
  <si>
    <t>Local</t>
  </si>
  <si>
    <t>Dia do Evangélico</t>
  </si>
  <si>
    <t>NOVEMBRO</t>
  </si>
  <si>
    <t>variável</t>
  </si>
  <si>
    <t>Carnaval</t>
  </si>
  <si>
    <t>DEZEMBRO</t>
  </si>
  <si>
    <t>MENSAL</t>
  </si>
  <si>
    <t>Dia Da Semana</t>
  </si>
  <si>
    <t>Sexta-Feira da Paixão</t>
  </si>
  <si>
    <t>PROCV DO MÊS =</t>
  </si>
  <si>
    <t>Data inicial</t>
  </si>
  <si>
    <t>Data final</t>
  </si>
  <si>
    <t>Pascoa</t>
  </si>
  <si>
    <t>dias do mês =</t>
  </si>
  <si>
    <t>Corpus Christi</t>
  </si>
  <si>
    <t>Dias trabalhados =</t>
  </si>
  <si>
    <t>Mensal</t>
  </si>
  <si>
    <t>ABSENTEÍSMO</t>
  </si>
  <si>
    <t>DIREITOS CLT/ACT</t>
  </si>
  <si>
    <t>TREINAMENTO/VIAGENS</t>
  </si>
  <si>
    <t>ASSEMBLÉIA OU GREVE</t>
  </si>
  <si>
    <t>DISPONIBILIDADE</t>
  </si>
  <si>
    <t>SEMANA</t>
  </si>
  <si>
    <t>DIAS NA SEMANA</t>
  </si>
  <si>
    <t>1º</t>
  </si>
  <si>
    <t>2º</t>
  </si>
  <si>
    <t>3º</t>
  </si>
  <si>
    <t>4º</t>
  </si>
  <si>
    <t>5º</t>
  </si>
  <si>
    <t>6º</t>
  </si>
  <si>
    <t>Dias Trabalhados</t>
  </si>
  <si>
    <t>∑</t>
  </si>
  <si>
    <t>DATA MÊS</t>
  </si>
  <si>
    <t>Funcionário:</t>
  </si>
  <si>
    <t>Mês inicio:</t>
  </si>
  <si>
    <t>Ano inicio:</t>
  </si>
  <si>
    <t>Direitos CLT/ACT</t>
  </si>
  <si>
    <t>Mês</t>
  </si>
  <si>
    <t>DIREITOS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</si>
  <si>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</si>
  <si>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</si>
  <si>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</si>
  <si>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</si>
  <si>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</si>
  <si>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</si>
  <si>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</si>
  <si>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</si>
  <si>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</si>
  <si>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</si>
  <si>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</si>
  <si>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</si>
  <si>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Ano:</t>
  </si>
  <si>
    <t>Mês inicio</t>
  </si>
  <si>
    <t>FRANCISCO EDNILSON</t>
  </si>
  <si>
    <t>DIREITOS - CLT/ACT</t>
  </si>
  <si>
    <t>Total</t>
  </si>
  <si>
    <t>MICROMEDIÇÃO</t>
  </si>
  <si>
    <t>FRANCISCO GONZAGA</t>
  </si>
  <si>
    <t>GUILHERME BEZERRA</t>
  </si>
  <si>
    <t>GILSON DA SILVA</t>
  </si>
  <si>
    <t>MATIAS LEITE</t>
  </si>
  <si>
    <t>MARCOS BERNADINO</t>
  </si>
  <si>
    <t>LUIZ GONZAGA</t>
  </si>
  <si>
    <t>ELLIS REGINA</t>
  </si>
  <si>
    <t>RAQUEL FERREIRA</t>
  </si>
  <si>
    <t>ANTÔNIO MORAIS</t>
  </si>
  <si>
    <t>GILVAM BATISTA</t>
  </si>
  <si>
    <t>WILTON DA SILVA</t>
  </si>
  <si>
    <t>JOSÉ ANTÔNIO</t>
  </si>
  <si>
    <t>ANTÔNIO DA CRUZ</t>
  </si>
  <si>
    <t>ROBERTO AKIRA</t>
  </si>
  <si>
    <t>FERNANDO DA SILVA</t>
  </si>
  <si>
    <t>GAÚCHO</t>
  </si>
  <si>
    <t>Produtividade</t>
  </si>
  <si>
    <t>Improdutividade</t>
  </si>
  <si>
    <t>Horas totais</t>
  </si>
  <si>
    <t>OS's Canceladas:</t>
  </si>
  <si>
    <t>Horas disponíveis</t>
  </si>
  <si>
    <t>Total de OS's</t>
  </si>
  <si>
    <t>Horas extras</t>
  </si>
  <si>
    <t>Mês de referência</t>
  </si>
  <si>
    <t>ANO</t>
  </si>
  <si>
    <t>Fúncionário:</t>
  </si>
  <si>
    <t>Fator de correção:</t>
  </si>
  <si>
    <t>ANO: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</si>
  <si>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</si>
  <si>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</si>
  <si>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</si>
  <si>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</si>
  <si>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</si>
  <si>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</si>
  <si>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</si>
  <si>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</si>
  <si>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</si>
  <si>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</si>
  <si>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</si>
  <si>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</si>
  <si>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</si>
  <si>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OS's Executadas</t>
  </si>
  <si>
    <t>OS's Não Executadas</t>
  </si>
  <si>
    <t>total =</t>
  </si>
  <si>
    <t>OS's Totais</t>
  </si>
  <si>
    <t>Horas disponiveis</t>
  </si>
  <si>
    <t>Percentual de Hora Extra</t>
  </si>
  <si>
    <t>Hora Extra</t>
  </si>
  <si>
    <t>OS's Canceladas</t>
  </si>
  <si>
    <t>DATA</t>
  </si>
  <si>
    <t>Dia</t>
  </si>
  <si>
    <t>Nr Codigo Equipe</t>
  </si>
  <si>
    <t>Total sem turma 0</t>
  </si>
  <si>
    <t>Sábado</t>
  </si>
  <si>
    <t>Não</t>
  </si>
  <si>
    <t>Sim</t>
  </si>
  <si>
    <t/>
  </si>
  <si>
    <t>Antônio Morais</t>
  </si>
  <si>
    <t>Antônio da Cruz</t>
  </si>
  <si>
    <t>Gaúcho</t>
  </si>
  <si>
    <t>Fernando dos Santos</t>
  </si>
  <si>
    <t>Francisco Ednilson</t>
  </si>
  <si>
    <t>Franciso Gonzaga</t>
  </si>
  <si>
    <t>Gilson da Silva</t>
  </si>
  <si>
    <t>Gilvam Batista</t>
  </si>
  <si>
    <t>Guilherme Bezerra</t>
  </si>
  <si>
    <t>Luiz Gonzaga</t>
  </si>
  <si>
    <t>Marcos Bernadino</t>
  </si>
  <si>
    <t>Matias Leite</t>
  </si>
  <si>
    <t>Roberto Akira</t>
  </si>
  <si>
    <t>Wilton da Silva</t>
  </si>
  <si>
    <t>ERRO</t>
  </si>
  <si>
    <t>mês</t>
  </si>
  <si>
    <t>DIA DA SEMANA</t>
  </si>
  <si>
    <t>FÁTIMA</t>
  </si>
  <si>
    <t>JOSÉ DA CONCEIÇÃO</t>
  </si>
  <si>
    <t>STHENYO DE SOUZA</t>
  </si>
  <si>
    <t>ESTIÁRIO PGOMG</t>
  </si>
  <si>
    <t>TOTAL</t>
  </si>
  <si>
    <t>TREINAMENTO E VIAGENS</t>
  </si>
  <si>
    <t>ASSEMBLÉIAS</t>
  </si>
  <si>
    <t>ABSENTEÍSMO ESTAGIÁRIO</t>
  </si>
  <si>
    <t>DIREITOS ESTAGIÁRIO</t>
  </si>
  <si>
    <t>TREINAMENTO E VIAGENS ESTAGIÁRIO</t>
  </si>
  <si>
    <t>ASSEMBLÉIAS ESTAGIÁRIO</t>
  </si>
  <si>
    <t>ABSENTEÍSMO TOTAL</t>
  </si>
  <si>
    <t>DIREITOS CLT/ACT TOTAIS</t>
  </si>
  <si>
    <t>TREINAMENTO E VIAGENS TOTAL</t>
  </si>
  <si>
    <t>ASSEMBLÉIAS TOTAL</t>
  </si>
  <si>
    <t>Nº de funcionários APENAS CALCULO CÓDIGO 100</t>
  </si>
  <si>
    <t>Nº de funcionários APENAS CALCULO CÓDIGO 101</t>
  </si>
  <si>
    <t>Nº de estagiários APENAS CALCULO COD 101</t>
  </si>
  <si>
    <t>Nº de estagiários APENAS CALCULO COD 100</t>
  </si>
  <si>
    <t>Hora total da área</t>
  </si>
  <si>
    <t>Hora Totais</t>
  </si>
  <si>
    <t>TOTAL =</t>
  </si>
  <si>
    <t>9P</t>
  </si>
  <si>
    <t>6P</t>
  </si>
  <si>
    <t>28P</t>
  </si>
  <si>
    <t>13P</t>
  </si>
  <si>
    <t>8P</t>
  </si>
  <si>
    <t>Cod</t>
  </si>
  <si>
    <t>Descrição</t>
  </si>
  <si>
    <t>QT [h]</t>
  </si>
  <si>
    <t>Cod Hora Extra</t>
  </si>
  <si>
    <t>ABONO ASSIDUIDADE</t>
  </si>
  <si>
    <t>Segunda</t>
  </si>
  <si>
    <t>1h</t>
  </si>
  <si>
    <t>ABONO NATALÍCIO</t>
  </si>
  <si>
    <t>Terça</t>
  </si>
  <si>
    <t>2h</t>
  </si>
  <si>
    <t>ASSEMBLÉIA</t>
  </si>
  <si>
    <t>ABONO POR ATRASO OU FALTA JUST</t>
  </si>
  <si>
    <t>Quarta</t>
  </si>
  <si>
    <t>3h</t>
  </si>
  <si>
    <t>AFASTAMENTO INSS</t>
  </si>
  <si>
    <t>Quinta</t>
  </si>
  <si>
    <t>4h</t>
  </si>
  <si>
    <t>ALISTAMENTO MILITAR</t>
  </si>
  <si>
    <t>Sexta</t>
  </si>
  <si>
    <t>5h</t>
  </si>
  <si>
    <t>6h</t>
  </si>
  <si>
    <t>FERIADO</t>
  </si>
  <si>
    <t>Domingo</t>
  </si>
  <si>
    <t>7h</t>
  </si>
  <si>
    <t>ASSEMBLÉIA (GREVE)</t>
  </si>
  <si>
    <t>8h</t>
  </si>
  <si>
    <t>ATESTADO MÉDICO</t>
  </si>
  <si>
    <t>1c</t>
  </si>
  <si>
    <t>2c</t>
  </si>
  <si>
    <t>ATESTADO MÉDICO (COMP)</t>
  </si>
  <si>
    <t>3c</t>
  </si>
  <si>
    <t>4c</t>
  </si>
  <si>
    <t>CASAMENTO</t>
  </si>
  <si>
    <t>5c</t>
  </si>
  <si>
    <t>CEDIDO PARA FORA DO GDF</t>
  </si>
  <si>
    <t>6c</t>
  </si>
  <si>
    <t>CONTRATO SUSPENSO</t>
  </si>
  <si>
    <t>7c</t>
  </si>
  <si>
    <t>CONVOCAÇÃO DA JUSTIÇA</t>
  </si>
  <si>
    <t>8c</t>
  </si>
  <si>
    <t>AC1</t>
  </si>
  <si>
    <t>DIA DO ACIDENTE DE TRABALHO</t>
  </si>
  <si>
    <t>AC2</t>
  </si>
  <si>
    <t>DOAÇÃO DE SANGUE</t>
  </si>
  <si>
    <t>AC3</t>
  </si>
  <si>
    <t>FALTA JUSTIFICADA ESTÁGIÁRIO</t>
  </si>
  <si>
    <t>AC4</t>
  </si>
  <si>
    <t>AC5</t>
  </si>
  <si>
    <t>FÉRIAS</t>
  </si>
  <si>
    <t>AC6</t>
  </si>
  <si>
    <t>GREVE</t>
  </si>
  <si>
    <t>AC7</t>
  </si>
  <si>
    <t>LICENÇA ACOMPANHAMENTO</t>
  </si>
  <si>
    <t>AC8</t>
  </si>
  <si>
    <t>LICENÇA AMAMENTAÇÃO</t>
  </si>
  <si>
    <t>LICENÇA GESTANTE</t>
  </si>
  <si>
    <t>LICENÇA PATERNIDADE</t>
  </si>
  <si>
    <t>LICENÇA PRÊMIO</t>
  </si>
  <si>
    <t>LICENÇA SEM VENCIMENTOS</t>
  </si>
  <si>
    <t>LUTO</t>
  </si>
  <si>
    <t>SUSPENSÃO</t>
  </si>
  <si>
    <t>TREINAMENTO</t>
  </si>
  <si>
    <t>VIAGEM A SERVIÇO</t>
  </si>
  <si>
    <t>RECESSO</t>
  </si>
  <si>
    <t>INATIVO</t>
  </si>
  <si>
    <t>CEDIDO PARA OUTRA ÁREA DA CAESB</t>
  </si>
  <si>
    <t>QT total extra</t>
  </si>
  <si>
    <t>Total Hora extra</t>
  </si>
  <si>
    <t>QT total normal</t>
  </si>
  <si>
    <t>Total Hora comp.</t>
  </si>
  <si>
    <t>% para concluir freq. normal</t>
  </si>
  <si>
    <t>% para concluir freq. extra</t>
  </si>
  <si>
    <t>Tipo Hora</t>
  </si>
  <si>
    <t>SD CP</t>
  </si>
  <si>
    <t>QT EX</t>
  </si>
  <si>
    <t>Comp</t>
  </si>
  <si>
    <t>Normal</t>
  </si>
  <si>
    <t>Extra</t>
  </si>
  <si>
    <t>Dia da Semana</t>
  </si>
  <si>
    <t>Horas Compensadas</t>
  </si>
  <si>
    <t>A compensar</t>
  </si>
  <si>
    <t>A compensadas</t>
  </si>
  <si>
    <t>Sáb</t>
  </si>
  <si>
    <t>Dom</t>
  </si>
  <si>
    <t>Seg</t>
  </si>
  <si>
    <t>Ter</t>
  </si>
  <si>
    <t>Qua</t>
  </si>
  <si>
    <t>Qui</t>
  </si>
  <si>
    <t>Sex</t>
  </si>
  <si>
    <t>Data</t>
  </si>
  <si>
    <t>Ind. OS executada</t>
  </si>
  <si>
    <t>Qtd. OS</t>
  </si>
  <si>
    <t>Hora extra</t>
  </si>
  <si>
    <t>Área</t>
  </si>
  <si>
    <t>OS</t>
  </si>
  <si>
    <t>KM/OS</t>
  </si>
  <si>
    <t>KM/OS - ÁREA</t>
  </si>
  <si>
    <t>km</t>
  </si>
  <si>
    <t>Hora mês</t>
  </si>
  <si>
    <t>Média KM/OS</t>
  </si>
  <si>
    <t>HORAS ÁREA</t>
  </si>
  <si>
    <t>Quantidade de OS / Horas Semanais</t>
  </si>
  <si>
    <t>Os Sábado</t>
  </si>
  <si>
    <t>Quantidade de OS Sábado / Horas Extras</t>
  </si>
  <si>
    <t>Trainee PGOMG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</si>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</sst>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aaaa"/>
    <numFmt numFmtId="165" formatCode="dd"/>
    <numFmt numFmtId="166" formatCode="0.0000"/>
    <numFmt numFmtId="167" formatCode="0.0"/>
    <numFmt numFmtId="168" formatCode="[$-416]mmmm\-yy;@"/>
    <numFmt numFmtId="169" formatCode="#,##0;\(#,##0\)"/>
    <numFmt numFmtId="170" formatCode="0.0%"/>
    <numFmt numFmtId="171" formatCode="[$-416]mmm\-yy;@"/>
    <numFmt numFmtId="172" formatCode="dd/mm/yy;@"/>
    <numFmt numFmtId="173" formatCode="0\ &quot;km&quot;"/>
  </numFmts>
  <fonts count="70" x14ac:knownFonts="1">
    <font>
      <sz val="10"/>
      <color theme="3"/>
      <name val="Calibri"/>
      <family val="1"/>
      <scheme val="minor"/>
    </font>
    <font>
      <b/>
      <sz val="36"/>
      <color theme="3"/>
      <name val="Calibri"/>
      <family val="2"/>
      <scheme val="major"/>
    </font>
    <font>
      <b/>
      <sz val="38"/>
      <color theme="3"/>
      <name val="Calibri"/>
      <family val="2"/>
      <scheme val="major"/>
    </font>
    <font>
      <b/>
      <sz val="32"/>
      <color theme="3"/>
      <name val="Calibri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1"/>
      <scheme val="major"/>
    </font>
    <font>
      <sz val="10"/>
      <color theme="3"/>
      <name val="Calibri"/>
      <family val="1"/>
      <scheme val="minor"/>
    </font>
    <font>
      <b/>
      <sz val="10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36"/>
      <color theme="3"/>
      <name val="Calibri"/>
      <family val="1"/>
      <scheme val="major"/>
    </font>
    <font>
      <sz val="22"/>
      <color theme="3"/>
      <name val="Calibri"/>
      <family val="1"/>
      <scheme val="major"/>
    </font>
    <font>
      <sz val="12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0"/>
      <name val="Calibri"/>
      <family val="1"/>
      <scheme val="minor"/>
    </font>
    <font>
      <sz val="10"/>
      <color theme="8" tint="-0.499984740745262"/>
      <name val="Calibri"/>
      <family val="1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1"/>
      <scheme val="minor"/>
    </font>
    <font>
      <sz val="10"/>
      <color rgb="FF000000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sz val="10"/>
      <name val="Leelawadee"/>
      <family val="2"/>
    </font>
    <font>
      <sz val="14"/>
      <color theme="3"/>
      <name val="Calibri"/>
      <family val="2"/>
      <scheme val="minor"/>
    </font>
    <font>
      <b/>
      <sz val="10"/>
      <color theme="0"/>
      <name val="Calibri"/>
      <family val="1"/>
      <scheme val="minor"/>
    </font>
    <font>
      <b/>
      <sz val="10"/>
      <name val="Calibri"/>
      <family val="1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FF00"/>
      <name val="Calibri"/>
      <family val="2"/>
      <scheme val="major"/>
    </font>
    <font>
      <b/>
      <sz val="14"/>
      <color rgb="FFFB9B9B"/>
      <name val="Calibri"/>
      <family val="2"/>
      <scheme val="major"/>
    </font>
    <font>
      <b/>
      <sz val="14"/>
      <color rgb="FFFFFF00"/>
      <name val="Calibri"/>
      <family val="2"/>
      <scheme val="major"/>
    </font>
    <font>
      <b/>
      <sz val="12"/>
      <name val="Calibri"/>
      <family val="2"/>
      <scheme val="major"/>
    </font>
    <font>
      <sz val="9"/>
      <color indexed="81"/>
      <name val="Segoe UI"/>
      <family val="2"/>
    </font>
    <font>
      <b/>
      <sz val="8"/>
      <color theme="0"/>
      <name val="Calibri"/>
      <family val="2"/>
      <scheme val="minor"/>
    </font>
    <font>
      <sz val="14"/>
      <name val="Calibri"/>
      <family val="1"/>
      <scheme val="minor"/>
    </font>
    <font>
      <sz val="14"/>
      <color theme="3"/>
      <name val="Calibri"/>
      <family val="1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1"/>
      <scheme val="minor"/>
    </font>
    <font>
      <sz val="8"/>
      <color rgb="FF4A4A4A"/>
      <name val="Arial"/>
      <family val="2"/>
    </font>
    <font>
      <sz val="12"/>
      <name val="Calibri"/>
      <family val="1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4A4A4A"/>
      <name val="Arial"/>
      <family val="2"/>
    </font>
    <font>
      <sz val="8"/>
      <color theme="3"/>
      <name val="Calibri"/>
      <family val="1"/>
      <scheme val="minor"/>
    </font>
    <font>
      <b/>
      <sz val="8"/>
      <color theme="0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2"/>
      <color theme="0"/>
      <name val="Calibri"/>
      <family val="1"/>
      <scheme val="minor"/>
    </font>
    <font>
      <b/>
      <sz val="16"/>
      <color theme="0"/>
      <name val="Calibri"/>
      <family val="1"/>
      <scheme val="minor"/>
    </font>
    <font>
      <b/>
      <sz val="12"/>
      <color rgb="FFFF0000"/>
      <name val="Calibri"/>
      <family val="1"/>
      <scheme val="minor"/>
    </font>
    <font>
      <b/>
      <sz val="14"/>
      <color rgb="FFFF0000"/>
      <name val="Calibri"/>
      <family val="1"/>
      <scheme val="minor"/>
    </font>
    <font>
      <b/>
      <sz val="12"/>
      <color theme="4" tint="0.39997558519241921"/>
      <name val="Calibri"/>
      <family val="1"/>
      <scheme val="minor"/>
    </font>
    <font>
      <b/>
      <sz val="14"/>
      <color theme="4" tint="0.39997558519241921"/>
      <name val="Calibri"/>
      <family val="1"/>
      <scheme val="minor"/>
    </font>
    <font>
      <b/>
      <sz val="14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6"/>
      <color rgb="FF66FFFF"/>
      <name val="Calibri"/>
      <family val="1"/>
      <scheme val="minor"/>
    </font>
    <font>
      <b/>
      <sz val="14"/>
      <color rgb="FF66FFFF"/>
      <name val="Calibri"/>
      <family val="1"/>
      <scheme val="minor"/>
    </font>
    <font>
      <sz val="8"/>
      <color rgb="FFFFFF00"/>
      <name val="Calibri"/>
      <family val="1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rgb="FFE8D1FF"/>
      <name val="Calibri"/>
      <family val="2"/>
      <scheme val="major"/>
    </font>
    <font>
      <sz val="10"/>
      <color rgb="FF000000"/>
      <name val="Arial"/>
      <family val="2"/>
    </font>
    <font>
      <b/>
      <sz val="10"/>
      <color theme="4" tint="0.59999389629810485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CC99FF"/>
      <name val="Calibri"/>
      <family val="2"/>
      <scheme val="minor"/>
    </font>
    <font>
      <sz val="10"/>
      <color rgb="FFCC99FF"/>
      <name val="Calibri"/>
      <family val="2"/>
      <scheme val="minor"/>
    </font>
    <font>
      <b/>
      <sz val="9"/>
      <color indexed="81"/>
      <name val="Segoe UI"/>
      <family val="2"/>
    </font>
    <font>
      <sz val="8"/>
      <color rgb="FF4A4A4A"/>
      <name val="Arial"/>
    </font>
    <font>
      <b/>
      <sz val="8"/>
      <color rgb="FF4A4A4A"/>
      <name val="Arial"/>
    </font>
  </fonts>
  <fills count="4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8A28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F5FC7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2429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CACFE"/>
        <bgColor indexed="64"/>
      </patternFill>
    </fill>
  </fills>
  <borders count="8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0.24994659260841701"/>
      </left>
      <right style="medium">
        <color theme="0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2" tint="-9.9887081514938816E-2"/>
      </left>
      <right/>
      <top style="thick">
        <color theme="2" tint="-9.9887081514938816E-2"/>
      </top>
      <bottom/>
      <diagonal/>
    </border>
    <border>
      <left/>
      <right/>
      <top style="thick">
        <color theme="2" tint="-9.9887081514938816E-2"/>
      </top>
      <bottom/>
      <diagonal/>
    </border>
    <border>
      <left/>
      <right style="thick">
        <color theme="0"/>
      </right>
      <top style="thick">
        <color theme="2" tint="-9.9887081514938816E-2"/>
      </top>
      <bottom/>
      <diagonal/>
    </border>
    <border>
      <left style="thick">
        <color theme="0"/>
      </left>
      <right/>
      <top style="thick">
        <color theme="2" tint="-9.9887081514938816E-2"/>
      </top>
      <bottom/>
      <diagonal/>
    </border>
    <border>
      <left/>
      <right style="thick">
        <color theme="2" tint="-9.9887081514938816E-2"/>
      </right>
      <top style="thick">
        <color theme="2" tint="-9.9887081514938816E-2"/>
      </top>
      <bottom/>
      <diagonal/>
    </border>
    <border>
      <left style="thick">
        <color theme="2" tint="-9.9887081514938816E-2"/>
      </left>
      <right/>
      <top/>
      <bottom/>
      <diagonal/>
    </border>
    <border>
      <left/>
      <right style="thick">
        <color theme="2" tint="-9.9887081514938816E-2"/>
      </right>
      <top/>
      <bottom style="medium">
        <color theme="2" tint="-9.9948118533890809E-2"/>
      </bottom>
      <diagonal/>
    </border>
    <border>
      <left/>
      <right style="thick">
        <color theme="2" tint="-9.9887081514938816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 style="thick">
        <color theme="2" tint="-9.9887081514938816E-2"/>
      </right>
      <top style="medium">
        <color theme="2" tint="-9.9948118533890809E-2"/>
      </top>
      <bottom/>
      <diagonal/>
    </border>
    <border>
      <left style="thick">
        <color theme="2" tint="-9.9917600024414813E-2"/>
      </left>
      <right style="thick">
        <color theme="2" tint="-9.9887081514938816E-2"/>
      </right>
      <top/>
      <bottom style="thick">
        <color theme="2" tint="-9.9917600024414813E-2"/>
      </bottom>
      <diagonal/>
    </border>
    <border>
      <left style="thick">
        <color theme="2" tint="-9.9887081514938816E-2"/>
      </left>
      <right/>
      <top/>
      <bottom style="thick">
        <color theme="2" tint="-9.9887081514938816E-2"/>
      </bottom>
      <diagonal/>
    </border>
    <border>
      <left/>
      <right/>
      <top/>
      <bottom style="thick">
        <color theme="2" tint="-9.9887081514938816E-2"/>
      </bottom>
      <diagonal/>
    </border>
    <border>
      <left/>
      <right style="thick">
        <color theme="0"/>
      </right>
      <top/>
      <bottom style="thick">
        <color theme="2" tint="-9.9887081514938816E-2"/>
      </bottom>
      <diagonal/>
    </border>
    <border>
      <left style="thick">
        <color theme="0"/>
      </left>
      <right/>
      <top/>
      <bottom style="thick">
        <color theme="2" tint="-9.9887081514938816E-2"/>
      </bottom>
      <diagonal/>
    </border>
    <border>
      <left style="thick">
        <color theme="2" tint="-9.9917600024414813E-2"/>
      </left>
      <right style="thick">
        <color theme="2" tint="-9.9887081514938816E-2"/>
      </right>
      <top/>
      <bottom style="thick">
        <color theme="2" tint="-9.9887081514938816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rgb="FFC2C2C2"/>
      </right>
      <top style="thin">
        <color indexed="64"/>
      </top>
      <bottom style="thin">
        <color rgb="FFC2C2C2"/>
      </bottom>
      <diagonal/>
    </border>
    <border>
      <left/>
      <right style="thin">
        <color rgb="FFC2C2C2"/>
      </right>
      <top style="thin">
        <color indexed="64"/>
      </top>
      <bottom style="thin">
        <color rgb="FFC2C2C2"/>
      </bottom>
      <diagonal/>
    </border>
    <border>
      <left/>
      <right style="thin">
        <color indexed="64"/>
      </right>
      <top style="thin">
        <color indexed="64"/>
      </top>
      <bottom style="thin">
        <color rgb="FFC2C2C2"/>
      </bottom>
      <diagonal/>
    </border>
    <border>
      <left style="thin">
        <color indexed="64"/>
      </left>
      <right style="thin">
        <color rgb="FFC2C2C2"/>
      </right>
      <top/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indexed="64"/>
      </right>
      <top/>
      <bottom style="thick">
        <color theme="0"/>
      </bottom>
      <diagonal/>
    </border>
    <border>
      <left style="thin">
        <color indexed="64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2">
    <xf numFmtId="0" fontId="0" fillId="0" borderId="0">
      <alignment vertical="center"/>
    </xf>
    <xf numFmtId="0" fontId="4" fillId="2" borderId="1" applyNumberFormat="0" applyAlignment="0" applyProtection="0"/>
    <xf numFmtId="0" fontId="1" fillId="0" borderId="0" applyNumberFormat="0" applyFill="0" applyBorder="0" applyAlignment="0" applyProtection="0"/>
    <xf numFmtId="0" fontId="9" fillId="0" borderId="0" applyNumberFormat="0" applyProtection="0">
      <alignment horizontal="left" vertical="center"/>
    </xf>
    <xf numFmtId="0" fontId="5" fillId="0" borderId="0" applyNumberFormat="0" applyFill="0" applyBorder="0" applyProtection="0">
      <alignment horizontal="left" vertical="center"/>
    </xf>
    <xf numFmtId="0" fontId="10" fillId="0" borderId="0" applyNumberFormat="0" applyProtection="0">
      <alignment horizontal="center" vertical="center"/>
    </xf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/>
    <xf numFmtId="9" fontId="6" fillId="0" borderId="0" applyFont="0" applyFill="0" applyBorder="0" applyAlignment="0" applyProtection="0"/>
    <xf numFmtId="0" fontId="61" fillId="0" borderId="0"/>
  </cellStyleXfs>
  <cellXfs count="323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13" fillId="7" borderId="7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14" xfId="0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164" fontId="5" fillId="3" borderId="6" xfId="4" applyNumberFormat="1" applyFill="1" applyBorder="1" applyAlignment="1">
      <alignment horizontal="center" vertical="center"/>
    </xf>
    <xf numFmtId="0" fontId="20" fillId="4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2" fontId="0" fillId="0" borderId="0" xfId="0" applyNumberFormat="1">
      <alignment vertical="center"/>
    </xf>
    <xf numFmtId="0" fontId="17" fillId="18" borderId="7" xfId="0" applyFont="1" applyFill="1" applyBorder="1">
      <alignment vertical="center"/>
    </xf>
    <xf numFmtId="0" fontId="13" fillId="0" borderId="7" xfId="0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0" fontId="13" fillId="19" borderId="3" xfId="0" applyNumberFormat="1" applyFont="1" applyFill="1" applyBorder="1" applyAlignment="1">
      <alignment horizontal="right" vertical="center"/>
    </xf>
    <xf numFmtId="165" fontId="11" fillId="19" borderId="2" xfId="6" applyNumberFormat="1" applyFill="1" applyBorder="1" applyAlignment="1">
      <alignment horizontal="left" vertical="center" indent="1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1" fillId="0" borderId="7" xfId="0" applyFont="1" applyBorder="1" applyAlignment="1">
      <alignment horizontal="center" vertical="center"/>
    </xf>
    <xf numFmtId="0" fontId="23" fillId="17" borderId="19" xfId="0" applyFont="1" applyFill="1" applyBorder="1" applyAlignment="1">
      <alignment vertical="center" textRotation="90"/>
    </xf>
    <xf numFmtId="0" fontId="24" fillId="7" borderId="19" xfId="0" applyFont="1" applyFill="1" applyBorder="1" applyAlignment="1">
      <alignment vertical="center" textRotation="90"/>
    </xf>
    <xf numFmtId="0" fontId="24" fillId="16" borderId="19" xfId="0" applyFont="1" applyFill="1" applyBorder="1" applyAlignment="1">
      <alignment vertical="center" textRotation="90"/>
    </xf>
    <xf numFmtId="0" fontId="24" fillId="9" borderId="19" xfId="0" applyFont="1" applyFill="1" applyBorder="1" applyAlignment="1">
      <alignment vertical="center" textRotation="90"/>
    </xf>
    <xf numFmtId="2" fontId="13" fillId="21" borderId="9" xfId="0" applyNumberFormat="1" applyFont="1" applyFill="1" applyBorder="1">
      <alignment vertical="center"/>
    </xf>
    <xf numFmtId="166" fontId="13" fillId="21" borderId="9" xfId="0" applyNumberFormat="1" applyFont="1" applyFill="1" applyBorder="1">
      <alignment vertical="center"/>
    </xf>
    <xf numFmtId="166" fontId="19" fillId="21" borderId="9" xfId="0" applyNumberFormat="1" applyFont="1" applyFill="1" applyBorder="1">
      <alignment vertical="center"/>
    </xf>
    <xf numFmtId="166" fontId="13" fillId="21" borderId="17" xfId="0" applyNumberFormat="1" applyFont="1" applyFill="1" applyBorder="1">
      <alignment vertical="center"/>
    </xf>
    <xf numFmtId="0" fontId="0" fillId="0" borderId="7" xfId="0" applyBorder="1">
      <alignment vertical="center"/>
    </xf>
    <xf numFmtId="2" fontId="13" fillId="0" borderId="9" xfId="0" applyNumberFormat="1" applyFont="1" applyBorder="1">
      <alignment vertical="center"/>
    </xf>
    <xf numFmtId="0" fontId="0" fillId="5" borderId="0" xfId="0" applyFill="1" applyAlignment="1">
      <alignment vertical="center" textRotation="90"/>
    </xf>
    <xf numFmtId="0" fontId="25" fillId="15" borderId="7" xfId="0" applyFont="1" applyFill="1" applyBorder="1" applyAlignment="1">
      <alignment horizontal="center" vertical="center" wrapText="1"/>
    </xf>
    <xf numFmtId="0" fontId="26" fillId="22" borderId="19" xfId="0" applyFont="1" applyFill="1" applyBorder="1" applyAlignment="1">
      <alignment vertical="center" wrapText="1"/>
    </xf>
    <xf numFmtId="0" fontId="27" fillId="7" borderId="19" xfId="0" applyFont="1" applyFill="1" applyBorder="1" applyAlignment="1">
      <alignment vertical="center" wrapText="1"/>
    </xf>
    <xf numFmtId="0" fontId="27" fillId="10" borderId="19" xfId="0" applyFont="1" applyFill="1" applyBorder="1" applyAlignment="1">
      <alignment vertical="center" wrapText="1"/>
    </xf>
    <xf numFmtId="0" fontId="27" fillId="9" borderId="20" xfId="0" applyFont="1" applyFill="1" applyBorder="1" applyAlignment="1">
      <alignment vertical="center" wrapText="1"/>
    </xf>
    <xf numFmtId="49" fontId="26" fillId="14" borderId="9" xfId="0" applyNumberFormat="1" applyFont="1" applyFill="1" applyBorder="1" applyAlignment="1">
      <alignment vertical="center" wrapText="1"/>
    </xf>
    <xf numFmtId="49" fontId="25" fillId="20" borderId="9" xfId="0" applyNumberFormat="1" applyFont="1" applyFill="1" applyBorder="1" applyAlignment="1">
      <alignment vertical="center" wrapText="1"/>
    </xf>
    <xf numFmtId="49" fontId="27" fillId="10" borderId="9" xfId="0" applyNumberFormat="1" applyFont="1" applyFill="1" applyBorder="1" applyAlignment="1">
      <alignment vertical="center" wrapText="1"/>
    </xf>
    <xf numFmtId="49" fontId="27" fillId="9" borderId="17" xfId="0" applyNumberFormat="1" applyFont="1" applyFill="1" applyBorder="1" applyAlignment="1">
      <alignment vertical="center" wrapText="1"/>
    </xf>
    <xf numFmtId="0" fontId="11" fillId="4" borderId="4" xfId="6" applyFill="1" applyBorder="1" applyAlignment="1">
      <alignment horizontal="right" vertical="center" indent="1"/>
    </xf>
    <xf numFmtId="0" fontId="11" fillId="4" borderId="4" xfId="6" applyFill="1" applyBorder="1" applyAlignment="1">
      <alignment horizontal="right" vertical="center"/>
    </xf>
    <xf numFmtId="167" fontId="13" fillId="0" borderId="7" xfId="0" applyNumberFormat="1" applyFont="1" applyBorder="1" applyAlignment="1">
      <alignment horizontal="center" vertical="center"/>
    </xf>
    <xf numFmtId="0" fontId="3" fillId="4" borderId="0" xfId="2" applyFont="1" applyFill="1" applyBorder="1" applyAlignment="1"/>
    <xf numFmtId="0" fontId="32" fillId="4" borderId="4" xfId="6" applyFont="1" applyFill="1" applyBorder="1" applyAlignment="1">
      <alignment horizontal="right" vertical="center" indent="1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 applyAlignment="1">
      <alignment horizontal="left" vertical="center" indent="1"/>
    </xf>
    <xf numFmtId="0" fontId="0" fillId="4" borderId="27" xfId="0" applyFill="1" applyBorder="1">
      <alignment vertical="center"/>
    </xf>
    <xf numFmtId="3" fontId="29" fillId="24" borderId="32" xfId="6" applyNumberFormat="1" applyFont="1" applyFill="1" applyBorder="1" applyAlignment="1">
      <alignment horizontal="center" vertical="center"/>
    </xf>
    <xf numFmtId="0" fontId="32" fillId="4" borderId="28" xfId="6" applyFont="1" applyFill="1" applyBorder="1" applyAlignment="1">
      <alignment horizontal="center" vertical="center"/>
    </xf>
    <xf numFmtId="3" fontId="30" fillId="24" borderId="32" xfId="6" applyNumberFormat="1" applyFont="1" applyFill="1" applyBorder="1" applyAlignment="1">
      <alignment horizontal="center" vertical="center"/>
    </xf>
    <xf numFmtId="0" fontId="32" fillId="4" borderId="33" xfId="6" applyFont="1" applyFill="1" applyBorder="1" applyAlignment="1">
      <alignment horizontal="center" vertical="center"/>
    </xf>
    <xf numFmtId="0" fontId="0" fillId="4" borderId="34" xfId="0" applyFill="1" applyBorder="1">
      <alignment vertical="center"/>
    </xf>
    <xf numFmtId="0" fontId="32" fillId="4" borderId="36" xfId="6" applyFont="1" applyFill="1" applyBorder="1" applyAlignment="1">
      <alignment horizontal="center" vertical="center"/>
    </xf>
    <xf numFmtId="3" fontId="31" fillId="24" borderId="37" xfId="6" applyNumberFormat="1" applyFont="1" applyFill="1" applyBorder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  <xf numFmtId="0" fontId="17" fillId="14" borderId="18" xfId="0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0" fontId="19" fillId="10" borderId="18" xfId="0" applyFont="1" applyFill="1" applyBorder="1" applyAlignment="1">
      <alignment horizontal="center" vertical="center"/>
    </xf>
    <xf numFmtId="0" fontId="19" fillId="9" borderId="18" xfId="0" applyFont="1" applyFill="1" applyBorder="1" applyAlignment="1">
      <alignment horizontal="center" vertical="center"/>
    </xf>
    <xf numFmtId="168" fontId="13" fillId="0" borderId="7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7" fillId="18" borderId="17" xfId="0" applyFont="1" applyFill="1" applyBorder="1">
      <alignment vertical="center"/>
    </xf>
    <xf numFmtId="0" fontId="0" fillId="0" borderId="0" xfId="0" applyProtection="1">
      <alignment vertical="center"/>
      <protection locked="0"/>
    </xf>
    <xf numFmtId="0" fontId="22" fillId="5" borderId="29" xfId="0" applyFont="1" applyFill="1" applyBorder="1" applyAlignment="1" applyProtection="1">
      <alignment horizontal="center" vertical="center"/>
      <protection locked="0"/>
    </xf>
    <xf numFmtId="0" fontId="22" fillId="5" borderId="30" xfId="0" applyFont="1" applyFill="1" applyBorder="1" applyAlignment="1" applyProtection="1">
      <alignment horizontal="center" vertical="center"/>
      <protection locked="0"/>
    </xf>
    <xf numFmtId="0" fontId="22" fillId="5" borderId="3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8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9" fillId="7" borderId="7" xfId="0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35" fillId="26" borderId="7" xfId="0" applyFont="1" applyFill="1" applyBorder="1" applyAlignment="1">
      <alignment horizontal="center" vertical="center"/>
    </xf>
    <xf numFmtId="0" fontId="35" fillId="23" borderId="7" xfId="0" applyFont="1" applyFill="1" applyBorder="1" applyAlignment="1">
      <alignment horizontal="center" vertical="center"/>
    </xf>
    <xf numFmtId="0" fontId="28" fillId="23" borderId="7" xfId="0" applyFont="1" applyFill="1" applyBorder="1" applyAlignment="1">
      <alignment horizontal="center" vertical="center"/>
    </xf>
    <xf numFmtId="0" fontId="28" fillId="27" borderId="7" xfId="0" applyFont="1" applyFill="1" applyBorder="1" applyAlignment="1">
      <alignment horizontal="center" vertical="center"/>
    </xf>
    <xf numFmtId="0" fontId="28" fillId="27" borderId="7" xfId="0" applyFont="1" applyFill="1" applyBorder="1" applyAlignment="1" applyProtection="1">
      <alignment horizontal="center" vertical="center"/>
      <protection locked="0"/>
    </xf>
    <xf numFmtId="0" fontId="36" fillId="0" borderId="0" xfId="0" applyFont="1">
      <alignment vertical="center"/>
    </xf>
    <xf numFmtId="1" fontId="0" fillId="0" borderId="0" xfId="0" applyNumberFormat="1" applyAlignment="1">
      <alignment horizontal="center" vertical="center"/>
    </xf>
    <xf numFmtId="0" fontId="17" fillId="28" borderId="0" xfId="0" applyFont="1" applyFill="1" applyAlignment="1">
      <alignment horizontal="center" vertical="center"/>
    </xf>
    <xf numFmtId="14" fontId="12" fillId="6" borderId="39" xfId="9" applyNumberFormat="1" applyBorder="1" applyAlignment="1">
      <alignment vertical="center"/>
    </xf>
    <xf numFmtId="0" fontId="12" fillId="6" borderId="40" xfId="9" applyNumberFormat="1" applyBorder="1" applyAlignment="1">
      <alignment horizontal="center" vertical="center"/>
    </xf>
    <xf numFmtId="0" fontId="13" fillId="0" borderId="40" xfId="0" applyFont="1" applyBorder="1" applyAlignment="1" applyProtection="1">
      <alignment horizontal="center" vertical="center"/>
      <protection locked="0"/>
    </xf>
    <xf numFmtId="14" fontId="12" fillId="6" borderId="41" xfId="9" applyNumberFormat="1" applyBorder="1" applyAlignment="1">
      <alignment vertical="center"/>
    </xf>
    <xf numFmtId="14" fontId="12" fillId="6" borderId="42" xfId="9" applyNumberFormat="1" applyBorder="1" applyAlignment="1">
      <alignment vertical="center"/>
    </xf>
    <xf numFmtId="49" fontId="13" fillId="0" borderId="7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9" fillId="29" borderId="45" xfId="0" applyFont="1" applyFill="1" applyBorder="1" applyAlignment="1">
      <alignment horizontal="center" vertical="top"/>
    </xf>
    <xf numFmtId="0" fontId="39" fillId="29" borderId="46" xfId="0" applyFont="1" applyFill="1" applyBorder="1" applyAlignment="1">
      <alignment horizontal="center" vertical="top"/>
    </xf>
    <xf numFmtId="0" fontId="39" fillId="29" borderId="47" xfId="0" applyFont="1" applyFill="1" applyBorder="1" applyAlignment="1">
      <alignment horizontal="center" vertical="top"/>
    </xf>
    <xf numFmtId="0" fontId="39" fillId="29" borderId="48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1" xfId="0" applyBorder="1">
      <alignment vertical="center"/>
    </xf>
    <xf numFmtId="0" fontId="25" fillId="15" borderId="17" xfId="0" applyFont="1" applyFill="1" applyBorder="1" applyAlignment="1">
      <alignment horizontal="center" vertical="center" wrapText="1"/>
    </xf>
    <xf numFmtId="0" fontId="26" fillId="25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5" fillId="35" borderId="18" xfId="0" applyFont="1" applyFill="1" applyBorder="1" applyAlignment="1">
      <alignment horizontal="center" vertical="center" wrapText="1"/>
    </xf>
    <xf numFmtId="0" fontId="13" fillId="0" borderId="50" xfId="0" applyFont="1" applyBorder="1" applyAlignment="1" applyProtection="1">
      <alignment horizontal="center" vertical="center"/>
      <protection locked="0"/>
    </xf>
    <xf numFmtId="0" fontId="0" fillId="34" borderId="7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4" fontId="41" fillId="0" borderId="7" xfId="9" applyNumberFormat="1" applyFont="1" applyFill="1" applyBorder="1" applyAlignment="1">
      <alignment vertical="center"/>
    </xf>
    <xf numFmtId="0" fontId="41" fillId="0" borderId="7" xfId="9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42" fillId="0" borderId="7" xfId="0" applyFont="1" applyBorder="1" applyAlignment="1">
      <alignment horizontal="center" vertical="center" wrapText="1"/>
    </xf>
    <xf numFmtId="0" fontId="13" fillId="0" borderId="7" xfId="0" applyFont="1" applyBorder="1">
      <alignment vertical="center"/>
    </xf>
    <xf numFmtId="2" fontId="0" fillId="0" borderId="0" xfId="0" applyNumberForma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4" fontId="13" fillId="0" borderId="15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7" xfId="0" applyFont="1" applyBorder="1" applyAlignment="1">
      <alignment vertical="center" textRotation="90"/>
    </xf>
    <xf numFmtId="14" fontId="13" fillId="0" borderId="0" xfId="0" applyNumberFormat="1" applyFont="1" applyAlignment="1">
      <alignment horizontal="center" vertical="center"/>
    </xf>
    <xf numFmtId="0" fontId="12" fillId="6" borderId="50" xfId="9" applyNumberFormat="1" applyBorder="1" applyAlignment="1">
      <alignment horizontal="center" vertical="center"/>
    </xf>
    <xf numFmtId="0" fontId="12" fillId="6" borderId="49" xfId="9" applyNumberFormat="1" applyBorder="1" applyAlignment="1">
      <alignment horizontal="center" vertical="center"/>
    </xf>
    <xf numFmtId="0" fontId="12" fillId="6" borderId="51" xfId="9" applyNumberFormat="1" applyBorder="1" applyAlignment="1">
      <alignment horizontal="center" vertical="center"/>
    </xf>
    <xf numFmtId="0" fontId="26" fillId="25" borderId="17" xfId="0" applyFont="1" applyFill="1" applyBorder="1" applyAlignment="1">
      <alignment horizontal="center" vertical="center" wrapText="1"/>
    </xf>
    <xf numFmtId="0" fontId="13" fillId="0" borderId="7" xfId="0" applyFont="1" applyBorder="1" applyAlignment="1" applyProtection="1">
      <alignment horizontal="center" vertical="center"/>
      <protection locked="0"/>
    </xf>
    <xf numFmtId="0" fontId="25" fillId="15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0" fontId="17" fillId="18" borderId="7" xfId="0" applyNumberFormat="1" applyFont="1" applyFill="1" applyBorder="1">
      <alignment vertical="center"/>
    </xf>
    <xf numFmtId="10" fontId="17" fillId="14" borderId="7" xfId="0" applyNumberFormat="1" applyFont="1" applyFill="1" applyBorder="1" applyAlignment="1">
      <alignment horizontal="center" vertical="center"/>
    </xf>
    <xf numFmtId="10" fontId="13" fillId="7" borderId="7" xfId="0" applyNumberFormat="1" applyFont="1" applyFill="1" applyBorder="1" applyAlignment="1">
      <alignment horizontal="center" vertical="center"/>
    </xf>
    <xf numFmtId="10" fontId="13" fillId="10" borderId="7" xfId="0" applyNumberFormat="1" applyFont="1" applyFill="1" applyBorder="1" applyAlignment="1">
      <alignment horizontal="center" vertical="center"/>
    </xf>
    <xf numFmtId="10" fontId="13" fillId="9" borderId="7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3" fillId="11" borderId="21" xfId="0" applyFont="1" applyFill="1" applyBorder="1" applyAlignment="1">
      <alignment horizontal="center" vertical="center"/>
    </xf>
    <xf numFmtId="0" fontId="15" fillId="9" borderId="21" xfId="0" applyFont="1" applyFill="1" applyBorder="1" applyAlignment="1">
      <alignment horizontal="center" vertical="center"/>
    </xf>
    <xf numFmtId="0" fontId="15" fillId="12" borderId="21" xfId="0" applyFont="1" applyFill="1" applyBorder="1" applyAlignment="1">
      <alignment horizontal="center" vertical="center"/>
    </xf>
    <xf numFmtId="0" fontId="13" fillId="10" borderId="21" xfId="0" applyFont="1" applyFill="1" applyBorder="1" applyAlignment="1">
      <alignment horizontal="center" vertical="center"/>
    </xf>
    <xf numFmtId="0" fontId="13" fillId="23" borderId="2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40" fillId="0" borderId="0" xfId="0" applyFont="1" applyAlignment="1">
      <alignment horizontal="center" vertical="center"/>
    </xf>
    <xf numFmtId="0" fontId="13" fillId="0" borderId="22" xfId="0" applyFont="1" applyBorder="1" applyAlignment="1" applyProtection="1">
      <alignment horizontal="center" vertical="center"/>
      <protection locked="0"/>
    </xf>
    <xf numFmtId="0" fontId="43" fillId="29" borderId="43" xfId="0" applyFont="1" applyFill="1" applyBorder="1" applyAlignment="1">
      <alignment horizontal="right" vertical="top"/>
    </xf>
    <xf numFmtId="0" fontId="26" fillId="28" borderId="11" xfId="0" applyFont="1" applyFill="1" applyBorder="1" applyAlignment="1">
      <alignment horizontal="center" vertical="center" wrapText="1"/>
    </xf>
    <xf numFmtId="0" fontId="44" fillId="0" borderId="0" xfId="0" applyFont="1">
      <alignment vertical="center"/>
    </xf>
    <xf numFmtId="10" fontId="38" fillId="0" borderId="0" xfId="0" applyNumberFormat="1" applyFont="1">
      <alignment vertical="center"/>
    </xf>
    <xf numFmtId="0" fontId="38" fillId="0" borderId="0" xfId="0" applyFont="1" applyAlignment="1">
      <alignment horizontal="center" vertical="center"/>
    </xf>
    <xf numFmtId="10" fontId="38" fillId="0" borderId="0" xfId="0" applyNumberFormat="1" applyFont="1" applyAlignment="1">
      <alignment horizontal="center" vertical="center"/>
    </xf>
    <xf numFmtId="168" fontId="45" fillId="0" borderId="0" xfId="0" applyNumberFormat="1" applyFont="1">
      <alignment vertical="center"/>
    </xf>
    <xf numFmtId="17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6" fillId="0" borderId="54" xfId="0" applyFont="1" applyBorder="1" applyAlignment="1">
      <alignment horizontal="center" vertical="center" wrapText="1"/>
    </xf>
    <xf numFmtId="0" fontId="46" fillId="0" borderId="55" xfId="0" applyFont="1" applyBorder="1" applyAlignment="1">
      <alignment horizontal="center" vertical="center" wrapText="1"/>
    </xf>
    <xf numFmtId="14" fontId="19" fillId="38" borderId="56" xfId="0" applyNumberFormat="1" applyFont="1" applyFill="1" applyBorder="1" applyAlignment="1">
      <alignment horizontal="center" vertical="center"/>
    </xf>
    <xf numFmtId="14" fontId="19" fillId="0" borderId="54" xfId="0" applyNumberFormat="1" applyFont="1" applyBorder="1" applyAlignment="1">
      <alignment horizontal="center" vertical="center"/>
    </xf>
    <xf numFmtId="14" fontId="19" fillId="38" borderId="54" xfId="0" applyNumberFormat="1" applyFont="1" applyFill="1" applyBorder="1" applyAlignment="1">
      <alignment horizontal="center" vertical="center"/>
    </xf>
    <xf numFmtId="14" fontId="19" fillId="0" borderId="58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4" fontId="57" fillId="32" borderId="61" xfId="0" applyNumberFormat="1" applyFont="1" applyFill="1" applyBorder="1" applyAlignment="1">
      <alignment horizontal="center" vertical="center"/>
    </xf>
    <xf numFmtId="14" fontId="57" fillId="32" borderId="62" xfId="0" applyNumberFormat="1" applyFont="1" applyFill="1" applyBorder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58" fillId="19" borderId="0" xfId="0" applyFont="1" applyFill="1">
      <alignment vertical="center"/>
    </xf>
    <xf numFmtId="173" fontId="19" fillId="38" borderId="56" xfId="0" applyNumberFormat="1" applyFont="1" applyFill="1" applyBorder="1" applyAlignment="1">
      <alignment horizontal="center" vertical="center"/>
    </xf>
    <xf numFmtId="173" fontId="19" fillId="38" borderId="57" xfId="0" applyNumberFormat="1" applyFont="1" applyFill="1" applyBorder="1" applyAlignment="1">
      <alignment horizontal="center" vertical="center"/>
    </xf>
    <xf numFmtId="173" fontId="19" fillId="0" borderId="54" xfId="0" applyNumberFormat="1" applyFont="1" applyBorder="1" applyAlignment="1">
      <alignment horizontal="center" vertical="center"/>
    </xf>
    <xf numFmtId="173" fontId="19" fillId="0" borderId="55" xfId="0" applyNumberFormat="1" applyFont="1" applyBorder="1" applyAlignment="1">
      <alignment horizontal="center" vertical="center"/>
    </xf>
    <xf numFmtId="173" fontId="19" fillId="38" borderId="54" xfId="0" applyNumberFormat="1" applyFont="1" applyFill="1" applyBorder="1" applyAlignment="1">
      <alignment horizontal="center" vertical="center"/>
    </xf>
    <xf numFmtId="173" fontId="19" fillId="38" borderId="55" xfId="0" applyNumberFormat="1" applyFont="1" applyFill="1" applyBorder="1" applyAlignment="1">
      <alignment horizontal="center" vertical="center"/>
    </xf>
    <xf numFmtId="173" fontId="19" fillId="23" borderId="54" xfId="0" applyNumberFormat="1" applyFont="1" applyFill="1" applyBorder="1" applyAlignment="1">
      <alignment horizontal="center" vertical="center"/>
    </xf>
    <xf numFmtId="173" fontId="19" fillId="0" borderId="58" xfId="0" applyNumberFormat="1" applyFont="1" applyBorder="1" applyAlignment="1">
      <alignment horizontal="center" vertical="center"/>
    </xf>
    <xf numFmtId="173" fontId="19" fillId="0" borderId="53" xfId="0" applyNumberFormat="1" applyFont="1" applyBorder="1" applyAlignment="1">
      <alignment horizontal="center" vertical="center"/>
    </xf>
    <xf numFmtId="173" fontId="19" fillId="44" borderId="54" xfId="0" applyNumberFormat="1" applyFont="1" applyFill="1" applyBorder="1" applyAlignment="1">
      <alignment horizontal="center" vertical="center"/>
    </xf>
    <xf numFmtId="173" fontId="19" fillId="23" borderId="58" xfId="0" applyNumberFormat="1" applyFont="1" applyFill="1" applyBorder="1" applyAlignment="1">
      <alignment horizontal="center" vertical="center"/>
    </xf>
    <xf numFmtId="0" fontId="25" fillId="4" borderId="67" xfId="0" applyFont="1" applyFill="1" applyBorder="1" applyAlignment="1">
      <alignment horizontal="center" vertical="center" wrapText="1"/>
    </xf>
    <xf numFmtId="0" fontId="38" fillId="4" borderId="63" xfId="0" applyFont="1" applyFill="1" applyBorder="1" applyAlignment="1">
      <alignment horizontal="center" vertical="center"/>
    </xf>
    <xf numFmtId="0" fontId="25" fillId="19" borderId="67" xfId="0" applyFont="1" applyFill="1" applyBorder="1" applyAlignment="1">
      <alignment horizontal="center" vertical="center" wrapText="1"/>
    </xf>
    <xf numFmtId="0" fontId="38" fillId="19" borderId="63" xfId="0" applyFont="1" applyFill="1" applyBorder="1" applyAlignment="1">
      <alignment horizontal="center" vertical="center"/>
    </xf>
    <xf numFmtId="1" fontId="0" fillId="19" borderId="63" xfId="0" applyNumberFormat="1" applyFill="1" applyBorder="1" applyAlignment="1">
      <alignment horizontal="center" vertical="center"/>
    </xf>
    <xf numFmtId="1" fontId="0" fillId="43" borderId="63" xfId="0" applyNumberFormat="1" applyFill="1" applyBorder="1" applyAlignment="1">
      <alignment horizontal="center" vertical="center"/>
    </xf>
    <xf numFmtId="1" fontId="0" fillId="47" borderId="63" xfId="0" applyNumberFormat="1" applyFill="1" applyBorder="1" applyAlignment="1">
      <alignment horizontal="center" vertical="center"/>
    </xf>
    <xf numFmtId="0" fontId="38" fillId="4" borderId="63" xfId="0" applyFont="1" applyFill="1" applyBorder="1" applyAlignment="1">
      <alignment horizontal="center" vertical="center" wrapText="1"/>
    </xf>
    <xf numFmtId="0" fontId="38" fillId="19" borderId="63" xfId="0" applyFont="1" applyFill="1" applyBorder="1" applyAlignment="1">
      <alignment horizontal="center" vertical="center" wrapText="1"/>
    </xf>
    <xf numFmtId="17" fontId="53" fillId="40" borderId="0" xfId="0" applyNumberFormat="1" applyFont="1" applyFill="1" applyAlignment="1">
      <alignment horizontal="center" vertical="center"/>
    </xf>
    <xf numFmtId="1" fontId="13" fillId="4" borderId="63" xfId="0" applyNumberFormat="1" applyFont="1" applyFill="1" applyBorder="1" applyAlignment="1">
      <alignment horizontal="center" vertical="center"/>
    </xf>
    <xf numFmtId="1" fontId="13" fillId="19" borderId="63" xfId="0" applyNumberFormat="1" applyFont="1" applyFill="1" applyBorder="1" applyAlignment="1">
      <alignment horizontal="center" vertical="center"/>
    </xf>
    <xf numFmtId="9" fontId="42" fillId="4" borderId="63" xfId="1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10" fontId="0" fillId="0" borderId="0" xfId="10" applyNumberFormat="1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3" fontId="60" fillId="24" borderId="32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4" fillId="4" borderId="70" xfId="0" applyFont="1" applyFill="1" applyBorder="1" applyAlignment="1">
      <alignment horizontal="center" vertical="center"/>
    </xf>
    <xf numFmtId="0" fontId="64" fillId="4" borderId="70" xfId="0" applyFont="1" applyFill="1" applyBorder="1" applyAlignment="1">
      <alignment horizontal="center" vertical="center"/>
    </xf>
    <xf numFmtId="0" fontId="66" fillId="37" borderId="70" xfId="0" applyFont="1" applyFill="1" applyBorder="1" applyAlignment="1">
      <alignment horizontal="center" vertical="center"/>
    </xf>
    <xf numFmtId="0" fontId="0" fillId="27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/>
    </xf>
    <xf numFmtId="1" fontId="13" fillId="0" borderId="63" xfId="0" applyNumberFormat="1" applyFont="1" applyBorder="1" applyAlignment="1">
      <alignment horizontal="center" vertical="center"/>
    </xf>
    <xf numFmtId="173" fontId="19" fillId="23" borderId="53" xfId="0" applyNumberFormat="1" applyFont="1" applyFill="1" applyBorder="1" applyAlignment="1">
      <alignment horizontal="center" vertical="center"/>
    </xf>
    <xf numFmtId="0" fontId="39" fillId="30" borderId="43" xfId="0" applyFont="1" applyFill="1" applyBorder="1" applyAlignment="1">
      <alignment horizontal="left" vertical="top" wrapText="1"/>
    </xf>
    <xf numFmtId="169" fontId="43" fillId="31" borderId="43" xfId="0" applyNumberFormat="1" applyFont="1" applyFill="1" applyBorder="1" applyAlignment="1">
      <alignment horizontal="right" vertical="top"/>
    </xf>
    <xf numFmtId="0" fontId="43" fillId="31" borderId="43" xfId="0" applyFont="1" applyFill="1" applyBorder="1" applyAlignment="1">
      <alignment horizontal="left" vertical="top"/>
    </xf>
    <xf numFmtId="0" fontId="68" fillId="30" borderId="43" xfId="0" applyFont="1" applyFill="1" applyBorder="1" applyAlignment="1">
      <alignment horizontal="left" vertical="top" wrapText="1"/>
    </xf>
    <xf numFmtId="169" fontId="68" fillId="30" borderId="44" xfId="0" applyNumberFormat="1" applyFont="1" applyFill="1" applyBorder="1" applyAlignment="1">
      <alignment horizontal="right" vertical="top"/>
    </xf>
    <xf numFmtId="169" fontId="69" fillId="31" borderId="43" xfId="0" applyNumberFormat="1" applyFont="1" applyFill="1" applyBorder="1" applyAlignment="1">
      <alignment horizontal="right" vertical="top"/>
    </xf>
    <xf numFmtId="0" fontId="69" fillId="31" borderId="43" xfId="0" applyFont="1" applyFill="1" applyBorder="1" applyAlignment="1">
      <alignment horizontal="left" vertical="top"/>
    </xf>
    <xf numFmtId="0" fontId="43" fillId="29" borderId="0" xfId="0" applyFont="1" applyFill="1" applyAlignment="1">
      <alignment horizontal="right" vertical="top"/>
    </xf>
    <xf numFmtId="169" fontId="69" fillId="31" borderId="0" xfId="0" applyNumberFormat="1" applyFont="1" applyFill="1" applyAlignment="1">
      <alignment horizontal="right" vertical="top"/>
    </xf>
    <xf numFmtId="0" fontId="39" fillId="29" borderId="43" xfId="0" applyFont="1" applyFill="1" applyBorder="1" applyAlignment="1">
      <alignment vertical="top"/>
    </xf>
    <xf numFmtId="0" fontId="39" fillId="29" borderId="43" xfId="0" applyFont="1" applyFill="1" applyBorder="1" applyAlignment="1">
      <alignment horizontal="left" vertical="top"/>
    </xf>
    <xf numFmtId="0" fontId="39" fillId="29" borderId="43" xfId="0" applyFont="1" applyFill="1" applyBorder="1" applyAlignment="1">
      <alignment horizontal="right" vertical="top"/>
    </xf>
    <xf numFmtId="0" fontId="39" fillId="29" borderId="43" xfId="11" applyFont="1" applyFill="1" applyBorder="1" applyAlignment="1">
      <alignment horizontal="center" vertical="top"/>
    </xf>
    <xf numFmtId="0" fontId="43" fillId="29" borderId="43" xfId="1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4" borderId="28" xfId="2" applyFont="1" applyFill="1" applyBorder="1" applyAlignment="1">
      <alignment vertical="top"/>
    </xf>
    <xf numFmtId="0" fontId="2" fillId="4" borderId="0" xfId="2" applyFont="1" applyFill="1" applyBorder="1" applyAlignment="1">
      <alignment vertical="top"/>
    </xf>
    <xf numFmtId="0" fontId="3" fillId="4" borderId="28" xfId="2" applyFont="1" applyFill="1" applyBorder="1" applyAlignment="1">
      <alignment horizontal="left" vertical="center"/>
    </xf>
    <xf numFmtId="0" fontId="3" fillId="4" borderId="0" xfId="2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8" fillId="4" borderId="34" xfId="0" applyFont="1" applyFill="1" applyBorder="1" applyAlignment="1">
      <alignment horizontal="center" vertical="top" wrapText="1"/>
    </xf>
    <xf numFmtId="0" fontId="8" fillId="4" borderId="35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90"/>
    </xf>
    <xf numFmtId="0" fontId="13" fillId="0" borderId="17" xfId="0" applyFont="1" applyBorder="1" applyAlignment="1">
      <alignment horizontal="center" vertical="center" textRotation="90"/>
    </xf>
    <xf numFmtId="0" fontId="13" fillId="0" borderId="18" xfId="0" applyFont="1" applyBorder="1" applyAlignment="1">
      <alignment horizontal="center" vertical="center" textRotation="90"/>
    </xf>
    <xf numFmtId="0" fontId="13" fillId="0" borderId="15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 applyProtection="1">
      <alignment horizontal="center" vertical="center"/>
      <protection locked="0"/>
    </xf>
    <xf numFmtId="0" fontId="34" fillId="25" borderId="11" xfId="0" applyFont="1" applyFill="1" applyBorder="1" applyAlignment="1" applyProtection="1">
      <alignment horizontal="center" vertical="center" wrapText="1"/>
      <protection locked="0"/>
    </xf>
    <xf numFmtId="0" fontId="34" fillId="25" borderId="0" xfId="0" applyFont="1" applyFill="1" applyAlignment="1" applyProtection="1">
      <alignment horizontal="center" vertical="center" wrapText="1"/>
      <protection locked="0"/>
    </xf>
    <xf numFmtId="0" fontId="37" fillId="0" borderId="0" xfId="0" applyFont="1" applyAlignment="1">
      <alignment horizontal="center" vertical="center"/>
    </xf>
    <xf numFmtId="0" fontId="51" fillId="40" borderId="71" xfId="0" applyFont="1" applyFill="1" applyBorder="1" applyAlignment="1">
      <alignment horizontal="center" vertical="center" wrapText="1"/>
    </xf>
    <xf numFmtId="0" fontId="51" fillId="40" borderId="72" xfId="0" applyFont="1" applyFill="1" applyBorder="1" applyAlignment="1">
      <alignment horizontal="center" vertical="center" wrapText="1"/>
    </xf>
    <xf numFmtId="0" fontId="51" fillId="40" borderId="4" xfId="0" applyFont="1" applyFill="1" applyBorder="1" applyAlignment="1">
      <alignment horizontal="center" vertical="center" wrapText="1"/>
    </xf>
    <xf numFmtId="0" fontId="51" fillId="40" borderId="0" xfId="0" applyFont="1" applyFill="1" applyAlignment="1">
      <alignment horizontal="center" vertical="center" wrapText="1"/>
    </xf>
    <xf numFmtId="0" fontId="49" fillId="40" borderId="74" xfId="0" applyFont="1" applyFill="1" applyBorder="1" applyAlignment="1">
      <alignment horizontal="center" vertical="center" wrapText="1"/>
    </xf>
    <xf numFmtId="0" fontId="49" fillId="40" borderId="72" xfId="0" applyFont="1" applyFill="1" applyBorder="1" applyAlignment="1">
      <alignment horizontal="center" vertical="center" wrapText="1"/>
    </xf>
    <xf numFmtId="0" fontId="49" fillId="40" borderId="79" xfId="0" applyFont="1" applyFill="1" applyBorder="1" applyAlignment="1">
      <alignment horizontal="center" vertical="center" wrapText="1"/>
    </xf>
    <xf numFmtId="0" fontId="49" fillId="40" borderId="77" xfId="0" applyFont="1" applyFill="1" applyBorder="1" applyAlignment="1">
      <alignment horizontal="center" vertical="center" wrapText="1"/>
    </xf>
    <xf numFmtId="0" fontId="52" fillId="40" borderId="72" xfId="0" applyFont="1" applyFill="1" applyBorder="1" applyAlignment="1">
      <alignment horizontal="center" vertical="center"/>
    </xf>
    <xf numFmtId="0" fontId="52" fillId="40" borderId="73" xfId="0" applyFont="1" applyFill="1" applyBorder="1" applyAlignment="1">
      <alignment horizontal="center" vertical="center"/>
    </xf>
    <xf numFmtId="170" fontId="52" fillId="40" borderId="0" xfId="0" applyNumberFormat="1" applyFont="1" applyFill="1" applyAlignment="1">
      <alignment horizontal="center" vertical="center"/>
    </xf>
    <xf numFmtId="170" fontId="52" fillId="40" borderId="78" xfId="0" applyNumberFormat="1" applyFont="1" applyFill="1" applyBorder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53" fillId="33" borderId="0" xfId="0" applyFont="1" applyFill="1" applyAlignment="1">
      <alignment horizontal="center" vertical="center"/>
    </xf>
    <xf numFmtId="0" fontId="62" fillId="9" borderId="81" xfId="0" applyFont="1" applyFill="1" applyBorder="1" applyAlignment="1">
      <alignment horizontal="center" vertical="center"/>
    </xf>
    <xf numFmtId="0" fontId="62" fillId="9" borderId="82" xfId="0" applyFont="1" applyFill="1" applyBorder="1" applyAlignment="1">
      <alignment horizontal="center" vertical="center"/>
    </xf>
    <xf numFmtId="0" fontId="65" fillId="37" borderId="70" xfId="0" applyFont="1" applyFill="1" applyBorder="1" applyAlignment="1">
      <alignment horizontal="left" vertical="center"/>
    </xf>
    <xf numFmtId="0" fontId="63" fillId="4" borderId="70" xfId="0" applyFont="1" applyFill="1" applyBorder="1" applyAlignment="1">
      <alignment horizontal="left" vertical="center"/>
    </xf>
    <xf numFmtId="0" fontId="54" fillId="4" borderId="70" xfId="0" applyFont="1" applyFill="1" applyBorder="1" applyAlignment="1">
      <alignment horizontal="left" vertical="center"/>
    </xf>
    <xf numFmtId="0" fontId="28" fillId="41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48" fillId="37" borderId="72" xfId="0" applyFont="1" applyFill="1" applyBorder="1" applyAlignment="1">
      <alignment horizontal="center" vertical="center"/>
    </xf>
    <xf numFmtId="0" fontId="48" fillId="37" borderId="75" xfId="0" applyFont="1" applyFill="1" applyBorder="1" applyAlignment="1">
      <alignment horizontal="center" vertical="center"/>
    </xf>
    <xf numFmtId="0" fontId="48" fillId="37" borderId="77" xfId="0" applyFont="1" applyFill="1" applyBorder="1" applyAlignment="1">
      <alignment horizontal="center" vertical="center"/>
    </xf>
    <xf numFmtId="0" fontId="48" fillId="37" borderId="80" xfId="0" applyFont="1" applyFill="1" applyBorder="1" applyAlignment="1">
      <alignment horizontal="center" vertical="center"/>
    </xf>
    <xf numFmtId="0" fontId="47" fillId="37" borderId="71" xfId="0" applyFont="1" applyFill="1" applyBorder="1" applyAlignment="1">
      <alignment horizontal="center" vertical="center" wrapText="1"/>
    </xf>
    <xf numFmtId="0" fontId="47" fillId="37" borderId="72" xfId="0" applyFont="1" applyFill="1" applyBorder="1" applyAlignment="1">
      <alignment horizontal="center" vertical="center" wrapText="1"/>
    </xf>
    <xf numFmtId="0" fontId="47" fillId="37" borderId="76" xfId="0" applyFont="1" applyFill="1" applyBorder="1" applyAlignment="1">
      <alignment horizontal="center" vertical="center" wrapText="1"/>
    </xf>
    <xf numFmtId="0" fontId="47" fillId="37" borderId="77" xfId="0" applyFont="1" applyFill="1" applyBorder="1" applyAlignment="1">
      <alignment horizontal="center" vertical="center" wrapText="1"/>
    </xf>
    <xf numFmtId="0" fontId="50" fillId="40" borderId="72" xfId="0" applyFont="1" applyFill="1" applyBorder="1" applyAlignment="1">
      <alignment horizontal="center" vertical="center"/>
    </xf>
    <xf numFmtId="0" fontId="50" fillId="40" borderId="75" xfId="0" applyFont="1" applyFill="1" applyBorder="1" applyAlignment="1">
      <alignment horizontal="center" vertical="center"/>
    </xf>
    <xf numFmtId="170" fontId="50" fillId="40" borderId="77" xfId="0" applyNumberFormat="1" applyFont="1" applyFill="1" applyBorder="1" applyAlignment="1">
      <alignment horizontal="center" vertical="center"/>
    </xf>
    <xf numFmtId="170" fontId="50" fillId="40" borderId="80" xfId="0" applyNumberFormat="1" applyFont="1" applyFill="1" applyBorder="1" applyAlignment="1">
      <alignment horizontal="center" vertical="center"/>
    </xf>
    <xf numFmtId="168" fontId="55" fillId="36" borderId="52" xfId="0" applyNumberFormat="1" applyFont="1" applyFill="1" applyBorder="1" applyAlignment="1">
      <alignment horizontal="center" vertical="center"/>
    </xf>
    <xf numFmtId="168" fontId="55" fillId="36" borderId="10" xfId="0" applyNumberFormat="1" applyFont="1" applyFill="1" applyBorder="1" applyAlignment="1">
      <alignment horizontal="center" vertical="center"/>
    </xf>
    <xf numFmtId="168" fontId="55" fillId="36" borderId="59" xfId="0" applyNumberFormat="1" applyFont="1" applyFill="1" applyBorder="1" applyAlignment="1">
      <alignment horizontal="center" vertical="center"/>
    </xf>
    <xf numFmtId="168" fontId="55" fillId="36" borderId="60" xfId="0" applyNumberFormat="1" applyFont="1" applyFill="1" applyBorder="1" applyAlignment="1">
      <alignment horizontal="center" vertical="center"/>
    </xf>
    <xf numFmtId="0" fontId="56" fillId="36" borderId="11" xfId="0" applyFont="1" applyFill="1" applyBorder="1" applyAlignment="1">
      <alignment horizontal="center" vertical="center"/>
    </xf>
    <xf numFmtId="0" fontId="56" fillId="36" borderId="12" xfId="0" applyFont="1" applyFill="1" applyBorder="1" applyAlignment="1">
      <alignment horizontal="center" vertical="center"/>
    </xf>
    <xf numFmtId="0" fontId="54" fillId="0" borderId="16" xfId="0" applyFont="1" applyBorder="1" applyAlignment="1">
      <alignment horizontal="center" vertical="center"/>
    </xf>
    <xf numFmtId="0" fontId="62" fillId="9" borderId="83" xfId="0" applyFont="1" applyFill="1" applyBorder="1" applyAlignment="1">
      <alignment horizontal="center" vertical="center"/>
    </xf>
    <xf numFmtId="0" fontId="58" fillId="19" borderId="0" xfId="0" applyFont="1" applyFill="1" applyAlignment="1">
      <alignment horizontal="center" vertical="top"/>
    </xf>
    <xf numFmtId="0" fontId="58" fillId="43" borderId="0" xfId="0" applyFont="1" applyFill="1" applyAlignment="1">
      <alignment horizontal="center" vertical="top"/>
    </xf>
    <xf numFmtId="0" fontId="0" fillId="42" borderId="21" xfId="0" applyFill="1" applyBorder="1" applyAlignment="1">
      <alignment horizontal="center" vertical="center" textRotation="90"/>
    </xf>
    <xf numFmtId="0" fontId="0" fillId="42" borderId="22" xfId="0" applyFill="1" applyBorder="1" applyAlignment="1">
      <alignment horizontal="center" vertical="center" textRotation="90"/>
    </xf>
    <xf numFmtId="0" fontId="0" fillId="34" borderId="21" xfId="0" applyFill="1" applyBorder="1" applyAlignment="1">
      <alignment horizontal="center" vertical="center" textRotation="90"/>
    </xf>
    <xf numFmtId="0" fontId="0" fillId="34" borderId="22" xfId="0" applyFill="1" applyBorder="1" applyAlignment="1">
      <alignment horizontal="center" vertical="center" textRotation="90"/>
    </xf>
    <xf numFmtId="172" fontId="0" fillId="34" borderId="21" xfId="0" applyNumberFormat="1" applyFill="1" applyBorder="1" applyAlignment="1">
      <alignment horizontal="center" vertical="center" textRotation="90"/>
    </xf>
    <xf numFmtId="172" fontId="0" fillId="34" borderId="22" xfId="0" applyNumberFormat="1" applyFill="1" applyBorder="1" applyAlignment="1">
      <alignment horizontal="center" vertical="center" textRotation="90"/>
    </xf>
    <xf numFmtId="172" fontId="0" fillId="42" borderId="21" xfId="0" applyNumberFormat="1" applyFill="1" applyBorder="1" applyAlignment="1">
      <alignment horizontal="center" vertical="center" textRotation="90"/>
    </xf>
    <xf numFmtId="172" fontId="0" fillId="42" borderId="22" xfId="0" applyNumberFormat="1" applyFill="1" applyBorder="1" applyAlignment="1">
      <alignment horizontal="center" vertical="center" textRotation="90"/>
    </xf>
    <xf numFmtId="1" fontId="17" fillId="40" borderId="0" xfId="0" applyNumberFormat="1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textRotation="90"/>
    </xf>
    <xf numFmtId="0" fontId="18" fillId="5" borderId="16" xfId="0" applyFont="1" applyFill="1" applyBorder="1" applyAlignment="1">
      <alignment horizontal="center" vertical="center" textRotation="90"/>
    </xf>
    <xf numFmtId="0" fontId="25" fillId="4" borderId="64" xfId="0" applyFont="1" applyFill="1" applyBorder="1" applyAlignment="1">
      <alignment horizontal="center" vertical="top" wrapText="1"/>
    </xf>
    <xf numFmtId="0" fontId="25" fillId="4" borderId="68" xfId="0" applyFont="1" applyFill="1" applyBorder="1" applyAlignment="1">
      <alignment horizontal="center" vertical="top" wrapText="1"/>
    </xf>
    <xf numFmtId="0" fontId="25" fillId="4" borderId="65" xfId="0" applyFont="1" applyFill="1" applyBorder="1" applyAlignment="1">
      <alignment horizontal="center" vertical="top" wrapText="1"/>
    </xf>
    <xf numFmtId="0" fontId="25" fillId="19" borderId="64" xfId="0" applyFont="1" applyFill="1" applyBorder="1" applyAlignment="1">
      <alignment horizontal="center" vertical="top" wrapText="1"/>
    </xf>
    <xf numFmtId="0" fontId="25" fillId="19" borderId="68" xfId="0" applyFont="1" applyFill="1" applyBorder="1" applyAlignment="1">
      <alignment horizontal="center" vertical="top" wrapText="1"/>
    </xf>
    <xf numFmtId="0" fontId="25" fillId="19" borderId="65" xfId="0" applyFont="1" applyFill="1" applyBorder="1" applyAlignment="1">
      <alignment horizontal="center" vertical="top" wrapText="1"/>
    </xf>
    <xf numFmtId="0" fontId="59" fillId="45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0" fontId="26" fillId="45" borderId="69" xfId="0" applyFont="1" applyFill="1" applyBorder="1" applyAlignment="1">
      <alignment horizontal="center" vertical="center" wrapText="1"/>
    </xf>
    <xf numFmtId="0" fontId="26" fillId="45" borderId="66" xfId="0" applyFont="1" applyFill="1" applyBorder="1" applyAlignment="1">
      <alignment horizontal="center" vertical="center" wrapText="1"/>
    </xf>
    <xf numFmtId="0" fontId="25" fillId="46" borderId="69" xfId="0" applyFont="1" applyFill="1" applyBorder="1" applyAlignment="1">
      <alignment horizontal="center" vertical="center" wrapText="1"/>
    </xf>
    <xf numFmtId="0" fontId="25" fillId="46" borderId="66" xfId="0" applyFont="1" applyFill="1" applyBorder="1" applyAlignment="1">
      <alignment horizontal="center" vertical="center" wrapText="1"/>
    </xf>
  </cellXfs>
  <cellStyles count="12">
    <cellStyle name="Bom" xfId="9" builtinId="26"/>
    <cellStyle name="Entrada" xfId="1" builtinId="20" customBuiltin="1"/>
    <cellStyle name="Hiperlink" xfId="7" builtinId="8" customBuiltin="1"/>
    <cellStyle name="Hiperlink Visitado" xfId="8" builtinId="9" customBuiltin="1"/>
    <cellStyle name="Normal" xfId="0" builtinId="0" customBuiltin="1"/>
    <cellStyle name="Normal 2" xfId="11" xr:uid="{00000000-0005-0000-0000-000005000000}"/>
    <cellStyle name="Porcentagem" xfId="10" builtinId="5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</cellStyles>
  <dxfs count="38"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C000"/>
        </patternFill>
      </fill>
    </dxf>
    <dxf>
      <font>
        <b val="0"/>
        <i/>
        <color theme="0"/>
      </font>
      <fill>
        <patternFill>
          <bgColor theme="9" tint="-0.24994659260841701"/>
        </patternFill>
      </fill>
    </dxf>
    <dxf>
      <font>
        <b val="0"/>
        <i/>
        <color theme="0"/>
      </font>
      <fill>
        <patternFill>
          <bgColor rgb="FF3366CC"/>
        </patternFill>
      </fill>
    </dxf>
    <dxf>
      <fill>
        <patternFill>
          <bgColor rgb="FFC3F177"/>
        </patternFill>
      </fill>
    </dxf>
    <dxf>
      <font>
        <b val="0"/>
        <i/>
        <color theme="0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rgb="FFFFFF00"/>
      </font>
      <fill>
        <patternFill patternType="solid">
          <fgColor auto="1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theme="2"/>
      </font>
      <fill>
        <patternFill>
          <bgColor theme="2"/>
        </patternFill>
      </fill>
    </dxf>
    <dxf>
      <font>
        <b/>
        <i val="0"/>
        <color rgb="FFFF0000"/>
      </font>
      <fill>
        <gradientFill degree="180">
          <stop position="0">
            <color theme="0"/>
          </stop>
          <stop position="1">
            <color rgb="FFFFCC00"/>
          </stop>
        </gradient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border>
        <bottom style="thin">
          <color theme="0" tint="-0.24994659260841701"/>
        </bottom>
        <horizontal style="thin">
          <color theme="0" tint="-0.24994659260841701"/>
        </horizontal>
      </border>
    </dxf>
  </dxfs>
  <tableStyles count="1" defaultTableStyle="Lista de Trabalhos de Casa" defaultPivotStyle="PivotStyleLight16">
    <tableStyle name="Lista de Trabalhos de Casa" pivot="0" count="2" xr9:uid="{00000000-0011-0000-FFFF-FFFF00000000}">
      <tableStyleElement type="wholeTable" dxfId="37"/>
      <tableStyleElement type="headerRow" dxfId="36"/>
    </tableStyle>
  </tableStyles>
  <colors>
    <mruColors>
      <color rgb="FFE53FB2"/>
      <color rgb="FF006600"/>
      <color rgb="FF0000FF"/>
      <color rgb="FFCC99FF"/>
      <color rgb="FFFF0066"/>
      <color rgb="FFFF1111"/>
      <color rgb="FFFF0000"/>
      <color rgb="FF008000"/>
      <color rgb="FF9CACFE"/>
      <color rgb="FFE8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12700">
              <a:solidFill>
                <a:schemeClr val="bg1"/>
              </a:solidFill>
            </a:ln>
            <a:effectLst/>
          </c:spPr>
          <c:dPt>
            <c:idx val="0"/>
            <c:bubble3D val="0"/>
            <c:spPr>
              <a:solidFill>
                <a:srgbClr val="7030A0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5C-4B4D-B9DC-371A09E0A978}"/>
              </c:ext>
            </c:extLst>
          </c:dPt>
          <c:dPt>
            <c:idx val="1"/>
            <c:bubble3D val="0"/>
            <c:spPr>
              <a:solidFill>
                <a:srgbClr val="66CCFF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5C-4B4D-B9DC-371A09E0A978}"/>
              </c:ext>
            </c:extLst>
          </c:dPt>
          <c:dPt>
            <c:idx val="2"/>
            <c:bubble3D val="0"/>
            <c:spPr>
              <a:solidFill>
                <a:srgbClr val="33CC33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5C-4B4D-B9DC-371A09E0A978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5C-4B4D-B9DC-371A09E0A978}"/>
              </c:ext>
            </c:extLst>
          </c:dPt>
          <c:dPt>
            <c:idx val="4"/>
            <c:bubble3D val="0"/>
            <c:spPr>
              <a:solidFill>
                <a:srgbClr val="0000FF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5C-4B4D-B9DC-371A09E0A978}"/>
              </c:ext>
            </c:extLst>
          </c:dPt>
          <c:dLbls>
            <c:numFmt formatCode="0.0%" sourceLinked="0"/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'Dados Dinamicos'!$B$20:$F$20</c:f>
              <c:strCache>
                <c:ptCount val="5"/>
                <c:pt idx="0">
                  <c:v>ABSENTEÍSMO</c:v>
                </c:pt>
                <c:pt idx="1">
                  <c:v>DIREITOS CLT/ACT</c:v>
                </c:pt>
                <c:pt idx="2">
                  <c:v>TREINAMENTO/VIAGENS</c:v>
                </c:pt>
                <c:pt idx="3">
                  <c:v>ASSEMBLÉIA OU GREVE</c:v>
                </c:pt>
                <c:pt idx="4">
                  <c:v>DISPONIBILIDADE</c:v>
                </c:pt>
              </c:strCache>
            </c:strRef>
          </c:cat>
          <c:val>
            <c:numRef>
              <c:f>'Dados Dinamicos'!$B$21:$F$21</c:f>
              <c:numCache>
                <c:formatCode>0.00%</c:formatCode>
                <c:ptCount val="5"/>
                <c:pt idx="0">
                  <c:v>6.5727699530516423E-2</c:v>
                </c:pt>
                <c:pt idx="1">
                  <c:v>4.2924211938296444E-2</c:v>
                </c:pt>
                <c:pt idx="2">
                  <c:v>0</c:v>
                </c:pt>
                <c:pt idx="3">
                  <c:v>0.42052313883299808</c:v>
                </c:pt>
                <c:pt idx="4">
                  <c:v>0.47082494969818911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5C-4B4D-B9DC-371A09E0A9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73391157778559"/>
          <c:y val="9.4805837137334259E-2"/>
          <c:w val="0.34883916226535067"/>
          <c:h val="0.8103883257253314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Acompanhamento</a:t>
            </a:r>
            <a:r>
              <a:rPr lang="pt-BR" baseline="0"/>
              <a:t> Individual</a:t>
            </a:r>
          </a:p>
        </c:rich>
      </c:tx>
      <c:layout>
        <c:manualLayout>
          <c:xMode val="edge"/>
          <c:yMode val="edge"/>
          <c:x val="0.24373192227999663"/>
          <c:y val="1.3253105048754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'Relatório IND.'!$U$5</c:f>
              <c:strCache>
                <c:ptCount val="1"/>
                <c:pt idx="0">
                  <c:v>ABSENTEÍSMO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'Relatório IND.'!$T$6:$T$17</c:f>
              <c:strCache>
                <c:ptCount val="12"/>
                <c:pt idx="0">
                  <c:v>JULHO/2015</c:v>
                </c:pt>
                <c:pt idx="1">
                  <c:v>AGOSTO/2015</c:v>
                </c:pt>
                <c:pt idx="2">
                  <c:v>SETEMBRO/2015</c:v>
                </c:pt>
                <c:pt idx="3">
                  <c:v>OUTUBRO/2015</c:v>
                </c:pt>
                <c:pt idx="4">
                  <c:v>NOVEMBRO/2015</c:v>
                </c:pt>
                <c:pt idx="5">
                  <c:v>DEZEMBRO/2015</c:v>
                </c:pt>
                <c:pt idx="6">
                  <c:v>JANEIRO/2016</c:v>
                </c:pt>
                <c:pt idx="7">
                  <c:v>FEVEREIRO/2016</c:v>
                </c:pt>
                <c:pt idx="8">
                  <c:v>MARÇO/2016</c:v>
                </c:pt>
                <c:pt idx="9">
                  <c:v>ABRIL/2016</c:v>
                </c:pt>
                <c:pt idx="10">
                  <c:v>MAIO/2016</c:v>
                </c:pt>
                <c:pt idx="11">
                  <c:v>JUNHO/2016</c:v>
                </c:pt>
              </c:strCache>
            </c:strRef>
          </c:cat>
          <c:val>
            <c:numRef>
              <c:f>'Relatório IND.'!$U$6:$U$17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4.7619047619047619</c:v>
                </c:pt>
                <c:pt idx="5">
                  <c:v>0</c:v>
                </c:pt>
                <c:pt idx="6">
                  <c:v>5</c:v>
                </c:pt>
                <c:pt idx="7">
                  <c:v>5.2631578947368416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8-4D8E-A21A-DA15D23F0C3A}"/>
            </c:ext>
          </c:extLst>
        </c:ser>
        <c:ser>
          <c:idx val="1"/>
          <c:order val="1"/>
          <c:tx>
            <c:strRef>
              <c:f>'Relatório IND.'!$V$5</c:f>
              <c:strCache>
                <c:ptCount val="1"/>
                <c:pt idx="0">
                  <c:v>DIREITOS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 cap="rnd">
                <a:solidFill>
                  <a:srgbClr val="00B0F0"/>
                </a:solidFill>
                <a:bevel/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'Relatório IND.'!$T$6:$T$17</c:f>
              <c:strCache>
                <c:ptCount val="12"/>
                <c:pt idx="0">
                  <c:v>JULHO/2015</c:v>
                </c:pt>
                <c:pt idx="1">
                  <c:v>AGOSTO/2015</c:v>
                </c:pt>
                <c:pt idx="2">
                  <c:v>SETEMBRO/2015</c:v>
                </c:pt>
                <c:pt idx="3">
                  <c:v>OUTUBRO/2015</c:v>
                </c:pt>
                <c:pt idx="4">
                  <c:v>NOVEMBRO/2015</c:v>
                </c:pt>
                <c:pt idx="5">
                  <c:v>DEZEMBRO/2015</c:v>
                </c:pt>
                <c:pt idx="6">
                  <c:v>JANEIRO/2016</c:v>
                </c:pt>
                <c:pt idx="7">
                  <c:v>FEVEREIRO/2016</c:v>
                </c:pt>
                <c:pt idx="8">
                  <c:v>MARÇO/2016</c:v>
                </c:pt>
                <c:pt idx="9">
                  <c:v>ABRIL/2016</c:v>
                </c:pt>
                <c:pt idx="10">
                  <c:v>MAIO/2016</c:v>
                </c:pt>
                <c:pt idx="11">
                  <c:v>JUNHO/2016</c:v>
                </c:pt>
              </c:strCache>
            </c:strRef>
          </c:cat>
          <c:val>
            <c:numRef>
              <c:f>'Relatório IND.'!$V$6:$V$17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27.27272727272727</c:v>
                </c:pt>
                <c:pt idx="3">
                  <c:v>0</c:v>
                </c:pt>
                <c:pt idx="4">
                  <c:v>4.7619047619047619</c:v>
                </c:pt>
                <c:pt idx="5">
                  <c:v>17.391304347826086</c:v>
                </c:pt>
                <c:pt idx="6">
                  <c:v>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8-4D8E-A21A-DA15D23F0C3A}"/>
            </c:ext>
          </c:extLst>
        </c:ser>
        <c:ser>
          <c:idx val="2"/>
          <c:order val="2"/>
          <c:tx>
            <c:strRef>
              <c:f>'Relatório IND.'!$W$5</c:f>
              <c:strCache>
                <c:ptCount val="1"/>
                <c:pt idx="0">
                  <c:v>TREINAMENTO/VIAGENS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  <a:scene3d>
                <a:camera prst="orthographicFront"/>
                <a:lightRig rig="balanced" dir="t">
                  <a:rot lat="0" lon="0" rev="8700000"/>
                </a:lightRig>
              </a:scene3d>
              <a:sp3d>
                <a:bevelT w="190500" h="38100"/>
              </a:sp3d>
            </c:spPr>
          </c:marker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'Relatório IND.'!$T$6:$T$17</c:f>
              <c:strCache>
                <c:ptCount val="12"/>
                <c:pt idx="0">
                  <c:v>JULHO/2015</c:v>
                </c:pt>
                <c:pt idx="1">
                  <c:v>AGOSTO/2015</c:v>
                </c:pt>
                <c:pt idx="2">
                  <c:v>SETEMBRO/2015</c:v>
                </c:pt>
                <c:pt idx="3">
                  <c:v>OUTUBRO/2015</c:v>
                </c:pt>
                <c:pt idx="4">
                  <c:v>NOVEMBRO/2015</c:v>
                </c:pt>
                <c:pt idx="5">
                  <c:v>DEZEMBRO/2015</c:v>
                </c:pt>
                <c:pt idx="6">
                  <c:v>JANEIRO/2016</c:v>
                </c:pt>
                <c:pt idx="7">
                  <c:v>FEVEREIRO/2016</c:v>
                </c:pt>
                <c:pt idx="8">
                  <c:v>MARÇO/2016</c:v>
                </c:pt>
                <c:pt idx="9">
                  <c:v>ABRIL/2016</c:v>
                </c:pt>
                <c:pt idx="10">
                  <c:v>MAIO/2016</c:v>
                </c:pt>
                <c:pt idx="11">
                  <c:v>JUNHO/2016</c:v>
                </c:pt>
              </c:strCache>
            </c:strRef>
          </c:cat>
          <c:val>
            <c:numRef>
              <c:f>'Relatório IND.'!$W$6:$W$17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8-4D8E-A21A-DA15D23F0C3A}"/>
            </c:ext>
          </c:extLst>
        </c:ser>
        <c:ser>
          <c:idx val="3"/>
          <c:order val="3"/>
          <c:tx>
            <c:strRef>
              <c:f>'Relatório IND.'!$X$5</c:f>
              <c:strCache>
                <c:ptCount val="1"/>
                <c:pt idx="0">
                  <c:v>ASSEMBLÉIA OU GREVE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glow>
                <a:schemeClr val="accent1"/>
              </a:glow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>
                <a:glow>
                  <a:schemeClr val="accent1"/>
                </a:glow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'Relatório IND.'!$T$6:$T$17</c:f>
              <c:strCache>
                <c:ptCount val="12"/>
                <c:pt idx="0">
                  <c:v>JULHO/2015</c:v>
                </c:pt>
                <c:pt idx="1">
                  <c:v>AGOSTO/2015</c:v>
                </c:pt>
                <c:pt idx="2">
                  <c:v>SETEMBRO/2015</c:v>
                </c:pt>
                <c:pt idx="3">
                  <c:v>OUTUBRO/2015</c:v>
                </c:pt>
                <c:pt idx="4">
                  <c:v>NOVEMBRO/2015</c:v>
                </c:pt>
                <c:pt idx="5">
                  <c:v>DEZEMBRO/2015</c:v>
                </c:pt>
                <c:pt idx="6">
                  <c:v>JANEIRO/2016</c:v>
                </c:pt>
                <c:pt idx="7">
                  <c:v>FEVEREIRO/2016</c:v>
                </c:pt>
                <c:pt idx="8">
                  <c:v>MARÇO/2016</c:v>
                </c:pt>
                <c:pt idx="9">
                  <c:v>ABRIL/2016</c:v>
                </c:pt>
                <c:pt idx="10">
                  <c:v>MAIO/2016</c:v>
                </c:pt>
                <c:pt idx="11">
                  <c:v>JUNHO/2016</c:v>
                </c:pt>
              </c:strCache>
            </c:strRef>
          </c:cat>
          <c:val>
            <c:numRef>
              <c:f>'Relatório IND.'!$X$6:$X$17</c:f>
              <c:numCache>
                <c:formatCode>0.00</c:formatCode>
                <c:ptCount val="12"/>
                <c:pt idx="0">
                  <c:v>4.3478260869565215</c:v>
                </c:pt>
                <c:pt idx="1">
                  <c:v>0</c:v>
                </c:pt>
                <c:pt idx="2">
                  <c:v>13.636363636363635</c:v>
                </c:pt>
                <c:pt idx="3">
                  <c:v>4.5454545454545459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57.142857142857139</c:v>
                </c:pt>
                <c:pt idx="11">
                  <c:v>63.636363636363633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C8-4D8E-A21A-DA15D23F0C3A}"/>
            </c:ext>
          </c:extLst>
        </c:ser>
        <c:ser>
          <c:idx val="4"/>
          <c:order val="4"/>
          <c:tx>
            <c:strRef>
              <c:f>'Relatório IND.'!$Y$5</c:f>
              <c:strCache>
                <c:ptCount val="1"/>
                <c:pt idx="0">
                  <c:v>DISPONIBILIDADE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'Relatório IND.'!$T$6:$T$17</c:f>
              <c:strCache>
                <c:ptCount val="12"/>
                <c:pt idx="0">
                  <c:v>JULHO/2015</c:v>
                </c:pt>
                <c:pt idx="1">
                  <c:v>AGOSTO/2015</c:v>
                </c:pt>
                <c:pt idx="2">
                  <c:v>SETEMBRO/2015</c:v>
                </c:pt>
                <c:pt idx="3">
                  <c:v>OUTUBRO/2015</c:v>
                </c:pt>
                <c:pt idx="4">
                  <c:v>NOVEMBRO/2015</c:v>
                </c:pt>
                <c:pt idx="5">
                  <c:v>DEZEMBRO/2015</c:v>
                </c:pt>
                <c:pt idx="6">
                  <c:v>JANEIRO/2016</c:v>
                </c:pt>
                <c:pt idx="7">
                  <c:v>FEVEREIRO/2016</c:v>
                </c:pt>
                <c:pt idx="8">
                  <c:v>MARÇO/2016</c:v>
                </c:pt>
                <c:pt idx="9">
                  <c:v>ABRIL/2016</c:v>
                </c:pt>
                <c:pt idx="10">
                  <c:v>MAIO/2016</c:v>
                </c:pt>
                <c:pt idx="11">
                  <c:v>JUNHO/2016</c:v>
                </c:pt>
              </c:strCache>
            </c:strRef>
          </c:cat>
          <c:val>
            <c:numRef>
              <c:f>'Relatório IND.'!$Y$6:$Y$17</c:f>
              <c:numCache>
                <c:formatCode>0.00</c:formatCode>
                <c:ptCount val="12"/>
                <c:pt idx="0">
                  <c:v>95.652173913043484</c:v>
                </c:pt>
                <c:pt idx="1">
                  <c:v>100</c:v>
                </c:pt>
                <c:pt idx="2">
                  <c:v>59.090909090909101</c:v>
                </c:pt>
                <c:pt idx="3">
                  <c:v>95.454545454545453</c:v>
                </c:pt>
                <c:pt idx="4">
                  <c:v>90.476190476190482</c:v>
                </c:pt>
                <c:pt idx="5">
                  <c:v>82.608695652173907</c:v>
                </c:pt>
                <c:pt idx="6">
                  <c:v>50</c:v>
                </c:pt>
                <c:pt idx="7">
                  <c:v>94.736842105263165</c:v>
                </c:pt>
                <c:pt idx="8">
                  <c:v>100</c:v>
                </c:pt>
                <c:pt idx="9">
                  <c:v>95</c:v>
                </c:pt>
                <c:pt idx="10">
                  <c:v>42.857142857142861</c:v>
                </c:pt>
                <c:pt idx="11">
                  <c:v>36.363636363636367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C8-4D8E-A21A-DA15D23F0C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382728"/>
        <c:axId val="191523744"/>
      </c:lineChart>
      <c:catAx>
        <c:axId val="19038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23744"/>
        <c:crosses val="autoZero"/>
        <c:auto val="1"/>
        <c:lblAlgn val="ctr"/>
        <c:lblOffset val="100"/>
        <c:noMultiLvlLbl val="0"/>
      </c:catAx>
      <c:valAx>
        <c:axId val="191523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38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Acompanhamento das frenquências P</a:t>
            </a:r>
            <a:r>
              <a:rPr lang="pt-BR" sz="1600" b="1" baseline="0"/>
              <a:t>GOMG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655907895278698"/>
          <c:y val="7.8191561581798727E-2"/>
          <c:w val="0.7936107867051716"/>
          <c:h val="0.80159271655995845"/>
        </c:manualLayout>
      </c:layout>
      <c:lineChart>
        <c:grouping val="standard"/>
        <c:varyColors val="0"/>
        <c:ser>
          <c:idx val="0"/>
          <c:order val="0"/>
          <c:tx>
            <c:strRef>
              <c:f>'Relatório TOT.'!$E$2</c:f>
              <c:strCache>
                <c:ptCount val="1"/>
                <c:pt idx="0">
                  <c:v>ABSENTEÍSMO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TOT.'!$E$3:$E$14</c:f>
              <c:numCache>
                <c:formatCode>0</c:formatCode>
                <c:ptCount val="12"/>
                <c:pt idx="0">
                  <c:v>468</c:v>
                </c:pt>
                <c:pt idx="1">
                  <c:v>380</c:v>
                </c:pt>
                <c:pt idx="2">
                  <c:v>236</c:v>
                </c:pt>
                <c:pt idx="3">
                  <c:v>180</c:v>
                </c:pt>
                <c:pt idx="4">
                  <c:v>28</c:v>
                </c:pt>
                <c:pt idx="5">
                  <c:v>162</c:v>
                </c:pt>
                <c:pt idx="6">
                  <c:v>256</c:v>
                </c:pt>
                <c:pt idx="7">
                  <c:v>288</c:v>
                </c:pt>
                <c:pt idx="8">
                  <c:v>128</c:v>
                </c:pt>
                <c:pt idx="9">
                  <c:v>196</c:v>
                </c:pt>
                <c:pt idx="10">
                  <c:v>24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02D-4B68-A26D-F65F0CEB8E48}"/>
            </c:ext>
          </c:extLst>
        </c:ser>
        <c:ser>
          <c:idx val="1"/>
          <c:order val="1"/>
          <c:tx>
            <c:strRef>
              <c:f>'Relatório TOT.'!$F$2</c:f>
              <c:strCache>
                <c:ptCount val="1"/>
                <c:pt idx="0">
                  <c:v>DIREITOS - CLT/ACT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0E2-4F07-B974-9988219300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TOT.'!$F$3:$F$14</c:f>
              <c:numCache>
                <c:formatCode>0</c:formatCode>
                <c:ptCount val="12"/>
                <c:pt idx="0">
                  <c:v>352</c:v>
                </c:pt>
                <c:pt idx="1">
                  <c:v>336</c:v>
                </c:pt>
                <c:pt idx="2">
                  <c:v>152</c:v>
                </c:pt>
                <c:pt idx="3">
                  <c:v>56</c:v>
                </c:pt>
                <c:pt idx="4">
                  <c:v>704</c:v>
                </c:pt>
                <c:pt idx="5">
                  <c:v>304</c:v>
                </c:pt>
                <c:pt idx="6">
                  <c:v>264</c:v>
                </c:pt>
                <c:pt idx="7">
                  <c:v>296</c:v>
                </c:pt>
                <c:pt idx="8">
                  <c:v>152</c:v>
                </c:pt>
                <c:pt idx="9">
                  <c:v>144</c:v>
                </c:pt>
                <c:pt idx="10">
                  <c:v>224</c:v>
                </c:pt>
                <c:pt idx="11">
                  <c:v>192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02D-4B68-A26D-F65F0CEB8E48}"/>
            </c:ext>
          </c:extLst>
        </c:ser>
        <c:ser>
          <c:idx val="2"/>
          <c:order val="2"/>
          <c:tx>
            <c:strRef>
              <c:f>'Relatório TOT.'!$G$2</c:f>
              <c:strCache>
                <c:ptCount val="1"/>
                <c:pt idx="0">
                  <c:v>TREINAMENTO/VIAGENS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TOT.'!$G$3:$G$14</c:f>
              <c:numCache>
                <c:formatCode>0</c:formatCode>
                <c:ptCount val="12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36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02D-4B68-A26D-F65F0CEB8E48}"/>
            </c:ext>
          </c:extLst>
        </c:ser>
        <c:ser>
          <c:idx val="3"/>
          <c:order val="3"/>
          <c:tx>
            <c:strRef>
              <c:f>'Relatório TOT.'!$H$2</c:f>
              <c:strCache>
                <c:ptCount val="1"/>
                <c:pt idx="0">
                  <c:v>ASSEMBLÉIA OU GREVE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TOT.'!$H$3:$H$14</c:f>
              <c:numCache>
                <c:formatCode>0</c:formatCode>
                <c:ptCount val="12"/>
                <c:pt idx="0">
                  <c:v>192</c:v>
                </c:pt>
                <c:pt idx="1">
                  <c:v>262</c:v>
                </c:pt>
                <c:pt idx="2">
                  <c:v>190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</c:v>
                </c:pt>
                <c:pt idx="8">
                  <c:v>20</c:v>
                </c:pt>
                <c:pt idx="9">
                  <c:v>1350</c:v>
                </c:pt>
                <c:pt idx="10">
                  <c:v>1344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02D-4B68-A26D-F65F0CEB8E48}"/>
            </c:ext>
          </c:extLst>
        </c:ser>
        <c:ser>
          <c:idx val="4"/>
          <c:order val="4"/>
          <c:tx>
            <c:strRef>
              <c:f>'Relatório TOT.'!$I$2</c:f>
              <c:strCache>
                <c:ptCount val="1"/>
                <c:pt idx="0">
                  <c:v>DISPONIBILIDADE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 w="190500" h="381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02D-4B68-A26D-F65F0CEB8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TOT.'!$I$3:$I$14</c:f>
              <c:numCache>
                <c:formatCode>0</c:formatCode>
                <c:ptCount val="12"/>
                <c:pt idx="0">
                  <c:v>1830</c:v>
                </c:pt>
                <c:pt idx="1">
                  <c:v>1828</c:v>
                </c:pt>
                <c:pt idx="2">
                  <c:v>2204</c:v>
                </c:pt>
                <c:pt idx="3">
                  <c:v>2286</c:v>
                </c:pt>
                <c:pt idx="4">
                  <c:v>2188</c:v>
                </c:pt>
                <c:pt idx="5">
                  <c:v>2222</c:v>
                </c:pt>
                <c:pt idx="6">
                  <c:v>2042</c:v>
                </c:pt>
                <c:pt idx="7">
                  <c:v>2344</c:v>
                </c:pt>
                <c:pt idx="8">
                  <c:v>2380</c:v>
                </c:pt>
                <c:pt idx="9">
                  <c:v>1236</c:v>
                </c:pt>
                <c:pt idx="10">
                  <c:v>1356</c:v>
                </c:pt>
                <c:pt idx="11">
                  <c:v>2630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202D-4B68-A26D-F65F0CEB8E48}"/>
            </c:ext>
          </c:extLst>
        </c:ser>
        <c:ser>
          <c:idx val="5"/>
          <c:order val="5"/>
          <c:tx>
            <c:strRef>
              <c:f>'Relatório TOT.'!$J$2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90500" h="381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'Relatório TOT.'!$D$3:$D$14</c:f>
              <c:numCache>
                <c:formatCode>[$-416]mmmm\-yy;@</c:formatCode>
                <c:ptCount val="12"/>
                <c:pt idx="0">
                  <c:v>42217</c:v>
                </c:pt>
                <c:pt idx="1">
                  <c:v>42248</c:v>
                </c:pt>
                <c:pt idx="2">
                  <c:v>42278</c:v>
                </c:pt>
                <c:pt idx="3">
                  <c:v>42309</c:v>
                </c:pt>
                <c:pt idx="4">
                  <c:v>42339</c:v>
                </c:pt>
                <c:pt idx="5">
                  <c:v>42370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42491</c:v>
                </c:pt>
                <c:pt idx="10">
                  <c:v>42522</c:v>
                </c:pt>
                <c:pt idx="11">
                  <c:v>42552</c:v>
                </c:pt>
              </c:numCache>
            </c:numRef>
          </c:cat>
          <c:val>
            <c:numRef>
              <c:f>'Relatório TOT.'!$J$3:$J$14</c:f>
              <c:numCache>
                <c:formatCode>0</c:formatCode>
                <c:ptCount val="12"/>
                <c:pt idx="0">
                  <c:v>2814</c:v>
                </c:pt>
                <c:pt idx="1">
                  <c:v>2980</c:v>
                </c:pt>
                <c:pt idx="2">
                  <c:v>3058</c:v>
                </c:pt>
                <c:pt idx="3">
                  <c:v>3004</c:v>
                </c:pt>
                <c:pt idx="4">
                  <c:v>2900</c:v>
                </c:pt>
                <c:pt idx="5">
                  <c:v>2894</c:v>
                </c:pt>
                <c:pt idx="6">
                  <c:v>2788</c:v>
                </c:pt>
                <c:pt idx="7">
                  <c:v>3010</c:v>
                </c:pt>
                <c:pt idx="8">
                  <c:v>2772</c:v>
                </c:pt>
                <c:pt idx="9">
                  <c:v>2862</c:v>
                </c:pt>
                <c:pt idx="10">
                  <c:v>2948</c:v>
                </c:pt>
                <c:pt idx="11">
                  <c:v>2814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202D-4B68-A26D-F65F0CEB8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50848"/>
        <c:axId val="190340720"/>
      </c:lineChart>
      <c:dateAx>
        <c:axId val="1905508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m\-yy;@" sourceLinked="1"/>
        <c:majorTickMark val="out"/>
        <c:minorTickMark val="none"/>
        <c:tickLblPos val="nextTo"/>
        <c:crossAx val="190340720"/>
        <c:crosses val="autoZero"/>
        <c:auto val="1"/>
        <c:lblOffset val="100"/>
        <c:baseTimeUnit val="months"/>
      </c:dateAx>
      <c:valAx>
        <c:axId val="190340720"/>
        <c:scaling>
          <c:orientation val="minMax"/>
          <c:max val="3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0"/>
                  <a:t>Horas</a:t>
                </a:r>
                <a:r>
                  <a:rPr lang="pt-BR" sz="1200" b="0" baseline="0"/>
                  <a:t> mensais</a:t>
                </a:r>
                <a:endParaRPr lang="pt-BR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50848"/>
        <c:crossesAt val="42125"/>
        <c:crossBetween val="midCat"/>
        <c:majorUnit val="3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 sz="1000" b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Acompanhamento de produtividade PGOMG</a:t>
            </a:r>
            <a:endParaRPr lang="pt-BR" sz="1000" b="0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gradFill rotWithShape="1"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6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none" spc="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735275749821772E-2"/>
          <c:y val="9.1671308241967328E-2"/>
          <c:w val="0.87820568592634929"/>
          <c:h val="0.680679861876129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'PROCV Prod.Total'!$AP$3</c:f>
              <c:strCache>
                <c:ptCount val="1"/>
                <c:pt idx="0">
                  <c:v>OS's Executadas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66FF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'PROCV Prod.Total'!$AQ$2:$BH$2</c:f>
              <c:strCache>
                <c:ptCount val="18"/>
                <c:pt idx="0">
                  <c:v>MICROMEDIÇÃO</c:v>
                </c:pt>
                <c:pt idx="1">
                  <c:v>FRANCISCO GONZAGA</c:v>
                </c:pt>
                <c:pt idx="2">
                  <c:v>GUILHERME BEZERRA</c:v>
                </c:pt>
                <c:pt idx="3">
                  <c:v>GILSON DA SILVA</c:v>
                </c:pt>
                <c:pt idx="4">
                  <c:v>MATIAS LEITE</c:v>
                </c:pt>
                <c:pt idx="5">
                  <c:v>MARCOS BERNADINO</c:v>
                </c:pt>
                <c:pt idx="6">
                  <c:v>LUIZ GONZAGA</c:v>
                </c:pt>
                <c:pt idx="7">
                  <c:v>ELLIS REGINA</c:v>
                </c:pt>
                <c:pt idx="8">
                  <c:v>RAQUEL FERREIRA</c:v>
                </c:pt>
                <c:pt idx="9">
                  <c:v>ANTÔNIO MORAIS</c:v>
                </c:pt>
                <c:pt idx="10">
                  <c:v>GILVAM BATISTA</c:v>
                </c:pt>
                <c:pt idx="11">
                  <c:v>FRANCISCO EDNILSON</c:v>
                </c:pt>
                <c:pt idx="12">
                  <c:v>WILTON DA SILVA</c:v>
                </c:pt>
                <c:pt idx="13">
                  <c:v>JOSÉ ANTÔNIO</c:v>
                </c:pt>
                <c:pt idx="14">
                  <c:v>ANTÔNIO DA CRUZ</c:v>
                </c:pt>
                <c:pt idx="15">
                  <c:v>ROBERTO AKIRA</c:v>
                </c:pt>
                <c:pt idx="16">
                  <c:v>FERNANDO DA SILVA</c:v>
                </c:pt>
                <c:pt idx="17">
                  <c:v>GAÚCHO</c:v>
                </c:pt>
              </c:strCache>
            </c:strRef>
          </c:cat>
          <c:val>
            <c:numRef>
              <c:f>'PROCV Prod.Total'!$AQ$3:$BH$3</c:f>
              <c:numCache>
                <c:formatCode>General</c:formatCode>
                <c:ptCount val="18"/>
                <c:pt idx="0">
                  <c:v>17</c:v>
                </c:pt>
                <c:pt idx="1">
                  <c:v>18</c:v>
                </c:pt>
                <c:pt idx="2">
                  <c:v>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</c:v>
                </c:pt>
                <c:pt idx="7">
                  <c:v>8</c:v>
                </c:pt>
                <c:pt idx="8">
                  <c:v>4</c:v>
                </c:pt>
                <c:pt idx="9">
                  <c:v>0</c:v>
                </c:pt>
                <c:pt idx="10">
                  <c:v>33</c:v>
                </c:pt>
                <c:pt idx="11">
                  <c:v>10</c:v>
                </c:pt>
                <c:pt idx="12">
                  <c:v>29</c:v>
                </c:pt>
                <c:pt idx="13">
                  <c:v>0</c:v>
                </c:pt>
                <c:pt idx="14">
                  <c:v>26</c:v>
                </c:pt>
                <c:pt idx="15">
                  <c:v>1</c:v>
                </c:pt>
                <c:pt idx="16">
                  <c:v>55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2-4E8F-A86B-5E6AB5D543C9}"/>
            </c:ext>
          </c:extLst>
        </c:ser>
        <c:ser>
          <c:idx val="1"/>
          <c:order val="1"/>
          <c:tx>
            <c:strRef>
              <c:f>'PROCV Prod.Total'!$AP$4</c:f>
              <c:strCache>
                <c:ptCount val="1"/>
                <c:pt idx="0">
                  <c:v>OS's Não Executadas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FFFF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'PROCV Prod.Total'!$AQ$2:$BH$2</c:f>
              <c:strCache>
                <c:ptCount val="18"/>
                <c:pt idx="0">
                  <c:v>MICROMEDIÇÃO</c:v>
                </c:pt>
                <c:pt idx="1">
                  <c:v>FRANCISCO GONZAGA</c:v>
                </c:pt>
                <c:pt idx="2">
                  <c:v>GUILHERME BEZERRA</c:v>
                </c:pt>
                <c:pt idx="3">
                  <c:v>GILSON DA SILVA</c:v>
                </c:pt>
                <c:pt idx="4">
                  <c:v>MATIAS LEITE</c:v>
                </c:pt>
                <c:pt idx="5">
                  <c:v>MARCOS BERNADINO</c:v>
                </c:pt>
                <c:pt idx="6">
                  <c:v>LUIZ GONZAGA</c:v>
                </c:pt>
                <c:pt idx="7">
                  <c:v>ELLIS REGINA</c:v>
                </c:pt>
                <c:pt idx="8">
                  <c:v>RAQUEL FERREIRA</c:v>
                </c:pt>
                <c:pt idx="9">
                  <c:v>ANTÔNIO MORAIS</c:v>
                </c:pt>
                <c:pt idx="10">
                  <c:v>GILVAM BATISTA</c:v>
                </c:pt>
                <c:pt idx="11">
                  <c:v>FRANCISCO EDNILSON</c:v>
                </c:pt>
                <c:pt idx="12">
                  <c:v>WILTON DA SILVA</c:v>
                </c:pt>
                <c:pt idx="13">
                  <c:v>JOSÉ ANTÔNIO</c:v>
                </c:pt>
                <c:pt idx="14">
                  <c:v>ANTÔNIO DA CRUZ</c:v>
                </c:pt>
                <c:pt idx="15">
                  <c:v>ROBERTO AKIRA</c:v>
                </c:pt>
                <c:pt idx="16">
                  <c:v>FERNANDO DA SILVA</c:v>
                </c:pt>
                <c:pt idx="17">
                  <c:v>GAÚCHO</c:v>
                </c:pt>
              </c:strCache>
            </c:strRef>
          </c:cat>
          <c:val>
            <c:numRef>
              <c:f>'PROCV Prod.Total'!$AQ$4:$BH$4</c:f>
              <c:numCache>
                <c:formatCode>General</c:formatCode>
                <c:ptCount val="18"/>
                <c:pt idx="0">
                  <c:v>181</c:v>
                </c:pt>
                <c:pt idx="1">
                  <c:v>16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18</c:v>
                </c:pt>
                <c:pt idx="9">
                  <c:v>2</c:v>
                </c:pt>
                <c:pt idx="10">
                  <c:v>14</c:v>
                </c:pt>
                <c:pt idx="11">
                  <c:v>6</c:v>
                </c:pt>
                <c:pt idx="12">
                  <c:v>22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18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2-4E8F-A86B-5E6AB5D5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2819456"/>
        <c:axId val="192797128"/>
      </c:barChart>
      <c:catAx>
        <c:axId val="1928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Relação de empregados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97128"/>
        <c:crosses val="autoZero"/>
        <c:auto val="1"/>
        <c:lblAlgn val="ctr"/>
        <c:lblOffset val="100"/>
        <c:noMultiLvlLbl val="0"/>
      </c:catAx>
      <c:valAx>
        <c:axId val="1927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 sz="1000" b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Relação entre horas disponíveis</a:t>
            </a:r>
            <a:r>
              <a:rPr lang="pt-BR" sz="1000" b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e a QT de Os's </a:t>
            </a:r>
            <a:endParaRPr lang="pt-BR" sz="1000" b="0"/>
          </a:p>
        </c:rich>
      </c:tx>
      <c:overlay val="0"/>
      <c:spPr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'PROCV Prod.Total'!$AQ$30</c:f>
              <c:strCache>
                <c:ptCount val="1"/>
                <c:pt idx="0">
                  <c:v>OS's Executadas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Prod.Total'!$AP$31:$AP$43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Prod.Total'!$AQ$31:$AQ$43</c:f>
              <c:numCache>
                <c:formatCode>General</c:formatCode>
                <c:ptCount val="13"/>
                <c:pt idx="0">
                  <c:v>283</c:v>
                </c:pt>
                <c:pt idx="1">
                  <c:v>1028</c:v>
                </c:pt>
                <c:pt idx="2">
                  <c:v>1094</c:v>
                </c:pt>
                <c:pt idx="3">
                  <c:v>1161</c:v>
                </c:pt>
                <c:pt idx="4">
                  <c:v>917</c:v>
                </c:pt>
                <c:pt idx="5">
                  <c:v>795</c:v>
                </c:pt>
                <c:pt idx="6">
                  <c:v>957</c:v>
                </c:pt>
                <c:pt idx="7">
                  <c:v>1044</c:v>
                </c:pt>
                <c:pt idx="8">
                  <c:v>556</c:v>
                </c:pt>
                <c:pt idx="9">
                  <c:v>616</c:v>
                </c:pt>
                <c:pt idx="10">
                  <c:v>893</c:v>
                </c:pt>
                <c:pt idx="11">
                  <c:v>623</c:v>
                </c:pt>
                <c:pt idx="12">
                  <c:v>741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94-4D8D-8DB8-D7B61DEBB9EB}"/>
            </c:ext>
          </c:extLst>
        </c:ser>
        <c:ser>
          <c:idx val="1"/>
          <c:order val="1"/>
          <c:tx>
            <c:strRef>
              <c:f>'PROCV Prod.Total'!$AR$30</c:f>
              <c:strCache>
                <c:ptCount val="1"/>
                <c:pt idx="0">
                  <c:v>OS's Não Executadas</c:v>
                </c:pt>
              </c:strCache>
            </c:strRef>
          </c:tx>
          <c:spPr>
            <a:ln w="19050" cap="rnd">
              <a:solidFill>
                <a:srgbClr val="F4141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94-4D8D-8DB8-D7B61DEBB9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Prod.Total'!$AP$31:$AP$43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Prod.Total'!$AR$31:$AR$43</c:f>
              <c:numCache>
                <c:formatCode>General</c:formatCode>
                <c:ptCount val="13"/>
                <c:pt idx="0">
                  <c:v>136</c:v>
                </c:pt>
                <c:pt idx="1">
                  <c:v>717</c:v>
                </c:pt>
                <c:pt idx="2">
                  <c:v>477</c:v>
                </c:pt>
                <c:pt idx="3">
                  <c:v>444</c:v>
                </c:pt>
                <c:pt idx="4">
                  <c:v>603</c:v>
                </c:pt>
                <c:pt idx="5">
                  <c:v>815</c:v>
                </c:pt>
                <c:pt idx="6">
                  <c:v>829</c:v>
                </c:pt>
                <c:pt idx="7">
                  <c:v>895</c:v>
                </c:pt>
                <c:pt idx="8">
                  <c:v>910</c:v>
                </c:pt>
                <c:pt idx="9">
                  <c:v>293</c:v>
                </c:pt>
                <c:pt idx="10">
                  <c:v>430</c:v>
                </c:pt>
                <c:pt idx="11">
                  <c:v>724</c:v>
                </c:pt>
                <c:pt idx="12">
                  <c:v>324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594-4D8D-8DB8-D7B61DEBB9EB}"/>
            </c:ext>
          </c:extLst>
        </c:ser>
        <c:ser>
          <c:idx val="2"/>
          <c:order val="2"/>
          <c:tx>
            <c:strRef>
              <c:f>'PROCV Prod.Total'!$AT$30</c:f>
              <c:strCache>
                <c:ptCount val="1"/>
                <c:pt idx="0">
                  <c:v>Horas disponiveis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Prod.Total'!$AP$31:$AP$43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Prod.Total'!$AT$31:$AT$43</c:f>
              <c:numCache>
                <c:formatCode>General</c:formatCode>
                <c:ptCount val="13"/>
                <c:pt idx="0">
                  <c:v>1276</c:v>
                </c:pt>
                <c:pt idx="1">
                  <c:v>2464</c:v>
                </c:pt>
                <c:pt idx="2">
                  <c:v>2398</c:v>
                </c:pt>
                <c:pt idx="3">
                  <c:v>2142</c:v>
                </c:pt>
                <c:pt idx="4">
                  <c:v>2294</c:v>
                </c:pt>
                <c:pt idx="5">
                  <c:v>2266</c:v>
                </c:pt>
                <c:pt idx="6">
                  <c:v>2460</c:v>
                </c:pt>
                <c:pt idx="7">
                  <c:v>2306</c:v>
                </c:pt>
                <c:pt idx="8">
                  <c:v>1852</c:v>
                </c:pt>
                <c:pt idx="9">
                  <c:v>1830</c:v>
                </c:pt>
                <c:pt idx="10">
                  <c:v>2186</c:v>
                </c:pt>
                <c:pt idx="11">
                  <c:v>2530</c:v>
                </c:pt>
                <c:pt idx="12">
                  <c:v>2152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94-4D8D-8DB8-D7B61DEBB9EB}"/>
            </c:ext>
          </c:extLst>
        </c:ser>
        <c:ser>
          <c:idx val="3"/>
          <c:order val="3"/>
          <c:tx>
            <c:strRef>
              <c:f>'PROCV Prod.Total'!$AS$30</c:f>
              <c:strCache>
                <c:ptCount val="1"/>
                <c:pt idx="0">
                  <c:v>OS's Totais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Prod.Total'!$AP$31:$AP$43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Prod.Total'!$AS$31:$AS$43</c:f>
              <c:numCache>
                <c:formatCode>General</c:formatCode>
                <c:ptCount val="13"/>
                <c:pt idx="0">
                  <c:v>419</c:v>
                </c:pt>
                <c:pt idx="1">
                  <c:v>1745</c:v>
                </c:pt>
                <c:pt idx="2">
                  <c:v>1571</c:v>
                </c:pt>
                <c:pt idx="3">
                  <c:v>1605</c:v>
                </c:pt>
                <c:pt idx="4">
                  <c:v>1520</c:v>
                </c:pt>
                <c:pt idx="5">
                  <c:v>1610</c:v>
                </c:pt>
                <c:pt idx="6">
                  <c:v>1786</c:v>
                </c:pt>
                <c:pt idx="7">
                  <c:v>1939</c:v>
                </c:pt>
                <c:pt idx="8">
                  <c:v>1466</c:v>
                </c:pt>
                <c:pt idx="9">
                  <c:v>909</c:v>
                </c:pt>
                <c:pt idx="10">
                  <c:v>1323</c:v>
                </c:pt>
                <c:pt idx="11">
                  <c:v>1347</c:v>
                </c:pt>
                <c:pt idx="12">
                  <c:v>1065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94-4D8D-8DB8-D7B61DEBB9EB}"/>
            </c:ext>
          </c:extLst>
        </c:ser>
        <c:ser>
          <c:idx val="4"/>
          <c:order val="4"/>
          <c:tx>
            <c:strRef>
              <c:f>'PROCV Prod.Total'!$AU$30</c:f>
              <c:strCache>
                <c:ptCount val="1"/>
                <c:pt idx="0">
                  <c:v>Horas Extras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Prod.Total'!$AP$31:$AP$43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Prod.Total'!$AU$31:$AU$43</c:f>
              <c:numCache>
                <c:formatCode>General</c:formatCode>
                <c:ptCount val="13"/>
                <c:pt idx="0">
                  <c:v>40</c:v>
                </c:pt>
                <c:pt idx="1">
                  <c:v>84</c:v>
                </c:pt>
                <c:pt idx="2">
                  <c:v>54</c:v>
                </c:pt>
                <c:pt idx="3">
                  <c:v>100</c:v>
                </c:pt>
                <c:pt idx="4">
                  <c:v>72</c:v>
                </c:pt>
                <c:pt idx="5">
                  <c:v>78</c:v>
                </c:pt>
                <c:pt idx="6">
                  <c:v>174</c:v>
                </c:pt>
                <c:pt idx="7">
                  <c:v>102</c:v>
                </c:pt>
                <c:pt idx="8">
                  <c:v>24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94-4D8D-8DB8-D7B61DEBB9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315176"/>
        <c:axId val="193315560"/>
      </c:lineChart>
      <c:dateAx>
        <c:axId val="19331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315560"/>
        <c:crosses val="autoZero"/>
        <c:auto val="1"/>
        <c:lblOffset val="100"/>
        <c:baseTimeUnit val="months"/>
      </c:dateAx>
      <c:valAx>
        <c:axId val="193315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31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 sz="1000" b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Variação de OS's produtivas</a:t>
            </a:r>
            <a:r>
              <a:rPr lang="pt-BR" sz="1000" b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[12 meses]</a:t>
            </a:r>
            <a:endParaRPr lang="pt-BR" sz="1000" b="0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gradFill rotWithShape="1"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'PROCV Prod.Total'!$B$45</c:f>
              <c:strCache>
                <c:ptCount val="1"/>
                <c:pt idx="0">
                  <c:v>OS's Executadas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Prod.Total'!$A$46:$A$58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Prod.Total'!$B$46:$B$58</c:f>
              <c:numCache>
                <c:formatCode>0.00%</c:formatCode>
                <c:ptCount val="13"/>
                <c:pt idx="0">
                  <c:v>0.67541766109785206</c:v>
                </c:pt>
                <c:pt idx="1">
                  <c:v>0.58911174785100284</c:v>
                </c:pt>
                <c:pt idx="2">
                  <c:v>0.69637173774665817</c:v>
                </c:pt>
                <c:pt idx="3">
                  <c:v>0.72336448598130842</c:v>
                </c:pt>
                <c:pt idx="4">
                  <c:v>0.60328947368421049</c:v>
                </c:pt>
                <c:pt idx="5">
                  <c:v>0.49378881987577639</c:v>
                </c:pt>
                <c:pt idx="6">
                  <c:v>0.53583426651735722</c:v>
                </c:pt>
                <c:pt idx="7">
                  <c:v>0.53842186694172256</c:v>
                </c:pt>
                <c:pt idx="8">
                  <c:v>0.3792633015006821</c:v>
                </c:pt>
                <c:pt idx="9">
                  <c:v>0.67766776677667762</c:v>
                </c:pt>
                <c:pt idx="10">
                  <c:v>0.67498110355253216</c:v>
                </c:pt>
                <c:pt idx="11">
                  <c:v>0.46250927988121754</c:v>
                </c:pt>
                <c:pt idx="12">
                  <c:v>0.6957746478873239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5C-481A-B1D2-935C70A7F799}"/>
            </c:ext>
          </c:extLst>
        </c:ser>
        <c:ser>
          <c:idx val="1"/>
          <c:order val="1"/>
          <c:tx>
            <c:strRef>
              <c:f>'PROCV Prod.Total'!$C$45</c:f>
              <c:strCache>
                <c:ptCount val="1"/>
                <c:pt idx="0">
                  <c:v>OS's Não Executadas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Prod.Total'!$A$46:$A$58</c:f>
              <c:numCache>
                <c:formatCode>[$-416]mmm\-yy;@</c:formatCode>
                <c:ptCount val="13"/>
                <c:pt idx="0">
                  <c:v>42491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42370</c:v>
                </c:pt>
                <c:pt idx="5">
                  <c:v>42339</c:v>
                </c:pt>
                <c:pt idx="6">
                  <c:v>42309</c:v>
                </c:pt>
                <c:pt idx="7">
                  <c:v>42278</c:v>
                </c:pt>
                <c:pt idx="8">
                  <c:v>42248</c:v>
                </c:pt>
                <c:pt idx="9">
                  <c:v>42217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</c:numCache>
            </c:numRef>
          </c:cat>
          <c:val>
            <c:numRef>
              <c:f>'PROCV Prod.Total'!$C$46:$C$58</c:f>
              <c:numCache>
                <c:formatCode>0.00%</c:formatCode>
                <c:ptCount val="13"/>
                <c:pt idx="0">
                  <c:v>0.32458233890214799</c:v>
                </c:pt>
                <c:pt idx="1">
                  <c:v>0.41088825214899716</c:v>
                </c:pt>
                <c:pt idx="2">
                  <c:v>0.30362826225334183</c:v>
                </c:pt>
                <c:pt idx="3">
                  <c:v>0.27663551401869158</c:v>
                </c:pt>
                <c:pt idx="4">
                  <c:v>0.39671052631578946</c:v>
                </c:pt>
                <c:pt idx="5">
                  <c:v>0.50621118012422361</c:v>
                </c:pt>
                <c:pt idx="6">
                  <c:v>0.46416573348264278</c:v>
                </c:pt>
                <c:pt idx="7">
                  <c:v>0.46157813305827744</c:v>
                </c:pt>
                <c:pt idx="8">
                  <c:v>0.6207366984993179</c:v>
                </c:pt>
                <c:pt idx="9">
                  <c:v>0.32233223322332233</c:v>
                </c:pt>
                <c:pt idx="10">
                  <c:v>0.3250188964474679</c:v>
                </c:pt>
                <c:pt idx="11">
                  <c:v>0.53749072011878252</c:v>
                </c:pt>
                <c:pt idx="12">
                  <c:v>0.30422535211267604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75C-481A-B1D2-935C70A7F7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272440"/>
        <c:axId val="193272832"/>
      </c:lineChart>
      <c:dateAx>
        <c:axId val="19327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272832"/>
        <c:crosses val="autoZero"/>
        <c:auto val="1"/>
        <c:lblOffset val="100"/>
        <c:baseTimeUnit val="months"/>
      </c:dateAx>
      <c:valAx>
        <c:axId val="1932728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27244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000" b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km Rodado / OS [12 meses]</a:t>
            </a:r>
            <a:endParaRPr lang="en-US" sz="1000" b="0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2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'BD. graf. km rodado'!$BC$1</c:f>
              <c:strCache>
                <c:ptCount val="1"/>
                <c:pt idx="0">
                  <c:v>LUIZ GONZAGA</c:v>
                </c:pt>
              </c:strCache>
            </c:strRef>
          </c:tx>
          <c:spPr>
            <a:ln w="28575" cap="rnd">
              <a:solidFill>
                <a:srgbClr val="008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CC33"/>
              </a:solidFill>
              <a:ln w="9525">
                <a:solidFill>
                  <a:srgbClr val="008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'BD. graf. km rodado'!$BB$2:$BB$14</c:f>
              <c:numCache>
                <c:formatCode>[$-416]mmm\-yy;@</c:formatCode>
                <c:ptCount val="13"/>
                <c:pt idx="0">
                  <c:v>42125</c:v>
                </c:pt>
                <c:pt idx="1">
                  <c:v>42156</c:v>
                </c:pt>
                <c:pt idx="2">
                  <c:v>42186</c:v>
                </c:pt>
                <c:pt idx="3">
                  <c:v>42217</c:v>
                </c:pt>
                <c:pt idx="4">
                  <c:v>42248</c:v>
                </c:pt>
                <c:pt idx="5">
                  <c:v>42278</c:v>
                </c:pt>
                <c:pt idx="6">
                  <c:v>42309</c:v>
                </c:pt>
                <c:pt idx="7">
                  <c:v>42339</c:v>
                </c:pt>
                <c:pt idx="8">
                  <c:v>42370</c:v>
                </c:pt>
                <c:pt idx="9">
                  <c:v>42401</c:v>
                </c:pt>
                <c:pt idx="10">
                  <c:v>42430</c:v>
                </c:pt>
                <c:pt idx="11">
                  <c:v>42461</c:v>
                </c:pt>
                <c:pt idx="12">
                  <c:v>42491</c:v>
                </c:pt>
              </c:numCache>
            </c:numRef>
          </c:cat>
          <c:val>
            <c:numRef>
              <c:f>'BD. graf. km rodado'!$BC$2:$BC$14</c:f>
              <c:numCache>
                <c:formatCode>0.00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6.333333333333333</c:v>
                </c:pt>
                <c:pt idx="7">
                  <c:v>4.8445229681978796</c:v>
                </c:pt>
                <c:pt idx="8">
                  <c:v>7.3969465648854964</c:v>
                </c:pt>
                <c:pt idx="9">
                  <c:v>6.5418994413407825</c:v>
                </c:pt>
                <c:pt idx="10">
                  <c:v>7.0381679389312977</c:v>
                </c:pt>
                <c:pt idx="11">
                  <c:v>6.4328358208955221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9-4850-AE77-21406A90BFDF}"/>
            </c:ext>
          </c:extLst>
        </c:ser>
        <c:ser>
          <c:idx val="1"/>
          <c:order val="1"/>
          <c:tx>
            <c:strRef>
              <c:f>'BD. graf. km rodado'!$BD$1</c:f>
              <c:strCache>
                <c:ptCount val="1"/>
                <c:pt idx="0">
                  <c:v>KM/OS - ÁREA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'BD. graf. km rodado'!$BB$2:$BB$14</c:f>
              <c:numCache>
                <c:formatCode>[$-416]mmm\-yy;@</c:formatCode>
                <c:ptCount val="13"/>
                <c:pt idx="0">
                  <c:v>42125</c:v>
                </c:pt>
                <c:pt idx="1">
                  <c:v>42156</c:v>
                </c:pt>
                <c:pt idx="2">
                  <c:v>42186</c:v>
                </c:pt>
                <c:pt idx="3">
                  <c:v>42217</c:v>
                </c:pt>
                <c:pt idx="4">
                  <c:v>42248</c:v>
                </c:pt>
                <c:pt idx="5">
                  <c:v>42278</c:v>
                </c:pt>
                <c:pt idx="6">
                  <c:v>42309</c:v>
                </c:pt>
                <c:pt idx="7">
                  <c:v>42339</c:v>
                </c:pt>
                <c:pt idx="8">
                  <c:v>42370</c:v>
                </c:pt>
                <c:pt idx="9">
                  <c:v>42401</c:v>
                </c:pt>
                <c:pt idx="10">
                  <c:v>42430</c:v>
                </c:pt>
                <c:pt idx="11">
                  <c:v>42461</c:v>
                </c:pt>
                <c:pt idx="12">
                  <c:v>42491</c:v>
                </c:pt>
              </c:numCache>
            </c:numRef>
          </c:cat>
          <c:val>
            <c:numRef>
              <c:f>'BD. graf. km rodado'!$BD$2:$BD$14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9.8219484882418815</c:v>
                </c:pt>
                <c:pt idx="7">
                  <c:v>8.8478260869565215</c:v>
                </c:pt>
                <c:pt idx="8">
                  <c:v>8.6519736842105264</c:v>
                </c:pt>
                <c:pt idx="9">
                  <c:v>8.1111751152073737</c:v>
                </c:pt>
                <c:pt idx="10" formatCode="0.00">
                  <c:v>9.915425848719476</c:v>
                </c:pt>
                <c:pt idx="11" formatCode="0.00">
                  <c:v>8.6971869829012682</c:v>
                </c:pt>
                <c:pt idx="12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9-4850-AE77-21406A90B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73616"/>
        <c:axId val="193274008"/>
      </c:lineChart>
      <c:dateAx>
        <c:axId val="1932736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274008"/>
        <c:crosses val="autoZero"/>
        <c:auto val="1"/>
        <c:lblOffset val="100"/>
        <c:baseTimeUnit val="months"/>
      </c:dateAx>
      <c:valAx>
        <c:axId val="19327400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KM</a:t>
                </a:r>
                <a:r>
                  <a:rPr lang="pt-BR" baseline="0"/>
                  <a:t> / 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crossAx val="19327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Percentual de Hora Extra - PGOMG</a:t>
            </a:r>
            <a:endParaRPr lang="en-US" sz="1000"/>
          </a:p>
        </c:rich>
      </c:tx>
      <c:layout>
        <c:manualLayout>
          <c:xMode val="edge"/>
          <c:yMode val="edge"/>
          <c:x val="0.33908888888888888"/>
          <c:y val="2.116403879851585E-2"/>
        </c:manualLayout>
      </c:layout>
      <c:overlay val="0"/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'PROCV Prod.Total'!$AX$30</c:f>
              <c:strCache>
                <c:ptCount val="1"/>
                <c:pt idx="0">
                  <c:v>Percentual de Hora Extra</c:v>
                </c:pt>
              </c:strCache>
            </c:strRef>
          </c:tx>
          <c:spPr>
            <a:ln w="28575" cap="rnd">
              <a:solidFill>
                <a:srgbClr val="9CACF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CACFE"/>
              </a:solidFill>
              <a:ln w="9525">
                <a:solidFill>
                  <a:srgbClr val="9CACFE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Prod.Total'!$AW$31:$AW$43</c:f>
              <c:numCache>
                <c:formatCode>[$-416]mmm\-yy;@</c:formatCode>
                <c:ptCount val="13"/>
                <c:pt idx="0">
                  <c:v>42125</c:v>
                </c:pt>
                <c:pt idx="1">
                  <c:v>42156</c:v>
                </c:pt>
                <c:pt idx="2">
                  <c:v>42186</c:v>
                </c:pt>
                <c:pt idx="3">
                  <c:v>42217</c:v>
                </c:pt>
                <c:pt idx="4">
                  <c:v>42248</c:v>
                </c:pt>
                <c:pt idx="5">
                  <c:v>42278</c:v>
                </c:pt>
                <c:pt idx="6">
                  <c:v>42309</c:v>
                </c:pt>
                <c:pt idx="7">
                  <c:v>42339</c:v>
                </c:pt>
                <c:pt idx="8">
                  <c:v>42370</c:v>
                </c:pt>
                <c:pt idx="9">
                  <c:v>42401</c:v>
                </c:pt>
                <c:pt idx="10">
                  <c:v>42430</c:v>
                </c:pt>
                <c:pt idx="11">
                  <c:v>42461</c:v>
                </c:pt>
                <c:pt idx="12">
                  <c:v>42491</c:v>
                </c:pt>
              </c:numCache>
            </c:numRef>
          </c:cat>
          <c:val>
            <c:numRef>
              <c:f>'PROCV Prod.Total'!$AX$31:$AX$43</c:f>
              <c:numCache>
                <c:formatCode>0.00%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1.279317697228145E-2</c:v>
                </c:pt>
                <c:pt idx="5">
                  <c:v>4.2358803986710963E-2</c:v>
                </c:pt>
                <c:pt idx="6">
                  <c:v>6.6059225512528477E-2</c:v>
                </c:pt>
                <c:pt idx="7">
                  <c:v>3.3276450511945395E-2</c:v>
                </c:pt>
                <c:pt idx="8">
                  <c:v>3.0431107354184278E-2</c:v>
                </c:pt>
                <c:pt idx="9">
                  <c:v>4.4603033006244422E-2</c:v>
                </c:pt>
                <c:pt idx="10">
                  <c:v>2.2022838499184339E-2</c:v>
                </c:pt>
                <c:pt idx="11">
                  <c:v>3.2967032967032968E-2</c:v>
                </c:pt>
                <c:pt idx="12">
                  <c:v>3.0395136778115502E-2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9-46CF-A84D-E110A0A299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274792"/>
        <c:axId val="193275184"/>
      </c:lineChart>
      <c:dateAx>
        <c:axId val="19327479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275184"/>
        <c:crosses val="autoZero"/>
        <c:auto val="1"/>
        <c:lblOffset val="100"/>
        <c:baseTimeUnit val="months"/>
      </c:dateAx>
      <c:valAx>
        <c:axId val="1932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27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gradFill rotWithShape="1"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'PROCV Prod.Total'!$BC$30</c:f>
              <c:strCache>
                <c:ptCount val="1"/>
                <c:pt idx="0">
                  <c:v>OS's Canceladas</c:v>
                </c:pt>
              </c:strCache>
            </c:strRef>
          </c:tx>
          <c:spPr>
            <a:ln w="28575" cap="rnd">
              <a:solidFill>
                <a:srgbClr val="FF0000">
                  <a:alpha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'PROCV Prod.Total'!$BB$31:$BB$43</c:f>
              <c:numCache>
                <c:formatCode>[$-416]mmm\-yy;@</c:formatCode>
                <c:ptCount val="13"/>
                <c:pt idx="0">
                  <c:v>42125</c:v>
                </c:pt>
                <c:pt idx="1">
                  <c:v>42156</c:v>
                </c:pt>
                <c:pt idx="2">
                  <c:v>42186</c:v>
                </c:pt>
                <c:pt idx="3">
                  <c:v>42217</c:v>
                </c:pt>
                <c:pt idx="4">
                  <c:v>42248</c:v>
                </c:pt>
                <c:pt idx="5">
                  <c:v>42278</c:v>
                </c:pt>
                <c:pt idx="6">
                  <c:v>42309</c:v>
                </c:pt>
                <c:pt idx="7">
                  <c:v>42339</c:v>
                </c:pt>
                <c:pt idx="8">
                  <c:v>42370</c:v>
                </c:pt>
                <c:pt idx="9">
                  <c:v>42401</c:v>
                </c:pt>
                <c:pt idx="10">
                  <c:v>42430</c:v>
                </c:pt>
                <c:pt idx="11">
                  <c:v>42461</c:v>
                </c:pt>
                <c:pt idx="12">
                  <c:v>42491</c:v>
                </c:pt>
              </c:numCache>
            </c:numRef>
          </c:cat>
          <c:val>
            <c:numRef>
              <c:f>'PROCV Prod.Total'!$BC$31:$BC$43</c:f>
              <c:numCache>
                <c:formatCode>General</c:formatCode>
                <c:ptCount val="13"/>
                <c:pt idx="0">
                  <c:v>498</c:v>
                </c:pt>
                <c:pt idx="1">
                  <c:v>427</c:v>
                </c:pt>
                <c:pt idx="2">
                  <c:v>85</c:v>
                </c:pt>
                <c:pt idx="3">
                  <c:v>219</c:v>
                </c:pt>
                <c:pt idx="4">
                  <c:v>102</c:v>
                </c:pt>
                <c:pt idx="5">
                  <c:v>37</c:v>
                </c:pt>
                <c:pt idx="6">
                  <c:v>102</c:v>
                </c:pt>
                <c:pt idx="7">
                  <c:v>12</c:v>
                </c:pt>
                <c:pt idx="8">
                  <c:v>50</c:v>
                </c:pt>
                <c:pt idx="9">
                  <c:v>81</c:v>
                </c:pt>
                <c:pt idx="10">
                  <c:v>6</c:v>
                </c:pt>
                <c:pt idx="11">
                  <c:v>175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B-4AD9-B9DA-D7F4A9D857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906544"/>
        <c:axId val="193906936"/>
      </c:lineChart>
      <c:dateAx>
        <c:axId val="193906544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6936"/>
        <c:crosses val="autoZero"/>
        <c:auto val="1"/>
        <c:lblOffset val="100"/>
        <c:baseTimeUnit val="months"/>
      </c:dateAx>
      <c:valAx>
        <c:axId val="19390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000" b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Relação de KM/OS e produtividade</a:t>
            </a:r>
            <a:r>
              <a:rPr lang="en-US" sz="1000" b="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a cada 10 horas</a:t>
            </a:r>
            <a:endParaRPr lang="en-US" sz="1000" b="0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gradFill rotWithShape="1">
          <a:gsLst>
            <a:gs pos="0">
              <a:schemeClr val="accent2">
                <a:tint val="50000"/>
                <a:satMod val="300000"/>
              </a:schemeClr>
            </a:gs>
            <a:gs pos="35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2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'BD. graf. km rodado'!$U$2</c:f>
              <c:strCache>
                <c:ptCount val="1"/>
                <c:pt idx="0">
                  <c:v>KM/OS</c:v>
                </c:pt>
              </c:strCache>
            </c:strRef>
          </c:tx>
          <c:spPr>
            <a:solidFill>
              <a:srgbClr val="33CC33"/>
            </a:solidFill>
            <a:ln>
              <a:solidFill>
                <a:srgbClr val="008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66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'BD. graf. km rodado'!$V$1:$AH$1</c:f>
              <c:strCache>
                <c:ptCount val="13"/>
                <c:pt idx="0">
                  <c:v>FRANCISCO GONZAGA</c:v>
                </c:pt>
                <c:pt idx="1">
                  <c:v>GUILHERME BEZERRA</c:v>
                </c:pt>
                <c:pt idx="2">
                  <c:v>GILSON DA SILVA</c:v>
                </c:pt>
                <c:pt idx="3">
                  <c:v>MATIAS LEITE</c:v>
                </c:pt>
                <c:pt idx="4">
                  <c:v>MARCOS BERNADINO</c:v>
                </c:pt>
                <c:pt idx="5">
                  <c:v>LUIZ GONZAGA</c:v>
                </c:pt>
                <c:pt idx="6">
                  <c:v>ANTÔNIO MORAIS</c:v>
                </c:pt>
                <c:pt idx="7">
                  <c:v>GILVAM BATISTA</c:v>
                </c:pt>
                <c:pt idx="8">
                  <c:v>FRANCISCO EDNILSON</c:v>
                </c:pt>
                <c:pt idx="9">
                  <c:v>WILTON DA SILVA</c:v>
                </c:pt>
                <c:pt idx="10">
                  <c:v>ANTÔNIO DA CRUZ</c:v>
                </c:pt>
                <c:pt idx="11">
                  <c:v>ROBERTO AKIRA</c:v>
                </c:pt>
                <c:pt idx="12">
                  <c:v>FERNANDO DA SILVA</c:v>
                </c:pt>
              </c:strCache>
            </c:strRef>
          </c:cat>
          <c:val>
            <c:numRef>
              <c:f>'BD. graf. km rodado'!$V$2:$AH$2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A-4D94-B5BE-5C76762E8FA8}"/>
            </c:ext>
          </c:extLst>
        </c:ser>
        <c:ser>
          <c:idx val="1"/>
          <c:order val="1"/>
          <c:tx>
            <c:strRef>
              <c:f>'BD. graf. km rodado'!$U$3</c:f>
              <c:strCache>
                <c:ptCount val="1"/>
                <c:pt idx="0">
                  <c:v>OS/5 HORAS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E53FB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'BD. graf. km rodado'!$V$1:$AH$1</c:f>
              <c:strCache>
                <c:ptCount val="13"/>
                <c:pt idx="0">
                  <c:v>FRANCISCO GONZAGA</c:v>
                </c:pt>
                <c:pt idx="1">
                  <c:v>GUILHERME BEZERRA</c:v>
                </c:pt>
                <c:pt idx="2">
                  <c:v>GILSON DA SILVA</c:v>
                </c:pt>
                <c:pt idx="3">
                  <c:v>MATIAS LEITE</c:v>
                </c:pt>
                <c:pt idx="4">
                  <c:v>MARCOS BERNADINO</c:v>
                </c:pt>
                <c:pt idx="5">
                  <c:v>LUIZ GONZAGA</c:v>
                </c:pt>
                <c:pt idx="6">
                  <c:v>ANTÔNIO MORAIS</c:v>
                </c:pt>
                <c:pt idx="7">
                  <c:v>GILVAM BATISTA</c:v>
                </c:pt>
                <c:pt idx="8">
                  <c:v>FRANCISCO EDNILSON</c:v>
                </c:pt>
                <c:pt idx="9">
                  <c:v>WILTON DA SILVA</c:v>
                </c:pt>
                <c:pt idx="10">
                  <c:v>ANTÔNIO DA CRUZ</c:v>
                </c:pt>
                <c:pt idx="11">
                  <c:v>ROBERTO AKIRA</c:v>
                </c:pt>
                <c:pt idx="12">
                  <c:v>FERNANDO DA SILVA</c:v>
                </c:pt>
              </c:strCache>
            </c:strRef>
          </c:cat>
          <c:val>
            <c:numRef>
              <c:f>'BD. graf. km rodado'!$V$3:$AH$3</c:f>
              <c:numCache>
                <c:formatCode>0.00</c:formatCode>
                <c:ptCount val="13"/>
                <c:pt idx="0">
                  <c:v>2.125</c:v>
                </c:pt>
                <c:pt idx="1">
                  <c:v>1.7105263157894737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6.7105263157894735</c:v>
                </c:pt>
                <c:pt idx="6">
                  <c:v>0.13157894736842105</c:v>
                </c:pt>
                <c:pt idx="7">
                  <c:v>3.0921052631578947</c:v>
                </c:pt>
                <c:pt idx="8">
                  <c:v>1.0526315789473684</c:v>
                </c:pt>
                <c:pt idx="9">
                  <c:v>3.3552631578947367</c:v>
                </c:pt>
                <c:pt idx="10">
                  <c:v>2.3684210526315788</c:v>
                </c:pt>
                <c:pt idx="11">
                  <c:v>6.5789473684210523E-2</c:v>
                </c:pt>
                <c:pt idx="12">
                  <c:v>4.8026315789473681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A-4D94-B5BE-5C76762E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907720"/>
        <c:axId val="193908112"/>
      </c:barChart>
      <c:lineChart>
        <c:grouping val="standard"/>
        <c:varyColors val="0"/>
        <c:ser>
          <c:idx val="2"/>
          <c:order val="2"/>
          <c:tx>
            <c:strRef>
              <c:f>'BD. graf. km rodado'!$U$7</c:f>
              <c:strCache>
                <c:ptCount val="1"/>
                <c:pt idx="0">
                  <c:v>Média KM/OS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6A-4D94-B5BE-5C76762E8FA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6A-4D94-B5BE-5C76762E8FA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06A-4D94-B5BE-5C76762E8FA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6A-4D94-B5BE-5C76762E8FA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06A-4D94-B5BE-5C76762E8FA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6A-4D94-B5BE-5C76762E8FA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06A-4D94-B5BE-5C76762E8FA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06A-4D94-B5BE-5C76762E8FA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06A-4D94-B5BE-5C76762E8FA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06A-4D94-B5BE-5C76762E8FA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06A-4D94-B5BE-5C76762E8FA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06A-4D94-B5BE-5C76762E8F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'BD. graf. km rodado'!$V$7:$AH$7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06A-4D94-B5BE-5C76762E8FA8}"/>
            </c:ext>
          </c:extLst>
        </c:ser>
        <c:ser>
          <c:idx val="3"/>
          <c:order val="3"/>
          <c:tx>
            <c:strRef>
              <c:f>'BD. graf. km rodado'!$U$8</c:f>
              <c:strCache>
                <c:ptCount val="1"/>
                <c:pt idx="0">
                  <c:v>Média OS/5 HORAS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06A-4D94-B5BE-5C76762E8FA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06A-4D94-B5BE-5C76762E8FA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06A-4D94-B5BE-5C76762E8FA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06A-4D94-B5BE-5C76762E8FA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06A-4D94-B5BE-5C76762E8FA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06A-4D94-B5BE-5C76762E8FA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06A-4D94-B5BE-5C76762E8FA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06A-4D94-B5BE-5C76762E8FA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06A-4D94-B5BE-5C76762E8FA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06A-4D94-B5BE-5C76762E8FA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06A-4D94-B5BE-5C76762E8FA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06A-4D94-B5BE-5C76762E8F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'BD. graf. km rodado'!$V$8:$AH$8</c:f>
              <c:numCache>
                <c:formatCode>0.00</c:formatCode>
                <c:ptCount val="13"/>
                <c:pt idx="0">
                  <c:v>3.3975770925110131</c:v>
                </c:pt>
                <c:pt idx="1">
                  <c:v>3.3975770925110131</c:v>
                </c:pt>
                <c:pt idx="2">
                  <c:v>3.3975770925110131</c:v>
                </c:pt>
                <c:pt idx="3">
                  <c:v>3.3975770925110131</c:v>
                </c:pt>
                <c:pt idx="4">
                  <c:v>3.3975770925110131</c:v>
                </c:pt>
                <c:pt idx="5">
                  <c:v>3.3975770925110131</c:v>
                </c:pt>
                <c:pt idx="6">
                  <c:v>3.3975770925110131</c:v>
                </c:pt>
                <c:pt idx="7">
                  <c:v>3.3975770925110131</c:v>
                </c:pt>
                <c:pt idx="8">
                  <c:v>3.3975770925110131</c:v>
                </c:pt>
                <c:pt idx="9">
                  <c:v>3.3975770925110131</c:v>
                </c:pt>
                <c:pt idx="10">
                  <c:v>3.3975770925110131</c:v>
                </c:pt>
                <c:pt idx="11">
                  <c:v>3.3975770925110131</c:v>
                </c:pt>
                <c:pt idx="12">
                  <c:v>3.3975770925110131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06A-4D94-B5BE-5C76762E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7720"/>
        <c:axId val="193908112"/>
      </c:lineChart>
      <c:catAx>
        <c:axId val="19390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8112"/>
        <c:crosses val="autoZero"/>
        <c:auto val="1"/>
        <c:lblAlgn val="ctr"/>
        <c:lblOffset val="100"/>
        <c:noMultiLvlLbl val="0"/>
      </c:catAx>
      <c:valAx>
        <c:axId val="193908112"/>
        <c:scaling>
          <c:orientation val="minMax"/>
          <c:max val="17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Produtividade Semanal / Hora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6190963364810563E-2"/>
          <c:y val="0.10651609149789852"/>
          <c:w val="0.95541369273978838"/>
          <c:h val="0.79322855124104641"/>
        </c:manualLayout>
      </c:layout>
      <c:lineChart>
        <c:grouping val="standard"/>
        <c:varyColors val="0"/>
        <c:ser>
          <c:idx val="0"/>
          <c:order val="0"/>
          <c:tx>
            <c:strRef>
              <c:f>'Horario de campo e Prod.TOTAL'!$U$1</c:f>
              <c:strCache>
                <c:ptCount val="1"/>
                <c:pt idx="0">
                  <c:v>Quantidade de OS / Horas Semanais - 2016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'Horario de campo e Prod.TOTAL'!$T$2:$T$54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'Horario de campo e Prod.TOTAL'!$U$2:$U$54</c:f>
              <c:numCache>
                <c:formatCode>0.00</c:formatCode>
                <c:ptCount val="53"/>
                <c:pt idx="0">
                  <c:v>0.65561224489795922</c:v>
                </c:pt>
                <c:pt idx="1">
                  <c:v>0.49372384937238495</c:v>
                </c:pt>
                <c:pt idx="2">
                  <c:v>0.45426829268292684</c:v>
                </c:pt>
                <c:pt idx="3">
                  <c:v>0.55471124620060785</c:v>
                </c:pt>
                <c:pt idx="4">
                  <c:v>0.55351170568561869</c:v>
                </c:pt>
                <c:pt idx="5">
                  <c:v>0.39825581395348836</c:v>
                </c:pt>
                <c:pt idx="6">
                  <c:v>0.75660377358490571</c:v>
                </c:pt>
                <c:pt idx="7">
                  <c:v>1.0147058823529411</c:v>
                </c:pt>
                <c:pt idx="8">
                  <c:v>0.78545454545454541</c:v>
                </c:pt>
                <c:pt idx="9">
                  <c:v>0.67558528428093645</c:v>
                </c:pt>
                <c:pt idx="10">
                  <c:v>0.68431372549019609</c:v>
                </c:pt>
                <c:pt idx="11">
                  <c:v>0.59765625</c:v>
                </c:pt>
                <c:pt idx="12">
                  <c:v>0.6443965517241379</c:v>
                </c:pt>
                <c:pt idx="13">
                  <c:v>0.77152317880794707</c:v>
                </c:pt>
                <c:pt idx="14">
                  <c:v>0.7180685358255452</c:v>
                </c:pt>
                <c:pt idx="15">
                  <c:v>0.5926640926640927</c:v>
                </c:pt>
                <c:pt idx="16">
                  <c:v>0.68551236749116606</c:v>
                </c:pt>
                <c:pt idx="17">
                  <c:v>0.6283333333333333</c:v>
                </c:pt>
                <c:pt idx="18">
                  <c:v>0.28745644599303138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1-485C-88FB-04D45E8A2CB2}"/>
            </c:ext>
          </c:extLst>
        </c:ser>
        <c:ser>
          <c:idx val="1"/>
          <c:order val="1"/>
          <c:tx>
            <c:strRef>
              <c:f>'Horario de campo e Prod.TOTAL'!$V$1</c:f>
              <c:strCache>
                <c:ptCount val="1"/>
                <c:pt idx="0">
                  <c:v>Quantidade de OS / Horas Semanais - 2015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'Horario de campo e Prod.TOTAL'!$T$2:$T$54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'Horario de campo e Prod.TOTAL'!$V$2:$V$54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0.43820224719101125</c:v>
                </c:pt>
                <c:pt idx="19">
                  <c:v>0.50883392226148405</c:v>
                </c:pt>
                <c:pt idx="20">
                  <c:v>0.49636363636363634</c:v>
                </c:pt>
                <c:pt idx="21">
                  <c:v>0.63409961685823757</c:v>
                </c:pt>
                <c:pt idx="22">
                  <c:v>0.74193548387096775</c:v>
                </c:pt>
                <c:pt idx="23">
                  <c:v>0.46153846153846156</c:v>
                </c:pt>
                <c:pt idx="24">
                  <c:v>0.34280936454849498</c:v>
                </c:pt>
                <c:pt idx="25">
                  <c:v>0.48184818481848185</c:v>
                </c:pt>
                <c:pt idx="26">
                  <c:v>0.62909090909090915</c:v>
                </c:pt>
                <c:pt idx="27">
                  <c:v>0.60266159695817489</c:v>
                </c:pt>
                <c:pt idx="28">
                  <c:v>0.59259259259259256</c:v>
                </c:pt>
                <c:pt idx="29">
                  <c:v>0.6280193236714976</c:v>
                </c:pt>
                <c:pt idx="30">
                  <c:v>0.43715846994535518</c:v>
                </c:pt>
                <c:pt idx="31">
                  <c:v>0.43715846994535518</c:v>
                </c:pt>
                <c:pt idx="32">
                  <c:v>0.5730593607305936</c:v>
                </c:pt>
                <c:pt idx="33">
                  <c:v>0.51369863013698636</c:v>
                </c:pt>
                <c:pt idx="34">
                  <c:v>0.4743083003952569</c:v>
                </c:pt>
                <c:pt idx="35">
                  <c:v>0.77483443708609268</c:v>
                </c:pt>
                <c:pt idx="36">
                  <c:v>0.773542600896861</c:v>
                </c:pt>
                <c:pt idx="37">
                  <c:v>1.2092511013215859</c:v>
                </c:pt>
                <c:pt idx="38">
                  <c:v>0.53493449781659386</c:v>
                </c:pt>
                <c:pt idx="39">
                  <c:v>0.6224899598393574</c:v>
                </c:pt>
                <c:pt idx="40">
                  <c:v>0.83597883597883593</c:v>
                </c:pt>
                <c:pt idx="41">
                  <c:v>0.93965517241379315</c:v>
                </c:pt>
                <c:pt idx="42">
                  <c:v>0.96061643835616439</c:v>
                </c:pt>
                <c:pt idx="43">
                  <c:v>0.70980392156862748</c:v>
                </c:pt>
                <c:pt idx="44">
                  <c:v>0.59442724458204332</c:v>
                </c:pt>
                <c:pt idx="45">
                  <c:v>0.84202453987730064</c:v>
                </c:pt>
                <c:pt idx="46">
                  <c:v>0.85030864197530864</c:v>
                </c:pt>
                <c:pt idx="47">
                  <c:v>0.59727626459143968</c:v>
                </c:pt>
                <c:pt idx="48">
                  <c:v>0.62876254180602009</c:v>
                </c:pt>
                <c:pt idx="49">
                  <c:v>0.70900321543408362</c:v>
                </c:pt>
                <c:pt idx="50">
                  <c:v>0.75</c:v>
                </c:pt>
                <c:pt idx="51">
                  <c:v>0.94537815126050417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1-485C-88FB-04D45E8A2CB2}"/>
            </c:ext>
          </c:extLst>
        </c:ser>
        <c:ser>
          <c:idx val="2"/>
          <c:order val="2"/>
          <c:tx>
            <c:strRef>
              <c:f>'Horario de campo e Prod.TOTAL'!$W$1</c:f>
              <c:strCache>
                <c:ptCount val="1"/>
                <c:pt idx="0">
                  <c:v>Os Sábado/ Hora Extra - 2016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'Horario de campo e Prod.TOTAL'!$T$2:$T$54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'Horario de campo e Prod.TOTAL'!$W$2:$W$54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0.91666666666666663</c:v>
                </c:pt>
                <c:pt idx="10">
                  <c:v>0</c:v>
                </c:pt>
                <c:pt idx="11">
                  <c:v>0.93333333333333335</c:v>
                </c:pt>
                <c:pt idx="12">
                  <c:v>0</c:v>
                </c:pt>
                <c:pt idx="13">
                  <c:v>2.8333333333333335</c:v>
                </c:pt>
                <c:pt idx="14">
                  <c:v>1.0277777777777777</c:v>
                </c:pt>
                <c:pt idx="15">
                  <c:v>0.61111111111111116</c:v>
                </c:pt>
                <c:pt idx="16">
                  <c:v>0</c:v>
                </c:pt>
                <c:pt idx="17">
                  <c:v>1.8666666666666667</c:v>
                </c:pt>
                <c:pt idx="18">
                  <c:v>1.2142857142857142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1-485C-88FB-04D45E8A2CB2}"/>
            </c:ext>
          </c:extLst>
        </c:ser>
        <c:ser>
          <c:idx val="3"/>
          <c:order val="3"/>
          <c:tx>
            <c:strRef>
              <c:f>'Horario de campo e Prod.TOTAL'!$X$1</c:f>
              <c:strCache>
                <c:ptCount val="1"/>
                <c:pt idx="0">
                  <c:v>Os Sábado/ Hora Extra - 2015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  <a:prstDash val="sysDash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'Horario de campo e Prod.TOTAL'!$T$2:$T$54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'Horario de campo e Prod.TOTAL'!$X$2:$X$54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81-485C-88FB-04D45E8A2C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908896"/>
        <c:axId val="193909288"/>
      </c:lineChart>
      <c:catAx>
        <c:axId val="19390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9288"/>
        <c:crosses val="autoZero"/>
        <c:auto val="1"/>
        <c:lblAlgn val="ctr"/>
        <c:lblOffset val="100"/>
        <c:tickMarkSkip val="1"/>
        <c:noMultiLvlLbl val="1"/>
      </c:catAx>
      <c:valAx>
        <c:axId val="193909288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de OS's/hora por semana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8896"/>
        <c:crossesAt val="1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8" horiz="1" max="12" min="1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#'Relat&#243;rio GERAL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Calend&#225;rio!A1"/><Relationship Id="rId1" Type="http://schemas.openxmlformats.org/officeDocument/2006/relationships/hyperlink" Target="#'Dados de consulta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Relat&#243;rio GERAL'!A1"/><Relationship Id="rId1" Type="http://schemas.openxmlformats.org/officeDocument/2006/relationships/hyperlink" Target="#Calend&#225;r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280147</xdr:colOff>
      <xdr:row>0</xdr:row>
      <xdr:rowOff>67234</xdr:rowOff>
    </xdr:from>
    <xdr:to>
      <xdr:col>9</xdr:col>
      <xdr:colOff>588390</xdr:colOff>
      <xdr:row>4</xdr:row>
      <xdr:rowOff>68516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693588" y="67234"/>
          <a:ext cx="1003008" cy="122272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BANCO DE </a:t>
          </a:r>
        </a:p>
        <a:p>
          <a:pPr algn="ctr"/>
          <a:r>
            <a:rPr lang="pt-BR" sz="1100" baseline="0"/>
            <a:t>DADOS E RELATÓRIO Geral</a:t>
          </a:r>
        </a:p>
      </xdr:txBody>
    </xdr:sp>
    <xdr:clientData/>
  </xdr:twoCellAnchor>
  <xdr:twoCellAnchor editAs="absolute">
    <xdr:from>
      <xdr:col>2</xdr:col>
      <xdr:colOff>855166</xdr:colOff>
      <xdr:row>0</xdr:row>
      <xdr:rowOff>74441</xdr:rowOff>
    </xdr:from>
    <xdr:to>
      <xdr:col>5</xdr:col>
      <xdr:colOff>1831521</xdr:colOff>
      <xdr:row>6</xdr:row>
      <xdr:rowOff>340178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0.0167</cdr:x>
      <cdr:y>0.30368</cdr:y>
    </cdr:from>
    <cdr:to>
      <cdr:x>0.1917</cdr:x>
      <cdr:y>0.70833</cdr:y>
    </cdr:to>
    <cdr:sp macro="" textlink="">
      <cdr:nvSpPr>
        <cdr:cNvPr id="2" name="Retângulo de cantos arredondados 1"/>
        <cdr:cNvSpPr/>
      </cdr:nvSpPr>
      <cdr:spPr>
        <a:xfrm xmlns:a="http://schemas.openxmlformats.org/drawingml/2006/main">
          <a:off x="112302" y="571698"/>
          <a:ext cx="1176857" cy="76180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85000"/>
          </a:schemeClr>
        </a:solidFill>
        <a:ln xmlns:a="http://schemas.openxmlformats.org/drawingml/2006/main">
          <a:solidFill>
            <a:schemeClr val="bg2">
              <a:lumMod val="75000"/>
            </a:schemeClr>
          </a:solidFill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pt-BR" sz="1500" b="1">
              <a:solidFill>
                <a:schemeClr val="tx2"/>
              </a:solidFill>
              <a:latin typeface="+mj-lt"/>
            </a:rPr>
            <a:t>GRÁFICO MENSAL: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57979</xdr:colOff>
      <xdr:row>1</xdr:row>
      <xdr:rowOff>39949</xdr:rowOff>
    </xdr:from>
    <xdr:to>
      <xdr:col>20</xdr:col>
      <xdr:colOff>514793</xdr:colOff>
      <xdr:row>41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33616</xdr:colOff>
      <xdr:row>1</xdr:row>
      <xdr:rowOff>30815</xdr:rowOff>
    </xdr:from>
    <xdr:to>
      <xdr:col>25</xdr:col>
      <xdr:colOff>89646</xdr:colOff>
      <xdr:row>42</xdr:row>
      <xdr:rowOff>35817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4</xdr:col>
          <xdr:colOff>581025</xdr:colOff>
          <xdr:row>9</xdr:row>
          <xdr:rowOff>0</xdr:rowOff>
        </xdr:to>
        <xdr:sp macro="" textlink="">
          <xdr:nvSpPr>
            <xdr:cNvPr id="32770" name="Scroll Bar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07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</xdr:colOff>
      <xdr:row>24</xdr:row>
      <xdr:rowOff>104776</xdr:rowOff>
    </xdr:from>
    <xdr:to>
      <xdr:col>9</xdr:col>
      <xdr:colOff>19050</xdr:colOff>
      <xdr:row>47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58831</xdr:colOff>
      <xdr:row>0</xdr:row>
      <xdr:rowOff>66676</xdr:rowOff>
    </xdr:from>
    <xdr:to>
      <xdr:col>16</xdr:col>
      <xdr:colOff>1371599</xdr:colOff>
      <xdr:row>22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1476375</xdr:colOff>
      <xdr:row>0</xdr:row>
      <xdr:rowOff>1</xdr:rowOff>
    </xdr:from>
    <xdr:to>
      <xdr:col>26</xdr:col>
      <xdr:colOff>361949</xdr:colOff>
      <xdr:row>16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1476376</xdr:colOff>
      <xdr:row>18</xdr:row>
      <xdr:rowOff>19049</xdr:rowOff>
    </xdr:from>
    <xdr:to>
      <xdr:col>26</xdr:col>
      <xdr:colOff>233643</xdr:colOff>
      <xdr:row>34</xdr:row>
      <xdr:rowOff>142875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</xdr:row>
      <xdr:rowOff>76202</xdr:rowOff>
    </xdr:from>
    <xdr:to>
      <xdr:col>9</xdr:col>
      <xdr:colOff>9525</xdr:colOff>
      <xdr:row>24</xdr:row>
      <xdr:rowOff>47625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1476375</xdr:colOff>
      <xdr:row>35</xdr:row>
      <xdr:rowOff>1</xdr:rowOff>
    </xdr:from>
    <xdr:to>
      <xdr:col>26</xdr:col>
      <xdr:colOff>228600</xdr:colOff>
      <xdr:row>47</xdr:row>
      <xdr:rowOff>133350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552452</xdr:colOff>
      <xdr:row>22</xdr:row>
      <xdr:rowOff>1</xdr:rowOff>
    </xdr:from>
    <xdr:to>
      <xdr:col>16</xdr:col>
      <xdr:colOff>1457326</xdr:colOff>
      <xdr:row>47</xdr:row>
      <xdr:rowOff>85724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152400</xdr:rowOff>
    </xdr:from>
    <xdr:to>
      <xdr:col>111</xdr:col>
      <xdr:colOff>123826</xdr:colOff>
      <xdr:row>39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56033</xdr:colOff>
      <xdr:row>0</xdr:row>
      <xdr:rowOff>78437</xdr:rowOff>
    </xdr:from>
    <xdr:to>
      <xdr:col>47</xdr:col>
      <xdr:colOff>22412</xdr:colOff>
      <xdr:row>0</xdr:row>
      <xdr:rowOff>829235</xdr:rowOff>
    </xdr:to>
    <xdr:sp macro="" textlink="">
      <xdr:nvSpPr>
        <xdr:cNvPr id="2" name="Retângulo de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21638562" y="78437"/>
          <a:ext cx="1434350" cy="7507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CONSULTAR</a:t>
          </a:r>
          <a:r>
            <a:rPr lang="pt-BR" sz="1100" baseline="0"/>
            <a:t> NÚMERO DA OCORRÊCIA</a:t>
          </a:r>
        </a:p>
      </xdr:txBody>
    </xdr:sp>
    <xdr:clientData/>
  </xdr:twoCellAnchor>
  <xdr:twoCellAnchor>
    <xdr:from>
      <xdr:col>47</xdr:col>
      <xdr:colOff>179294</xdr:colOff>
      <xdr:row>0</xdr:row>
      <xdr:rowOff>67232</xdr:rowOff>
    </xdr:from>
    <xdr:to>
      <xdr:col>48</xdr:col>
      <xdr:colOff>493059</xdr:colOff>
      <xdr:row>0</xdr:row>
      <xdr:rowOff>806824</xdr:rowOff>
    </xdr:to>
    <xdr:sp macro="" textlink="">
      <xdr:nvSpPr>
        <xdr:cNvPr id="4" name="Retângulo de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2266088" y="67232"/>
          <a:ext cx="1019736" cy="73959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CALENDÁRIO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1209675</xdr:colOff>
      <xdr:row>1</xdr:row>
      <xdr:rowOff>66675</xdr:rowOff>
    </xdr:from>
    <xdr:to>
      <xdr:col>15</xdr:col>
      <xdr:colOff>362511</xdr:colOff>
      <xdr:row>6</xdr:row>
      <xdr:rowOff>57150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4362450" y="66675"/>
          <a:ext cx="1010211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CALENDÁRIO</a:t>
          </a:r>
        </a:p>
      </xdr:txBody>
    </xdr:sp>
    <xdr:clientData/>
  </xdr:twoCellAnchor>
  <xdr:twoCellAnchor>
    <xdr:from>
      <xdr:col>13</xdr:col>
      <xdr:colOff>123825</xdr:colOff>
      <xdr:row>1</xdr:row>
      <xdr:rowOff>57150</xdr:rowOff>
    </xdr:from>
    <xdr:to>
      <xdr:col>13</xdr:col>
      <xdr:colOff>1134036</xdr:colOff>
      <xdr:row>6</xdr:row>
      <xdr:rowOff>47625</xdr:rowOff>
    </xdr:to>
    <xdr:sp macro="" textlink="">
      <xdr:nvSpPr>
        <xdr:cNvPr id="5" name="Retângulo de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3276600" y="57150"/>
          <a:ext cx="1010211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RELATÓRIO GERAL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Homework Schedule 2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28C7FF"/>
      </a:accent1>
      <a:accent2>
        <a:srgbClr val="7FAC39"/>
      </a:accent2>
      <a:accent3>
        <a:srgbClr val="F37231"/>
      </a:accent3>
      <a:accent4>
        <a:srgbClr val="1EA997"/>
      </a:accent4>
      <a:accent5>
        <a:srgbClr val="968AFF"/>
      </a:accent5>
      <a:accent6>
        <a:srgbClr val="BF1A8D"/>
      </a:accent6>
      <a:hlink>
        <a:srgbClr val="1EA997"/>
      </a:hlink>
      <a:folHlink>
        <a:srgbClr val="28C7FF"/>
      </a:folHlink>
    </a:clrScheme>
    <a:fontScheme name="Monthly Calenda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7" Type="http://schemas.openxmlformats.org/officeDocument/2006/relationships/ctrlProp" Target="../ctrlProps/ctrlProp1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printerSettings" Target="../printerSettings/printerSettings4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4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tabColor theme="5"/>
    <pageSetUpPr fitToPage="1"/>
  </sheetPr>
  <dimension ref="A1:O38"/>
  <sheetViews>
    <sheetView showGridLines="0" tabSelected="1" topLeftCell="B1" zoomScale="70" zoomScaleNormal="85" workbookViewId="0">
      <selection activeCell="R6" sqref="R6"/>
    </sheetView>
  </sheetViews>
  <sheetFormatPr defaultRowHeight="12.75" x14ac:dyDescent="0.2"/>
  <cols>
    <col min="1" max="1" width="8.7109375" hidden="1" customWidth="1"/>
    <col min="2" max="8" width="28.7109375" customWidth="1"/>
    <col min="9" max="9" width="10.42578125" bestFit="1" customWidth="1"/>
    <col min="11" max="13" width="11.42578125"/>
    <col min="14" max="14" width="26.140625" hidden="1" customWidth="1"/>
    <col min="15" max="15" width="13.42578125" hidden="1" customWidth="1"/>
    <col min="16" max="35" width="11.42578125"/>
  </cols>
  <sheetData>
    <row r="1" spans="2:15" ht="11.25" customHeight="1" thickTop="1" thickBot="1" x14ac:dyDescent="0.25">
      <c r="B1" s="54"/>
      <c r="C1" s="55"/>
      <c r="D1" s="55"/>
      <c r="E1" s="55"/>
      <c r="F1" s="56"/>
      <c r="G1" s="57"/>
      <c r="H1" s="58"/>
    </row>
    <row r="2" spans="2:15" ht="28.5" customHeight="1" thickBot="1" x14ac:dyDescent="0.25">
      <c r="B2" s="228" t="str">
        <f>UPPER(MêsAExibir)</f>
        <v>MAIO</v>
      </c>
      <c r="C2" s="229"/>
      <c r="D2" s="13"/>
      <c r="E2" s="14"/>
      <c r="F2" s="15"/>
      <c r="G2" s="49" t="s">
        <v>0</v>
      </c>
      <c r="H2" s="75" t="s">
        <v>1</v>
      </c>
      <c r="N2" s="49" t="s">
        <v>2</v>
      </c>
      <c r="O2" s="77" t="s">
        <v>3</v>
      </c>
    </row>
    <row r="3" spans="2:15" ht="28.5" customHeight="1" thickBot="1" x14ac:dyDescent="0.25">
      <c r="B3" s="228"/>
      <c r="C3" s="229"/>
      <c r="D3" s="232"/>
      <c r="E3" s="232"/>
      <c r="F3" s="233"/>
      <c r="G3" s="50" t="s">
        <v>4</v>
      </c>
      <c r="H3" s="76">
        <v>2016</v>
      </c>
    </row>
    <row r="4" spans="2:15" ht="28.5" customHeight="1" thickBot="1" x14ac:dyDescent="0.25">
      <c r="B4" s="230">
        <f>AnoAExibir</f>
        <v>2016</v>
      </c>
      <c r="C4" s="231"/>
      <c r="D4" s="232"/>
      <c r="E4" s="232"/>
      <c r="F4" s="233"/>
      <c r="G4" s="53" t="s">
        <v>5</v>
      </c>
      <c r="H4" s="59">
        <f>'Dados Dinamicos'!D3</f>
        <v>1236</v>
      </c>
    </row>
    <row r="5" spans="2:15" ht="28.5" customHeight="1" thickTop="1" thickBot="1" x14ac:dyDescent="0.25">
      <c r="B5" s="230"/>
      <c r="C5" s="231"/>
      <c r="D5" s="232"/>
      <c r="E5" s="232"/>
      <c r="F5" s="233"/>
      <c r="G5" s="53" t="s">
        <v>6</v>
      </c>
      <c r="H5" s="61">
        <f>'Dados Dinamicos'!E3-'Dados Dinamicos'!D3</f>
        <v>1586</v>
      </c>
    </row>
    <row r="6" spans="2:15" ht="28.5" customHeight="1" thickTop="1" thickBot="1" x14ac:dyDescent="0.7">
      <c r="B6" s="60"/>
      <c r="C6" s="52"/>
      <c r="D6" s="232"/>
      <c r="E6" s="232"/>
      <c r="F6" s="233"/>
      <c r="G6" s="53" t="s">
        <v>7</v>
      </c>
      <c r="H6" s="204">
        <f>VLOOKUP('Dados Dinamicos'!D15,'Relatório Extra'!BA:BB,2,0)</f>
        <v>40</v>
      </c>
    </row>
    <row r="7" spans="2:15" ht="30" customHeight="1" thickTop="1" thickBot="1" x14ac:dyDescent="0.25">
      <c r="B7" s="62"/>
      <c r="C7" s="63"/>
      <c r="D7" s="234"/>
      <c r="E7" s="234"/>
      <c r="F7" s="235"/>
      <c r="G7" s="64" t="s">
        <v>8</v>
      </c>
      <c r="H7" s="65">
        <f>H4+H5+H6</f>
        <v>2862</v>
      </c>
    </row>
    <row r="8" spans="2:15" ht="33" customHeight="1" thickTop="1" x14ac:dyDescent="0.2">
      <c r="B8" s="12" t="str">
        <f t="shared" ref="B8:H8" si="0">UPPER(TEXT(B9,"dddd"))</f>
        <v>DOMINGO</v>
      </c>
      <c r="C8" s="12" t="str">
        <f t="shared" si="0"/>
        <v>SEGUNDA-FEIRA</v>
      </c>
      <c r="D8" s="12" t="str">
        <f t="shared" si="0"/>
        <v>TERÇA-FEIRA</v>
      </c>
      <c r="E8" s="12" t="str">
        <f t="shared" si="0"/>
        <v>QUARTA-FEIRA</v>
      </c>
      <c r="F8" s="12" t="str">
        <f t="shared" si="0"/>
        <v>QUINTA-FEIRA</v>
      </c>
      <c r="G8" s="12" t="str">
        <f t="shared" si="0"/>
        <v>SEXTA-FEIRA</v>
      </c>
      <c r="H8" s="12" t="str">
        <f t="shared" si="0"/>
        <v>SÁBADO</v>
      </c>
    </row>
    <row r="9" spans="2:15" ht="14.25" customHeight="1" x14ac:dyDescent="0.2">
      <c r="B9" s="25">
        <f>IFERROR(INDEX(calendário,ndx+0,1),"")</f>
        <v>42491</v>
      </c>
      <c r="C9" s="25">
        <f>IFERROR(INDEX(calendário,ndx+0,2),"")</f>
        <v>42492</v>
      </c>
      <c r="D9" s="25">
        <f>IFERROR(INDEX(calendário,ndx+0,3),"")</f>
        <v>42493</v>
      </c>
      <c r="E9" s="25">
        <f>IFERROR(INDEX(calendário,ndx+0,4),"")</f>
        <v>42494</v>
      </c>
      <c r="F9" s="25">
        <f>IFERROR(INDEX(calendário,ndx+0,5),"")</f>
        <v>42495</v>
      </c>
      <c r="G9" s="25">
        <f>IFERROR(INDEX(calendário,ndx+0,6),"")</f>
        <v>42496</v>
      </c>
      <c r="H9" s="25">
        <f>IFERROR(INDEX(calendário,ndx+0,7),"")</f>
        <v>42497</v>
      </c>
    </row>
    <row r="10" spans="2:15" ht="14.25" customHeight="1" x14ac:dyDescent="0.2">
      <c r="B10" s="24" t="str">
        <f>IF(B$9&lt;DATE(AnoAExibir,VLOOKUP(MêsAExibir,'Dados Dinamicos'!$A$1:$B$12,2,0),1),"",IF(WEEKDAY(B$9,2)=6,"",IF(WEEKDAY(B$9,2)=7,"",_xlfn.IFNA(IF(B$9=VLOOKUP(Calendário!B$9,'Dados Dinamicos'!$O:$O,1,0),"FERIADO",VLOOKUP(B$9,'Relatório GERAL'!$A:$AN,'Dados Dinamicos'!$T$2,0)),IF(VLOOKUP(B$9,'Relatório GERAL'!$A:$AN,'Dados Dinamicos'!$T$2,0)=0,"",VLOOKUP(B$9,'Relatório GERAL'!$A:$AN,'Dados Dinamicos'!$T$2,0))))))</f>
        <v/>
      </c>
      <c r="C10" s="24">
        <f>IF(C$9&lt;DATE(AnoAExibir,VLOOKUP(MêsAExibir,'Dados Dinamicos'!$A$1:$B$12,2,0),1),"",IF(WEEKDAY(C$9,2)=6,"",IF(WEEKDAY(C$9,2)=7,"",_xlfn.IFNA(IF(C$9=VLOOKUP(Calendário!C$9,'Dados Dinamicos'!$O:$O,1,0),"FERIADO",VLOOKUP(C$9,'Relatório GERAL'!$A:$AN,'Dados Dinamicos'!$T$2,0)),IF(VLOOKUP(C$9,'Relatório GERAL'!$A:$AN,'Dados Dinamicos'!$T$2,0)=0,"",VLOOKUP(C$9,'Relatório GERAL'!$A:$AN,'Dados Dinamicos'!$T$2,0))))))</f>
        <v>5.6338028169014086E-2</v>
      </c>
      <c r="D10" s="24">
        <f>IF(D$9&lt;DATE(AnoAExibir,VLOOKUP(MêsAExibir,'Dados Dinamicos'!$A$1:$B$12,2,0),1),"",IF(WEEKDAY(D$9,2)=6,"",IF(WEEKDAY(D$9,2)=7,"",_xlfn.IFNA(IF(D$9=VLOOKUP(Calendário!D$9,'Dados Dinamicos'!$O:$O,1,0),"FERIADO",VLOOKUP(D$9,'Relatório GERAL'!$A:$AN,'Dados Dinamicos'!$T$2,0)),IF(VLOOKUP(D$9,'Relatório GERAL'!$A:$AN,'Dados Dinamicos'!$T$2,0)=0,"",VLOOKUP(D$9,'Relatório GERAL'!$A:$AN,'Dados Dinamicos'!$T$2,0))))))</f>
        <v>5.6338028169014086E-2</v>
      </c>
      <c r="E10" s="24">
        <f>IF(E$9&lt;DATE(AnoAExibir,VLOOKUP(MêsAExibir,'Dados Dinamicos'!$A$1:$B$12,2,0),1),"",IF(WEEKDAY(E$9,2)=6,"",IF(WEEKDAY(E$9,2)=7,"",_xlfn.IFNA(IF(E$9=VLOOKUP(Calendário!E$9,'Dados Dinamicos'!$O:$O,1,0),"FERIADO",VLOOKUP(E$9,'Relatório GERAL'!$A:$AN,'Dados Dinamicos'!$T$2,0)),IF(VLOOKUP(E$9,'Relatório GERAL'!$A:$AN,'Dados Dinamicos'!$T$2,0)=0,"",VLOOKUP(E$9,'Relatório GERAL'!$A:$AN,'Dados Dinamicos'!$T$2,0))))))</f>
        <v>8.4507042253521125E-2</v>
      </c>
      <c r="F10" s="24">
        <f>IF(F$9&lt;DATE(AnoAExibir,VLOOKUP(MêsAExibir,'Dados Dinamicos'!$A$1:$B$12,2,0),1),"",IF(WEEKDAY(F$9,2)=6,"",IF(WEEKDAY(F$9,2)=7,"",_xlfn.IFNA(IF(F$9=VLOOKUP(Calendário!F$9,'Dados Dinamicos'!$O:$O,1,0),"FERIADO",VLOOKUP(F$9,'Relatório GERAL'!$A:$AN,'Dados Dinamicos'!$T$2,0)),IF(VLOOKUP(F$9,'Relatório GERAL'!$A:$AN,'Dados Dinamicos'!$T$2,0)=0,"",VLOOKUP(F$9,'Relatório GERAL'!$A:$AN,'Dados Dinamicos'!$T$2,0))))))</f>
        <v>5.6338028169014086E-2</v>
      </c>
      <c r="G10" s="24">
        <f>IF(G$9&lt;DATE(AnoAExibir,VLOOKUP(MêsAExibir,'Dados Dinamicos'!$A$1:$B$12,2,0),1),"",IF(WEEKDAY(G$9,2)=6,"",IF(WEEKDAY(G$9,2)=7,"",_xlfn.IFNA(IF(G$9=VLOOKUP(Calendário!G$9,'Dados Dinamicos'!$O:$O,1,0),"FERIADO",VLOOKUP(G$9,'Relatório GERAL'!$A:$AN,'Dados Dinamicos'!$T$2,0)),IF(VLOOKUP(G$9,'Relatório GERAL'!$A:$AN,'Dados Dinamicos'!$T$2,0)=0,"",VLOOKUP(G$9,'Relatório GERAL'!$A:$AN,'Dados Dinamicos'!$T$2,0))))))</f>
        <v>0.11267605633802817</v>
      </c>
      <c r="H10" s="24" t="str">
        <f>IF(H$9&lt;DATE(AnoAExibir,VLOOKUP(MêsAExibir,'Dados Dinamicos'!$A$1:$B$12,2,0),1),"",IF(WEEKDAY(H$9,2)=6,"",IF(WEEKDAY(H$9,2)=7,"",_xlfn.IFNA(IF(H$9=VLOOKUP(Calendário!H$9,'Dados Dinamicos'!$O:$O,1,0),"FERIADO",VLOOKUP(H$9,'Relatório GERAL'!$A:$AN,'Dados Dinamicos'!$T$2,0)),IF(VLOOKUP(H$9,'Relatório GERAL'!$A:$AN,'Dados Dinamicos'!$T$2,0)=0,"",VLOOKUP(H$9,'Relatório GERAL'!$A:$AN,'Dados Dinamicos'!$T$2,0))))))</f>
        <v/>
      </c>
      <c r="I10" s="16"/>
    </row>
    <row r="11" spans="2:15" ht="14.25" customHeight="1" x14ac:dyDescent="0.2">
      <c r="B11" s="24" t="str">
        <f>IF(B$9&lt;DATE(AnoAExibir,VLOOKUP(MêsAExibir,'Dados Dinamicos'!$A$1:$B$12,2,0),1),"",IF(WEEKDAY(B$9,2)=6,"",IF(WEEKDAY(B$9,2)=7,"",_xlfn.IFNA(IF(B$9=VLOOKUP(Calendário!B$9,'Dados Dinamicos'!$O:$O,1,0),"FERIADO",VLOOKUP(B$9,'Relatório GERAL'!$A:$AN,'Dados Dinamicos'!$T$3,0)),IF(VLOOKUP(B$9,'Relatório GERAL'!$A:$AN,'Dados Dinamicos'!$T$3,0)=0,"",VLOOKUP(B$9,'Relatório GERAL'!$A:$AN,'Dados Dinamicos'!$T$3,0))))))</f>
        <v/>
      </c>
      <c r="C11" s="24">
        <f>IF(C$9&lt;DATE(AnoAExibir,VLOOKUP(MêsAExibir,'Dados Dinamicos'!$A$1:$B$12,2,0),1),"",IF(WEEKDAY(C$9,2)=6,"",IF(WEEKDAY(C$9,2)=7,"",_xlfn.IFNA(IF(C$9=VLOOKUP(Calendário!C$9,'Dados Dinamicos'!$O:$O,1,0),"FERIADO",VLOOKUP(C$9,'Relatório GERAL'!$A:$AN,'Dados Dinamicos'!$T$3,0)),IF(VLOOKUP(C$9,'Relatório GERAL'!$A:$AN,'Dados Dinamicos'!$T$3,0)=0,"",VLOOKUP(C$9,'Relatório GERAL'!$A:$AN,'Dados Dinamicos'!$T$3,0))))))</f>
        <v>0.11267605633802817</v>
      </c>
      <c r="D11" s="24">
        <f>IF(D$9&lt;DATE(AnoAExibir,VLOOKUP(MêsAExibir,'Dados Dinamicos'!$A$1:$B$12,2,0),1),"",IF(WEEKDAY(D$9,2)=6,"",IF(WEEKDAY(D$9,2)=7,"",_xlfn.IFNA(IF(D$9=VLOOKUP(Calendário!D$9,'Dados Dinamicos'!$O:$O,1,0),"FERIADO",VLOOKUP(D$9,'Relatório GERAL'!$A:$AN,'Dados Dinamicos'!$T$3,0)),IF(VLOOKUP(D$9,'Relatório GERAL'!$A:$AN,'Dados Dinamicos'!$T$3,0)=0,"",VLOOKUP(D$9,'Relatório GERAL'!$A:$AN,'Dados Dinamicos'!$T$3,0))))))</f>
        <v>5.6338028169014086E-2</v>
      </c>
      <c r="E11" s="24">
        <f>IF(E$9&lt;DATE(AnoAExibir,VLOOKUP(MêsAExibir,'Dados Dinamicos'!$A$1:$B$12,2,0),1),"",IF(WEEKDAY(E$9,2)=6,"",IF(WEEKDAY(E$9,2)=7,"",_xlfn.IFNA(IF(E$9=VLOOKUP(Calendário!E$9,'Dados Dinamicos'!$O:$O,1,0),"FERIADO",VLOOKUP(E$9,'Relatório GERAL'!$A:$AN,'Dados Dinamicos'!$T$3,0)),IF(VLOOKUP(E$9,'Relatório GERAL'!$A:$AN,'Dados Dinamicos'!$T$3,0)=0,"",VLOOKUP(E$9,'Relatório GERAL'!$A:$AN,'Dados Dinamicos'!$T$3,0))))))</f>
        <v>5.6338028169014086E-2</v>
      </c>
      <c r="F11" s="24">
        <f>IF(F$9&lt;DATE(AnoAExibir,VLOOKUP(MêsAExibir,'Dados Dinamicos'!$A$1:$B$12,2,0),1),"",IF(WEEKDAY(F$9,2)=6,"",IF(WEEKDAY(F$9,2)=7,"",_xlfn.IFNA(IF(F$9=VLOOKUP(Calendário!F$9,'Dados Dinamicos'!$O:$O,1,0),"FERIADO",VLOOKUP(F$9,'Relatório GERAL'!$A:$AN,'Dados Dinamicos'!$T$3,0)),IF(VLOOKUP(F$9,'Relatório GERAL'!$A:$AN,'Dados Dinamicos'!$T$3,0)=0,"",VLOOKUP(F$9,'Relatório GERAL'!$A:$AN,'Dados Dinamicos'!$T$3,0))))))</f>
        <v>5.6338028169014086E-2</v>
      </c>
      <c r="G11" s="24">
        <f>IF(G$9&lt;DATE(AnoAExibir,VLOOKUP(MêsAExibir,'Dados Dinamicos'!$A$1:$B$12,2,0),1),"",IF(WEEKDAY(G$9,2)=6,"",IF(WEEKDAY(G$9,2)=7,"",_xlfn.IFNA(IF(G$9=VLOOKUP(Calendário!G$9,'Dados Dinamicos'!$O:$O,1,0),"FERIADO",VLOOKUP(G$9,'Relatório GERAL'!$A:$AN,'Dados Dinamicos'!$T$3,0)),IF(VLOOKUP(G$9,'Relatório GERAL'!$A:$AN,'Dados Dinamicos'!$T$3,0)=0,"",VLOOKUP(G$9,'Relatório GERAL'!$A:$AN,'Dados Dinamicos'!$T$3,0))))))</f>
        <v>5.6338028169014086E-2</v>
      </c>
      <c r="H11" s="24" t="str">
        <f>IF(H$9&lt;DATE(AnoAExibir,VLOOKUP(MêsAExibir,'Dados Dinamicos'!$A$1:$B$12,2,0),1),"",IF(WEEKDAY(H$9,2)=6,"",IF(WEEKDAY(H$9,2)=7,"",_xlfn.IFNA(IF(H$9=VLOOKUP(Calendário!H$9,'Dados Dinamicos'!$O:$O,1,0),"FERIADO",VLOOKUP(H$9,'Relatório GERAL'!$A:$AN,'Dados Dinamicos'!$T$3,0)),IF(VLOOKUP(H$9,'Relatório GERAL'!$A:$AN,'Dados Dinamicos'!$T$3,0)=0,"",VLOOKUP(H$9,'Relatório GERAL'!$A:$AN,'Dados Dinamicos'!$T$3,0))))))</f>
        <v/>
      </c>
    </row>
    <row r="12" spans="2:15" ht="14.25" customHeight="1" x14ac:dyDescent="0.2">
      <c r="B12" s="24" t="str">
        <f>IF(B$9&lt;DATE(AnoAExibir,VLOOKUP(MêsAExibir,'Dados Dinamicos'!$A$1:$B$12,2,0),1),"",IF(WEEKDAY(B$9,2)=6,"",IF(WEEKDAY(B$9,2)=7,"",_xlfn.IFNA(IF(B$9=VLOOKUP(Calendário!B$9,'Dados Dinamicos'!$O:$O,1,0),"FERIADO",VLOOKUP(B$9,'Relatório GERAL'!$A:$AN,'Dados Dinamicos'!$T$4,0)),IF(VLOOKUP(B$9,'Relatório GERAL'!$A:$AN,'Dados Dinamicos'!$T$4,0)=0,"",VLOOKUP(B$9,'Relatório GERAL'!$A:$AN,'Dados Dinamicos'!$T$4,0))))))</f>
        <v/>
      </c>
      <c r="C12" s="24" t="str">
        <f>IF(C$9&lt;DATE(AnoAExibir,VLOOKUP(MêsAExibir,'Dados Dinamicos'!$A$1:$B$12,2,0),1),"",IF(WEEKDAY(C$9,2)=6,"",IF(WEEKDAY(C$9,2)=7,"",_xlfn.IFNA(IF(C$9=VLOOKUP(Calendário!C$9,'Dados Dinamicos'!$O:$O,1,0),"FERIADO",VLOOKUP(C$9,'Relatório GERAL'!$A:$AN,'Dados Dinamicos'!$T$4,0)),IF(VLOOKUP(C$9,'Relatório GERAL'!$A:$AN,'Dados Dinamicos'!$T$4,0)=0,"",VLOOKUP(C$9,'Relatório GERAL'!$A:$AN,'Dados Dinamicos'!$T$4,0))))))</f>
        <v/>
      </c>
      <c r="D12" s="24" t="str">
        <f>IF(D$9&lt;DATE(AnoAExibir,VLOOKUP(MêsAExibir,'Dados Dinamicos'!$A$1:$B$12,2,0),1),"",IF(WEEKDAY(D$9,2)=6,"",IF(WEEKDAY(D$9,2)=7,"",_xlfn.IFNA(IF(D$9=VLOOKUP(Calendário!D$9,'Dados Dinamicos'!$O:$O,1,0),"FERIADO",VLOOKUP(D$9,'Relatório GERAL'!$A:$AN,'Dados Dinamicos'!$T$4,0)),IF(VLOOKUP(D$9,'Relatório GERAL'!$A:$AN,'Dados Dinamicos'!$T$4,0)=0,"",VLOOKUP(D$9,'Relatório GERAL'!$A:$AN,'Dados Dinamicos'!$T$4,0))))))</f>
        <v/>
      </c>
      <c r="E12" s="24" t="str">
        <f>IF(E$9&lt;DATE(AnoAExibir,VLOOKUP(MêsAExibir,'Dados Dinamicos'!$A$1:$B$12,2,0),1),"",IF(WEEKDAY(E$9,2)=6,"",IF(WEEKDAY(E$9,2)=7,"",_xlfn.IFNA(IF(E$9=VLOOKUP(Calendário!E$9,'Dados Dinamicos'!$O:$O,1,0),"FERIADO",VLOOKUP(E$9,'Relatório GERAL'!$A:$AN,'Dados Dinamicos'!$T$4,0)),IF(VLOOKUP(E$9,'Relatório GERAL'!$A:$AN,'Dados Dinamicos'!$T$4,0)=0,"",VLOOKUP(E$9,'Relatório GERAL'!$A:$AN,'Dados Dinamicos'!$T$4,0))))))</f>
        <v/>
      </c>
      <c r="F12" s="24" t="str">
        <f>IF(F$9&lt;DATE(AnoAExibir,VLOOKUP(MêsAExibir,'Dados Dinamicos'!$A$1:$B$12,2,0),1),"",IF(WEEKDAY(F$9,2)=6,"",IF(WEEKDAY(F$9,2)=7,"",_xlfn.IFNA(IF(F$9=VLOOKUP(Calendário!F$9,'Dados Dinamicos'!$O:$O,1,0),"FERIADO",VLOOKUP(F$9,'Relatório GERAL'!$A:$AN,'Dados Dinamicos'!$T$4,0)),IF(VLOOKUP(F$9,'Relatório GERAL'!$A:$AN,'Dados Dinamicos'!$T$4,0)=0,"",VLOOKUP(F$9,'Relatório GERAL'!$A:$AN,'Dados Dinamicos'!$T$4,0))))))</f>
        <v/>
      </c>
      <c r="G12" s="24" t="str">
        <f>IF(G$9&lt;DATE(AnoAExibir,VLOOKUP(MêsAExibir,'Dados Dinamicos'!$A$1:$B$12,2,0),1),"",IF(WEEKDAY(G$9,2)=6,"",IF(WEEKDAY(G$9,2)=7,"",_xlfn.IFNA(IF(G$9=VLOOKUP(Calendário!G$9,'Dados Dinamicos'!$O:$O,1,0),"FERIADO",VLOOKUP(G$9,'Relatório GERAL'!$A:$AN,'Dados Dinamicos'!$T$4,0)),IF(VLOOKUP(G$9,'Relatório GERAL'!$A:$AN,'Dados Dinamicos'!$T$4,0)=0,"",VLOOKUP(G$9,'Relatório GERAL'!$A:$AN,'Dados Dinamicos'!$T$4,0))))))</f>
        <v/>
      </c>
      <c r="H12" s="24" t="str">
        <f>IF(H$9&lt;DATE(AnoAExibir,VLOOKUP(MêsAExibir,'Dados Dinamicos'!$A$1:$B$12,2,0),1),"",IF(WEEKDAY(H$9,2)=6,"",IF(WEEKDAY(H$9,2)=7,"",_xlfn.IFNA(IF(H$9=VLOOKUP(Calendário!H$9,'Dados Dinamicos'!$O:$O,1,0),"FERIADO",VLOOKUP(H$9,'Relatório GERAL'!$A:$AN,'Dados Dinamicos'!$T$4,0)),IF(VLOOKUP(H$9,'Relatório GERAL'!$A:$AN,'Dados Dinamicos'!$T$4,0)=0,"",VLOOKUP(H$9,'Relatório GERAL'!$A:$AN,'Dados Dinamicos'!$T$4,0))))))</f>
        <v/>
      </c>
    </row>
    <row r="13" spans="2:15" ht="14.25" customHeight="1" x14ac:dyDescent="0.2">
      <c r="B13" s="24" t="str">
        <f>IF(B$9&lt;DATE(AnoAExibir,VLOOKUP(MêsAExibir,'Dados Dinamicos'!$A$1:$B$12,2,0),1),"",IF(WEEKDAY(B$9,2)=6,"",IF(WEEKDAY(B$9,2)=7,"",_xlfn.IFNA(IF(B$9=VLOOKUP(Calendário!B$9,'Dados Dinamicos'!$O:$O,1,0),"FERIADO",VLOOKUP(B$9,'Relatório GERAL'!$A:$AN,'Dados Dinamicos'!$T$5,0)),IF(VLOOKUP(B$9,'Relatório GERAL'!$A:$AN,'Dados Dinamicos'!$T$5,0)=0,"",VLOOKUP(B$9,'Relatório GERAL'!$A:$AN,'Dados Dinamicos'!$T$5,0))))))</f>
        <v/>
      </c>
      <c r="C13" s="24" t="str">
        <f>IF(C$9&lt;DATE(AnoAExibir,VLOOKUP(MêsAExibir,'Dados Dinamicos'!$A$1:$B$12,2,0),1),"",IF(WEEKDAY(C$9,2)=6,"",IF(WEEKDAY(C$9,2)=7,"",_xlfn.IFNA(IF(C$9=VLOOKUP(Calendário!C$9,'Dados Dinamicos'!$O:$O,1,0),"FERIADO",VLOOKUP(C$9,'Relatório GERAL'!$A:$AN,'Dados Dinamicos'!$T$5,0)),IF(VLOOKUP(C$9,'Relatório GERAL'!$A:$AN,'Dados Dinamicos'!$T$5,0)=0,"",VLOOKUP(C$9,'Relatório GERAL'!$A:$AN,'Dados Dinamicos'!$T$5,0))))))</f>
        <v/>
      </c>
      <c r="D13" s="24" t="str">
        <f>IF(D$9&lt;DATE(AnoAExibir,VLOOKUP(MêsAExibir,'Dados Dinamicos'!$A$1:$B$12,2,0),1),"",IF(WEEKDAY(D$9,2)=6,"",IF(WEEKDAY(D$9,2)=7,"",_xlfn.IFNA(IF(D$9=VLOOKUP(Calendário!D$9,'Dados Dinamicos'!$O:$O,1,0),"FERIADO",VLOOKUP(D$9,'Relatório GERAL'!$A:$AN,'Dados Dinamicos'!$T$5,0)),IF(VLOOKUP(D$9,'Relatório GERAL'!$A:$AN,'Dados Dinamicos'!$T$5,0)=0,"",VLOOKUP(D$9,'Relatório GERAL'!$A:$AN,'Dados Dinamicos'!$T$5,0))))))</f>
        <v/>
      </c>
      <c r="E13" s="24" t="str">
        <f>IF(E$9&lt;DATE(AnoAExibir,VLOOKUP(MêsAExibir,'Dados Dinamicos'!$A$1:$B$12,2,0),1),"",IF(WEEKDAY(E$9,2)=6,"",IF(WEEKDAY(E$9,2)=7,"",_xlfn.IFNA(IF(E$9=VLOOKUP(Calendário!E$9,'Dados Dinamicos'!$O:$O,1,0),"FERIADO",VLOOKUP(E$9,'Relatório GERAL'!$A:$AN,'Dados Dinamicos'!$T$5,0)),IF(VLOOKUP(E$9,'Relatório GERAL'!$A:$AN,'Dados Dinamicos'!$T$5,0)=0,"",VLOOKUP(E$9,'Relatório GERAL'!$A:$AN,'Dados Dinamicos'!$T$5,0))))))</f>
        <v/>
      </c>
      <c r="F13" s="24" t="str">
        <f>IF(F$9&lt;DATE(AnoAExibir,VLOOKUP(MêsAExibir,'Dados Dinamicos'!$A$1:$B$12,2,0),1),"",IF(WEEKDAY(F$9,2)=6,"",IF(WEEKDAY(F$9,2)=7,"",_xlfn.IFNA(IF(F$9=VLOOKUP(Calendário!F$9,'Dados Dinamicos'!$O:$O,1,0),"FERIADO",VLOOKUP(F$9,'Relatório GERAL'!$A:$AN,'Dados Dinamicos'!$T$5,0)),IF(VLOOKUP(F$9,'Relatório GERAL'!$A:$AN,'Dados Dinamicos'!$T$5,0)=0,"",VLOOKUP(F$9,'Relatório GERAL'!$A:$AN,'Dados Dinamicos'!$T$5,0))))))</f>
        <v/>
      </c>
      <c r="G13" s="24" t="str">
        <f>IF(G$9&lt;DATE(AnoAExibir,VLOOKUP(MêsAExibir,'Dados Dinamicos'!$A$1:$B$12,2,0),1),"",IF(WEEKDAY(G$9,2)=6,"",IF(WEEKDAY(G$9,2)=7,"",_xlfn.IFNA(IF(G$9=VLOOKUP(Calendário!G$9,'Dados Dinamicos'!$O:$O,1,0),"FERIADO",VLOOKUP(G$9,'Relatório GERAL'!$A:$AN,'Dados Dinamicos'!$T$5,0)),IF(VLOOKUP(G$9,'Relatório GERAL'!$A:$AN,'Dados Dinamicos'!$T$5,0)=0,"",VLOOKUP(G$9,'Relatório GERAL'!$A:$AN,'Dados Dinamicos'!$T$5,0))))))</f>
        <v/>
      </c>
      <c r="H13" s="24" t="str">
        <f>IF(H$9&lt;DATE(AnoAExibir,VLOOKUP(MêsAExibir,'Dados Dinamicos'!$A$1:$B$12,2,0),1),"",IF(WEEKDAY(H$9,2)=6,"",IF(WEEKDAY(H$9,2)=7,"",_xlfn.IFNA(IF(H$9=VLOOKUP(Calendário!H$9,'Dados Dinamicos'!$O:$O,1,0),"FERIADO",VLOOKUP(H$9,'Relatório GERAL'!$A:$AN,'Dados Dinamicos'!$T$5,0)),IF(VLOOKUP(H$9,'Relatório GERAL'!$A:$AN,'Dados Dinamicos'!$T$5,0)=0,"",VLOOKUP(H$9,'Relatório GERAL'!$A:$AN,'Dados Dinamicos'!$T$5,0))))))</f>
        <v/>
      </c>
    </row>
    <row r="14" spans="2:15" ht="14.25" customHeight="1" x14ac:dyDescent="0.2">
      <c r="B14" s="25">
        <f>IFERROR(INDEX(calendário,ndx+1,1),"")</f>
        <v>42498</v>
      </c>
      <c r="C14" s="25">
        <f>IFERROR(INDEX(calendário,ndx+1,2),"")</f>
        <v>42499</v>
      </c>
      <c r="D14" s="25">
        <f>IFERROR(INDEX(calendário,ndx+1,3),"")</f>
        <v>42500</v>
      </c>
      <c r="E14" s="25">
        <f>IFERROR(INDEX(calendário,ndx+1,4),"")</f>
        <v>42501</v>
      </c>
      <c r="F14" s="25">
        <f>IFERROR(INDEX(calendário,ndx+1,5),"")</f>
        <v>42502</v>
      </c>
      <c r="G14" s="25">
        <f>IFERROR(INDEX(calendário,ndx+1,6),"")</f>
        <v>42503</v>
      </c>
      <c r="H14" s="25">
        <f>IFERROR(INDEX(calendário,ndx+1,7),"")</f>
        <v>42504</v>
      </c>
    </row>
    <row r="15" spans="2:15" ht="14.25" customHeight="1" x14ac:dyDescent="0.2">
      <c r="B15" s="24" t="str">
        <f>IF(B$14&lt;DATE(AnoAExibir,VLOOKUP(MêsAExibir,'Dados Dinamicos'!$A$1:$B$12,2,0),1),"",IF(WEEKDAY(B$14,2)=6,"",IF(WEEKDAY(B$14,2)=7,"",_xlfn.IFNA(IF(B$14=VLOOKUP(Calendário!B$14,'Dados Dinamicos'!$O:$O,1,0),"FERIADO",VLOOKUP(B$14,'Relatório GERAL'!$A:$AN,'Dados Dinamicos'!$T$2,0)),IF(VLOOKUP(B$14,'Relatório GERAL'!$A:$AN,'Dados Dinamicos'!$T$2,0)=0,"",VLOOKUP(B$14,'Relatório GERAL'!$A:$AN,'Dados Dinamicos'!$T$2,0))))))</f>
        <v/>
      </c>
      <c r="C15" s="24">
        <f>IF(C$14&lt;DATE(AnoAExibir,VLOOKUP(MêsAExibir,'Dados Dinamicos'!$A$1:$B$12,2,0),1),"",IF(WEEKDAY(C$14,2)=6,"",IF(WEEKDAY(C$14,2)=7,"",_xlfn.IFNA(IF(C$14=VLOOKUP(Calendário!C$14,'Dados Dinamicos'!$O:$O,1,0),"FERIADO",VLOOKUP(C$14,'Relatório GERAL'!$A:$AN,'Dados Dinamicos'!$T$2,0)),IF(VLOOKUP(C$14,'Relatório GERAL'!$A:$AN,'Dados Dinamicos'!$T$2,0)=0,"",VLOOKUP(C$14,'Relatório GERAL'!$A:$AN,'Dados Dinamicos'!$T$2,0))))))</f>
        <v>5.6338028169014086E-2</v>
      </c>
      <c r="D15" s="24">
        <f>IF(D$14&lt;DATE(AnoAExibir,VLOOKUP(MêsAExibir,'Dados Dinamicos'!$A$1:$B$12,2,0),1),"",IF(WEEKDAY(D$14,2)=6,"",IF(WEEKDAY(D$14,2)=7,"",_xlfn.IFNA(IF(D$14=VLOOKUP(Calendário!D$14,'Dados Dinamicos'!$O:$O,1,0),"FERIADO",VLOOKUP(D$14,'Relatório GERAL'!$A:$AN,'Dados Dinamicos'!$T$2,0)),IF(VLOOKUP(D$14,'Relatório GERAL'!$A:$AN,'Dados Dinamicos'!$T$2,0)=0,"",VLOOKUP(D$14,'Relatório GERAL'!$A:$AN,'Dados Dinamicos'!$T$2,0))))))</f>
        <v>5.6338028169014086E-2</v>
      </c>
      <c r="E15" s="24">
        <f>IF(E$14&lt;DATE(AnoAExibir,VLOOKUP(MêsAExibir,'Dados Dinamicos'!$A$1:$B$12,2,0),1),"",IF(WEEKDAY(E$14,2)=6,"",IF(WEEKDAY(E$14,2)=7,"",_xlfn.IFNA(IF(E$14=VLOOKUP(Calendário!E$14,'Dados Dinamicos'!$O:$O,1,0),"FERIADO",VLOOKUP(E$14,'Relatório GERAL'!$A:$AN,'Dados Dinamicos'!$T$2,0)),IF(VLOOKUP(E$14,'Relatório GERAL'!$A:$AN,'Dados Dinamicos'!$T$2,0)=0,"",VLOOKUP(E$14,'Relatório GERAL'!$A:$AN,'Dados Dinamicos'!$T$2,0))))))</f>
        <v>5.6338028169014086E-2</v>
      </c>
      <c r="F15" s="24">
        <f>IF(F$14&lt;DATE(AnoAExibir,VLOOKUP(MêsAExibir,'Dados Dinamicos'!$A$1:$B$12,2,0),1),"",IF(WEEKDAY(F$14,2)=6,"",IF(WEEKDAY(F$14,2)=7,"",_xlfn.IFNA(IF(F$14=VLOOKUP(Calendário!F$14,'Dados Dinamicos'!$O:$O,1,0),"FERIADO",VLOOKUP(F$14,'Relatório GERAL'!$A:$AN,'Dados Dinamicos'!$T$2,0)),IF(VLOOKUP(F$14,'Relatório GERAL'!$A:$AN,'Dados Dinamicos'!$T$2,0)=0,"",VLOOKUP(F$14,'Relatório GERAL'!$A:$AN,'Dados Dinamicos'!$T$2,0))))))</f>
        <v>5.6338028169014086E-2</v>
      </c>
      <c r="G15" s="24">
        <f>IF(G$14&lt;DATE(AnoAExibir,VLOOKUP(MêsAExibir,'Dados Dinamicos'!$A$1:$B$12,2,0),1),"",IF(WEEKDAY(G$14,2)=6,"",IF(WEEKDAY(G$14,2)=7,"",_xlfn.IFNA(IF(G$14=VLOOKUP(Calendário!G$14,'Dados Dinamicos'!$O:$O,1,0),"FERIADO",VLOOKUP(G$14,'Relatório GERAL'!$A:$AN,'Dados Dinamicos'!$T$2,0)),IF(VLOOKUP(G$14,'Relatório GERAL'!$A:$AN,'Dados Dinamicos'!$T$2,0)=0,"",VLOOKUP(G$14,'Relatório GERAL'!$A:$AN,'Dados Dinamicos'!$T$2,0))))))</f>
        <v>0.11267605633802817</v>
      </c>
      <c r="H15" s="24" t="str">
        <f>IF(H$14&lt;DATE(AnoAExibir,VLOOKUP(MêsAExibir,'Dados Dinamicos'!$A$1:$B$12,2,0),1),"",IF(WEEKDAY(H$14,2)=6,"",IF(WEEKDAY(H$14,2)=7,"",_xlfn.IFNA(IF(H$14=VLOOKUP(Calendário!H$14,'Dados Dinamicos'!$O:$O,1,0),"FERIADO",VLOOKUP(H$14,'Relatório GERAL'!$A:$AN,'Dados Dinamicos'!$T$2,0)),IF(VLOOKUP(H$14,'Relatório GERAL'!$A:$AN,'Dados Dinamicos'!$T$2,0)=0,"",VLOOKUP(H$14,'Relatório GERAL'!$A:$AN,'Dados Dinamicos'!$T$2,0))))))</f>
        <v/>
      </c>
    </row>
    <row r="16" spans="2:15" ht="14.25" customHeight="1" x14ac:dyDescent="0.2">
      <c r="B16" s="24" t="str">
        <f>IF(B$14&lt;DATE(AnoAExibir,VLOOKUP(MêsAExibir,'Dados Dinamicos'!$A$1:$B$12,2,0),1),"",IF(WEEKDAY(B$14,2)=6,"",IF(WEEKDAY(B$14,2)=7,"",_xlfn.IFNA(IF(B$14=VLOOKUP(Calendário!B$14,'Dados Dinamicos'!$O:$O,1,0),"FERIADO",VLOOKUP(B$14,'Relatório GERAL'!$A:$AN,'Dados Dinamicos'!$T$3,0)),IF(VLOOKUP(B$14,'Relatório GERAL'!$A:$AN,'Dados Dinamicos'!$T$3,0)=0,"",VLOOKUP(B$14,'Relatório GERAL'!$A:$AN,'Dados Dinamicos'!$T$3,0))))))</f>
        <v/>
      </c>
      <c r="C16" s="24">
        <f>IF(C$14&lt;DATE(AnoAExibir,VLOOKUP(MêsAExibir,'Dados Dinamicos'!$A$1:$B$12,2,0),1),"",IF(WEEKDAY(C$14,2)=6,"",IF(WEEKDAY(C$14,2)=7,"",_xlfn.IFNA(IF(C$14=VLOOKUP(Calendário!C$14,'Dados Dinamicos'!$O:$O,1,0),"FERIADO",VLOOKUP(C$14,'Relatório GERAL'!$A:$AN,'Dados Dinamicos'!$T$3,0)),IF(VLOOKUP(C$14,'Relatório GERAL'!$A:$AN,'Dados Dinamicos'!$T$3,0)=0,"",VLOOKUP(C$14,'Relatório GERAL'!$A:$AN,'Dados Dinamicos'!$T$3,0))))))</f>
        <v>5.6338028169014086E-2</v>
      </c>
      <c r="D16" s="24">
        <f>IF(D$14&lt;DATE(AnoAExibir,VLOOKUP(MêsAExibir,'Dados Dinamicos'!$A$1:$B$12,2,0),1),"",IF(WEEKDAY(D$14,2)=6,"",IF(WEEKDAY(D$14,2)=7,"",_xlfn.IFNA(IF(D$14=VLOOKUP(Calendário!D$14,'Dados Dinamicos'!$O:$O,1,0),"FERIADO",VLOOKUP(D$14,'Relatório GERAL'!$A:$AN,'Dados Dinamicos'!$T$3,0)),IF(VLOOKUP(D$14,'Relatório GERAL'!$A:$AN,'Dados Dinamicos'!$T$3,0)=0,"",VLOOKUP(D$14,'Relatório GERAL'!$A:$AN,'Dados Dinamicos'!$T$3,0))))))</f>
        <v>5.6338028169014086E-2</v>
      </c>
      <c r="E16" s="24">
        <f>IF(E$14&lt;DATE(AnoAExibir,VLOOKUP(MêsAExibir,'Dados Dinamicos'!$A$1:$B$12,2,0),1),"",IF(WEEKDAY(E$14,2)=6,"",IF(WEEKDAY(E$14,2)=7,"",_xlfn.IFNA(IF(E$14=VLOOKUP(Calendário!E$14,'Dados Dinamicos'!$O:$O,1,0),"FERIADO",VLOOKUP(E$14,'Relatório GERAL'!$A:$AN,'Dados Dinamicos'!$T$3,0)),IF(VLOOKUP(E$14,'Relatório GERAL'!$A:$AN,'Dados Dinamicos'!$T$3,0)=0,"",VLOOKUP(E$14,'Relatório GERAL'!$A:$AN,'Dados Dinamicos'!$T$3,0))))))</f>
        <v>5.6338028169014086E-2</v>
      </c>
      <c r="F16" s="24" t="str">
        <f>IF(F$14&lt;DATE(AnoAExibir,VLOOKUP(MêsAExibir,'Dados Dinamicos'!$A$1:$B$12,2,0),1),"",IF(WEEKDAY(F$14,2)=6,"",IF(WEEKDAY(F$14,2)=7,"",_xlfn.IFNA(IF(F$14=VLOOKUP(Calendário!F$14,'Dados Dinamicos'!$O:$O,1,0),"FERIADO",VLOOKUP(F$14,'Relatório GERAL'!$A:$AN,'Dados Dinamicos'!$T$3,0)),IF(VLOOKUP(F$14,'Relatório GERAL'!$A:$AN,'Dados Dinamicos'!$T$3,0)=0,"",VLOOKUP(F$14,'Relatório GERAL'!$A:$AN,'Dados Dinamicos'!$T$3,0))))))</f>
        <v/>
      </c>
      <c r="G16" s="24">
        <f>IF(G$14&lt;DATE(AnoAExibir,VLOOKUP(MêsAExibir,'Dados Dinamicos'!$A$1:$B$12,2,0),1),"",IF(WEEKDAY(G$14,2)=6,"",IF(WEEKDAY(G$14,2)=7,"",_xlfn.IFNA(IF(G$14=VLOOKUP(Calendário!G$14,'Dados Dinamicos'!$O:$O,1,0),"FERIADO",VLOOKUP(G$14,'Relatório GERAL'!$A:$AN,'Dados Dinamicos'!$T$3,0)),IF(VLOOKUP(G$14,'Relatório GERAL'!$A:$AN,'Dados Dinamicos'!$T$3,0)=0,"",VLOOKUP(G$14,'Relatório GERAL'!$A:$AN,'Dados Dinamicos'!$T$3,0))))))</f>
        <v>5.6338028169014086E-2</v>
      </c>
      <c r="H16" s="24" t="str">
        <f>IF(H$14&lt;DATE(AnoAExibir,VLOOKUP(MêsAExibir,'Dados Dinamicos'!$A$1:$B$12,2,0),1),"",IF(WEEKDAY(H$14,2)=6,"",IF(WEEKDAY(H$14,2)=7,"",_xlfn.IFNA(IF(H$14=VLOOKUP(Calendário!H$14,'Dados Dinamicos'!$O:$O,1,0),"FERIADO",VLOOKUP(H$14,'Relatório GERAL'!$A:$AN,'Dados Dinamicos'!$T$3,0)),IF(VLOOKUP(H$14,'Relatório GERAL'!$A:$AN,'Dados Dinamicos'!$T$3,0)=0,"",VLOOKUP(H$14,'Relatório GERAL'!$A:$AN,'Dados Dinamicos'!$T$3,0))))))</f>
        <v/>
      </c>
    </row>
    <row r="17" spans="2:8" ht="14.25" customHeight="1" x14ac:dyDescent="0.2">
      <c r="B17" s="24" t="str">
        <f>IF(B$14&lt;DATE(AnoAExibir,VLOOKUP(MêsAExibir,'Dados Dinamicos'!$A$1:$B$12,2,0),1),"",IF(WEEKDAY(B$14,2)=6,"",IF(WEEKDAY(B$14,2)=7,"",_xlfn.IFNA(IF(B$14=VLOOKUP(Calendário!B$14,'Dados Dinamicos'!$O:$O,1,0),"FERIADO",VLOOKUP(B$14,'Relatório GERAL'!$A:$AN,'Dados Dinamicos'!$T$4,0)),IF(VLOOKUP(B$14,'Relatório GERAL'!$A:$AN,'Dados Dinamicos'!$T$4,0)=0,"",VLOOKUP(B$14,'Relatório GERAL'!$A:$AN,'Dados Dinamicos'!$T$4,0))))))</f>
        <v/>
      </c>
      <c r="C17" s="24" t="str">
        <f>IF(C$14&lt;DATE(AnoAExibir,VLOOKUP(MêsAExibir,'Dados Dinamicos'!$A$1:$B$12,2,0),1),"",IF(WEEKDAY(C$14,2)=6,"",IF(WEEKDAY(C$14,2)=7,"",_xlfn.IFNA(IF(C$14=VLOOKUP(Calendário!C$14,'Dados Dinamicos'!$O:$O,1,0),"FERIADO",VLOOKUP(C$14,'Relatório GERAL'!$A:$AN,'Dados Dinamicos'!$T$4,0)),IF(VLOOKUP(C$14,'Relatório GERAL'!$A:$AN,'Dados Dinamicos'!$T$4,0)=0,"",VLOOKUP(C$14,'Relatório GERAL'!$A:$AN,'Dados Dinamicos'!$T$4,0))))))</f>
        <v/>
      </c>
      <c r="D17" s="24" t="str">
        <f>IF(D$14&lt;DATE(AnoAExibir,VLOOKUP(MêsAExibir,'Dados Dinamicos'!$A$1:$B$12,2,0),1),"",IF(WEEKDAY(D$14,2)=6,"",IF(WEEKDAY(D$14,2)=7,"",_xlfn.IFNA(IF(D$14=VLOOKUP(Calendário!D$14,'Dados Dinamicos'!$O:$O,1,0),"FERIADO",VLOOKUP(D$14,'Relatório GERAL'!$A:$AN,'Dados Dinamicos'!$T$4,0)),IF(VLOOKUP(D$14,'Relatório GERAL'!$A:$AN,'Dados Dinamicos'!$T$4,0)=0,"",VLOOKUP(D$14,'Relatório GERAL'!$A:$AN,'Dados Dinamicos'!$T$4,0))))))</f>
        <v/>
      </c>
      <c r="E17" s="24" t="str">
        <f>IF(E$14&lt;DATE(AnoAExibir,VLOOKUP(MêsAExibir,'Dados Dinamicos'!$A$1:$B$12,2,0),1),"",IF(WEEKDAY(E$14,2)=6,"",IF(WEEKDAY(E$14,2)=7,"",_xlfn.IFNA(IF(E$14=VLOOKUP(Calendário!E$14,'Dados Dinamicos'!$O:$O,1,0),"FERIADO",VLOOKUP(E$14,'Relatório GERAL'!$A:$AN,'Dados Dinamicos'!$T$4,0)),IF(VLOOKUP(E$14,'Relatório GERAL'!$A:$AN,'Dados Dinamicos'!$T$4,0)=0,"",VLOOKUP(E$14,'Relatório GERAL'!$A:$AN,'Dados Dinamicos'!$T$4,0))))))</f>
        <v/>
      </c>
      <c r="F17" s="24" t="str">
        <f>IF(F$14&lt;DATE(AnoAExibir,VLOOKUP(MêsAExibir,'Dados Dinamicos'!$A$1:$B$12,2,0),1),"",IF(WEEKDAY(F$14,2)=6,"",IF(WEEKDAY(F$14,2)=7,"",_xlfn.IFNA(IF(F$14=VLOOKUP(Calendário!F$14,'Dados Dinamicos'!$O:$O,1,0),"FERIADO",VLOOKUP(F$14,'Relatório GERAL'!$A:$AN,'Dados Dinamicos'!$T$4,0)),IF(VLOOKUP(F$14,'Relatório GERAL'!$A:$AN,'Dados Dinamicos'!$T$4,0)=0,"",VLOOKUP(F$14,'Relatório GERAL'!$A:$AN,'Dados Dinamicos'!$T$4,0))))))</f>
        <v/>
      </c>
      <c r="G17" s="24" t="str">
        <f>IF(G$14&lt;DATE(AnoAExibir,VLOOKUP(MêsAExibir,'Dados Dinamicos'!$A$1:$B$12,2,0),1),"",IF(WEEKDAY(G$14,2)=6,"",IF(WEEKDAY(G$14,2)=7,"",_xlfn.IFNA(IF(G$14=VLOOKUP(Calendário!G$14,'Dados Dinamicos'!$O:$O,1,0),"FERIADO",VLOOKUP(G$14,'Relatório GERAL'!$A:$AN,'Dados Dinamicos'!$T$4,0)),IF(VLOOKUP(G$14,'Relatório GERAL'!$A:$AN,'Dados Dinamicos'!$T$4,0)=0,"",VLOOKUP(G$14,'Relatório GERAL'!$A:$AN,'Dados Dinamicos'!$T$4,0))))))</f>
        <v/>
      </c>
      <c r="H17" s="24" t="str">
        <f>IF(H$14&lt;DATE(AnoAExibir,VLOOKUP(MêsAExibir,'Dados Dinamicos'!$A$1:$B$12,2,0),1),"",IF(WEEKDAY(H$14,2)=6,"",IF(WEEKDAY(H$14,2)=7,"",_xlfn.IFNA(IF(H$14=VLOOKUP(Calendário!H$14,'Dados Dinamicos'!$O:$O,1,0),"FERIADO",VLOOKUP(H$14,'Relatório GERAL'!$A:$AN,'Dados Dinamicos'!$T$4,0)),IF(VLOOKUP(H$14,'Relatório GERAL'!$A:$AN,'Dados Dinamicos'!$T$4,0)=0,"",VLOOKUP(H$14,'Relatório GERAL'!$A:$AN,'Dados Dinamicos'!$T$4,0))))))</f>
        <v/>
      </c>
    </row>
    <row r="18" spans="2:8" ht="14.25" customHeight="1" x14ac:dyDescent="0.2">
      <c r="B18" s="24" t="str">
        <f>IF(B$14&lt;DATE(AnoAExibir,VLOOKUP(MêsAExibir,'Dados Dinamicos'!$A$1:$B$12,2,0),1),"",IF(WEEKDAY(B$14,2)=6,"",IF(WEEKDAY(B$14,2)=7,"",_xlfn.IFNA(IF(B$14=VLOOKUP(Calendário!B$14,'Dados Dinamicos'!$O:$O,1,0),"FERIADO",VLOOKUP(B$14,'Relatório GERAL'!$A:$AN,'Dados Dinamicos'!$T$5,0)),IF(VLOOKUP(B$14,'Relatório GERAL'!$A:$AN,'Dados Dinamicos'!$T$5,0)=0,"",VLOOKUP(B$14,'Relatório GERAL'!$A:$AN,'Dados Dinamicos'!$T$5,0))))))</f>
        <v/>
      </c>
      <c r="C18" s="24" t="str">
        <f>IF(C$14&lt;DATE(AnoAExibir,VLOOKUP(MêsAExibir,'Dados Dinamicos'!$A$1:$B$12,2,0),1),"",IF(WEEKDAY(C$14,2)=6,"",IF(WEEKDAY(C$14,2)=7,"",_xlfn.IFNA(IF(C$14=VLOOKUP(Calendário!C$14,'Dados Dinamicos'!$O:$O,1,0),"FERIADO",VLOOKUP(C$14,'Relatório GERAL'!$A:$AN,'Dados Dinamicos'!$T$5,0)),IF(VLOOKUP(C$14,'Relatório GERAL'!$A:$AN,'Dados Dinamicos'!$T$5,0)=0,"",VLOOKUP(C$14,'Relatório GERAL'!$A:$AN,'Dados Dinamicos'!$T$5,0))))))</f>
        <v/>
      </c>
      <c r="D18" s="24" t="str">
        <f>IF(D$14&lt;DATE(AnoAExibir,VLOOKUP(MêsAExibir,'Dados Dinamicos'!$A$1:$B$12,2,0),1),"",IF(WEEKDAY(D$14,2)=6,"",IF(WEEKDAY(D$14,2)=7,"",_xlfn.IFNA(IF(D$14=VLOOKUP(Calendário!D$14,'Dados Dinamicos'!$O:$O,1,0),"FERIADO",VLOOKUP(D$14,'Relatório GERAL'!$A:$AN,'Dados Dinamicos'!$T$5,0)),IF(VLOOKUP(D$14,'Relatório GERAL'!$A:$AN,'Dados Dinamicos'!$T$5,0)=0,"",VLOOKUP(D$14,'Relatório GERAL'!$A:$AN,'Dados Dinamicos'!$T$5,0))))))</f>
        <v/>
      </c>
      <c r="E18" s="24" t="str">
        <f>IF(E$14&lt;DATE(AnoAExibir,VLOOKUP(MêsAExibir,'Dados Dinamicos'!$A$1:$B$12,2,0),1),"",IF(WEEKDAY(E$14,2)=6,"",IF(WEEKDAY(E$14,2)=7,"",_xlfn.IFNA(IF(E$14=VLOOKUP(Calendário!E$14,'Dados Dinamicos'!$O:$O,1,0),"FERIADO",VLOOKUP(E$14,'Relatório GERAL'!$A:$AN,'Dados Dinamicos'!$T$5,0)),IF(VLOOKUP(E$14,'Relatório GERAL'!$A:$AN,'Dados Dinamicos'!$T$5,0)=0,"",VLOOKUP(E$14,'Relatório GERAL'!$A:$AN,'Dados Dinamicos'!$T$5,0))))))</f>
        <v/>
      </c>
      <c r="F18" s="24">
        <f>IF(F$14&lt;DATE(AnoAExibir,VLOOKUP(MêsAExibir,'Dados Dinamicos'!$A$1:$B$12,2,0),1),"",IF(WEEKDAY(F$14,2)=6,"",IF(WEEKDAY(F$14,2)=7,"",_xlfn.IFNA(IF(F$14=VLOOKUP(Calendário!F$14,'Dados Dinamicos'!$O:$O,1,0),"FERIADO",VLOOKUP(F$14,'Relatório GERAL'!$A:$AN,'Dados Dinamicos'!$T$5,0)),IF(VLOOKUP(F$14,'Relatório GERAL'!$A:$AN,'Dados Dinamicos'!$T$5,0)=0,"",VLOOKUP(F$14,'Relatório GERAL'!$A:$AN,'Dados Dinamicos'!$T$5,0))))))</f>
        <v>0.30985915492957744</v>
      </c>
      <c r="G18" s="24" t="str">
        <f>IF(G$14&lt;DATE(AnoAExibir,VLOOKUP(MêsAExibir,'Dados Dinamicos'!$A$1:$B$12,2,0),1),"",IF(WEEKDAY(G$14,2)=6,"",IF(WEEKDAY(G$14,2)=7,"",_xlfn.IFNA(IF(G$14=VLOOKUP(Calendário!G$14,'Dados Dinamicos'!$O:$O,1,0),"FERIADO",VLOOKUP(G$14,'Relatório GERAL'!$A:$AN,'Dados Dinamicos'!$T$5,0)),IF(VLOOKUP(G$14,'Relatório GERAL'!$A:$AN,'Dados Dinamicos'!$T$5,0)=0,"",VLOOKUP(G$14,'Relatório GERAL'!$A:$AN,'Dados Dinamicos'!$T$5,0))))))</f>
        <v/>
      </c>
      <c r="H18" s="24" t="str">
        <f>IF(H$14&lt;DATE(AnoAExibir,VLOOKUP(MêsAExibir,'Dados Dinamicos'!$A$1:$B$12,2,0),1),"",IF(WEEKDAY(H$14,2)=6,"",IF(WEEKDAY(H$14,2)=7,"",_xlfn.IFNA(IF(H$14=VLOOKUP(Calendário!H$14,'Dados Dinamicos'!$O:$O,1,0),"FERIADO",VLOOKUP(H$14,'Relatório GERAL'!$A:$AN,'Dados Dinamicos'!$T$5,0)),IF(VLOOKUP(H$14,'Relatório GERAL'!$A:$AN,'Dados Dinamicos'!$T$5,0)=0,"",VLOOKUP(H$14,'Relatório GERAL'!$A:$AN,'Dados Dinamicos'!$T$5,0))))))</f>
        <v/>
      </c>
    </row>
    <row r="19" spans="2:8" ht="14.25" customHeight="1" x14ac:dyDescent="0.2">
      <c r="B19" s="25">
        <f>IFERROR(INDEX(calendário,ndx+2,1),"")</f>
        <v>42505</v>
      </c>
      <c r="C19" s="25">
        <f>IFERROR(INDEX(calendário,ndx+2,2),"")</f>
        <v>42506</v>
      </c>
      <c r="D19" s="25">
        <f>IFERROR(INDEX(calendário,ndx+2,3),"")</f>
        <v>42507</v>
      </c>
      <c r="E19" s="25">
        <f>IFERROR(INDEX(calendário,ndx+2,4),"")</f>
        <v>42508</v>
      </c>
      <c r="F19" s="25">
        <f>IFERROR(INDEX(calendário,ndx+2,5),"")</f>
        <v>42509</v>
      </c>
      <c r="G19" s="25">
        <f>IFERROR(INDEX(calendário,ndx+2,6),"")</f>
        <v>42510</v>
      </c>
      <c r="H19" s="25">
        <f>IFERROR(INDEX(calendário,ndx+2,7),"")</f>
        <v>42511</v>
      </c>
    </row>
    <row r="20" spans="2:8" ht="14.25" customHeight="1" x14ac:dyDescent="0.2">
      <c r="B20" s="24" t="str">
        <f>IF(B$19&lt;DATE(AnoAExibir,VLOOKUP(MêsAExibir,'Dados Dinamicos'!$A$1:$B$12,2,0),1),"",IF(WEEKDAY(B$19,2)=6,"",IF(WEEKDAY(B$19,2)=7,"",_xlfn.IFNA(IF(B$19=VLOOKUP(Calendário!B$19,'Dados Dinamicos'!$O:$O,1,0),"FERIADO",VLOOKUP(B$19,'Relatório GERAL'!$A:$AN,'Dados Dinamicos'!$T$2,0)),IF(VLOOKUP(B$19,'Relatório GERAL'!$A:$AN,'Dados Dinamicos'!$T$2,0)=0,"",VLOOKUP(B$19,'Relatório GERAL'!$A:$AN,'Dados Dinamicos'!$T$2,0))))))</f>
        <v/>
      </c>
      <c r="C20" s="24">
        <f>IF(C$19&lt;DATE(AnoAExibir,VLOOKUP(MêsAExibir,'Dados Dinamicos'!$A$1:$B$12,2,0),1),"",IF(WEEKDAY(C$19,2)=6,"",IF(WEEKDAY(C$19,2)=7,"",_xlfn.IFNA(IF(C$19=VLOOKUP(Calendário!C$19,'Dados Dinamicos'!$O:$O,1,0),"FERIADO",VLOOKUP(C$19,'Relatório GERAL'!$A:$AN,'Dados Dinamicos'!$T$2,0)),IF(VLOOKUP(C$19,'Relatório GERAL'!$A:$AN,'Dados Dinamicos'!$T$2,0)=0,"",VLOOKUP(C$19,'Relatório GERAL'!$A:$AN,'Dados Dinamicos'!$T$2,0))))))</f>
        <v>5.6338028169014086E-2</v>
      </c>
      <c r="D20" s="24">
        <f>IF(D$19&lt;DATE(AnoAExibir,VLOOKUP(MêsAExibir,'Dados Dinamicos'!$A$1:$B$12,2,0),1),"",IF(WEEKDAY(D$19,2)=6,"",IF(WEEKDAY(D$19,2)=7,"",_xlfn.IFNA(IF(D$19=VLOOKUP(Calendário!D$19,'Dados Dinamicos'!$O:$O,1,0),"FERIADO",VLOOKUP(D$19,'Relatório GERAL'!$A:$AN,'Dados Dinamicos'!$T$2,0)),IF(VLOOKUP(D$19,'Relatório GERAL'!$A:$AN,'Dados Dinamicos'!$T$2,0)=0,"",VLOOKUP(D$19,'Relatório GERAL'!$A:$AN,'Dados Dinamicos'!$T$2,0))))))</f>
        <v>5.6338028169014086E-2</v>
      </c>
      <c r="E20" s="24">
        <f>IF(E$19&lt;DATE(AnoAExibir,VLOOKUP(MêsAExibir,'Dados Dinamicos'!$A$1:$B$12,2,0),1),"",IF(WEEKDAY(E$19,2)=6,"",IF(WEEKDAY(E$19,2)=7,"",_xlfn.IFNA(IF(E$19=VLOOKUP(Calendário!E$19,'Dados Dinamicos'!$O:$O,1,0),"FERIADO",VLOOKUP(E$19,'Relatório GERAL'!$A:$AN,'Dados Dinamicos'!$T$2,0)),IF(VLOOKUP(E$19,'Relatório GERAL'!$A:$AN,'Dados Dinamicos'!$T$2,0)=0,"",VLOOKUP(E$19,'Relatório GERAL'!$A:$AN,'Dados Dinamicos'!$T$2,0))))))</f>
        <v>5.6338028169014086E-2</v>
      </c>
      <c r="F20" s="24">
        <f>IF(F$19&lt;DATE(AnoAExibir,VLOOKUP(MêsAExibir,'Dados Dinamicos'!$A$1:$B$12,2,0),1),"",IF(WEEKDAY(F$19,2)=6,"",IF(WEEKDAY(F$19,2)=7,"",_xlfn.IFNA(IF(F$19=VLOOKUP(Calendário!F$19,'Dados Dinamicos'!$O:$O,1,0),"FERIADO",VLOOKUP(F$19,'Relatório GERAL'!$A:$AN,'Dados Dinamicos'!$T$2,0)),IF(VLOOKUP(F$19,'Relatório GERAL'!$A:$AN,'Dados Dinamicos'!$T$2,0)=0,"",VLOOKUP(F$19,'Relatório GERAL'!$A:$AN,'Dados Dinamicos'!$T$2,0))))))</f>
        <v>5.6338028169014086E-2</v>
      </c>
      <c r="G20" s="24">
        <f>IF(G$19&lt;DATE(AnoAExibir,VLOOKUP(MêsAExibir,'Dados Dinamicos'!$A$1:$B$12,2,0),1),"",IF(WEEKDAY(G$19,2)=6,"",IF(WEEKDAY(G$19,2)=7,"",_xlfn.IFNA(IF(G$19=VLOOKUP(Calendário!G$19,'Dados Dinamicos'!$O:$O,1,0),"FERIADO",VLOOKUP(G$19,'Relatório GERAL'!$A:$AN,'Dados Dinamicos'!$T$2,0)),IF(VLOOKUP(G$19,'Relatório GERAL'!$A:$AN,'Dados Dinamicos'!$T$2,0)=0,"",VLOOKUP(G$19,'Relatório GERAL'!$A:$AN,'Dados Dinamicos'!$T$2,0))))))</f>
        <v>0.16901408450704225</v>
      </c>
      <c r="H20" s="24" t="str">
        <f>IF(H$19&lt;DATE(AnoAExibir,VLOOKUP(MêsAExibir,'Dados Dinamicos'!$A$1:$B$12,2,0),1),"",IF(WEEKDAY(H$19,2)=6,"",IF(WEEKDAY(H$19,2)=7,"",_xlfn.IFNA(IF(H$19=VLOOKUP(Calendário!H$19,'Dados Dinamicos'!$O:$O,1,0),"FERIADO",VLOOKUP(H$19,'Relatório GERAL'!$A:$AN,'Dados Dinamicos'!$T$2,0)),IF(VLOOKUP(H$19,'Relatório GERAL'!$A:$AN,'Dados Dinamicos'!$T$2,0)=0,"",VLOOKUP(H$19,'Relatório GERAL'!$A:$AN,'Dados Dinamicos'!$T$2,0))))))</f>
        <v/>
      </c>
    </row>
    <row r="21" spans="2:8" ht="14.25" customHeight="1" x14ac:dyDescent="0.2">
      <c r="B21" s="24" t="str">
        <f>IF(B$19&lt;DATE(AnoAExibir,VLOOKUP(MêsAExibir,'Dados Dinamicos'!$A$1:$B$12,2,0),1),"",IF(WEEKDAY(B$19,2)=6,"",IF(WEEKDAY(B$19,2)=7,"",_xlfn.IFNA(IF(B$19=VLOOKUP(Calendário!B$19,'Dados Dinamicos'!$O:$O,1,0),"FERIADO",VLOOKUP(B$19,'Relatório GERAL'!$A:$AN,'Dados Dinamicos'!$T$3,0)),IF(VLOOKUP(B$19,'Relatório GERAL'!$A:$AN,'Dados Dinamicos'!$T$3,0)=0,"",VLOOKUP(B$19,'Relatório GERAL'!$A:$AN,'Dados Dinamicos'!$T$3,0))))))</f>
        <v/>
      </c>
      <c r="C21" s="24">
        <f>IF(C$19&lt;DATE(AnoAExibir,VLOOKUP(MêsAExibir,'Dados Dinamicos'!$A$1:$B$12,2,0),1),"",IF(WEEKDAY(C$19,2)=6,"",IF(WEEKDAY(C$19,2)=7,"",_xlfn.IFNA(IF(C$19=VLOOKUP(Calendário!C$19,'Dados Dinamicos'!$O:$O,1,0),"FERIADO",VLOOKUP(C$19,'Relatório GERAL'!$A:$AN,'Dados Dinamicos'!$T$3,0)),IF(VLOOKUP(C$19,'Relatório GERAL'!$A:$AN,'Dados Dinamicos'!$T$3,0)=0,"",VLOOKUP(C$19,'Relatório GERAL'!$A:$AN,'Dados Dinamicos'!$T$3,0))))))</f>
        <v>5.6338028169014086E-2</v>
      </c>
      <c r="D21" s="24" t="str">
        <f>IF(D$19&lt;DATE(AnoAExibir,VLOOKUP(MêsAExibir,'Dados Dinamicos'!$A$1:$B$12,2,0),1),"",IF(WEEKDAY(D$19,2)=6,"",IF(WEEKDAY(D$19,2)=7,"",_xlfn.IFNA(IF(D$19=VLOOKUP(Calendário!D$19,'Dados Dinamicos'!$O:$O,1,0),"FERIADO",VLOOKUP(D$19,'Relatório GERAL'!$A:$AN,'Dados Dinamicos'!$T$3,0)),IF(VLOOKUP(D$19,'Relatório GERAL'!$A:$AN,'Dados Dinamicos'!$T$3,0)=0,"",VLOOKUP(D$19,'Relatório GERAL'!$A:$AN,'Dados Dinamicos'!$T$3,0))))))</f>
        <v/>
      </c>
      <c r="E21" s="24" t="str">
        <f>IF(E$19&lt;DATE(AnoAExibir,VLOOKUP(MêsAExibir,'Dados Dinamicos'!$A$1:$B$12,2,0),1),"",IF(WEEKDAY(E$19,2)=6,"",IF(WEEKDAY(E$19,2)=7,"",_xlfn.IFNA(IF(E$19=VLOOKUP(Calendário!E$19,'Dados Dinamicos'!$O:$O,1,0),"FERIADO",VLOOKUP(E$19,'Relatório GERAL'!$A:$AN,'Dados Dinamicos'!$T$3,0)),IF(VLOOKUP(E$19,'Relatório GERAL'!$A:$AN,'Dados Dinamicos'!$T$3,0)=0,"",VLOOKUP(E$19,'Relatório GERAL'!$A:$AN,'Dados Dinamicos'!$T$3,0))))))</f>
        <v/>
      </c>
      <c r="F21" s="24" t="str">
        <f>IF(F$19&lt;DATE(AnoAExibir,VLOOKUP(MêsAExibir,'Dados Dinamicos'!$A$1:$B$12,2,0),1),"",IF(WEEKDAY(F$19,2)=6,"",IF(WEEKDAY(F$19,2)=7,"",_xlfn.IFNA(IF(F$19=VLOOKUP(Calendário!F$19,'Dados Dinamicos'!$O:$O,1,0),"FERIADO",VLOOKUP(F$19,'Relatório GERAL'!$A:$AN,'Dados Dinamicos'!$T$3,0)),IF(VLOOKUP(F$19,'Relatório GERAL'!$A:$AN,'Dados Dinamicos'!$T$3,0)=0,"",VLOOKUP(F$19,'Relatório GERAL'!$A:$AN,'Dados Dinamicos'!$T$3,0))))))</f>
        <v/>
      </c>
      <c r="G21" s="24" t="str">
        <f>IF(G$19&lt;DATE(AnoAExibir,VLOOKUP(MêsAExibir,'Dados Dinamicos'!$A$1:$B$12,2,0),1),"",IF(WEEKDAY(G$19,2)=6,"",IF(WEEKDAY(G$19,2)=7,"",_xlfn.IFNA(IF(G$19=VLOOKUP(Calendário!G$19,'Dados Dinamicos'!$O:$O,1,0),"FERIADO",VLOOKUP(G$19,'Relatório GERAL'!$A:$AN,'Dados Dinamicos'!$T$3,0)),IF(VLOOKUP(G$19,'Relatório GERAL'!$A:$AN,'Dados Dinamicos'!$T$3,0)=0,"",VLOOKUP(G$19,'Relatório GERAL'!$A:$AN,'Dados Dinamicos'!$T$3,0))))))</f>
        <v/>
      </c>
      <c r="H21" s="24" t="str">
        <f>IF(H$19&lt;DATE(AnoAExibir,VLOOKUP(MêsAExibir,'Dados Dinamicos'!$A$1:$B$12,2,0),1),"",IF(WEEKDAY(H$19,2)=6,"",IF(WEEKDAY(H$19,2)=7,"",_xlfn.IFNA(IF(H$19=VLOOKUP(Calendário!H$19,'Dados Dinamicos'!$O:$O,1,0),"FERIADO",VLOOKUP(H$19,'Relatório GERAL'!$A:$AN,'Dados Dinamicos'!$T$3,0)),IF(VLOOKUP(H$19,'Relatório GERAL'!$A:$AN,'Dados Dinamicos'!$T$3,0)=0,"",VLOOKUP(H$19,'Relatório GERAL'!$A:$AN,'Dados Dinamicos'!$T$3,0))))))</f>
        <v/>
      </c>
    </row>
    <row r="22" spans="2:8" ht="14.25" customHeight="1" x14ac:dyDescent="0.2">
      <c r="B22" s="24" t="str">
        <f>IF(B$19&lt;DATE(AnoAExibir,VLOOKUP(MêsAExibir,'Dados Dinamicos'!$A$1:$B$12,2,0),1),"",IF(WEEKDAY(B$19,2)=6,"",IF(WEEKDAY(B$19,2)=7,"",_xlfn.IFNA(IF(B$19=VLOOKUP(Calendário!B$19,'Dados Dinamicos'!$O:$O,1,0),"FERIADO",VLOOKUP(B$19,'Relatório GERAL'!$A:$AN,'Dados Dinamicos'!$T$4,0)),IF(VLOOKUP(B$19,'Relatório GERAL'!$A:$AN,'Dados Dinamicos'!$T$4,0)=0,"",VLOOKUP(B$19,'Relatório GERAL'!$A:$AN,'Dados Dinamicos'!$T$4,0))))))</f>
        <v/>
      </c>
      <c r="C22" s="24" t="str">
        <f>IF(C$19&lt;DATE(AnoAExibir,VLOOKUP(MêsAExibir,'Dados Dinamicos'!$A$1:$B$12,2,0),1),"",IF(WEEKDAY(C$19,2)=6,"",IF(WEEKDAY(C$19,2)=7,"",_xlfn.IFNA(IF(C$19=VLOOKUP(Calendário!C$19,'Dados Dinamicos'!$O:$O,1,0),"FERIADO",VLOOKUP(C$19,'Relatório GERAL'!$A:$AN,'Dados Dinamicos'!$T$4,0)),IF(VLOOKUP(C$19,'Relatório GERAL'!$A:$AN,'Dados Dinamicos'!$T$4,0)=0,"",VLOOKUP(C$19,'Relatório GERAL'!$A:$AN,'Dados Dinamicos'!$T$4,0))))))</f>
        <v/>
      </c>
      <c r="D22" s="24" t="str">
        <f>IF(D$19&lt;DATE(AnoAExibir,VLOOKUP(MêsAExibir,'Dados Dinamicos'!$A$1:$B$12,2,0),1),"",IF(WEEKDAY(D$19,2)=6,"",IF(WEEKDAY(D$19,2)=7,"",_xlfn.IFNA(IF(D$19=VLOOKUP(Calendário!D$19,'Dados Dinamicos'!$O:$O,1,0),"FERIADO",VLOOKUP(D$19,'Relatório GERAL'!$A:$AN,'Dados Dinamicos'!$T$4,0)),IF(VLOOKUP(D$19,'Relatório GERAL'!$A:$AN,'Dados Dinamicos'!$T$4,0)=0,"",VLOOKUP(D$19,'Relatório GERAL'!$A:$AN,'Dados Dinamicos'!$T$4,0))))))</f>
        <v/>
      </c>
      <c r="E22" s="24" t="str">
        <f>IF(E$19&lt;DATE(AnoAExibir,VLOOKUP(MêsAExibir,'Dados Dinamicos'!$A$1:$B$12,2,0),1),"",IF(WEEKDAY(E$19,2)=6,"",IF(WEEKDAY(E$19,2)=7,"",_xlfn.IFNA(IF(E$19=VLOOKUP(Calendário!E$19,'Dados Dinamicos'!$O:$O,1,0),"FERIADO",VLOOKUP(E$19,'Relatório GERAL'!$A:$AN,'Dados Dinamicos'!$T$4,0)),IF(VLOOKUP(E$19,'Relatório GERAL'!$A:$AN,'Dados Dinamicos'!$T$4,0)=0,"",VLOOKUP(E$19,'Relatório GERAL'!$A:$AN,'Dados Dinamicos'!$T$4,0))))))</f>
        <v/>
      </c>
      <c r="F22" s="24" t="str">
        <f>IF(F$19&lt;DATE(AnoAExibir,VLOOKUP(MêsAExibir,'Dados Dinamicos'!$A$1:$B$12,2,0),1),"",IF(WEEKDAY(F$19,2)=6,"",IF(WEEKDAY(F$19,2)=7,"",_xlfn.IFNA(IF(F$19=VLOOKUP(Calendário!F$19,'Dados Dinamicos'!$O:$O,1,0),"FERIADO",VLOOKUP(F$19,'Relatório GERAL'!$A:$AN,'Dados Dinamicos'!$T$4,0)),IF(VLOOKUP(F$19,'Relatório GERAL'!$A:$AN,'Dados Dinamicos'!$T$4,0)=0,"",VLOOKUP(F$19,'Relatório GERAL'!$A:$AN,'Dados Dinamicos'!$T$4,0))))))</f>
        <v/>
      </c>
      <c r="G22" s="24" t="str">
        <f>IF(G$19&lt;DATE(AnoAExibir,VLOOKUP(MêsAExibir,'Dados Dinamicos'!$A$1:$B$12,2,0),1),"",IF(WEEKDAY(G$19,2)=6,"",IF(WEEKDAY(G$19,2)=7,"",_xlfn.IFNA(IF(G$19=VLOOKUP(Calendário!G$19,'Dados Dinamicos'!$O:$O,1,0),"FERIADO",VLOOKUP(G$19,'Relatório GERAL'!$A:$AN,'Dados Dinamicos'!$T$4,0)),IF(VLOOKUP(G$19,'Relatório GERAL'!$A:$AN,'Dados Dinamicos'!$T$4,0)=0,"",VLOOKUP(G$19,'Relatório GERAL'!$A:$AN,'Dados Dinamicos'!$T$4,0))))))</f>
        <v/>
      </c>
      <c r="H22" s="24" t="str">
        <f>IF(H$19&lt;DATE(AnoAExibir,VLOOKUP(MêsAExibir,'Dados Dinamicos'!$A$1:$B$12,2,0),1),"",IF(WEEKDAY(H$19,2)=6,"",IF(WEEKDAY(H$19,2)=7,"",_xlfn.IFNA(IF(H$19=VLOOKUP(Calendário!H$19,'Dados Dinamicos'!$O:$O,1,0),"FERIADO",VLOOKUP(H$19,'Relatório GERAL'!$A:$AN,'Dados Dinamicos'!$T$4,0)),IF(VLOOKUP(H$19,'Relatório GERAL'!$A:$AN,'Dados Dinamicos'!$T$4,0)=0,"",VLOOKUP(H$19,'Relatório GERAL'!$A:$AN,'Dados Dinamicos'!$T$4,0))))))</f>
        <v/>
      </c>
    </row>
    <row r="23" spans="2:8" ht="14.25" customHeight="1" x14ac:dyDescent="0.2">
      <c r="B23" s="24" t="str">
        <f>IF(B$19&lt;DATE(AnoAExibir,VLOOKUP(MêsAExibir,'Dados Dinamicos'!$A$1:$B$12,2,0),1),"",IF(WEEKDAY(B$19,2)=6,"",IF(WEEKDAY(B$19,2)=7,"",_xlfn.IFNA(IF(B$19=VLOOKUP(Calendário!B$19,'Dados Dinamicos'!$O:$O,1,0),"FERIADO",VLOOKUP(B$19,'Relatório GERAL'!$A:$AN,'Dados Dinamicos'!$T$5,0)),IF(VLOOKUP(B$19,'Relatório GERAL'!$A:$AN,'Dados Dinamicos'!$T$5,0)=0,"",VLOOKUP(B$19,'Relatório GERAL'!$A:$AN,'Dados Dinamicos'!$T$5,0))))))</f>
        <v/>
      </c>
      <c r="C23" s="24">
        <f>IF(C$19&lt;DATE(AnoAExibir,VLOOKUP(MêsAExibir,'Dados Dinamicos'!$A$1:$B$12,2,0),1),"",IF(WEEKDAY(C$19,2)=6,"",IF(WEEKDAY(C$19,2)=7,"",_xlfn.IFNA(IF(C$19=VLOOKUP(Calendário!C$19,'Dados Dinamicos'!$O:$O,1,0),"FERIADO",VLOOKUP(C$19,'Relatório GERAL'!$A:$AN,'Dados Dinamicos'!$T$5,0)),IF(VLOOKUP(C$19,'Relatório GERAL'!$A:$AN,'Dados Dinamicos'!$T$5,0)=0,"",VLOOKUP(C$19,'Relatório GERAL'!$A:$AN,'Dados Dinamicos'!$T$5,0))))))</f>
        <v>0.71830985915492962</v>
      </c>
      <c r="D23" s="24">
        <f>IF(D$19&lt;DATE(AnoAExibir,VLOOKUP(MêsAExibir,'Dados Dinamicos'!$A$1:$B$12,2,0),1),"",IF(WEEKDAY(D$19,2)=6,"",IF(WEEKDAY(D$19,2)=7,"",_xlfn.IFNA(IF(D$19=VLOOKUP(Calendário!D$19,'Dados Dinamicos'!$O:$O,1,0),"FERIADO",VLOOKUP(D$19,'Relatório GERAL'!$A:$AN,'Dados Dinamicos'!$T$5,0)),IF(VLOOKUP(D$19,'Relatório GERAL'!$A:$AN,'Dados Dinamicos'!$T$5,0)=0,"",VLOOKUP(D$19,'Relatório GERAL'!$A:$AN,'Dados Dinamicos'!$T$5,0))))))</f>
        <v>0.83098591549295775</v>
      </c>
      <c r="E23" s="24">
        <f>IF(E$19&lt;DATE(AnoAExibir,VLOOKUP(MêsAExibir,'Dados Dinamicos'!$A$1:$B$12,2,0),1),"",IF(WEEKDAY(E$19,2)=6,"",IF(WEEKDAY(E$19,2)=7,"",_xlfn.IFNA(IF(E$19=VLOOKUP(Calendário!E$19,'Dados Dinamicos'!$O:$O,1,0),"FERIADO",VLOOKUP(E$19,'Relatório GERAL'!$A:$AN,'Dados Dinamicos'!$T$5,0)),IF(VLOOKUP(E$19,'Relatório GERAL'!$A:$AN,'Dados Dinamicos'!$T$5,0)=0,"",VLOOKUP(E$19,'Relatório GERAL'!$A:$AN,'Dados Dinamicos'!$T$5,0))))))</f>
        <v>0.83098591549295775</v>
      </c>
      <c r="F23" s="24">
        <f>IF(F$19&lt;DATE(AnoAExibir,VLOOKUP(MêsAExibir,'Dados Dinamicos'!$A$1:$B$12,2,0),1),"",IF(WEEKDAY(F$19,2)=6,"",IF(WEEKDAY(F$19,2)=7,"",_xlfn.IFNA(IF(F$19=VLOOKUP(Calendário!F$19,'Dados Dinamicos'!$O:$O,1,0),"FERIADO",VLOOKUP(F$19,'Relatório GERAL'!$A:$AN,'Dados Dinamicos'!$T$5,0)),IF(VLOOKUP(F$19,'Relatório GERAL'!$A:$AN,'Dados Dinamicos'!$T$5,0)=0,"",VLOOKUP(F$19,'Relatório GERAL'!$A:$AN,'Dados Dinamicos'!$T$5,0))))))</f>
        <v>0.83098591549295775</v>
      </c>
      <c r="G23" s="24">
        <f>IF(G$19&lt;DATE(AnoAExibir,VLOOKUP(MêsAExibir,'Dados Dinamicos'!$A$1:$B$12,2,0),1),"",IF(WEEKDAY(G$19,2)=6,"",IF(WEEKDAY(G$19,2)=7,"",_xlfn.IFNA(IF(G$19=VLOOKUP(Calendário!G$19,'Dados Dinamicos'!$O:$O,1,0),"FERIADO",VLOOKUP(G$19,'Relatório GERAL'!$A:$AN,'Dados Dinamicos'!$T$5,0)),IF(VLOOKUP(G$19,'Relatório GERAL'!$A:$AN,'Dados Dinamicos'!$T$5,0)=0,"",VLOOKUP(G$19,'Relatório GERAL'!$A:$AN,'Dados Dinamicos'!$T$5,0))))))</f>
        <v>0.71830985915492962</v>
      </c>
      <c r="H23" s="24" t="str">
        <f>IF(H$19&lt;DATE(AnoAExibir,VLOOKUP(MêsAExibir,'Dados Dinamicos'!$A$1:$B$12,2,0),1),"",IF(WEEKDAY(H$19,2)=6,"",IF(WEEKDAY(H$19,2)=7,"",_xlfn.IFNA(IF(H$19=VLOOKUP(Calendário!H$19,'Dados Dinamicos'!$O:$O,1,0),"FERIADO",VLOOKUP(H$19,'Relatório GERAL'!$A:$AN,'Dados Dinamicos'!$T$5,0)),IF(VLOOKUP(H$19,'Relatório GERAL'!$A:$AN,'Dados Dinamicos'!$T$5,0)=0,"",VLOOKUP(H$19,'Relatório GERAL'!$A:$AN,'Dados Dinamicos'!$T$5,0))))))</f>
        <v/>
      </c>
    </row>
    <row r="24" spans="2:8" ht="14.25" customHeight="1" x14ac:dyDescent="0.2">
      <c r="B24" s="25">
        <f>IFERROR(INDEX(calendário,ndx+3,1),"")</f>
        <v>42512</v>
      </c>
      <c r="C24" s="25">
        <f>IFERROR(INDEX(calendário,ndx+3,2),"")</f>
        <v>42513</v>
      </c>
      <c r="D24" s="25">
        <f>IFERROR(INDEX(calendário,ndx+3,3),"")</f>
        <v>42514</v>
      </c>
      <c r="E24" s="25">
        <f>IFERROR(INDEX(calendário,ndx+3,4),"")</f>
        <v>42515</v>
      </c>
      <c r="F24" s="25">
        <f>IFERROR(INDEX(calendário,ndx+3,5),"")</f>
        <v>42516</v>
      </c>
      <c r="G24" s="25">
        <f>IFERROR(INDEX(calendário,ndx+3,6),"")</f>
        <v>42517</v>
      </c>
      <c r="H24" s="25">
        <f>IFERROR(INDEX(calendário,ndx+3,7),"")</f>
        <v>42518</v>
      </c>
    </row>
    <row r="25" spans="2:8" ht="14.25" customHeight="1" x14ac:dyDescent="0.2">
      <c r="B25" s="24" t="str">
        <f>IF(B$24&lt;DATE(AnoAExibir,VLOOKUP(MêsAExibir,'Dados Dinamicos'!$A$1:$B$12,2,0),1),"",IF(WEEKDAY(B$24,2)=6,"",IF(WEEKDAY(B$24,2)=7,"",_xlfn.IFNA(IF(B$24=VLOOKUP(Calendário!B$24,'Dados Dinamicos'!$O:$O,1,0),"FERIADO",VLOOKUP(B$24,'Relatório GERAL'!$A:$AN,'Dados Dinamicos'!$T$2,0)),IF(VLOOKUP(B$24,'Relatório GERAL'!$A:$AN,'Dados Dinamicos'!$T$2,0)=0,"",VLOOKUP(B$24,'Relatório GERAL'!$A:$AN,'Dados Dinamicos'!$T$2,0))))))</f>
        <v/>
      </c>
      <c r="C25" s="24">
        <f>IF(C$24&lt;DATE(AnoAExibir,VLOOKUP(MêsAExibir,'Dados Dinamicos'!$A$1:$B$12,2,0),1),"",IF(WEEKDAY(C$24,2)=6,"",IF(WEEKDAY(C$24,2)=7,"",_xlfn.IFNA(IF(C$24=VLOOKUP(Calendário!C$24,'Dados Dinamicos'!$O:$O,1,0),"FERIADO",VLOOKUP(C$24,'Relatório GERAL'!$A:$AN,'Dados Dinamicos'!$T$2,0)),IF(VLOOKUP(C$24,'Relatório GERAL'!$A:$AN,'Dados Dinamicos'!$T$2,0)=0,"",VLOOKUP(C$24,'Relatório GERAL'!$A:$AN,'Dados Dinamicos'!$T$2,0))))))</f>
        <v>5.6338028169014086E-2</v>
      </c>
      <c r="D25" s="24">
        <f>IF(D$24&lt;DATE(AnoAExibir,VLOOKUP(MêsAExibir,'Dados Dinamicos'!$A$1:$B$12,2,0),1),"",IF(WEEKDAY(D$24,2)=6,"",IF(WEEKDAY(D$24,2)=7,"",_xlfn.IFNA(IF(D$24=VLOOKUP(Calendário!D$24,'Dados Dinamicos'!$O:$O,1,0),"FERIADO",VLOOKUP(D$24,'Relatório GERAL'!$A:$AN,'Dados Dinamicos'!$T$2,0)),IF(VLOOKUP(D$24,'Relatório GERAL'!$A:$AN,'Dados Dinamicos'!$T$2,0)=0,"",VLOOKUP(D$24,'Relatório GERAL'!$A:$AN,'Dados Dinamicos'!$T$2,0))))))</f>
        <v>5.6338028169014086E-2</v>
      </c>
      <c r="E25" s="24">
        <f>IF(E$24&lt;DATE(AnoAExibir,VLOOKUP(MêsAExibir,'Dados Dinamicos'!$A$1:$B$12,2,0),1),"",IF(WEEKDAY(E$24,2)=6,"",IF(WEEKDAY(E$24,2)=7,"",_xlfn.IFNA(IF(E$24=VLOOKUP(Calendário!E$24,'Dados Dinamicos'!$O:$O,1,0),"FERIADO",VLOOKUP(E$24,'Relatório GERAL'!$A:$AN,'Dados Dinamicos'!$T$2,0)),IF(VLOOKUP(E$24,'Relatório GERAL'!$A:$AN,'Dados Dinamicos'!$T$2,0)=0,"",VLOOKUP(E$24,'Relatório GERAL'!$A:$AN,'Dados Dinamicos'!$T$2,0))))))</f>
        <v>5.6338028169014086E-2</v>
      </c>
      <c r="F25" s="24" t="str">
        <f>IF(F$24&lt;DATE(AnoAExibir,VLOOKUP(MêsAExibir,'Dados Dinamicos'!$A$1:$B$12,2,0),1),"",IF(WEEKDAY(F$24,2)=6,"",IF(WEEKDAY(F$24,2)=7,"",_xlfn.IFNA(IF(F$24=VLOOKUP(Calendário!F$24,'Dados Dinamicos'!$O:$O,1,0),"FERIADO",VLOOKUP(F$24,'Relatório GERAL'!$A:$AN,'Dados Dinamicos'!$T$2,0)),IF(VLOOKUP(F$24,'Relatório GERAL'!$A:$AN,'Dados Dinamicos'!$T$2,0)=0,"",VLOOKUP(F$24,'Relatório GERAL'!$A:$AN,'Dados Dinamicos'!$T$2,0))))))</f>
        <v>FERIADO</v>
      </c>
      <c r="G25" s="24">
        <f>IF(G$24&lt;DATE(AnoAExibir,VLOOKUP(MêsAExibir,'Dados Dinamicos'!$A$1:$B$12,2,0),1),"",IF(WEEKDAY(G$24,2)=6,"",IF(WEEKDAY(G$24,2)=7,"",_xlfn.IFNA(IF(G$24=VLOOKUP(Calendário!G$24,'Dados Dinamicos'!$O:$O,1,0),"FERIADO",VLOOKUP(G$24,'Relatório GERAL'!$A:$AN,'Dados Dinamicos'!$T$2,0)),IF(VLOOKUP(G$24,'Relatório GERAL'!$A:$AN,'Dados Dinamicos'!$T$2,0)=0,"",VLOOKUP(G$24,'Relatório GERAL'!$A:$AN,'Dados Dinamicos'!$T$2,0))))))</f>
        <v>0.11267605633802817</v>
      </c>
      <c r="H25" s="24" t="str">
        <f>IF(H$24&lt;DATE(AnoAExibir,VLOOKUP(MêsAExibir,'Dados Dinamicos'!$A$1:$B$12,2,0),1),"",IF(WEEKDAY(H$24,2)=6,"",IF(WEEKDAY(H$24,2)=7,"",_xlfn.IFNA(IF(H$24=VLOOKUP(Calendário!H$24,'Dados Dinamicos'!$O:$O,1,0),"FERIADO",VLOOKUP(H$24,'Relatório GERAL'!$A:$AN,'Dados Dinamicos'!$T$2,0)),IF(VLOOKUP(H$24,'Relatório GERAL'!$A:$AN,'Dados Dinamicos'!$T$2,0)=0,"",VLOOKUP(H$24,'Relatório GERAL'!$A:$AN,'Dados Dinamicos'!$T$2,0))))))</f>
        <v/>
      </c>
    </row>
    <row r="26" spans="2:8" ht="14.25" customHeight="1" x14ac:dyDescent="0.2">
      <c r="B26" s="24" t="str">
        <f>IF(B$24&lt;DATE(AnoAExibir,VLOOKUP(MêsAExibir,'Dados Dinamicos'!$A$1:$B$12,2,0),1),"",IF(WEEKDAY(B$24,2)=6,"",IF(WEEKDAY(B$24,2)=7,"",_xlfn.IFNA(IF(B$24=VLOOKUP(Calendário!B$24,'Dados Dinamicos'!$O:$O,1,0),"FERIADO",VLOOKUP(B$24,'Relatório GERAL'!$A:$AN,'Dados Dinamicos'!$T$3,0)),IF(VLOOKUP(B$24,'Relatório GERAL'!$A:$AN,'Dados Dinamicos'!$T$3,0)=0,"",VLOOKUP(B$24,'Relatório GERAL'!$A:$AN,'Dados Dinamicos'!$T$3,0))))))</f>
        <v/>
      </c>
      <c r="C26" s="24" t="str">
        <f>IF(C$24&lt;DATE(AnoAExibir,VLOOKUP(MêsAExibir,'Dados Dinamicos'!$A$1:$B$12,2,0),1),"",IF(WEEKDAY(C$24,2)=6,"",IF(WEEKDAY(C$24,2)=7,"",_xlfn.IFNA(IF(C$24=VLOOKUP(Calendário!C$24,'Dados Dinamicos'!$O:$O,1,0),"FERIADO",VLOOKUP(C$24,'Relatório GERAL'!$A:$AN,'Dados Dinamicos'!$T$3,0)),IF(VLOOKUP(C$24,'Relatório GERAL'!$A:$AN,'Dados Dinamicos'!$T$3,0)=0,"",VLOOKUP(C$24,'Relatório GERAL'!$A:$AN,'Dados Dinamicos'!$T$3,0))))))</f>
        <v/>
      </c>
      <c r="D26" s="24" t="str">
        <f>IF(D$24&lt;DATE(AnoAExibir,VLOOKUP(MêsAExibir,'Dados Dinamicos'!$A$1:$B$12,2,0),1),"",IF(WEEKDAY(D$24,2)=6,"",IF(WEEKDAY(D$24,2)=7,"",_xlfn.IFNA(IF(D$24=VLOOKUP(Calendário!D$24,'Dados Dinamicos'!$O:$O,1,0),"FERIADO",VLOOKUP(D$24,'Relatório GERAL'!$A:$AN,'Dados Dinamicos'!$T$3,0)),IF(VLOOKUP(D$24,'Relatório GERAL'!$A:$AN,'Dados Dinamicos'!$T$3,0)=0,"",VLOOKUP(D$24,'Relatório GERAL'!$A:$AN,'Dados Dinamicos'!$T$3,0))))))</f>
        <v/>
      </c>
      <c r="E26" s="24" t="str">
        <f>IF(E$24&lt;DATE(AnoAExibir,VLOOKUP(MêsAExibir,'Dados Dinamicos'!$A$1:$B$12,2,0),1),"",IF(WEEKDAY(E$24,2)=6,"",IF(WEEKDAY(E$24,2)=7,"",_xlfn.IFNA(IF(E$24=VLOOKUP(Calendário!E$24,'Dados Dinamicos'!$O:$O,1,0),"FERIADO",VLOOKUP(E$24,'Relatório GERAL'!$A:$AN,'Dados Dinamicos'!$T$3,0)),IF(VLOOKUP(E$24,'Relatório GERAL'!$A:$AN,'Dados Dinamicos'!$T$3,0)=0,"",VLOOKUP(E$24,'Relatório GERAL'!$A:$AN,'Dados Dinamicos'!$T$3,0))))))</f>
        <v/>
      </c>
      <c r="F26" s="24" t="str">
        <f>IF(F$24&lt;DATE(AnoAExibir,VLOOKUP(MêsAExibir,'Dados Dinamicos'!$A$1:$B$12,2,0),1),"",IF(WEEKDAY(F$24,2)=6,"",IF(WEEKDAY(F$24,2)=7,"",_xlfn.IFNA(IF(F$24=VLOOKUP(Calendário!F$24,'Dados Dinamicos'!$O:$O,1,0),"FERIADO",VLOOKUP(F$24,'Relatório GERAL'!$A:$AN,'Dados Dinamicos'!$T$3,0)),IF(VLOOKUP(F$24,'Relatório GERAL'!$A:$AN,'Dados Dinamicos'!$T$3,0)=0,"",VLOOKUP(F$24,'Relatório GERAL'!$A:$AN,'Dados Dinamicos'!$T$3,0))))))</f>
        <v>FERIADO</v>
      </c>
      <c r="G26" s="24">
        <f>IF(G$24&lt;DATE(AnoAExibir,VLOOKUP(MêsAExibir,'Dados Dinamicos'!$A$1:$B$12,2,0),1),"",IF(WEEKDAY(G$24,2)=6,"",IF(WEEKDAY(G$24,2)=7,"",_xlfn.IFNA(IF(G$24=VLOOKUP(Calendário!G$24,'Dados Dinamicos'!$O:$O,1,0),"FERIADO",VLOOKUP(G$24,'Relatório GERAL'!$A:$AN,'Dados Dinamicos'!$T$3,0)),IF(VLOOKUP(G$24,'Relatório GERAL'!$A:$AN,'Dados Dinamicos'!$T$3,0)=0,"",VLOOKUP(G$24,'Relatório GERAL'!$A:$AN,'Dados Dinamicos'!$T$3,0))))))</f>
        <v>5.6338028169014086E-2</v>
      </c>
      <c r="H26" s="24" t="str">
        <f>IF(H$24&lt;DATE(AnoAExibir,VLOOKUP(MêsAExibir,'Dados Dinamicos'!$A$1:$B$12,2,0),1),"",IF(WEEKDAY(H$24,2)=6,"",IF(WEEKDAY(H$24,2)=7,"",_xlfn.IFNA(IF(H$24=VLOOKUP(Calendário!H$24,'Dados Dinamicos'!$O:$O,1,0),"FERIADO",VLOOKUP(H$24,'Relatório GERAL'!$A:$AN,'Dados Dinamicos'!$T$3,0)),IF(VLOOKUP(H$24,'Relatório GERAL'!$A:$AN,'Dados Dinamicos'!$T$3,0)=0,"",VLOOKUP(H$24,'Relatório GERAL'!$A:$AN,'Dados Dinamicos'!$T$3,0))))))</f>
        <v/>
      </c>
    </row>
    <row r="27" spans="2:8" ht="14.25" customHeight="1" x14ac:dyDescent="0.2">
      <c r="B27" s="24" t="str">
        <f>IF(B$24&lt;DATE(AnoAExibir,VLOOKUP(MêsAExibir,'Dados Dinamicos'!$A$1:$B$12,2,0),1),"",IF(WEEKDAY(B$24,2)=6,"",IF(WEEKDAY(B$24,2)=7,"",_xlfn.IFNA(IF(B$24=VLOOKUP(Calendário!B$24,'Dados Dinamicos'!$O:$O,1,0),"FERIADO",VLOOKUP(B$24,'Relatório GERAL'!$A:$AN,'Dados Dinamicos'!$T$4,0)),IF(VLOOKUP(B$24,'Relatório GERAL'!$A:$AN,'Dados Dinamicos'!$T$4,0)=0,"",VLOOKUP(B$24,'Relatório GERAL'!$A:$AN,'Dados Dinamicos'!$T$4,0))))))</f>
        <v/>
      </c>
      <c r="C27" s="24" t="str">
        <f>IF(C$24&lt;DATE(AnoAExibir,VLOOKUP(MêsAExibir,'Dados Dinamicos'!$A$1:$B$12,2,0),1),"",IF(WEEKDAY(C$24,2)=6,"",IF(WEEKDAY(C$24,2)=7,"",_xlfn.IFNA(IF(C$24=VLOOKUP(Calendário!C$24,'Dados Dinamicos'!$O:$O,1,0),"FERIADO",VLOOKUP(C$24,'Relatório GERAL'!$A:$AN,'Dados Dinamicos'!$T$4,0)),IF(VLOOKUP(C$24,'Relatório GERAL'!$A:$AN,'Dados Dinamicos'!$T$4,0)=0,"",VLOOKUP(C$24,'Relatório GERAL'!$A:$AN,'Dados Dinamicos'!$T$4,0))))))</f>
        <v/>
      </c>
      <c r="D27" s="24" t="str">
        <f>IF(D$24&lt;DATE(AnoAExibir,VLOOKUP(MêsAExibir,'Dados Dinamicos'!$A$1:$B$12,2,0),1),"",IF(WEEKDAY(D$24,2)=6,"",IF(WEEKDAY(D$24,2)=7,"",_xlfn.IFNA(IF(D$24=VLOOKUP(Calendário!D$24,'Dados Dinamicos'!$O:$O,1,0),"FERIADO",VLOOKUP(D$24,'Relatório GERAL'!$A:$AN,'Dados Dinamicos'!$T$4,0)),IF(VLOOKUP(D$24,'Relatório GERAL'!$A:$AN,'Dados Dinamicos'!$T$4,0)=0,"",VLOOKUP(D$24,'Relatório GERAL'!$A:$AN,'Dados Dinamicos'!$T$4,0))))))</f>
        <v/>
      </c>
      <c r="E27" s="24" t="str">
        <f>IF(E$24&lt;DATE(AnoAExibir,VLOOKUP(MêsAExibir,'Dados Dinamicos'!$A$1:$B$12,2,0),1),"",IF(WEEKDAY(E$24,2)=6,"",IF(WEEKDAY(E$24,2)=7,"",_xlfn.IFNA(IF(E$24=VLOOKUP(Calendário!E$24,'Dados Dinamicos'!$O:$O,1,0),"FERIADO",VLOOKUP(E$24,'Relatório GERAL'!$A:$AN,'Dados Dinamicos'!$T$4,0)),IF(VLOOKUP(E$24,'Relatório GERAL'!$A:$AN,'Dados Dinamicos'!$T$4,0)=0,"",VLOOKUP(E$24,'Relatório GERAL'!$A:$AN,'Dados Dinamicos'!$T$4,0))))))</f>
        <v/>
      </c>
      <c r="F27" s="24" t="str">
        <f>IF(F$24&lt;DATE(AnoAExibir,VLOOKUP(MêsAExibir,'Dados Dinamicos'!$A$1:$B$12,2,0),1),"",IF(WEEKDAY(F$24,2)=6,"",IF(WEEKDAY(F$24,2)=7,"",_xlfn.IFNA(IF(F$24=VLOOKUP(Calendário!F$24,'Dados Dinamicos'!$O:$O,1,0),"FERIADO",VLOOKUP(F$24,'Relatório GERAL'!$A:$AN,'Dados Dinamicos'!$T$4,0)),IF(VLOOKUP(F$24,'Relatório GERAL'!$A:$AN,'Dados Dinamicos'!$T$4,0)=0,"",VLOOKUP(F$24,'Relatório GERAL'!$A:$AN,'Dados Dinamicos'!$T$4,0))))))</f>
        <v>FERIADO</v>
      </c>
      <c r="G27" s="24" t="str">
        <f>IF(G$24&lt;DATE(AnoAExibir,VLOOKUP(MêsAExibir,'Dados Dinamicos'!$A$1:$B$12,2,0),1),"",IF(WEEKDAY(G$24,2)=6,"",IF(WEEKDAY(G$24,2)=7,"",_xlfn.IFNA(IF(G$24=VLOOKUP(Calendário!G$24,'Dados Dinamicos'!$O:$O,1,0),"FERIADO",VLOOKUP(G$24,'Relatório GERAL'!$A:$AN,'Dados Dinamicos'!$T$4,0)),IF(VLOOKUP(G$24,'Relatório GERAL'!$A:$AN,'Dados Dinamicos'!$T$4,0)=0,"",VLOOKUP(G$24,'Relatório GERAL'!$A:$AN,'Dados Dinamicos'!$T$4,0))))))</f>
        <v/>
      </c>
      <c r="H27" s="24" t="str">
        <f>IF(H$24&lt;DATE(AnoAExibir,VLOOKUP(MêsAExibir,'Dados Dinamicos'!$A$1:$B$12,2,0),1),"",IF(WEEKDAY(H$24,2)=6,"",IF(WEEKDAY(H$24,2)=7,"",_xlfn.IFNA(IF(H$24=VLOOKUP(Calendário!H$24,'Dados Dinamicos'!$O:$O,1,0),"FERIADO",VLOOKUP(H$24,'Relatório GERAL'!$A:$AN,'Dados Dinamicos'!$T$4,0)),IF(VLOOKUP(H$24,'Relatório GERAL'!$A:$AN,'Dados Dinamicos'!$T$4,0)=0,"",VLOOKUP(H$24,'Relatório GERAL'!$A:$AN,'Dados Dinamicos'!$T$4,0))))))</f>
        <v/>
      </c>
    </row>
    <row r="28" spans="2:8" ht="14.25" customHeight="1" x14ac:dyDescent="0.2">
      <c r="B28" s="24" t="str">
        <f>IF(B$24&lt;DATE(AnoAExibir,VLOOKUP(MêsAExibir,'Dados Dinamicos'!$A$1:$B$12,2,0),1),"",IF(WEEKDAY(B$24,2)=6,"",IF(WEEKDAY(B$24,2)=7,"",_xlfn.IFNA(IF(B$24=VLOOKUP(Calendário!B$24,'Dados Dinamicos'!$O:$O,1,0),"FERIADO",VLOOKUP(B$24,'Relatório GERAL'!$A:$AN,'Dados Dinamicos'!$T$5,0)),IF(VLOOKUP(B$24,'Relatório GERAL'!$A:$AN,'Dados Dinamicos'!$T$5,0)=0,"",VLOOKUP(B$24,'Relatório GERAL'!$A:$AN,'Dados Dinamicos'!$T$5,0))))))</f>
        <v/>
      </c>
      <c r="C28" s="24">
        <f>IF(C$24&lt;DATE(AnoAExibir,VLOOKUP(MêsAExibir,'Dados Dinamicos'!$A$1:$B$12,2,0),1),"",IF(WEEKDAY(C$24,2)=6,"",IF(WEEKDAY(C$24,2)=7,"",_xlfn.IFNA(IF(C$24=VLOOKUP(Calendário!C$24,'Dados Dinamicos'!$O:$O,1,0),"FERIADO",VLOOKUP(C$24,'Relatório GERAL'!$A:$AN,'Dados Dinamicos'!$T$5,0)),IF(VLOOKUP(C$24,'Relatório GERAL'!$A:$AN,'Dados Dinamicos'!$T$5,0)=0,"",VLOOKUP(C$24,'Relatório GERAL'!$A:$AN,'Dados Dinamicos'!$T$5,0))))))</f>
        <v>0.77464788732394363</v>
      </c>
      <c r="D28" s="24">
        <f>IF(D$24&lt;DATE(AnoAExibir,VLOOKUP(MêsAExibir,'Dados Dinamicos'!$A$1:$B$12,2,0),1),"",IF(WEEKDAY(D$24,2)=6,"",IF(WEEKDAY(D$24,2)=7,"",_xlfn.IFNA(IF(D$24=VLOOKUP(Calendário!D$24,'Dados Dinamicos'!$O:$O,1,0),"FERIADO",VLOOKUP(D$24,'Relatório GERAL'!$A:$AN,'Dados Dinamicos'!$T$5,0)),IF(VLOOKUP(D$24,'Relatório GERAL'!$A:$AN,'Dados Dinamicos'!$T$5,0)=0,"",VLOOKUP(D$24,'Relatório GERAL'!$A:$AN,'Dados Dinamicos'!$T$5,0))))))</f>
        <v>0.77464788732394363</v>
      </c>
      <c r="E28" s="24">
        <f>IF(E$24&lt;DATE(AnoAExibir,VLOOKUP(MêsAExibir,'Dados Dinamicos'!$A$1:$B$12,2,0),1),"",IF(WEEKDAY(E$24,2)=6,"",IF(WEEKDAY(E$24,2)=7,"",_xlfn.IFNA(IF(E$24=VLOOKUP(Calendário!E$24,'Dados Dinamicos'!$O:$O,1,0),"FERIADO",VLOOKUP(E$24,'Relatório GERAL'!$A:$AN,'Dados Dinamicos'!$T$5,0)),IF(VLOOKUP(E$24,'Relatório GERAL'!$A:$AN,'Dados Dinamicos'!$T$5,0)=0,"",VLOOKUP(E$24,'Relatório GERAL'!$A:$AN,'Dados Dinamicos'!$T$5,0))))))</f>
        <v>0.77464788732394363</v>
      </c>
      <c r="F28" s="24" t="str">
        <f>IF(F$24&lt;DATE(AnoAExibir,VLOOKUP(MêsAExibir,'Dados Dinamicos'!$A$1:$B$12,2,0),1),"",IF(WEEKDAY(F$24,2)=6,"",IF(WEEKDAY(F$24,2)=7,"",_xlfn.IFNA(IF(F$24=VLOOKUP(Calendário!F$24,'Dados Dinamicos'!$O:$O,1,0),"FERIADO",VLOOKUP(F$24,'Relatório GERAL'!$A:$AN,'Dados Dinamicos'!$T$5,0)),IF(VLOOKUP(F$24,'Relatório GERAL'!$A:$AN,'Dados Dinamicos'!$T$5,0)=0,"",VLOOKUP(F$24,'Relatório GERAL'!$A:$AN,'Dados Dinamicos'!$T$5,0))))))</f>
        <v>FERIADO</v>
      </c>
      <c r="G28" s="24">
        <f>IF(G$24&lt;DATE(AnoAExibir,VLOOKUP(MêsAExibir,'Dados Dinamicos'!$A$1:$B$12,2,0),1),"",IF(WEEKDAY(G$24,2)=6,"",IF(WEEKDAY(G$24,2)=7,"",_xlfn.IFNA(IF(G$24=VLOOKUP(Calendário!G$24,'Dados Dinamicos'!$O:$O,1,0),"FERIADO",VLOOKUP(G$24,'Relatório GERAL'!$A:$AN,'Dados Dinamicos'!$T$5,0)),IF(VLOOKUP(G$24,'Relatório GERAL'!$A:$AN,'Dados Dinamicos'!$T$5,0)=0,"",VLOOKUP(G$24,'Relatório GERAL'!$A:$AN,'Dados Dinamicos'!$T$5,0))))))</f>
        <v>0.71830985915492962</v>
      </c>
      <c r="H28" s="24" t="str">
        <f>IF(H$24&lt;DATE(AnoAExibir,VLOOKUP(MêsAExibir,'Dados Dinamicos'!$A$1:$B$12,2,0),1),"",IF(WEEKDAY(H$24,2)=6,"",IF(WEEKDAY(H$24,2)=7,"",_xlfn.IFNA(IF(H$24=VLOOKUP(Calendário!H$24,'Dados Dinamicos'!$O:$O,1,0),"FERIADO",VLOOKUP(H$24,'Relatório GERAL'!$A:$AN,'Dados Dinamicos'!$T$5,0)),IF(VLOOKUP(H$24,'Relatório GERAL'!$A:$AN,'Dados Dinamicos'!$T$5,0)=0,"",VLOOKUP(H$24,'Relatório GERAL'!$A:$AN,'Dados Dinamicos'!$T$5,0))))))</f>
        <v/>
      </c>
    </row>
    <row r="29" spans="2:8" ht="14.25" customHeight="1" x14ac:dyDescent="0.2">
      <c r="B29" s="25">
        <f>IFERROR(INDEX(calendário,ndx+4,1),"")</f>
        <v>42519</v>
      </c>
      <c r="C29" s="25">
        <f>IFERROR(INDEX(calendário,ndx+4,2),"")</f>
        <v>42520</v>
      </c>
      <c r="D29" s="25">
        <f>IFERROR(INDEX(calendário,ndx+4,3),"")</f>
        <v>42521</v>
      </c>
      <c r="E29" s="25">
        <f>IFERROR(INDEX(calendário,ndx+4,4),"")</f>
        <v>42522</v>
      </c>
      <c r="F29" s="25">
        <f>IFERROR(INDEX(calendário,ndx+4,5),"")</f>
        <v>42523</v>
      </c>
      <c r="G29" s="25">
        <f>IFERROR(INDEX(calendário,ndx+4,6),"")</f>
        <v>42524</v>
      </c>
      <c r="H29" s="25">
        <f>IFERROR(INDEX(calendário,ndx+4,7),"")</f>
        <v>42525</v>
      </c>
    </row>
    <row r="30" spans="2:8" ht="14.25" customHeight="1" x14ac:dyDescent="0.2">
      <c r="B30" s="24" t="str">
        <f>IF(B$29&lt;DATE(AnoAExibir,VLOOKUP(MêsAExibir,'Dados Dinamicos'!$A$1:$B$12,2,0),1),"",IF(B$29&gt;DATE(AnoAExibir,VLOOKUP(MêsAExibir,'Dados Dinamicos'!$A$1:$B$12,2,0),'Dados Dinamicos'!$B$15),"",IF(WEEKDAY(B$29,2)=6,"",IF(WEEKDAY(B$29,2)=7,"",_xlfn.IFNA(IF(B$29=VLOOKUP(Calendário!B$29,'Dados Dinamicos'!$O:$O,1,0),"FERIADO",VLOOKUP(B$29,'Relatório GERAL'!$A:$AN,'Dados Dinamicos'!$T$2,0)),IF(VLOOKUP(B$29,'Relatório GERAL'!$A:$AN,'Dados Dinamicos'!$T$2,0)=0,"",VLOOKUP(B$29,'Relatório GERAL'!$A:$AN,'Dados Dinamicos'!$T$2,0)))))))</f>
        <v/>
      </c>
      <c r="C30" s="24" t="str">
        <f>IF(C$29&lt;DATE(AnoAExibir,VLOOKUP(MêsAExibir,'Dados Dinamicos'!$A$1:$B$12,2,0),1),"",IF(C$29&gt;DATE(AnoAExibir,VLOOKUP(MêsAExibir,'Dados Dinamicos'!$A$1:$B$12,2,0),'Dados Dinamicos'!$B$15),"",IF(WEEKDAY(C$29,2)=6,"",IF(WEEKDAY(C$29,2)=7,"",_xlfn.IFNA(IF(C$29=VLOOKUP(Calendário!C$29,'Dados Dinamicos'!$O:$O,1,0),"FERIADO",VLOOKUP(C$29,'Relatório GERAL'!$A:$AN,'Dados Dinamicos'!$T$2,0)),IF(VLOOKUP(C$29,'Relatório GERAL'!$A:$AN,'Dados Dinamicos'!$T$2,0)=0,"",VLOOKUP(C$29,'Relatório GERAL'!$A:$AN,'Dados Dinamicos'!$T$2,0)))))))</f>
        <v/>
      </c>
      <c r="D30" s="24" t="str">
        <f>IF(D$29&lt;DATE(AnoAExibir,VLOOKUP(MêsAExibir,'Dados Dinamicos'!$A$1:$B$12,2,0),1),"",IF(D$29&gt;DATE(AnoAExibir,VLOOKUP(MêsAExibir,'Dados Dinamicos'!$A$1:$B$12,2,0),'Dados Dinamicos'!$B$15),"",IF(WEEKDAY(D$29,2)=6,"",IF(WEEKDAY(D$29,2)=7,"",_xlfn.IFNA(IF(D$29=VLOOKUP(Calendário!D$29,'Dados Dinamicos'!$O:$O,1,0),"FERIADO",VLOOKUP(D$29,'Relatório GERAL'!$A:$AN,'Dados Dinamicos'!$T$2,0)),IF(VLOOKUP(D$29,'Relatório GERAL'!$A:$AN,'Dados Dinamicos'!$T$2,0)=0,"",VLOOKUP(D$29,'Relatório GERAL'!$A:$AN,'Dados Dinamicos'!$T$2,0)))))))</f>
        <v/>
      </c>
      <c r="E30" s="24" t="str">
        <f>IF(E$29&lt;DATE(AnoAExibir,VLOOKUP(MêsAExibir,'Dados Dinamicos'!$A$1:$B$12,2,0),1),"",IF(E$29&gt;DATE(AnoAExibir,VLOOKUP(MêsAExibir,'Dados Dinamicos'!$A$1:$B$12,2,0),'Dados Dinamicos'!$B$15),"",IF(WEEKDAY(E$29,2)=6,"",IF(WEEKDAY(E$29,2)=7,"",_xlfn.IFNA(IF(E$29=VLOOKUP(Calendário!E$29,'Dados Dinamicos'!$O:$O,1,0),"FERIADO",VLOOKUP(E$29,'Relatório GERAL'!$A:$AN,'Dados Dinamicos'!$T$2,0)),IF(VLOOKUP(E$29,'Relatório GERAL'!$A:$AN,'Dados Dinamicos'!$T$2,0)=0,"",VLOOKUP(E$29,'Relatório GERAL'!$A:$AN,'Dados Dinamicos'!$T$2,0)))))))</f>
        <v/>
      </c>
      <c r="F30" s="24" t="str">
        <f>IF(F$29&lt;DATE(AnoAExibir,VLOOKUP(MêsAExibir,'Dados Dinamicos'!$A$1:$B$12,2,0),1),"",IF(F$29&gt;DATE(AnoAExibir,VLOOKUP(MêsAExibir,'Dados Dinamicos'!$A$1:$B$12,2,0),'Dados Dinamicos'!$B$15),"",IF(WEEKDAY(F$29,2)=6,"",IF(WEEKDAY(F$29,2)=7,"",_xlfn.IFNA(IF(F$29=VLOOKUP(Calendário!F$29,'Dados Dinamicos'!$O:$O,1,0),"FERIADO",VLOOKUP(F$29,'Relatório GERAL'!$A:$AN,'Dados Dinamicos'!$T$2,0)),IF(VLOOKUP(F$29,'Relatório GERAL'!$A:$AN,'Dados Dinamicos'!$T$2,0)=0,"",VLOOKUP(F$29,'Relatório GERAL'!$A:$AN,'Dados Dinamicos'!$T$2,0)))))))</f>
        <v/>
      </c>
      <c r="G30" s="24" t="str">
        <f>IF(G$29&lt;DATE(AnoAExibir,VLOOKUP(MêsAExibir,'Dados Dinamicos'!$A$1:$B$12,2,0),1),"",IF(G$29&gt;DATE(AnoAExibir,VLOOKUP(MêsAExibir,'Dados Dinamicos'!$A$1:$B$12,2,0),'Dados Dinamicos'!$B$15),"",IF(WEEKDAY(G$29,2)=6,"",IF(WEEKDAY(G$29,2)=7,"",_xlfn.IFNA(IF(G$29=VLOOKUP(Calendário!G$29,'Dados Dinamicos'!$O:$O,1,0),"FERIADO",VLOOKUP(G$29,'Relatório GERAL'!$A:$AN,'Dados Dinamicos'!$T$2,0)),IF(VLOOKUP(G$29,'Relatório GERAL'!$A:$AN,'Dados Dinamicos'!$T$2,0)=0,"",VLOOKUP(G$29,'Relatório GERAL'!$A:$AN,'Dados Dinamicos'!$T$2,0)))))))</f>
        <v/>
      </c>
      <c r="H30" s="24" t="str">
        <f>IF(H$29&lt;DATE(AnoAExibir,VLOOKUP(MêsAExibir,'Dados Dinamicos'!$A$1:$B$12,2,0),1),"",IF(H$29&gt;DATE(AnoAExibir,VLOOKUP(MêsAExibir,'Dados Dinamicos'!$A$1:$B$12,2,0),'Dados Dinamicos'!$B$15),"",IF(WEEKDAY(H$29,2)=6,"",IF(WEEKDAY(H$29,2)=7,"",_xlfn.IFNA(IF(H$29=VLOOKUP(Calendário!H$29,'Dados Dinamicos'!$O:$O,1,0),"FERIADO",VLOOKUP(H$29,'Relatório GERAL'!$A:$AN,'Dados Dinamicos'!$T$2,0)),IF(VLOOKUP(H$29,'Relatório GERAL'!$A:$AN,'Dados Dinamicos'!$T$2,0)=0,"",VLOOKUP(H$29,'Relatório GERAL'!$A:$AN,'Dados Dinamicos'!$T$2,0)))))))</f>
        <v/>
      </c>
    </row>
    <row r="31" spans="2:8" ht="14.25" customHeight="1" x14ac:dyDescent="0.2">
      <c r="B31" s="24" t="str">
        <f>IF(B$29&lt;DATE(AnoAExibir,VLOOKUP(MêsAExibir,'Dados Dinamicos'!$A$1:$B$12,2,0),1),"",IF(B$29&gt;DATE(AnoAExibir,VLOOKUP(MêsAExibir,'Dados Dinamicos'!$A$1:$B$12,2,0),'Dados Dinamicos'!$B$15),"",IF(WEEKDAY(B$29,2)=6,"",IF(WEEKDAY(B$29,2)=7,"",_xlfn.IFNA(IF(B$29=VLOOKUP(Calendário!B$29,'Dados Dinamicos'!$O:$O,1,0),"FERIADO",VLOOKUP(B$29,'Relatório GERAL'!$A:$AN,'Dados Dinamicos'!$T$3,0)),IF(VLOOKUP(B$29,'Relatório GERAL'!$A:$AN,'Dados Dinamicos'!$T$3,0)=0,"",VLOOKUP(B$29,'Relatório GERAL'!$A:$AN,'Dados Dinamicos'!$T$3,0)))))))</f>
        <v/>
      </c>
      <c r="C31" s="24">
        <f>IF(C$29&lt;DATE(AnoAExibir,VLOOKUP(MêsAExibir,'Dados Dinamicos'!$A$1:$B$12,2,0),1),"",IF(C$29&gt;DATE(AnoAExibir,VLOOKUP(MêsAExibir,'Dados Dinamicos'!$A$1:$B$12,2,0),'Dados Dinamicos'!$B$15),"",IF(WEEKDAY(C$29,2)=6,"",IF(WEEKDAY(C$29,2)=7,"",_xlfn.IFNA(IF(C$29=VLOOKUP(Calendário!C$29,'Dados Dinamicos'!$O:$O,1,0),"FERIADO",VLOOKUP(C$29,'Relatório GERAL'!$A:$AN,'Dados Dinamicos'!$T$3,0)),IF(VLOOKUP(C$29,'Relatório GERAL'!$A:$AN,'Dados Dinamicos'!$T$3,0)=0,"",VLOOKUP(C$29,'Relatório GERAL'!$A:$AN,'Dados Dinamicos'!$T$3,0)))))))</f>
        <v>0.11267605633802817</v>
      </c>
      <c r="D31" s="24">
        <f>IF(D$29&lt;DATE(AnoAExibir,VLOOKUP(MêsAExibir,'Dados Dinamicos'!$A$1:$B$12,2,0),1),"",IF(D$29&gt;DATE(AnoAExibir,VLOOKUP(MêsAExibir,'Dados Dinamicos'!$A$1:$B$12,2,0),'Dados Dinamicos'!$B$15),"",IF(WEEKDAY(D$29,2)=6,"",IF(WEEKDAY(D$29,2)=7,"",_xlfn.IFNA(IF(D$29=VLOOKUP(Calendário!D$29,'Dados Dinamicos'!$O:$O,1,0),"FERIADO",VLOOKUP(D$29,'Relatório GERAL'!$A:$AN,'Dados Dinamicos'!$T$3,0)),IF(VLOOKUP(D$29,'Relatório GERAL'!$A:$AN,'Dados Dinamicos'!$T$3,0)=0,"",VLOOKUP(D$29,'Relatório GERAL'!$A:$AN,'Dados Dinamicos'!$T$3,0)))))))</f>
        <v>0.11267605633802817</v>
      </c>
      <c r="E31" s="24" t="str">
        <f>IF(E$29&lt;DATE(AnoAExibir,VLOOKUP(MêsAExibir,'Dados Dinamicos'!$A$1:$B$12,2,0),1),"",IF(E$29&gt;DATE(AnoAExibir,VLOOKUP(MêsAExibir,'Dados Dinamicos'!$A$1:$B$12,2,0),'Dados Dinamicos'!$B$15),"",IF(WEEKDAY(E$29,2)=6,"",IF(WEEKDAY(E$29,2)=7,"",_xlfn.IFNA(IF(E$29=VLOOKUP(Calendário!E$29,'Dados Dinamicos'!$O:$O,1,0),"FERIADO",VLOOKUP(E$29,'Relatório GERAL'!$A:$AN,'Dados Dinamicos'!$T$3,0)),IF(VLOOKUP(E$29,'Relatório GERAL'!$A:$AN,'Dados Dinamicos'!$T$3,0)=0,"",VLOOKUP(E$29,'Relatório GERAL'!$A:$AN,'Dados Dinamicos'!$T$3,0)))))))</f>
        <v/>
      </c>
      <c r="F31" s="24" t="str">
        <f>IF(F$29&lt;DATE(AnoAExibir,VLOOKUP(MêsAExibir,'Dados Dinamicos'!$A$1:$B$12,2,0),1),"",IF(F$29&gt;DATE(AnoAExibir,VLOOKUP(MêsAExibir,'Dados Dinamicos'!$A$1:$B$12,2,0),'Dados Dinamicos'!$B$15),"",IF(WEEKDAY(F$29,2)=6,"",IF(WEEKDAY(F$29,2)=7,"",_xlfn.IFNA(IF(F$29=VLOOKUP(Calendário!F$29,'Dados Dinamicos'!$O:$O,1,0),"FERIADO",VLOOKUP(F$29,'Relatório GERAL'!$A:$AN,'Dados Dinamicos'!$T$3,0)),IF(VLOOKUP(F$29,'Relatório GERAL'!$A:$AN,'Dados Dinamicos'!$T$3,0)=0,"",VLOOKUP(F$29,'Relatório GERAL'!$A:$AN,'Dados Dinamicos'!$T$3,0)))))))</f>
        <v/>
      </c>
      <c r="G31" s="24" t="str">
        <f>IF(G$29&lt;DATE(AnoAExibir,VLOOKUP(MêsAExibir,'Dados Dinamicos'!$A$1:$B$12,2,0),1),"",IF(G$29&gt;DATE(AnoAExibir,VLOOKUP(MêsAExibir,'Dados Dinamicos'!$A$1:$B$12,2,0),'Dados Dinamicos'!$B$15),"",IF(WEEKDAY(G$29,2)=6,"",IF(WEEKDAY(G$29,2)=7,"",_xlfn.IFNA(IF(G$29=VLOOKUP(Calendário!G$29,'Dados Dinamicos'!$O:$O,1,0),"FERIADO",VLOOKUP(G$29,'Relatório GERAL'!$A:$AN,'Dados Dinamicos'!$T$3,0)),IF(VLOOKUP(G$29,'Relatório GERAL'!$A:$AN,'Dados Dinamicos'!$T$3,0)=0,"",VLOOKUP(G$29,'Relatório GERAL'!$A:$AN,'Dados Dinamicos'!$T$3,0)))))))</f>
        <v/>
      </c>
      <c r="H31" s="24" t="str">
        <f>IF(H$29&lt;DATE(AnoAExibir,VLOOKUP(MêsAExibir,'Dados Dinamicos'!$A$1:$B$12,2,0),1),"",IF(H$29&gt;DATE(AnoAExibir,VLOOKUP(MêsAExibir,'Dados Dinamicos'!$A$1:$B$12,2,0),'Dados Dinamicos'!$B$15),"",IF(WEEKDAY(H$29,2)=6,"",IF(WEEKDAY(H$29,2)=7,"",_xlfn.IFNA(IF(H$29=VLOOKUP(Calendário!H$29,'Dados Dinamicos'!$O:$O,1,0),"FERIADO",VLOOKUP(H$29,'Relatório GERAL'!$A:$AN,'Dados Dinamicos'!$T$3,0)),IF(VLOOKUP(H$29,'Relatório GERAL'!$A:$AN,'Dados Dinamicos'!$T$3,0)=0,"",VLOOKUP(H$29,'Relatório GERAL'!$A:$AN,'Dados Dinamicos'!$T$3,0)))))))</f>
        <v/>
      </c>
    </row>
    <row r="32" spans="2:8" ht="14.25" customHeight="1" x14ac:dyDescent="0.2">
      <c r="B32" s="24" t="str">
        <f>IF(B$29&lt;DATE(AnoAExibir,VLOOKUP(MêsAExibir,'Dados Dinamicos'!$A$1:$B$12,2,0),1),"",IF(B$29&gt;DATE(AnoAExibir,VLOOKUP(MêsAExibir,'Dados Dinamicos'!$A$1:$B$12,2,0),'Dados Dinamicos'!$B$15),"",IF(WEEKDAY(B$29,2)=6,"",IF(WEEKDAY(B$29,2)=7,"",_xlfn.IFNA(IF(B$29=VLOOKUP(Calendário!B$29,'Dados Dinamicos'!$O:$O,1,0),"FERIADO",VLOOKUP(B$29,'Relatório GERAL'!$A:$AN,'Dados Dinamicos'!$T$4,0)),IF(VLOOKUP(B$29,'Relatório GERAL'!$A:$AN,'Dados Dinamicos'!$T$4,0)=0,"",VLOOKUP(B$29,'Relatório GERAL'!$A:$AN,'Dados Dinamicos'!$T$4,0)))))))</f>
        <v/>
      </c>
      <c r="C32" s="24" t="str">
        <f>IF(C$29&lt;DATE(AnoAExibir,VLOOKUP(MêsAExibir,'Dados Dinamicos'!$A$1:$B$12,2,0),1),"",IF(C$29&gt;DATE(AnoAExibir,VLOOKUP(MêsAExibir,'Dados Dinamicos'!$A$1:$B$12,2,0),'Dados Dinamicos'!$B$15),"",IF(WEEKDAY(C$29,2)=6,"",IF(WEEKDAY(C$29,2)=7,"",_xlfn.IFNA(IF(C$29=VLOOKUP(Calendário!C$29,'Dados Dinamicos'!$O:$O,1,0),"FERIADO",VLOOKUP(C$29,'Relatório GERAL'!$A:$AN,'Dados Dinamicos'!$T$4,0)),IF(VLOOKUP(C$29,'Relatório GERAL'!$A:$AN,'Dados Dinamicos'!$T$4,0)=0,"",VLOOKUP(C$29,'Relatório GERAL'!$A:$AN,'Dados Dinamicos'!$T$4,0)))))))</f>
        <v/>
      </c>
      <c r="D32" s="24" t="str">
        <f>IF(D$29&lt;DATE(AnoAExibir,VLOOKUP(MêsAExibir,'Dados Dinamicos'!$A$1:$B$12,2,0),1),"",IF(D$29&gt;DATE(AnoAExibir,VLOOKUP(MêsAExibir,'Dados Dinamicos'!$A$1:$B$12,2,0),'Dados Dinamicos'!$B$15),"",IF(WEEKDAY(D$29,2)=6,"",IF(WEEKDAY(D$29,2)=7,"",_xlfn.IFNA(IF(D$29=VLOOKUP(Calendário!D$29,'Dados Dinamicos'!$O:$O,1,0),"FERIADO",VLOOKUP(D$29,'Relatório GERAL'!$A:$AN,'Dados Dinamicos'!$T$4,0)),IF(VLOOKUP(D$29,'Relatório GERAL'!$A:$AN,'Dados Dinamicos'!$T$4,0)=0,"",VLOOKUP(D$29,'Relatório GERAL'!$A:$AN,'Dados Dinamicos'!$T$4,0)))))))</f>
        <v/>
      </c>
      <c r="E32" s="24" t="str">
        <f>IF(E$29&lt;DATE(AnoAExibir,VLOOKUP(MêsAExibir,'Dados Dinamicos'!$A$1:$B$12,2,0),1),"",IF(E$29&gt;DATE(AnoAExibir,VLOOKUP(MêsAExibir,'Dados Dinamicos'!$A$1:$B$12,2,0),'Dados Dinamicos'!$B$15),"",IF(WEEKDAY(E$29,2)=6,"",IF(WEEKDAY(E$29,2)=7,"",_xlfn.IFNA(IF(E$29=VLOOKUP(Calendário!E$29,'Dados Dinamicos'!$O:$O,1,0),"FERIADO",VLOOKUP(E$29,'Relatório GERAL'!$A:$AN,'Dados Dinamicos'!$T$4,0)),IF(VLOOKUP(E$29,'Relatório GERAL'!$A:$AN,'Dados Dinamicos'!$T$4,0)=0,"",VLOOKUP(E$29,'Relatório GERAL'!$A:$AN,'Dados Dinamicos'!$T$4,0)))))))</f>
        <v/>
      </c>
      <c r="F32" s="24" t="str">
        <f>IF(F$29&lt;DATE(AnoAExibir,VLOOKUP(MêsAExibir,'Dados Dinamicos'!$A$1:$B$12,2,0),1),"",IF(F$29&gt;DATE(AnoAExibir,VLOOKUP(MêsAExibir,'Dados Dinamicos'!$A$1:$B$12,2,0),'Dados Dinamicos'!$B$15),"",IF(WEEKDAY(F$29,2)=6,"",IF(WEEKDAY(F$29,2)=7,"",_xlfn.IFNA(IF(F$29=VLOOKUP(Calendário!F$29,'Dados Dinamicos'!$O:$O,1,0),"FERIADO",VLOOKUP(F$29,'Relatório GERAL'!$A:$AN,'Dados Dinamicos'!$T$4,0)),IF(VLOOKUP(F$29,'Relatório GERAL'!$A:$AN,'Dados Dinamicos'!$T$4,0)=0,"",VLOOKUP(F$29,'Relatório GERAL'!$A:$AN,'Dados Dinamicos'!$T$4,0)))))))</f>
        <v/>
      </c>
      <c r="G32" s="24" t="str">
        <f>IF(G$29&lt;DATE(AnoAExibir,VLOOKUP(MêsAExibir,'Dados Dinamicos'!$A$1:$B$12,2,0),1),"",IF(G$29&gt;DATE(AnoAExibir,VLOOKUP(MêsAExibir,'Dados Dinamicos'!$A$1:$B$12,2,0),'Dados Dinamicos'!$B$15),"",IF(WEEKDAY(G$29,2)=6,"",IF(WEEKDAY(G$29,2)=7,"",_xlfn.IFNA(IF(G$29=VLOOKUP(Calendário!G$29,'Dados Dinamicos'!$O:$O,1,0),"FERIADO",VLOOKUP(G$29,'Relatório GERAL'!$A:$AN,'Dados Dinamicos'!$T$4,0)),IF(VLOOKUP(G$29,'Relatório GERAL'!$A:$AN,'Dados Dinamicos'!$T$4,0)=0,"",VLOOKUP(G$29,'Relatório GERAL'!$A:$AN,'Dados Dinamicos'!$T$4,0)))))))</f>
        <v/>
      </c>
      <c r="H32" s="24" t="str">
        <f>IF(H$29&lt;DATE(AnoAExibir,VLOOKUP(MêsAExibir,'Dados Dinamicos'!$A$1:$B$12,2,0),1),"",IF(H$29&gt;DATE(AnoAExibir,VLOOKUP(MêsAExibir,'Dados Dinamicos'!$A$1:$B$12,2,0),'Dados Dinamicos'!$B$15),"",IF(WEEKDAY(H$29,2)=6,"",IF(WEEKDAY(H$29,2)=7,"",_xlfn.IFNA(IF(H$29=VLOOKUP(Calendário!H$29,'Dados Dinamicos'!$O:$O,1,0),"FERIADO",VLOOKUP(H$29,'Relatório GERAL'!$A:$AN,'Dados Dinamicos'!$T$4,0)),IF(VLOOKUP(H$29,'Relatório GERAL'!$A:$AN,'Dados Dinamicos'!$T$4,0)=0,"",VLOOKUP(H$29,'Relatório GERAL'!$A:$AN,'Dados Dinamicos'!$T$4,0)))))))</f>
        <v/>
      </c>
    </row>
    <row r="33" spans="2:8" ht="14.25" customHeight="1" x14ac:dyDescent="0.2">
      <c r="B33" s="24" t="str">
        <f>IF(B$29&lt;DATE(AnoAExibir,VLOOKUP(MêsAExibir,'Dados Dinamicos'!$A$1:$B$12,2,0),1),"",IF(B$29&gt;DATE(AnoAExibir,VLOOKUP(MêsAExibir,'Dados Dinamicos'!$A$1:$B$12,2,0),'Dados Dinamicos'!$B$15),"",IF(WEEKDAY(B$29,2)=6,"",IF(WEEKDAY(B$29,2)=7,"",_xlfn.IFNA(IF(B$29=VLOOKUP(Calendário!B$29,'Dados Dinamicos'!$O:$O,1,0),"FERIADO",VLOOKUP(B$29,'Relatório GERAL'!$A:$AN,'Dados Dinamicos'!$T$5,0)),IF(VLOOKUP(B$29,'Relatório GERAL'!$A:$AN,'Dados Dinamicos'!$T$5,0)=0,"",VLOOKUP(B$29,'Relatório GERAL'!$A:$AN,'Dados Dinamicos'!$T$5,0)))))))</f>
        <v/>
      </c>
      <c r="C33" s="24">
        <f>IF(C$29&lt;DATE(AnoAExibir,VLOOKUP(MêsAExibir,'Dados Dinamicos'!$A$1:$B$12,2,0),1),"",IF(C$29&gt;DATE(AnoAExibir,VLOOKUP(MêsAExibir,'Dados Dinamicos'!$A$1:$B$12,2,0),'Dados Dinamicos'!$B$15),"",IF(WEEKDAY(C$29,2)=6,"",IF(WEEKDAY(C$29,2)=7,"",_xlfn.IFNA(IF(C$29=VLOOKUP(Calendário!C$29,'Dados Dinamicos'!$O:$O,1,0),"FERIADO",VLOOKUP(C$29,'Relatório GERAL'!$A:$AN,'Dados Dinamicos'!$T$5,0)),IF(VLOOKUP(C$29,'Relatório GERAL'!$A:$AN,'Dados Dinamicos'!$T$5,0)=0,"",VLOOKUP(C$29,'Relatório GERAL'!$A:$AN,'Dados Dinamicos'!$T$5,0)))))))</f>
        <v>0.77464788732394363</v>
      </c>
      <c r="D33" s="24">
        <f>IF(D$29&lt;DATE(AnoAExibir,VLOOKUP(MêsAExibir,'Dados Dinamicos'!$A$1:$B$12,2,0),1),"",IF(D$29&gt;DATE(AnoAExibir,VLOOKUP(MêsAExibir,'Dados Dinamicos'!$A$1:$B$12,2,0),'Dados Dinamicos'!$B$15),"",IF(WEEKDAY(D$29,2)=6,"",IF(WEEKDAY(D$29,2)=7,"",_xlfn.IFNA(IF(D$29=VLOOKUP(Calendário!D$29,'Dados Dinamicos'!$O:$O,1,0),"FERIADO",VLOOKUP(D$29,'Relatório GERAL'!$A:$AN,'Dados Dinamicos'!$T$5,0)),IF(VLOOKUP(D$29,'Relatório GERAL'!$A:$AN,'Dados Dinamicos'!$T$5,0)=0,"",VLOOKUP(D$29,'Relatório GERAL'!$A:$AN,'Dados Dinamicos'!$T$5,0)))))))</f>
        <v>0.77464788732394363</v>
      </c>
      <c r="E33" s="24" t="str">
        <f>IF(E$29&lt;DATE(AnoAExibir,VLOOKUP(MêsAExibir,'Dados Dinamicos'!$A$1:$B$12,2,0),1),"",IF(E$29&gt;DATE(AnoAExibir,VLOOKUP(MêsAExibir,'Dados Dinamicos'!$A$1:$B$12,2,0),'Dados Dinamicos'!$B$15),"",IF(WEEKDAY(E$29,2)=6,"",IF(WEEKDAY(E$29,2)=7,"",_xlfn.IFNA(IF(E$29=VLOOKUP(Calendário!E$29,'Dados Dinamicos'!$O:$O,1,0),"FERIADO",VLOOKUP(E$29,'Relatório GERAL'!$A:$AN,'Dados Dinamicos'!$T$5,0)),IF(VLOOKUP(E$29,'Relatório GERAL'!$A:$AN,'Dados Dinamicos'!$T$5,0)=0,"",VLOOKUP(E$29,'Relatório GERAL'!$A:$AN,'Dados Dinamicos'!$T$5,0)))))))</f>
        <v/>
      </c>
      <c r="F33" s="24" t="str">
        <f>IF(F$29&lt;DATE(AnoAExibir,VLOOKUP(MêsAExibir,'Dados Dinamicos'!$A$1:$B$12,2,0),1),"",IF(F$29&gt;DATE(AnoAExibir,VLOOKUP(MêsAExibir,'Dados Dinamicos'!$A$1:$B$12,2,0),'Dados Dinamicos'!$B$15),"",IF(WEEKDAY(F$29,2)=6,"",IF(WEEKDAY(F$29,2)=7,"",_xlfn.IFNA(IF(F$29=VLOOKUP(Calendário!F$29,'Dados Dinamicos'!$O:$O,1,0),"FERIADO",VLOOKUP(F$29,'Relatório GERAL'!$A:$AN,'Dados Dinamicos'!$T$5,0)),IF(VLOOKUP(F$29,'Relatório GERAL'!$A:$AN,'Dados Dinamicos'!$T$5,0)=0,"",VLOOKUP(F$29,'Relatório GERAL'!$A:$AN,'Dados Dinamicos'!$T$5,0)))))))</f>
        <v/>
      </c>
      <c r="G33" s="24" t="str">
        <f>IF(G$29&lt;DATE(AnoAExibir,VLOOKUP(MêsAExibir,'Dados Dinamicos'!$A$1:$B$12,2,0),1),"",IF(G$29&gt;DATE(AnoAExibir,VLOOKUP(MêsAExibir,'Dados Dinamicos'!$A$1:$B$12,2,0),'Dados Dinamicos'!$B$15),"",IF(WEEKDAY(G$29,2)=6,"",IF(WEEKDAY(G$29,2)=7,"",_xlfn.IFNA(IF(G$29=VLOOKUP(Calendário!G$29,'Dados Dinamicos'!$O:$O,1,0),"FERIADO",VLOOKUP(G$29,'Relatório GERAL'!$A:$AN,'Dados Dinamicos'!$T$5,0)),IF(VLOOKUP(G$29,'Relatório GERAL'!$A:$AN,'Dados Dinamicos'!$T$5,0)=0,"",VLOOKUP(G$29,'Relatório GERAL'!$A:$AN,'Dados Dinamicos'!$T$5,0)))))))</f>
        <v/>
      </c>
      <c r="H33" s="24" t="str">
        <f>IF(H$29&lt;DATE(AnoAExibir,VLOOKUP(MêsAExibir,'Dados Dinamicos'!$A$1:$B$12,2,0),1),"",IF(H$29&gt;DATE(AnoAExibir,VLOOKUP(MêsAExibir,'Dados Dinamicos'!$A$1:$B$12,2,0),'Dados Dinamicos'!$B$15),"",IF(WEEKDAY(H$29,2)=6,"",IF(WEEKDAY(H$29,2)=7,"",_xlfn.IFNA(IF(H$29=VLOOKUP(Calendário!H$29,'Dados Dinamicos'!$O:$O,1,0),"FERIADO",VLOOKUP(H$29,'Relatório GERAL'!$A:$AN,'Dados Dinamicos'!$T$5,0)),IF(VLOOKUP(H$29,'Relatório GERAL'!$A:$AN,'Dados Dinamicos'!$T$5,0)=0,"",VLOOKUP(H$29,'Relatório GERAL'!$A:$AN,'Dados Dinamicos'!$T$5,0)))))))</f>
        <v/>
      </c>
    </row>
    <row r="34" spans="2:8" ht="14.25" customHeight="1" x14ac:dyDescent="0.2">
      <c r="B34" s="25">
        <f>IFERROR(INDEX(calendário,ndx+5,1),"")</f>
        <v>42526</v>
      </c>
      <c r="C34" s="25">
        <f>IFERROR(INDEX(calendário,ndx+5,2),"")</f>
        <v>42527</v>
      </c>
      <c r="D34" s="25">
        <f>IFERROR(INDEX(calendário,ndx+5,3),"")</f>
        <v>42528</v>
      </c>
      <c r="E34" s="25">
        <f>IFERROR(INDEX(calendário,ndx+5,4),"")</f>
        <v>42529</v>
      </c>
      <c r="F34" s="25">
        <f>IFERROR(INDEX(calendário,ndx+5,5),"")</f>
        <v>42530</v>
      </c>
      <c r="G34" s="25">
        <f>IFERROR(INDEX(calendário,ndx+5,6),"")</f>
        <v>42531</v>
      </c>
      <c r="H34" s="25">
        <f>IFERROR(INDEX(calendário,ndx+5,7),"")</f>
        <v>42532</v>
      </c>
    </row>
    <row r="35" spans="2:8" ht="14.25" customHeight="1" x14ac:dyDescent="0.2">
      <c r="B35" s="24" t="str">
        <f>IF(B$34&lt;DATE(AnoAExibir,VLOOKUP(MêsAExibir,'Dados Dinamicos'!$A$1:$B$12,2,0),1),"",IF(B$34&gt;DATE(AnoAExibir,VLOOKUP(MêsAExibir,'Dados Dinamicos'!$A$1:$B$12,2,0),'Dados Dinamicos'!$B$15),"",IF(WEEKDAY(B$34,2)=6,"",IF(WEEKDAY(B$34,2)=7,"",_xlfn.IFNA(IF(B$34=VLOOKUP(Calendário!B$34,'Dados Dinamicos'!$O:$O,1,0),"FERIADO",VLOOKUP(B$34,'Relatório GERAL'!$A:$AN,'Dados Dinamicos'!$T$2,0)),IF(VLOOKUP(B$34,'Relatório GERAL'!$A:$AN,'Dados Dinamicos'!$T$2,0)=0,"",VLOOKUP(B$34,'Relatório GERAL'!$A:$AN,'Dados Dinamicos'!$T$2,0)))))))</f>
        <v/>
      </c>
      <c r="C35" s="24" t="str">
        <f>IF(C$34&lt;DATE(AnoAExibir,VLOOKUP(MêsAExibir,'Dados Dinamicos'!$A$1:$B$12,2,0),1),"",IF(C$34&gt;DATE(AnoAExibir,VLOOKUP(MêsAExibir,'Dados Dinamicos'!$A$1:$B$12,2,0),'Dados Dinamicos'!$B$15),"",IF(WEEKDAY(C$34,2)=6,"",IF(WEEKDAY(C$34,2)=7,"",_xlfn.IFNA(IF(C$34=VLOOKUP(Calendário!C$34,'Dados Dinamicos'!$O:$O,1,0),"FERIADO",VLOOKUP(C$34,'Relatório GERAL'!$A:$AN,'Dados Dinamicos'!$T$2,0)),IF(VLOOKUP(C$34,'Relatório GERAL'!$A:$AN,'Dados Dinamicos'!$T$2,0)=0,"",VLOOKUP(C$34,'Relatório GERAL'!$A:$AN,'Dados Dinamicos'!$T$2,0)))))))</f>
        <v/>
      </c>
      <c r="D35" s="24" t="str">
        <f>IF(D$34&lt;DATE(AnoAExibir,VLOOKUP(MêsAExibir,'Dados Dinamicos'!$A$1:$B$12,2,0),1),"",IF(D$34&gt;DATE(AnoAExibir,VLOOKUP(MêsAExibir,'Dados Dinamicos'!$A$1:$B$12,2,0),'Dados Dinamicos'!$B$15),"",IF(WEEKDAY(D$34,2)=6,"",IF(WEEKDAY(D$34,2)=7,"",_xlfn.IFNA(IF(D$34=VLOOKUP(Calendário!D$34,'Dados Dinamicos'!$O:$O,1,0),"FERIADO",VLOOKUP(D$34,'Relatório GERAL'!$A:$AN,'Dados Dinamicos'!$T$2,0)),IF(VLOOKUP(D$34,'Relatório GERAL'!$A:$AN,'Dados Dinamicos'!$T$2,0)=0,"",VLOOKUP(D$34,'Relatório GERAL'!$A:$AN,'Dados Dinamicos'!$T$2,0)))))))</f>
        <v/>
      </c>
      <c r="E35" s="24" t="str">
        <f>IF(E$34&lt;DATE(AnoAExibir,VLOOKUP(MêsAExibir,'Dados Dinamicos'!$A$1:$B$12,2,0),1),"",IF(E$34&gt;DATE(AnoAExibir,VLOOKUP(MêsAExibir,'Dados Dinamicos'!$A$1:$B$12,2,0),'Dados Dinamicos'!$B$15),"",IF(WEEKDAY(E$34,2)=6,"",IF(WEEKDAY(E$34,2)=7,"",_xlfn.IFNA(IF(E$34=VLOOKUP(Calendário!E$34,'Dados Dinamicos'!$O:$O,1,0),"FERIADO",VLOOKUP(E$34,'Relatório GERAL'!$A:$AN,'Dados Dinamicos'!$T$2,0)),IF(VLOOKUP(E$34,'Relatório GERAL'!$A:$AN,'Dados Dinamicos'!$T$2,0)=0,"",VLOOKUP(E$34,'Relatório GERAL'!$A:$AN,'Dados Dinamicos'!$T$2,0)))))))</f>
        <v/>
      </c>
      <c r="F35" s="24" t="str">
        <f>IF(F$34&lt;DATE(AnoAExibir,VLOOKUP(MêsAExibir,'Dados Dinamicos'!$A$1:$B$12,2,0),1),"",IF(F$34&gt;DATE(AnoAExibir,VLOOKUP(MêsAExibir,'Dados Dinamicos'!$A$1:$B$12,2,0),'Dados Dinamicos'!$B$15),"",IF(WEEKDAY(F$34,2)=6,"",IF(WEEKDAY(F$34,2)=7,"",_xlfn.IFNA(IF(F$34=VLOOKUP(Calendário!F$34,'Dados Dinamicos'!$O:$O,1,0),"FERIADO",VLOOKUP(F$34,'Relatório GERAL'!$A:$AN,'Dados Dinamicos'!$T$2,0)),IF(VLOOKUP(F$34,'Relatório GERAL'!$A:$AN,'Dados Dinamicos'!$T$2,0)=0,"",VLOOKUP(F$34,'Relatório GERAL'!$A:$AN,'Dados Dinamicos'!$T$2,0)))))))</f>
        <v/>
      </c>
      <c r="G35" s="24" t="str">
        <f>IF(G$34&lt;DATE(AnoAExibir,VLOOKUP(MêsAExibir,'Dados Dinamicos'!$A$1:$B$12,2,0),1),"",IF(G$34&gt;DATE(AnoAExibir,VLOOKUP(MêsAExibir,'Dados Dinamicos'!$A$1:$B$12,2,0),'Dados Dinamicos'!$B$15),"",IF(WEEKDAY(G$34,2)=6,"",IF(WEEKDAY(G$34,2)=7,"",_xlfn.IFNA(IF(G$34=VLOOKUP(Calendário!G$34,'Dados Dinamicos'!$O:$O,1,0),"FERIADO",VLOOKUP(G$34,'Relatório GERAL'!$A:$AN,'Dados Dinamicos'!$T$2,0)),IF(VLOOKUP(G$34,'Relatório GERAL'!$A:$AN,'Dados Dinamicos'!$T$2,0)=0,"",VLOOKUP(G$34,'Relatório GERAL'!$A:$AN,'Dados Dinamicos'!$T$2,0)))))))</f>
        <v/>
      </c>
      <c r="H35" s="24" t="str">
        <f>IF(H$34&lt;DATE(AnoAExibir,VLOOKUP(MêsAExibir,'Dados Dinamicos'!$A$1:$B$12,2,0),1),"",IF(H$34&gt;DATE(AnoAExibir,VLOOKUP(MêsAExibir,'Dados Dinamicos'!$A$1:$B$12,2,0),'Dados Dinamicos'!$B$15),"",IF(WEEKDAY(H$34,2)=6,"",IF(WEEKDAY(H$34,2)=7,"",_xlfn.IFNA(IF(H$34=VLOOKUP(Calendário!H$34,'Dados Dinamicos'!$O:$O,1,0),"FERIADO",VLOOKUP(H$34,'Relatório GERAL'!$A:$AN,'Dados Dinamicos'!$T$2,0)),IF(VLOOKUP(H$34,'Relatório GERAL'!$A:$AN,'Dados Dinamicos'!$T$2,0)=0,"",VLOOKUP(H$34,'Relatório GERAL'!$A:$AN,'Dados Dinamicos'!$T$2,0)))))))</f>
        <v/>
      </c>
    </row>
    <row r="36" spans="2:8" ht="14.25" customHeight="1" x14ac:dyDescent="0.2">
      <c r="B36" s="24" t="str">
        <f>IF(B$34&lt;DATE(AnoAExibir,VLOOKUP(MêsAExibir,'Dados Dinamicos'!$A$1:$B$12,2,0),1),"",IF(B$34&gt;DATE(AnoAExibir,VLOOKUP(MêsAExibir,'Dados Dinamicos'!$A$1:$B$12,2,0),'Dados Dinamicos'!$B$15),"",IF(WEEKDAY(B$34,2)=6,"",IF(WEEKDAY(B$34,2)=7,"",_xlfn.IFNA(IF(B$34=VLOOKUP(Calendário!B$34,'Dados Dinamicos'!$O:$O,1,0),"FERIADO",VLOOKUP(B$34,'Relatório GERAL'!$A:$AN,'Dados Dinamicos'!$T$3,0)),IF(VLOOKUP(B$34,'Relatório GERAL'!$A:$AN,'Dados Dinamicos'!$T$3,0)=0,"",VLOOKUP(B$34,'Relatório GERAL'!$A:$AN,'Dados Dinamicos'!$T$3,0)))))))</f>
        <v/>
      </c>
      <c r="C36" s="24" t="str">
        <f>IF(C$34&lt;DATE(AnoAExibir,VLOOKUP(MêsAExibir,'Dados Dinamicos'!$A$1:$B$12,2,0),1),"",IF(C$34&gt;DATE(AnoAExibir,VLOOKUP(MêsAExibir,'Dados Dinamicos'!$A$1:$B$12,2,0),'Dados Dinamicos'!$B$15),"",IF(WEEKDAY(C$34,2)=6,"",IF(WEEKDAY(C$34,2)=7,"",_xlfn.IFNA(IF(C$34=VLOOKUP(Calendário!C$34,'Dados Dinamicos'!$O:$O,1,0),"FERIADO",VLOOKUP(C$34,'Relatório GERAL'!$A:$AN,'Dados Dinamicos'!$T$3,0)),IF(VLOOKUP(C$34,'Relatório GERAL'!$A:$AN,'Dados Dinamicos'!$T$3,0)=0,"",VLOOKUP(C$34,'Relatório GERAL'!$A:$AN,'Dados Dinamicos'!$T$3,0)))))))</f>
        <v/>
      </c>
      <c r="D36" s="24" t="str">
        <f>IF(D$34&lt;DATE(AnoAExibir,VLOOKUP(MêsAExibir,'Dados Dinamicos'!$A$1:$B$12,2,0),1),"",IF(D$34&gt;DATE(AnoAExibir,VLOOKUP(MêsAExibir,'Dados Dinamicos'!$A$1:$B$12,2,0),'Dados Dinamicos'!$B$15),"",IF(WEEKDAY(D$34,2)=6,"",IF(WEEKDAY(D$34,2)=7,"",_xlfn.IFNA(IF(D$34=VLOOKUP(Calendário!D$34,'Dados Dinamicos'!$O:$O,1,0),"FERIADO",VLOOKUP(D$34,'Relatório GERAL'!$A:$AN,'Dados Dinamicos'!$T$3,0)),IF(VLOOKUP(D$34,'Relatório GERAL'!$A:$AN,'Dados Dinamicos'!$T$3,0)=0,"",VLOOKUP(D$34,'Relatório GERAL'!$A:$AN,'Dados Dinamicos'!$T$3,0)))))))</f>
        <v/>
      </c>
      <c r="E36" s="24" t="str">
        <f>IF(E$34&lt;DATE(AnoAExibir,VLOOKUP(MêsAExibir,'Dados Dinamicos'!$A$1:$B$12,2,0),1),"",IF(E$34&gt;DATE(AnoAExibir,VLOOKUP(MêsAExibir,'Dados Dinamicos'!$A$1:$B$12,2,0),'Dados Dinamicos'!$B$15),"",IF(WEEKDAY(E$34,2)=6,"",IF(WEEKDAY(E$34,2)=7,"",_xlfn.IFNA(IF(E$34=VLOOKUP(Calendário!E$34,'Dados Dinamicos'!$O:$O,1,0),"FERIADO",VLOOKUP(E$34,'Relatório GERAL'!$A:$AN,'Dados Dinamicos'!$T$3,0)),IF(VLOOKUP(E$34,'Relatório GERAL'!$A:$AN,'Dados Dinamicos'!$T$3,0)=0,"",VLOOKUP(E$34,'Relatório GERAL'!$A:$AN,'Dados Dinamicos'!$T$3,0)))))))</f>
        <v/>
      </c>
      <c r="F36" s="24" t="str">
        <f>IF(F$34&lt;DATE(AnoAExibir,VLOOKUP(MêsAExibir,'Dados Dinamicos'!$A$1:$B$12,2,0),1),"",IF(F$34&gt;DATE(AnoAExibir,VLOOKUP(MêsAExibir,'Dados Dinamicos'!$A$1:$B$12,2,0),'Dados Dinamicos'!$B$15),"",IF(WEEKDAY(F$34,2)=6,"",IF(WEEKDAY(F$34,2)=7,"",_xlfn.IFNA(IF(F$34=VLOOKUP(Calendário!F$34,'Dados Dinamicos'!$O:$O,1,0),"FERIADO",VLOOKUP(F$34,'Relatório GERAL'!$A:$AN,'Dados Dinamicos'!$T$3,0)),IF(VLOOKUP(F$34,'Relatório GERAL'!$A:$AN,'Dados Dinamicos'!$T$3,0)=0,"",VLOOKUP(F$34,'Relatório GERAL'!$A:$AN,'Dados Dinamicos'!$T$3,0)))))))</f>
        <v/>
      </c>
      <c r="G36" s="24" t="str">
        <f>IF(G$34&lt;DATE(AnoAExibir,VLOOKUP(MêsAExibir,'Dados Dinamicos'!$A$1:$B$12,2,0),1),"",IF(G$34&gt;DATE(AnoAExibir,VLOOKUP(MêsAExibir,'Dados Dinamicos'!$A$1:$B$12,2,0),'Dados Dinamicos'!$B$15),"",IF(WEEKDAY(G$34,2)=6,"",IF(WEEKDAY(G$34,2)=7,"",_xlfn.IFNA(IF(G$34=VLOOKUP(Calendário!G$34,'Dados Dinamicos'!$O:$O,1,0),"FERIADO",VLOOKUP(G$34,'Relatório GERAL'!$A:$AN,'Dados Dinamicos'!$T$3,0)),IF(VLOOKUP(G$34,'Relatório GERAL'!$A:$AN,'Dados Dinamicos'!$T$3,0)=0,"",VLOOKUP(G$34,'Relatório GERAL'!$A:$AN,'Dados Dinamicos'!$T$3,0)))))))</f>
        <v/>
      </c>
      <c r="H36" s="24" t="str">
        <f>IF(H$34&lt;DATE(AnoAExibir,VLOOKUP(MêsAExibir,'Dados Dinamicos'!$A$1:$B$12,2,0),1),"",IF(H$34&gt;DATE(AnoAExibir,VLOOKUP(MêsAExibir,'Dados Dinamicos'!$A$1:$B$12,2,0),'Dados Dinamicos'!$B$15),"",IF(WEEKDAY(H$34,2)=6,"",IF(WEEKDAY(H$34,2)=7,"",_xlfn.IFNA(IF(H$34=VLOOKUP(Calendário!H$34,'Dados Dinamicos'!$O:$O,1,0),"FERIADO",VLOOKUP(H$34,'Relatório GERAL'!$A:$AN,'Dados Dinamicos'!$T$3,0)),IF(VLOOKUP(H$34,'Relatório GERAL'!$A:$AN,'Dados Dinamicos'!$T$3,0)=0,"",VLOOKUP(H$34,'Relatório GERAL'!$A:$AN,'Dados Dinamicos'!$T$3,0)))))))</f>
        <v/>
      </c>
    </row>
    <row r="37" spans="2:8" ht="14.25" customHeight="1" x14ac:dyDescent="0.2">
      <c r="B37" s="24" t="str">
        <f>IF(B$34&lt;DATE(AnoAExibir,VLOOKUP(MêsAExibir,'Dados Dinamicos'!$A$1:$B$12,2,0),1),"",IF(B$34&gt;DATE(AnoAExibir,VLOOKUP(MêsAExibir,'Dados Dinamicos'!$A$1:$B$12,2,0),'Dados Dinamicos'!$B$15),"",IF(WEEKDAY(B$34,2)=6,"",IF(WEEKDAY(B$34,2)=7,"",_xlfn.IFNA(IF(B$34=VLOOKUP(Calendário!B$34,'Dados Dinamicos'!$O:$O,1,0),"FERIADO",VLOOKUP(B$34,'Relatório GERAL'!$A:$AN,'Dados Dinamicos'!$T$4,0)),IF(VLOOKUP(B$34,'Relatório GERAL'!$A:$AN,'Dados Dinamicos'!$T$4,0)=0,"",VLOOKUP(B$34,'Relatório GERAL'!$A:$AN,'Dados Dinamicos'!$T$4,0)))))))</f>
        <v/>
      </c>
      <c r="C37" s="24" t="str">
        <f>IF(C$34&lt;DATE(AnoAExibir,VLOOKUP(MêsAExibir,'Dados Dinamicos'!$A$1:$B$12,2,0),1),"",IF(C$34&gt;DATE(AnoAExibir,VLOOKUP(MêsAExibir,'Dados Dinamicos'!$A$1:$B$12,2,0),'Dados Dinamicos'!$B$15),"",IF(WEEKDAY(C$34,2)=6,"",IF(WEEKDAY(C$34,2)=7,"",_xlfn.IFNA(IF(C$34=VLOOKUP(Calendário!C$34,'Dados Dinamicos'!$O:$O,1,0),"FERIADO",VLOOKUP(C$34,'Relatório GERAL'!$A:$AN,'Dados Dinamicos'!$T$4,0)),IF(VLOOKUP(C$34,'Relatório GERAL'!$A:$AN,'Dados Dinamicos'!$T$4,0)=0,"",VLOOKUP(C$34,'Relatório GERAL'!$A:$AN,'Dados Dinamicos'!$T$4,0)))))))</f>
        <v/>
      </c>
      <c r="D37" s="24" t="str">
        <f>IF(D$34&lt;DATE(AnoAExibir,VLOOKUP(MêsAExibir,'Dados Dinamicos'!$A$1:$B$12,2,0),1),"",IF(D$34&gt;DATE(AnoAExibir,VLOOKUP(MêsAExibir,'Dados Dinamicos'!$A$1:$B$12,2,0),'Dados Dinamicos'!$B$15),"",IF(WEEKDAY(D$34,2)=6,"",IF(WEEKDAY(D$34,2)=7,"",_xlfn.IFNA(IF(D$34=VLOOKUP(Calendário!D$34,'Dados Dinamicos'!$O:$O,1,0),"FERIADO",VLOOKUP(D$34,'Relatório GERAL'!$A:$AN,'Dados Dinamicos'!$T$4,0)),IF(VLOOKUP(D$34,'Relatório GERAL'!$A:$AN,'Dados Dinamicos'!$T$4,0)=0,"",VLOOKUP(D$34,'Relatório GERAL'!$A:$AN,'Dados Dinamicos'!$T$4,0)))))))</f>
        <v/>
      </c>
      <c r="E37" s="24" t="str">
        <f>IF(E$34&lt;DATE(AnoAExibir,VLOOKUP(MêsAExibir,'Dados Dinamicos'!$A$1:$B$12,2,0),1),"",IF(E$34&gt;DATE(AnoAExibir,VLOOKUP(MêsAExibir,'Dados Dinamicos'!$A$1:$B$12,2,0),'Dados Dinamicos'!$B$15),"",IF(WEEKDAY(E$34,2)=6,"",IF(WEEKDAY(E$34,2)=7,"",_xlfn.IFNA(IF(E$34=VLOOKUP(Calendário!E$34,'Dados Dinamicos'!$O:$O,1,0),"FERIADO",VLOOKUP(E$34,'Relatório GERAL'!$A:$AN,'Dados Dinamicos'!$T$4,0)),IF(VLOOKUP(E$34,'Relatório GERAL'!$A:$AN,'Dados Dinamicos'!$T$4,0)=0,"",VLOOKUP(E$34,'Relatório GERAL'!$A:$AN,'Dados Dinamicos'!$T$4,0)))))))</f>
        <v/>
      </c>
      <c r="F37" s="24" t="str">
        <f>IF(F$34&lt;DATE(AnoAExibir,VLOOKUP(MêsAExibir,'Dados Dinamicos'!$A$1:$B$12,2,0),1),"",IF(F$34&gt;DATE(AnoAExibir,VLOOKUP(MêsAExibir,'Dados Dinamicos'!$A$1:$B$12,2,0),'Dados Dinamicos'!$B$15),"",IF(WEEKDAY(F$34,2)=6,"",IF(WEEKDAY(F$34,2)=7,"",_xlfn.IFNA(IF(F$34=VLOOKUP(Calendário!F$34,'Dados Dinamicos'!$O:$O,1,0),"FERIADO",VLOOKUP(F$34,'Relatório GERAL'!$A:$AN,'Dados Dinamicos'!$T$4,0)),IF(VLOOKUP(F$34,'Relatório GERAL'!$A:$AN,'Dados Dinamicos'!$T$4,0)=0,"",VLOOKUP(F$34,'Relatório GERAL'!$A:$AN,'Dados Dinamicos'!$T$4,0)))))))</f>
        <v/>
      </c>
      <c r="G37" s="24" t="str">
        <f>IF(G$34&lt;DATE(AnoAExibir,VLOOKUP(MêsAExibir,'Dados Dinamicos'!$A$1:$B$12,2,0),1),"",IF(G$34&gt;DATE(AnoAExibir,VLOOKUP(MêsAExibir,'Dados Dinamicos'!$A$1:$B$12,2,0),'Dados Dinamicos'!$B$15),"",IF(WEEKDAY(G$34,2)=6,"",IF(WEEKDAY(G$34,2)=7,"",_xlfn.IFNA(IF(G$34=VLOOKUP(Calendário!G$34,'Dados Dinamicos'!$O:$O,1,0),"FERIADO",VLOOKUP(G$34,'Relatório GERAL'!$A:$AN,'Dados Dinamicos'!$T$4,0)),IF(VLOOKUP(G$34,'Relatório GERAL'!$A:$AN,'Dados Dinamicos'!$T$4,0)=0,"",VLOOKUP(G$34,'Relatório GERAL'!$A:$AN,'Dados Dinamicos'!$T$4,0)))))))</f>
        <v/>
      </c>
      <c r="H37" s="24" t="str">
        <f>IF(H$34&lt;DATE(AnoAExibir,VLOOKUP(MêsAExibir,'Dados Dinamicos'!$A$1:$B$12,2,0),1),"",IF(H$34&gt;DATE(AnoAExibir,VLOOKUP(MêsAExibir,'Dados Dinamicos'!$A$1:$B$12,2,0),'Dados Dinamicos'!$B$15),"",IF(WEEKDAY(H$34,2)=6,"",IF(WEEKDAY(H$34,2)=7,"",_xlfn.IFNA(IF(H$34=VLOOKUP(Calendário!H$34,'Dados Dinamicos'!$O:$O,1,0),"FERIADO",VLOOKUP(H$34,'Relatório GERAL'!$A:$AN,'Dados Dinamicos'!$T$4,0)),IF(VLOOKUP(H$34,'Relatório GERAL'!$A:$AN,'Dados Dinamicos'!$T$4,0)=0,"",VLOOKUP(H$34,'Relatório GERAL'!$A:$AN,'Dados Dinamicos'!$T$4,0)))))))</f>
        <v/>
      </c>
    </row>
    <row r="38" spans="2:8" ht="14.25" customHeight="1" x14ac:dyDescent="0.2">
      <c r="B38" s="24" t="str">
        <f>IF(B$34&lt;DATE(AnoAExibir,VLOOKUP(MêsAExibir,'Dados Dinamicos'!$A$1:$B$12,2,0),1),"",IF(B$34&gt;DATE(AnoAExibir,VLOOKUP(MêsAExibir,'Dados Dinamicos'!$A$1:$B$12,2,0),'Dados Dinamicos'!$B$15),"",IF(WEEKDAY(B$34,2)=6,"",IF(WEEKDAY(B$34,2)=7,"",_xlfn.IFNA(IF(B$34=VLOOKUP(Calendário!B$34,'Dados Dinamicos'!$O:$O,1,0),"FERIADO",VLOOKUP(B$34,'Relatório GERAL'!$A:$AN,'Dados Dinamicos'!$T$5,0)),IF(VLOOKUP(B$34,'Relatório GERAL'!$A:$AN,'Dados Dinamicos'!$T$5,0)=0,"",VLOOKUP(B$34,'Relatório GERAL'!$A:$AN,'Dados Dinamicos'!$T$5,0)))))))</f>
        <v/>
      </c>
      <c r="C38" s="24" t="str">
        <f>IF(C$34&lt;DATE(AnoAExibir,VLOOKUP(MêsAExibir,'Dados Dinamicos'!$A$1:$B$12,2,0),1),"",IF(C$34&gt;DATE(AnoAExibir,VLOOKUP(MêsAExibir,'Dados Dinamicos'!$A$1:$B$12,2,0),'Dados Dinamicos'!$B$15),"",IF(WEEKDAY(C$34,2)=6,"",IF(WEEKDAY(C$34,2)=7,"",_xlfn.IFNA(IF(C$34=VLOOKUP(Calendário!C$34,'Dados Dinamicos'!$O:$O,1,0),"FERIADO",VLOOKUP(C$34,'Relatório GERAL'!$A:$AN,'Dados Dinamicos'!$T$5,0)),IF(VLOOKUP(C$34,'Relatório GERAL'!$A:$AN,'Dados Dinamicos'!$T$5,0)=0,"",VLOOKUP(C$34,'Relatório GERAL'!$A:$AN,'Dados Dinamicos'!$T$5,0)))))))</f>
        <v/>
      </c>
      <c r="D38" s="24" t="str">
        <f>IF(D$34&lt;DATE(AnoAExibir,VLOOKUP(MêsAExibir,'Dados Dinamicos'!$A$1:$B$12,2,0),1),"",IF(D$34&gt;DATE(AnoAExibir,VLOOKUP(MêsAExibir,'Dados Dinamicos'!$A$1:$B$12,2,0),'Dados Dinamicos'!$B$15),"",IF(WEEKDAY(D$34,2)=6,"",IF(WEEKDAY(D$34,2)=7,"",_xlfn.IFNA(IF(D$34=VLOOKUP(Calendário!D$34,'Dados Dinamicos'!$O:$O,1,0),"FERIADO",VLOOKUP(D$34,'Relatório GERAL'!$A:$AN,'Dados Dinamicos'!$T$5,0)),IF(VLOOKUP(D$34,'Relatório GERAL'!$A:$AN,'Dados Dinamicos'!$T$5,0)=0,"",VLOOKUP(D$34,'Relatório GERAL'!$A:$AN,'Dados Dinamicos'!$T$5,0)))))))</f>
        <v/>
      </c>
      <c r="E38" s="24" t="str">
        <f>IF(E$34&lt;DATE(AnoAExibir,VLOOKUP(MêsAExibir,'Dados Dinamicos'!$A$1:$B$12,2,0),1),"",IF(E$34&gt;DATE(AnoAExibir,VLOOKUP(MêsAExibir,'Dados Dinamicos'!$A$1:$B$12,2,0),'Dados Dinamicos'!$B$15),"",IF(WEEKDAY(E$34,2)=6,"",IF(WEEKDAY(E$34,2)=7,"",_xlfn.IFNA(IF(E$34=VLOOKUP(Calendário!E$34,'Dados Dinamicos'!$O:$O,1,0),"FERIADO",VLOOKUP(E$34,'Relatório GERAL'!$A:$AN,'Dados Dinamicos'!$T$5,0)),IF(VLOOKUP(E$34,'Relatório GERAL'!$A:$AN,'Dados Dinamicos'!$T$5,0)=0,"",VLOOKUP(E$34,'Relatório GERAL'!$A:$AN,'Dados Dinamicos'!$T$5,0)))))))</f>
        <v/>
      </c>
      <c r="F38" s="24" t="str">
        <f>IF(F$34&lt;DATE(AnoAExibir,VLOOKUP(MêsAExibir,'Dados Dinamicos'!$A$1:$B$12,2,0),1),"",IF(F$34&gt;DATE(AnoAExibir,VLOOKUP(MêsAExibir,'Dados Dinamicos'!$A$1:$B$12,2,0),'Dados Dinamicos'!$B$15),"",IF(WEEKDAY(F$34,2)=6,"",IF(WEEKDAY(F$34,2)=7,"",_xlfn.IFNA(IF(F$34=VLOOKUP(Calendário!F$34,'Dados Dinamicos'!$O:$O,1,0),"FERIADO",VLOOKUP(F$34,'Relatório GERAL'!$A:$AN,'Dados Dinamicos'!$T$5,0)),IF(VLOOKUP(F$34,'Relatório GERAL'!$A:$AN,'Dados Dinamicos'!$T$5,0)=0,"",VLOOKUP(F$34,'Relatório GERAL'!$A:$AN,'Dados Dinamicos'!$T$5,0)))))))</f>
        <v/>
      </c>
      <c r="G38" s="24" t="str">
        <f>IF(G$34&lt;DATE(AnoAExibir,VLOOKUP(MêsAExibir,'Dados Dinamicos'!$A$1:$B$12,2,0),1),"",IF(G$34&gt;DATE(AnoAExibir,VLOOKUP(MêsAExibir,'Dados Dinamicos'!$A$1:$B$12,2,0),'Dados Dinamicos'!$B$15),"",IF(WEEKDAY(G$34,2)=6,"",IF(WEEKDAY(G$34,2)=7,"",_xlfn.IFNA(IF(G$34=VLOOKUP(Calendário!G$34,'Dados Dinamicos'!$O:$O,1,0),"FERIADO",VLOOKUP(G$34,'Relatório GERAL'!$A:$AN,'Dados Dinamicos'!$T$5,0)),IF(VLOOKUP(G$34,'Relatório GERAL'!$A:$AN,'Dados Dinamicos'!$T$5,0)=0,"",VLOOKUP(G$34,'Relatório GERAL'!$A:$AN,'Dados Dinamicos'!$T$5,0)))))))</f>
        <v/>
      </c>
      <c r="H38" s="24" t="str">
        <f>IF(H$34&lt;DATE(AnoAExibir,VLOOKUP(MêsAExibir,'Dados Dinamicos'!$A$1:$B$12,2,0),1),"",IF(H$34&gt;DATE(AnoAExibir,VLOOKUP(MêsAExibir,'Dados Dinamicos'!$A$1:$B$12,2,0),'Dados Dinamicos'!$B$15),"",IF(WEEKDAY(H$34,2)=6,"",IF(WEEKDAY(H$34,2)=7,"",_xlfn.IFNA(IF(H$34=VLOOKUP(Calendário!H$34,'Dados Dinamicos'!$O:$O,1,0),"FERIADO",VLOOKUP(H$34,'Relatório GERAL'!$A:$AN,'Dados Dinamicos'!$T$5,0)),IF(VLOOKUP(H$34,'Relatório GERAL'!$A:$AN,'Dados Dinamicos'!$T$5,0)=0,"",VLOOKUP(H$34,'Relatório GERAL'!$A:$AN,'Dados Dinamicos'!$T$5,0)))))))</f>
        <v/>
      </c>
    </row>
  </sheetData>
  <sheetProtection selectLockedCells="1"/>
  <customSheetViews>
    <customSheetView guid="{FC643F0B-3E44-4304-9C6C-EBD35A45B8FD}" scale="70" showGridLines="0" fitToPage="1" hiddenColumns="1" topLeftCell="B1">
      <selection activeCell="H2" sqref="H2"/>
      <pageMargins left="0" right="0" top="0" bottom="0" header="0" footer="0"/>
      <printOptions horizontalCentered="1" verticalCentered="1"/>
      <pageSetup paperSize="9" scale="76" orientation="landscape" r:id="rId1"/>
    </customSheetView>
    <customSheetView guid="{ECC56881-4CE2-4FBF-815D-85F544F885E8}" scale="70" showPageBreaks="1" showGridLines="0" fitToPage="1" printArea="1" hiddenColumns="1" topLeftCell="B1">
      <selection activeCell="L13" sqref="L13"/>
      <pageMargins left="0" right="0" top="0" bottom="0" header="0" footer="0"/>
      <printOptions horizontalCentered="1" verticalCentered="1"/>
      <pageSetup paperSize="9" scale="76" orientation="landscape" r:id="rId2"/>
    </customSheetView>
    <customSheetView guid="{40F11FFD-627B-4157-AFFE-E57E44CED524}" scale="70" showGridLines="0" fitToPage="1" hiddenColumns="1" topLeftCell="B1">
      <selection activeCell="H2" sqref="H2"/>
      <pageMargins left="0" right="0" top="0" bottom="0" header="0" footer="0"/>
      <printOptions horizontalCentered="1" verticalCentered="1"/>
      <pageSetup paperSize="9" scale="76" orientation="landscape" r:id="rId3"/>
    </customSheetView>
  </customSheetViews>
  <mergeCells count="3">
    <mergeCell ref="B2:C3"/>
    <mergeCell ref="B4:C5"/>
    <mergeCell ref="D3:F7"/>
  </mergeCells>
  <conditionalFormatting sqref="B34:H38">
    <cfRule type="expression" dxfId="35" priority="83" stopIfTrue="1">
      <formula>NúmeroDeMêsAExibir&lt;&gt;MONTH(B$34)</formula>
    </cfRule>
  </conditionalFormatting>
  <conditionalFormatting sqref="B9:H9">
    <cfRule type="expression" dxfId="34" priority="84" stopIfTrue="1">
      <formula>NúmeroDeMêsAExibir&lt;&gt;MONTH(B$9)</formula>
    </cfRule>
  </conditionalFormatting>
  <conditionalFormatting sqref="B29:H29">
    <cfRule type="expression" dxfId="33" priority="85" stopIfTrue="1">
      <formula>NúmeroDeMêsAExibir&lt;&gt;MONTH(B$29)</formula>
    </cfRule>
  </conditionalFormatting>
  <conditionalFormatting sqref="B15:H15 B20:H20 B25:H25 B30:H30 B10:H10">
    <cfRule type="dataBar" priority="50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{9B0FBFB1-21D4-4864-9416-90DD5886E8DB}</x14:id>
        </ext>
      </extLst>
    </cfRule>
  </conditionalFormatting>
  <conditionalFormatting sqref="B16:H16 B11:H11 B21:H21 B26:H26 B31:H31">
    <cfRule type="dataBar" priority="48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{74AC4FF1-91AD-456C-80DA-665344C7AD25}</x14:id>
        </ext>
      </extLst>
    </cfRule>
  </conditionalFormatting>
  <conditionalFormatting sqref="B17:H17 B22:H22 B27:H27 B32:H32 B12:H12">
    <cfRule type="dataBar" priority="46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{1EE14E0D-87A4-40AC-A02F-6C9A390A9EFC}</x14:id>
        </ext>
      </extLst>
    </cfRule>
  </conditionalFormatting>
  <conditionalFormatting sqref="B18:H18 B23:H23 B28:H28 B33:H33 B13:H13">
    <cfRule type="dataBar" priority="44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{18BABCBA-51A4-46D0-B51E-6970EF7DF0FF}</x14:id>
        </ext>
      </extLst>
    </cfRule>
  </conditionalFormatting>
  <conditionalFormatting sqref="A9:H38">
    <cfRule type="containsText" dxfId="32" priority="10" operator="containsText" text="Feriado">
      <formula>NOT(ISERROR(SEARCH("Feriado",A9)))</formula>
    </cfRule>
  </conditionalFormatting>
  <conditionalFormatting sqref="B35:H35">
    <cfRule type="dataBar" priority="5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{6DF4FA71-F04B-4187-8200-3C756A8B117B}</x14:id>
        </ext>
      </extLst>
    </cfRule>
  </conditionalFormatting>
  <conditionalFormatting sqref="B36:H36">
    <cfRule type="dataBar" priority="4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{A05BACD9-AB88-4C4E-8499-99716D4E064D}</x14:id>
        </ext>
      </extLst>
    </cfRule>
  </conditionalFormatting>
  <conditionalFormatting sqref="B37:H37">
    <cfRule type="dataBar" priority="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{5B89CD56-51E3-4E5C-9ACB-EC3A0017FAEC}</x14:id>
        </ext>
      </extLst>
    </cfRule>
  </conditionalFormatting>
  <conditionalFormatting sqref="B38:H38">
    <cfRule type="dataBar" priority="2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{8BA294F0-3DE0-42A9-AC58-42948BCB7036}</x14:id>
        </ext>
      </extLst>
    </cfRule>
  </conditionalFormatting>
  <conditionalFormatting sqref="B34:H34">
    <cfRule type="expression" dxfId="31" priority="1" stopIfTrue="1">
      <formula>NúmeroDeMêsAExibir&lt;&gt;MONTH(B$29)</formula>
    </cfRule>
  </conditionalFormatting>
  <dataValidations count="1">
    <dataValidation type="list" allowBlank="1" showInputMessage="1" showErrorMessage="1" sqref="H3" xr:uid="{00000000-0002-0000-0000-000000000000}">
      <formula1>"2015,2016,2017"</formula1>
    </dataValidation>
  </dataValidations>
  <printOptions horizontalCentered="1" verticalCentered="1"/>
  <pageMargins left="0.45" right="0.45" top="0.4" bottom="0.5" header="0.3" footer="0.3"/>
  <pageSetup paperSize="9" scale="76" orientation="landscape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0FBFB1-21D4-4864-9416-90DD5886E8D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7030A0"/>
              <x14:negativeFillColor rgb="FFFF0000"/>
              <x14:negativeBorderColor rgb="FFFF0000"/>
              <x14:axisColor rgb="FF000000"/>
            </x14:dataBar>
          </x14:cfRule>
          <xm:sqref>B15:H15 B20:H20 B25:H25 B30:H30 B10:H10</xm:sqref>
        </x14:conditionalFormatting>
        <x14:conditionalFormatting xmlns:xm="http://schemas.microsoft.com/office/excel/2006/main">
          <x14:cfRule type="dataBar" id="{74AC4FF1-91AD-456C-80DA-665344C7AD2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negativeBorderColor rgb="FFFF0000"/>
              <x14:axisColor rgb="FF000000"/>
            </x14:dataBar>
          </x14:cfRule>
          <xm:sqref>B16:H16 B11:H11 B21:H21 B26:H26 B31:H31</xm:sqref>
        </x14:conditionalFormatting>
        <x14:conditionalFormatting xmlns:xm="http://schemas.microsoft.com/office/excel/2006/main">
          <x14:cfRule type="dataBar" id="{1EE14E0D-87A4-40AC-A02F-6C9A390A9EF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92D050"/>
              <x14:negativeFillColor rgb="FFFF0000"/>
              <x14:negativeBorderColor rgb="FFFF0000"/>
              <x14:axisColor rgb="FF000000"/>
            </x14:dataBar>
          </x14:cfRule>
          <xm:sqref>B17:H17 B22:H22 B27:H27 B32:H32 B12:H12</xm:sqref>
        </x14:conditionalFormatting>
        <x14:conditionalFormatting xmlns:xm="http://schemas.microsoft.com/office/excel/2006/main">
          <x14:cfRule type="dataBar" id="{18BABCBA-51A4-46D0-B51E-6970EF7DF0FF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B18:H18 B23:H23 B28:H28 B33:H33 B13:H13</xm:sqref>
        </x14:conditionalFormatting>
        <x14:conditionalFormatting xmlns:xm="http://schemas.microsoft.com/office/excel/2006/main">
          <x14:cfRule type="dataBar" id="{6DF4FA71-F04B-4187-8200-3C756A8B117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7030A0"/>
              <x14:negativeFillColor rgb="FFFF0000"/>
              <x14:negativeBorderColor rgb="FFFF0000"/>
              <x14:axisColor rgb="FF000000"/>
            </x14:dataBar>
          </x14:cfRule>
          <xm:sqref>B35:H35</xm:sqref>
        </x14:conditionalFormatting>
        <x14:conditionalFormatting xmlns:xm="http://schemas.microsoft.com/office/excel/2006/main">
          <x14:cfRule type="dataBar" id="{A05BACD9-AB88-4C4E-8499-99716D4E064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B0F0"/>
              <x14:negativeFillColor rgb="FFFF0000"/>
              <x14:negativeBorderColor rgb="FFFF0000"/>
              <x14:axisColor rgb="FF000000"/>
            </x14:dataBar>
          </x14:cfRule>
          <xm:sqref>B36:H36</xm:sqref>
        </x14:conditionalFormatting>
        <x14:conditionalFormatting xmlns:xm="http://schemas.microsoft.com/office/excel/2006/main">
          <x14:cfRule type="dataBar" id="{5B89CD56-51E3-4E5C-9ACB-EC3A0017FAE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92D050"/>
              <x14:negativeFillColor rgb="FFFF0000"/>
              <x14:negativeBorderColor rgb="FFFF0000"/>
              <x14:axisColor rgb="FF000000"/>
            </x14:dataBar>
          </x14:cfRule>
          <xm:sqref>B37:H37</xm:sqref>
        </x14:conditionalFormatting>
        <x14:conditionalFormatting xmlns:xm="http://schemas.microsoft.com/office/excel/2006/main">
          <x14:cfRule type="dataBar" id="{8BA294F0-3DE0-42A9-AC58-42948BCB703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B38:H38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'Dados Dinamicos'!$A$1:$A$12</xm:f>
          </x14:formula1>
          <xm:sqref>H2</xm:sqref>
        </x14:dataValidation>
        <x14:dataValidation type="list" allowBlank="1" showInputMessage="1" showErrorMessage="1" xr:uid="{00000000-0002-0000-0000-000002000000}">
          <x14:formula1>
            <xm:f>'Dados Dinamicos'!$C$1:$C$7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AD39"/>
  <sheetViews>
    <sheetView workbookViewId="0">
      <selection activeCell="F4" sqref="F4"/>
    </sheetView>
  </sheetViews>
  <sheetFormatPr defaultRowHeight="12.75" x14ac:dyDescent="0.2"/>
  <cols>
    <col min="1" max="1" width="16.140625" bestFit="1" customWidth="1"/>
    <col min="2" max="2" width="11.85546875" bestFit="1" customWidth="1"/>
    <col min="3" max="3" width="13.28515625" bestFit="1" customWidth="1"/>
    <col min="4" max="4" width="22.140625" bestFit="1" customWidth="1"/>
    <col min="5" max="5" width="22.28515625" bestFit="1" customWidth="1"/>
    <col min="6" max="6" width="14.7109375" bestFit="1" customWidth="1"/>
    <col min="7" max="7" width="3.28515625" customWidth="1"/>
    <col min="8" max="8" width="10.42578125" bestFit="1" customWidth="1"/>
    <col min="9" max="9" width="10.28515625" bestFit="1" customWidth="1"/>
    <col min="10" max="10" width="10.42578125" bestFit="1" customWidth="1"/>
    <col min="11" max="11" width="14.140625" bestFit="1" customWidth="1"/>
    <col min="14" max="14" width="3.28515625" customWidth="1"/>
    <col min="15" max="15" width="16.5703125" customWidth="1"/>
    <col min="16" max="16" width="22.5703125" bestFit="1" customWidth="1"/>
    <col min="17" max="18" width="9" customWidth="1"/>
    <col min="19" max="19" width="31.140625" bestFit="1" customWidth="1"/>
    <col min="22" max="22" width="3.85546875" bestFit="1" customWidth="1"/>
    <col min="23" max="23" width="10.5703125" bestFit="1" customWidth="1"/>
    <col min="24" max="24" width="22.7109375" bestFit="1" customWidth="1"/>
    <col min="27" max="27" width="10.5703125" bestFit="1" customWidth="1"/>
    <col min="28" max="28" width="22.7109375" bestFit="1" customWidth="1"/>
    <col min="31" max="31" width="9.140625" customWidth="1"/>
    <col min="32" max="36" width="2.140625" bestFit="1" customWidth="1"/>
  </cols>
  <sheetData>
    <row r="1" spans="1:30" ht="12.75" customHeight="1" x14ac:dyDescent="0.2">
      <c r="A1" s="18" t="s">
        <v>9</v>
      </c>
      <c r="B1" s="18">
        <v>1</v>
      </c>
      <c r="C1" s="20" t="s">
        <v>3</v>
      </c>
      <c r="D1" s="241" t="s">
        <v>10</v>
      </c>
      <c r="E1" s="241"/>
      <c r="N1" s="242">
        <f>Calendário!H3</f>
        <v>2016</v>
      </c>
      <c r="O1" s="243"/>
      <c r="P1" s="244"/>
      <c r="S1" s="1" t="s">
        <v>11</v>
      </c>
      <c r="T1" s="37"/>
      <c r="V1" s="242">
        <f>ANOGRAFTOT</f>
        <v>2015</v>
      </c>
      <c r="W1" s="243"/>
      <c r="X1" s="244"/>
      <c r="Z1" s="245">
        <f>Prod.Total!H1</f>
        <v>2016</v>
      </c>
      <c r="AA1" s="243"/>
      <c r="AB1" s="244"/>
    </row>
    <row r="2" spans="1:30" x14ac:dyDescent="0.2">
      <c r="A2" s="18" t="s">
        <v>12</v>
      </c>
      <c r="B2" s="18">
        <v>2</v>
      </c>
      <c r="C2" s="20" t="s">
        <v>13</v>
      </c>
      <c r="D2" s="18" t="s">
        <v>5</v>
      </c>
      <c r="E2" s="18" t="s">
        <v>14</v>
      </c>
      <c r="F2" s="203" t="s">
        <v>15</v>
      </c>
      <c r="N2" s="238" t="s">
        <v>16</v>
      </c>
      <c r="O2" s="124">
        <f>DATE(Calendário!AnoAExibir,1,1)</f>
        <v>42370</v>
      </c>
      <c r="P2" s="125" t="s">
        <v>17</v>
      </c>
      <c r="Q2">
        <f>WEEKNUM(O2,2)</f>
        <v>1</v>
      </c>
      <c r="R2">
        <f>WEEKDAY(O2,2)</f>
        <v>5</v>
      </c>
      <c r="S2" s="1" t="s">
        <v>18</v>
      </c>
      <c r="T2" s="37">
        <f>MATCH(S2,'Relatório GERAL'!$A$1:$AN$1,0)</f>
        <v>37</v>
      </c>
      <c r="V2" s="238" t="s">
        <v>16</v>
      </c>
      <c r="W2" s="124">
        <f>DATE(ANOGRAFTOT,1,1)</f>
        <v>42005</v>
      </c>
      <c r="X2" s="125" t="s">
        <v>17</v>
      </c>
      <c r="Z2" s="238" t="s">
        <v>16</v>
      </c>
      <c r="AA2" s="124">
        <f>DATE(ANOPRODTOT.,1,1)</f>
        <v>42370</v>
      </c>
      <c r="AB2" s="125" t="s">
        <v>17</v>
      </c>
      <c r="AC2">
        <f>WEEKNUM(AA2,)</f>
        <v>1</v>
      </c>
      <c r="AD2">
        <f t="shared" ref="AD2:AD15" si="0">WEEKDAY(AA2,2)</f>
        <v>5</v>
      </c>
    </row>
    <row r="3" spans="1:30" x14ac:dyDescent="0.2">
      <c r="A3" s="18" t="s">
        <v>19</v>
      </c>
      <c r="B3" s="18">
        <v>3</v>
      </c>
      <c r="C3" s="20" t="s">
        <v>20</v>
      </c>
      <c r="D3" s="51">
        <f>SUMIFS('Relatório GERAL'!BR:BR,'Relatório GERAL'!AX:AX,"&gt;="&amp;D15,'Relatório GERAL'!AX:AX,"&lt;="&amp;E15)</f>
        <v>1236</v>
      </c>
      <c r="E3" s="23">
        <f>SUMIFS('Relatório GERAL'!BS:BS,'Relatório GERAL'!AX:AX,"&gt;="&amp;D15,'Relatório GERAL'!AX:AX,"&lt;="&amp;E15)</f>
        <v>2822</v>
      </c>
      <c r="F3">
        <f>SUMIFS('Relatório Extra'!W:W,'Relatório Extra'!A:A,"&gt;="&amp;'Dados Dinamicos'!D15,'Relatório Extra'!A:A,"&lt;="&amp;E15)</f>
        <v>40</v>
      </c>
      <c r="N3" s="239"/>
      <c r="O3" s="19">
        <f>DATE(Calendário!AnoAExibir,4,21)</f>
        <v>42481</v>
      </c>
      <c r="P3" s="18" t="s">
        <v>21</v>
      </c>
      <c r="Q3">
        <f t="shared" ref="Q3:Q29" si="1">WEEKNUM(O3,2)</f>
        <v>17</v>
      </c>
      <c r="R3">
        <f t="shared" ref="R3:R29" si="2">WEEKDAY(O3,2)</f>
        <v>4</v>
      </c>
      <c r="S3" s="1" t="s">
        <v>22</v>
      </c>
      <c r="T3" s="37">
        <f>MATCH(S3,'Relatório GERAL'!$A$1:$AN$1,0)</f>
        <v>38</v>
      </c>
      <c r="V3" s="239"/>
      <c r="W3" s="19">
        <f>DATE(ANOGRAFTOT,4,21)</f>
        <v>42115</v>
      </c>
      <c r="X3" s="18" t="s">
        <v>21</v>
      </c>
      <c r="Z3" s="239"/>
      <c r="AA3" s="19">
        <f>DATE(ANOPRODTOT.,4,21)</f>
        <v>42481</v>
      </c>
      <c r="AB3" s="18" t="s">
        <v>21</v>
      </c>
      <c r="AC3">
        <f t="shared" ref="AC3:AC15" si="3">WEEKNUM(AA3,)</f>
        <v>17</v>
      </c>
      <c r="AD3">
        <f t="shared" si="0"/>
        <v>4</v>
      </c>
    </row>
    <row r="4" spans="1:30" x14ac:dyDescent="0.2">
      <c r="A4" s="18" t="s">
        <v>23</v>
      </c>
      <c r="B4" s="18">
        <v>4</v>
      </c>
      <c r="C4" s="20" t="s">
        <v>24</v>
      </c>
      <c r="N4" s="239"/>
      <c r="O4" s="19">
        <f>DATE(Calendário!AnoAExibir,5,1)</f>
        <v>42491</v>
      </c>
      <c r="P4" s="18" t="s">
        <v>25</v>
      </c>
      <c r="Q4">
        <f t="shared" si="1"/>
        <v>18</v>
      </c>
      <c r="R4">
        <f t="shared" si="2"/>
        <v>7</v>
      </c>
      <c r="S4" s="1" t="s">
        <v>26</v>
      </c>
      <c r="T4" s="37">
        <f>MATCH(S4,'Relatório GERAL'!$A$1:$AN$1,0)</f>
        <v>39</v>
      </c>
      <c r="V4" s="239"/>
      <c r="W4" s="19">
        <f>DATE(ANOGRAFTOT,5,1)</f>
        <v>42125</v>
      </c>
      <c r="X4" s="18" t="s">
        <v>25</v>
      </c>
      <c r="Z4" s="239"/>
      <c r="AA4" s="19">
        <f>DATE(ANOPRODTOT.,5,1)</f>
        <v>42491</v>
      </c>
      <c r="AB4" s="18" t="s">
        <v>25</v>
      </c>
      <c r="AC4">
        <f t="shared" si="3"/>
        <v>19</v>
      </c>
      <c r="AD4">
        <f t="shared" si="0"/>
        <v>7</v>
      </c>
    </row>
    <row r="5" spans="1:30" ht="12.75" customHeight="1" x14ac:dyDescent="0.2">
      <c r="A5" s="18" t="s">
        <v>1</v>
      </c>
      <c r="B5" s="18">
        <v>5</v>
      </c>
      <c r="C5" s="20" t="s">
        <v>27</v>
      </c>
      <c r="N5" s="239"/>
      <c r="O5" s="19">
        <f>DATE(Calendário!AnoAExibir,9,7)</f>
        <v>42620</v>
      </c>
      <c r="P5" s="18" t="s">
        <v>28</v>
      </c>
      <c r="Q5">
        <f t="shared" si="1"/>
        <v>37</v>
      </c>
      <c r="R5">
        <f t="shared" si="2"/>
        <v>3</v>
      </c>
      <c r="S5" s="1" t="s">
        <v>29</v>
      </c>
      <c r="T5" s="37">
        <f>MATCH(S5,'Relatório GERAL'!$A$1:$AN$1,0)</f>
        <v>40</v>
      </c>
      <c r="V5" s="239"/>
      <c r="W5" s="19">
        <f>DATE(ANOGRAFTOT,9,7)</f>
        <v>42254</v>
      </c>
      <c r="X5" s="18" t="s">
        <v>28</v>
      </c>
      <c r="Z5" s="239"/>
      <c r="AA5" s="19">
        <f>DATE(ANOPRODTOT.,9,7)</f>
        <v>42620</v>
      </c>
      <c r="AB5" s="18" t="s">
        <v>28</v>
      </c>
      <c r="AC5">
        <f t="shared" si="3"/>
        <v>37</v>
      </c>
      <c r="AD5">
        <f t="shared" si="0"/>
        <v>3</v>
      </c>
    </row>
    <row r="6" spans="1:30" x14ac:dyDescent="0.2">
      <c r="A6" s="18" t="s">
        <v>30</v>
      </c>
      <c r="B6" s="18">
        <v>6</v>
      </c>
      <c r="C6" s="20" t="s">
        <v>31</v>
      </c>
      <c r="E6" s="78"/>
      <c r="N6" s="239"/>
      <c r="O6" s="19">
        <f>DATE(Calendário!AnoAExibir,10,12)</f>
        <v>42655</v>
      </c>
      <c r="P6" s="18" t="s">
        <v>32</v>
      </c>
      <c r="Q6">
        <f t="shared" si="1"/>
        <v>42</v>
      </c>
      <c r="R6">
        <f t="shared" si="2"/>
        <v>3</v>
      </c>
      <c r="V6" s="239"/>
      <c r="W6" s="19">
        <f>DATE(ANOGRAFTOT,10,12)</f>
        <v>42289</v>
      </c>
      <c r="X6" s="18" t="s">
        <v>32</v>
      </c>
      <c r="Z6" s="239"/>
      <c r="AA6" s="19">
        <f>DATE(ANOPRODTOT.,10,12)</f>
        <v>42655</v>
      </c>
      <c r="AB6" s="18" t="s">
        <v>32</v>
      </c>
      <c r="AC6">
        <f t="shared" si="3"/>
        <v>42</v>
      </c>
      <c r="AD6">
        <f t="shared" si="0"/>
        <v>3</v>
      </c>
    </row>
    <row r="7" spans="1:30" x14ac:dyDescent="0.2">
      <c r="A7" s="18" t="s">
        <v>33</v>
      </c>
      <c r="B7" s="18">
        <v>7</v>
      </c>
      <c r="C7" s="20" t="s">
        <v>34</v>
      </c>
      <c r="N7" s="239"/>
      <c r="O7" s="19">
        <f>DATE(Calendário!AnoAExibir,11,2)</f>
        <v>42676</v>
      </c>
      <c r="P7" s="18" t="s">
        <v>35</v>
      </c>
      <c r="Q7">
        <f t="shared" si="1"/>
        <v>45</v>
      </c>
      <c r="R7">
        <f t="shared" si="2"/>
        <v>3</v>
      </c>
      <c r="V7" s="239"/>
      <c r="W7" s="19">
        <f>DATE(ANOGRAFTOT,11,2)</f>
        <v>42310</v>
      </c>
      <c r="X7" s="18" t="s">
        <v>35</v>
      </c>
      <c r="Z7" s="239"/>
      <c r="AA7" s="19">
        <f>DATE(ANOPRODTOT.,11,2)</f>
        <v>42676</v>
      </c>
      <c r="AB7" s="18" t="s">
        <v>35</v>
      </c>
      <c r="AC7">
        <f t="shared" si="3"/>
        <v>45</v>
      </c>
      <c r="AD7">
        <f t="shared" si="0"/>
        <v>3</v>
      </c>
    </row>
    <row r="8" spans="1:30" x14ac:dyDescent="0.2">
      <c r="A8" s="18" t="s">
        <v>36</v>
      </c>
      <c r="B8" s="18">
        <v>8</v>
      </c>
      <c r="C8" s="9"/>
      <c r="N8" s="239"/>
      <c r="O8" s="19">
        <f>DATE(Calendário!AnoAExibir,11,15)</f>
        <v>42689</v>
      </c>
      <c r="P8" s="18" t="s">
        <v>37</v>
      </c>
      <c r="Q8">
        <f t="shared" si="1"/>
        <v>47</v>
      </c>
      <c r="R8">
        <f t="shared" si="2"/>
        <v>2</v>
      </c>
      <c r="V8" s="239"/>
      <c r="W8" s="19">
        <f>DATE(ANOGRAFTOT,11,15)</f>
        <v>42323</v>
      </c>
      <c r="X8" s="18" t="s">
        <v>37</v>
      </c>
      <c r="Z8" s="239"/>
      <c r="AA8" s="19">
        <f>DATE(ANOPRODTOT.,11,15)</f>
        <v>42689</v>
      </c>
      <c r="AB8" s="18" t="s">
        <v>37</v>
      </c>
      <c r="AC8">
        <f t="shared" si="3"/>
        <v>47</v>
      </c>
      <c r="AD8">
        <f t="shared" si="0"/>
        <v>2</v>
      </c>
    </row>
    <row r="9" spans="1:30" x14ac:dyDescent="0.2">
      <c r="A9" s="18" t="s">
        <v>38</v>
      </c>
      <c r="B9" s="18">
        <v>9</v>
      </c>
      <c r="C9" s="9"/>
      <c r="N9" s="240"/>
      <c r="O9" s="19">
        <f>DATE(Calendário!AnoAExibir,12,25)</f>
        <v>42729</v>
      </c>
      <c r="P9" s="18" t="s">
        <v>39</v>
      </c>
      <c r="Q9">
        <f t="shared" si="1"/>
        <v>52</v>
      </c>
      <c r="R9">
        <f t="shared" si="2"/>
        <v>7</v>
      </c>
      <c r="V9" s="240"/>
      <c r="W9" s="19">
        <f>DATE(ANOGRAFTOT,12,25)</f>
        <v>42363</v>
      </c>
      <c r="X9" s="18" t="s">
        <v>39</v>
      </c>
      <c r="Z9" s="240"/>
      <c r="AA9" s="19">
        <f>DATE(ANOPRODTOT.,12,25)</f>
        <v>42729</v>
      </c>
      <c r="AB9" s="18" t="s">
        <v>39</v>
      </c>
      <c r="AC9">
        <f t="shared" si="3"/>
        <v>53</v>
      </c>
      <c r="AD9">
        <f t="shared" si="0"/>
        <v>7</v>
      </c>
    </row>
    <row r="10" spans="1:30" ht="12.75" customHeight="1" x14ac:dyDescent="0.2">
      <c r="A10" s="18" t="s">
        <v>40</v>
      </c>
      <c r="B10" s="18">
        <v>10</v>
      </c>
      <c r="C10" s="9"/>
      <c r="N10" s="126" t="s">
        <v>41</v>
      </c>
      <c r="O10" s="19">
        <f>DATE(Calendário!AnoAExibir,11,30)</f>
        <v>42704</v>
      </c>
      <c r="P10" s="18" t="s">
        <v>42</v>
      </c>
      <c r="Q10">
        <f t="shared" si="1"/>
        <v>49</v>
      </c>
      <c r="R10">
        <f t="shared" si="2"/>
        <v>3</v>
      </c>
      <c r="V10" s="126" t="s">
        <v>41</v>
      </c>
      <c r="W10" s="19">
        <f>DATE(ANOGRAFTOT,11,30)</f>
        <v>42338</v>
      </c>
      <c r="X10" s="18" t="s">
        <v>42</v>
      </c>
      <c r="Z10" s="126" t="s">
        <v>41</v>
      </c>
      <c r="AA10" s="19">
        <f>DATE(ANOPRODTOT.,11,30)</f>
        <v>42704</v>
      </c>
      <c r="AB10" s="18" t="s">
        <v>42</v>
      </c>
      <c r="AC10">
        <f t="shared" si="3"/>
        <v>49</v>
      </c>
      <c r="AD10">
        <f t="shared" si="0"/>
        <v>3</v>
      </c>
    </row>
    <row r="11" spans="1:30" x14ac:dyDescent="0.2">
      <c r="A11" s="18" t="s">
        <v>43</v>
      </c>
      <c r="B11" s="18">
        <v>11</v>
      </c>
      <c r="C11" s="9"/>
      <c r="N11" s="237" t="s">
        <v>44</v>
      </c>
      <c r="O11" s="127">
        <f>O12-1</f>
        <v>42408</v>
      </c>
      <c r="P11" s="18" t="s">
        <v>45</v>
      </c>
      <c r="Q11">
        <f t="shared" si="1"/>
        <v>7</v>
      </c>
      <c r="R11">
        <f t="shared" si="2"/>
        <v>1</v>
      </c>
      <c r="V11" s="237" t="s">
        <v>44</v>
      </c>
      <c r="W11" s="127">
        <f>W12-1</f>
        <v>42051</v>
      </c>
      <c r="X11" s="18" t="s">
        <v>45</v>
      </c>
      <c r="Z11" s="237" t="s">
        <v>44</v>
      </c>
      <c r="AA11" s="127">
        <f>AA12-1</f>
        <v>42408</v>
      </c>
      <c r="AB11" s="18" t="s">
        <v>45</v>
      </c>
      <c r="AC11">
        <f t="shared" si="3"/>
        <v>7</v>
      </c>
      <c r="AD11">
        <f t="shared" si="0"/>
        <v>1</v>
      </c>
    </row>
    <row r="12" spans="1:30" x14ac:dyDescent="0.2">
      <c r="A12" s="18" t="s">
        <v>46</v>
      </c>
      <c r="B12" s="18">
        <v>12</v>
      </c>
      <c r="C12" s="9"/>
      <c r="N12" s="237"/>
      <c r="O12" s="19">
        <f>O14-47</f>
        <v>42409</v>
      </c>
      <c r="P12" s="18" t="s">
        <v>45</v>
      </c>
      <c r="Q12">
        <f t="shared" si="1"/>
        <v>7</v>
      </c>
      <c r="R12">
        <f t="shared" si="2"/>
        <v>2</v>
      </c>
      <c r="V12" s="237"/>
      <c r="W12" s="19">
        <f>W14-47</f>
        <v>42052</v>
      </c>
      <c r="X12" s="18" t="s">
        <v>45</v>
      </c>
      <c r="Z12" s="237"/>
      <c r="AA12" s="19">
        <f>AA14-47</f>
        <v>42409</v>
      </c>
      <c r="AB12" s="18" t="s">
        <v>45</v>
      </c>
      <c r="AC12">
        <f t="shared" si="3"/>
        <v>7</v>
      </c>
      <c r="AD12">
        <f t="shared" si="0"/>
        <v>2</v>
      </c>
    </row>
    <row r="13" spans="1:30" x14ac:dyDescent="0.2">
      <c r="A13" s="9"/>
      <c r="B13" s="9"/>
      <c r="C13" s="9"/>
      <c r="D13" s="236" t="s">
        <v>47</v>
      </c>
      <c r="E13" s="236"/>
      <c r="H13" s="236" t="s">
        <v>48</v>
      </c>
      <c r="I13" s="236"/>
      <c r="N13" s="237"/>
      <c r="O13" s="19">
        <f>O14-2</f>
        <v>42454</v>
      </c>
      <c r="P13" s="18" t="s">
        <v>49</v>
      </c>
      <c r="Q13">
        <f t="shared" si="1"/>
        <v>13</v>
      </c>
      <c r="R13">
        <f t="shared" si="2"/>
        <v>5</v>
      </c>
      <c r="V13" s="237"/>
      <c r="W13" s="19">
        <f>W14-2</f>
        <v>42097</v>
      </c>
      <c r="X13" s="18" t="s">
        <v>49</v>
      </c>
      <c r="Z13" s="237"/>
      <c r="AA13" s="19">
        <f>AA14-2</f>
        <v>42454</v>
      </c>
      <c r="AB13" s="18" t="s">
        <v>49</v>
      </c>
      <c r="AC13">
        <f t="shared" si="3"/>
        <v>13</v>
      </c>
      <c r="AD13">
        <f t="shared" si="0"/>
        <v>5</v>
      </c>
    </row>
    <row r="14" spans="1:30" x14ac:dyDescent="0.2">
      <c r="A14" s="18" t="s">
        <v>50</v>
      </c>
      <c r="B14" s="121">
        <f>VLOOKUP(Calendário!MêsAExibir,'Dados Dinamicos'!A1:B12,2,0)</f>
        <v>5</v>
      </c>
      <c r="C14" s="9"/>
      <c r="D14" s="18" t="s">
        <v>51</v>
      </c>
      <c r="E14" s="18" t="s">
        <v>52</v>
      </c>
      <c r="H14" s="18" t="s">
        <v>51</v>
      </c>
      <c r="I14" s="18" t="s">
        <v>52</v>
      </c>
      <c r="N14" s="237"/>
      <c r="O14" s="19">
        <f>FLOOR(DATE(Calendário!AnoAExibir,5,DAY(MINUTE(Calendário!AnoAExibir/38)/2+56)),7)-34</f>
        <v>42456</v>
      </c>
      <c r="P14" s="18" t="s">
        <v>53</v>
      </c>
      <c r="Q14">
        <f t="shared" si="1"/>
        <v>13</v>
      </c>
      <c r="R14">
        <f t="shared" si="2"/>
        <v>7</v>
      </c>
      <c r="V14" s="237"/>
      <c r="W14" s="19">
        <f>FLOOR(DATE(ANOGRAFTOT,5,DAY(MINUTE(ANOGRAFTOT/38)/2+56)),7)-34</f>
        <v>42099</v>
      </c>
      <c r="X14" s="18" t="s">
        <v>53</v>
      </c>
      <c r="Z14" s="237"/>
      <c r="AA14" s="19">
        <f>FLOOR(DATE(ANOPRODTOT.,5,DAY(MINUTE(ANOPRODTOT./38)/2+56)),7)-34</f>
        <v>42456</v>
      </c>
      <c r="AB14" s="18" t="s">
        <v>53</v>
      </c>
      <c r="AC14">
        <f t="shared" si="3"/>
        <v>14</v>
      </c>
      <c r="AD14">
        <f t="shared" si="0"/>
        <v>7</v>
      </c>
    </row>
    <row r="15" spans="1:30" x14ac:dyDescent="0.2">
      <c r="A15" s="123" t="s">
        <v>54</v>
      </c>
      <c r="B15" s="121">
        <f xml:space="preserve"> DAY(DATE(Calendário!AnoAExibir,B14+1,1)-1)</f>
        <v>31</v>
      </c>
      <c r="C15" s="9"/>
      <c r="D15" s="19">
        <f>DATE(Calendário!AnoAExibir,'Dados Dinamicos'!B14,1)</f>
        <v>42491</v>
      </c>
      <c r="E15" s="19">
        <f>DATE(Calendário!AnoAExibir,'Dados Dinamicos'!B$14,'Dados Dinamicos'!B$15)</f>
        <v>42521</v>
      </c>
      <c r="H15" s="18">
        <f>WEEKDAY(D15,2)</f>
        <v>7</v>
      </c>
      <c r="I15" s="18">
        <f>WEEKDAY(E15,2)</f>
        <v>2</v>
      </c>
      <c r="N15" s="237"/>
      <c r="O15" s="19">
        <f>O14+60</f>
        <v>42516</v>
      </c>
      <c r="P15" s="18" t="s">
        <v>55</v>
      </c>
      <c r="Q15">
        <f t="shared" si="1"/>
        <v>22</v>
      </c>
      <c r="R15">
        <f t="shared" si="2"/>
        <v>4</v>
      </c>
      <c r="V15" s="237"/>
      <c r="W15" s="19">
        <f>W14+60</f>
        <v>42159</v>
      </c>
      <c r="X15" s="18" t="s">
        <v>55</v>
      </c>
      <c r="Z15" s="237"/>
      <c r="AA15" s="19">
        <f>AA14+60</f>
        <v>42516</v>
      </c>
      <c r="AB15" s="18" t="s">
        <v>55</v>
      </c>
      <c r="AC15">
        <f t="shared" si="3"/>
        <v>22</v>
      </c>
      <c r="AD15">
        <f t="shared" si="0"/>
        <v>4</v>
      </c>
    </row>
    <row r="16" spans="1:30" ht="12.75" customHeight="1" x14ac:dyDescent="0.2">
      <c r="A16" s="123" t="s">
        <v>56</v>
      </c>
      <c r="B16" s="121">
        <f>NETWORKDAYS(D15,E15,O2:O29)</f>
        <v>21</v>
      </c>
      <c r="C16" s="9"/>
      <c r="D16" s="9"/>
      <c r="E16" s="9"/>
      <c r="N16" s="238" t="s">
        <v>16</v>
      </c>
      <c r="O16" s="124">
        <f>DATE(N1+1,1,1)</f>
        <v>42736</v>
      </c>
      <c r="P16" s="125" t="s">
        <v>17</v>
      </c>
      <c r="Q16">
        <f t="shared" si="1"/>
        <v>1</v>
      </c>
      <c r="R16">
        <f t="shared" si="2"/>
        <v>7</v>
      </c>
      <c r="V16" s="238" t="s">
        <v>16</v>
      </c>
      <c r="W16" s="124">
        <f>DATE(ANOGRAFTOT+1,1,1)</f>
        <v>42370</v>
      </c>
      <c r="X16" s="125" t="s">
        <v>17</v>
      </c>
    </row>
    <row r="17" spans="2:24" x14ac:dyDescent="0.2">
      <c r="N17" s="239"/>
      <c r="O17" s="19">
        <f>DATE(N1+1,4,21)</f>
        <v>42846</v>
      </c>
      <c r="P17" s="18" t="s">
        <v>21</v>
      </c>
      <c r="Q17">
        <f t="shared" si="1"/>
        <v>17</v>
      </c>
      <c r="R17">
        <f t="shared" si="2"/>
        <v>5</v>
      </c>
      <c r="V17" s="239"/>
      <c r="W17" s="19">
        <f>DATE(ANOGRAFTOT+1,4,21)</f>
        <v>42481</v>
      </c>
      <c r="X17" s="18" t="s">
        <v>21</v>
      </c>
    </row>
    <row r="18" spans="2:24" x14ac:dyDescent="0.2">
      <c r="N18" s="239"/>
      <c r="O18" s="19">
        <f>DATE(N1+1,5,1)</f>
        <v>42856</v>
      </c>
      <c r="P18" s="18" t="s">
        <v>25</v>
      </c>
      <c r="Q18">
        <f t="shared" si="1"/>
        <v>19</v>
      </c>
      <c r="R18">
        <f t="shared" si="2"/>
        <v>1</v>
      </c>
      <c r="V18" s="239"/>
      <c r="W18" s="19">
        <f>DATE(ANOGRAFTOT+1,5,1)</f>
        <v>42491</v>
      </c>
      <c r="X18" s="18" t="s">
        <v>25</v>
      </c>
    </row>
    <row r="19" spans="2:24" x14ac:dyDescent="0.2">
      <c r="B19" s="236" t="s">
        <v>57</v>
      </c>
      <c r="C19" s="236"/>
      <c r="D19" s="236"/>
      <c r="E19" s="236"/>
      <c r="F19" s="236"/>
      <c r="N19" s="239"/>
      <c r="O19" s="19">
        <f>DATE(N1+1,9,7)</f>
        <v>42985</v>
      </c>
      <c r="P19" s="18" t="s">
        <v>28</v>
      </c>
      <c r="Q19">
        <f t="shared" si="1"/>
        <v>37</v>
      </c>
      <c r="R19">
        <f t="shared" si="2"/>
        <v>4</v>
      </c>
      <c r="V19" s="239"/>
      <c r="W19" s="19">
        <f>DATE(ANOGRAFTOT+1,9,7)</f>
        <v>42620</v>
      </c>
      <c r="X19" s="18" t="s">
        <v>28</v>
      </c>
    </row>
    <row r="20" spans="2:24" x14ac:dyDescent="0.2">
      <c r="B20" s="22" t="s">
        <v>58</v>
      </c>
      <c r="C20" s="7" t="s">
        <v>59</v>
      </c>
      <c r="D20" s="8" t="s">
        <v>60</v>
      </c>
      <c r="E20" s="21" t="s">
        <v>61</v>
      </c>
      <c r="F20" s="17" t="s">
        <v>62</v>
      </c>
      <c r="N20" s="239"/>
      <c r="O20" s="19">
        <f>DATE(N1+1,10,12)</f>
        <v>43020</v>
      </c>
      <c r="P20" s="18" t="s">
        <v>32</v>
      </c>
      <c r="Q20">
        <f t="shared" si="1"/>
        <v>42</v>
      </c>
      <c r="R20">
        <f t="shared" si="2"/>
        <v>4</v>
      </c>
      <c r="V20" s="239"/>
      <c r="W20" s="19">
        <f>DATE(ANOGRAFTOT+1,10,12)</f>
        <v>42655</v>
      </c>
      <c r="X20" s="18" t="s">
        <v>32</v>
      </c>
    </row>
    <row r="21" spans="2:24" x14ac:dyDescent="0.2">
      <c r="B21" s="136">
        <f>SUMIFS('Relatório GERAL'!AK:AK,'Relatório GERAL'!$A:$A,"&gt;="&amp;$D$15,'Relatório GERAL'!$A:$A,"&lt;="&amp;$E$15)/$B$16</f>
        <v>6.5727699530516423E-2</v>
      </c>
      <c r="C21" s="137">
        <f>SUMIFS('Relatório GERAL'!AL:AL,'Relatório GERAL'!$A:$A,"&gt;="&amp;$D$15,'Relatório GERAL'!$A:$A,"&lt;="&amp;$E$15)/$B$16</f>
        <v>4.2924211938296444E-2</v>
      </c>
      <c r="D21" s="138">
        <f>SUMIFS('Relatório GERAL'!AM:AM,'Relatório GERAL'!$A:$A,"&gt;="&amp;$D$15,'Relatório GERAL'!$A:$A,"&lt;="&amp;$E$15)/$B$16</f>
        <v>0</v>
      </c>
      <c r="E21" s="139">
        <f>SUMIFS('Relatório GERAL'!AN:AN,'Relatório GERAL'!$A:$A,"&gt;="&amp;$D$15,'Relatório GERAL'!$A:$A,"&lt;="&amp;$E$15)/$B$16</f>
        <v>0.42052313883299808</v>
      </c>
      <c r="F21" s="135">
        <f>1-SUM(B21:E21)</f>
        <v>0.47082494969818911</v>
      </c>
      <c r="N21" s="239"/>
      <c r="O21" s="19">
        <f>DATE(N1+1,11,2)</f>
        <v>43041</v>
      </c>
      <c r="P21" s="18" t="s">
        <v>35</v>
      </c>
      <c r="Q21">
        <f t="shared" si="1"/>
        <v>45</v>
      </c>
      <c r="R21">
        <f t="shared" si="2"/>
        <v>4</v>
      </c>
      <c r="V21" s="239"/>
      <c r="W21" s="19">
        <f>DATE(ANOGRAFTOT+1,11,2)</f>
        <v>42676</v>
      </c>
      <c r="X21" s="18" t="s">
        <v>35</v>
      </c>
    </row>
    <row r="22" spans="2:24" x14ac:dyDescent="0.2">
      <c r="N22" s="239"/>
      <c r="O22" s="19">
        <f>DATE(N1+1,11,15)</f>
        <v>43054</v>
      </c>
      <c r="P22" s="18" t="s">
        <v>37</v>
      </c>
      <c r="Q22">
        <f t="shared" si="1"/>
        <v>47</v>
      </c>
      <c r="R22">
        <f t="shared" si="2"/>
        <v>3</v>
      </c>
      <c r="V22" s="239"/>
      <c r="W22" s="19">
        <f>DATE(ANOGRAFTOT+1,11,15)</f>
        <v>42689</v>
      </c>
      <c r="X22" s="18" t="s">
        <v>37</v>
      </c>
    </row>
    <row r="23" spans="2:24" x14ac:dyDescent="0.2">
      <c r="H23" s="18" t="s">
        <v>63</v>
      </c>
      <c r="I23" s="18" t="s">
        <v>51</v>
      </c>
      <c r="J23" s="18" t="s">
        <v>52</v>
      </c>
      <c r="K23" s="18" t="s">
        <v>64</v>
      </c>
      <c r="N23" s="240"/>
      <c r="O23" s="19">
        <f>DATE(N1+1,12,25)</f>
        <v>43094</v>
      </c>
      <c r="P23" s="18" t="s">
        <v>39</v>
      </c>
      <c r="Q23">
        <f t="shared" si="1"/>
        <v>53</v>
      </c>
      <c r="R23">
        <f t="shared" si="2"/>
        <v>1</v>
      </c>
      <c r="V23" s="240"/>
      <c r="W23" s="19">
        <f>DATE(ANOGRAFTOT+1,12,25)</f>
        <v>42729</v>
      </c>
      <c r="X23" s="18" t="s">
        <v>39</v>
      </c>
    </row>
    <row r="24" spans="2:24" ht="27" x14ac:dyDescent="0.2">
      <c r="H24" s="18" t="s">
        <v>65</v>
      </c>
      <c r="I24" s="19">
        <f>IF(H15=5,D15,IF(H15&lt;5,D15,IF(H15=6,D15-2,IF(H15=7,D15-2,""))))</f>
        <v>42489</v>
      </c>
      <c r="J24" s="19">
        <f>IF(WEEKDAY(D15,2)=6,D15-1,IF(WEEKDAY(D15,2)=7,D15-2,IF(WEEKDAY($D$15,2)=1,$D$15+4,IF(WEEKDAY($D$15,2)=2,$D$15+3,IF(WEEKDAY($D$15,2)=3,$D$15+2,IF(WEEKDAY($D$15,2)=4,$D$15+1,IF(WEEKDAY($D$15,2)=5,$D$15,IF(WEEKDAY($D$15,2)=6,$D$15+6,IF(WEEKDAY($D$15,2)=7,$D$15+5,"")))))))))</f>
        <v>42489</v>
      </c>
      <c r="K24" s="18">
        <f>_xlfn.DAYS(J24,I24-1)</f>
        <v>1</v>
      </c>
      <c r="N24" s="126" t="s">
        <v>41</v>
      </c>
      <c r="O24" s="19">
        <f>DATE(N1+1,11,30)</f>
        <v>43069</v>
      </c>
      <c r="P24" s="18" t="s">
        <v>42</v>
      </c>
      <c r="Q24">
        <f t="shared" si="1"/>
        <v>49</v>
      </c>
      <c r="R24">
        <f t="shared" si="2"/>
        <v>4</v>
      </c>
      <c r="V24" s="126" t="s">
        <v>41</v>
      </c>
      <c r="W24" s="19">
        <f>DATE(ANOGRAFTOT+1,11,30)</f>
        <v>42704</v>
      </c>
      <c r="X24" s="18" t="s">
        <v>42</v>
      </c>
    </row>
    <row r="25" spans="2:24" ht="12.75" customHeight="1" x14ac:dyDescent="0.2">
      <c r="H25" s="18" t="s">
        <v>66</v>
      </c>
      <c r="I25" s="19">
        <f>IF(J24+3&lt;$E$15,J24+3,$E$15)</f>
        <v>42492</v>
      </c>
      <c r="J25" s="19">
        <f>I25+4</f>
        <v>42496</v>
      </c>
      <c r="K25" s="18">
        <f>_xlfn.DAYS(J25,I25-1)</f>
        <v>5</v>
      </c>
      <c r="N25" s="237" t="s">
        <v>44</v>
      </c>
      <c r="O25" s="127">
        <f>O26-1</f>
        <v>42786</v>
      </c>
      <c r="P25" s="18" t="s">
        <v>45</v>
      </c>
      <c r="Q25">
        <f t="shared" si="1"/>
        <v>9</v>
      </c>
      <c r="R25">
        <f t="shared" si="2"/>
        <v>1</v>
      </c>
      <c r="V25" s="237" t="s">
        <v>44</v>
      </c>
      <c r="W25" s="127">
        <f>W26-1</f>
        <v>42422</v>
      </c>
      <c r="X25" s="18" t="s">
        <v>45</v>
      </c>
    </row>
    <row r="26" spans="2:24" x14ac:dyDescent="0.2">
      <c r="H26" s="18" t="s">
        <v>67</v>
      </c>
      <c r="I26" s="19">
        <f>IF(J25+3&lt;$E$15,J25+3,$E$15)</f>
        <v>42499</v>
      </c>
      <c r="J26" s="19">
        <f>I26+4</f>
        <v>42503</v>
      </c>
      <c r="K26" s="18">
        <f>_xlfn.DAYS(J26,I26-1)</f>
        <v>5</v>
      </c>
      <c r="N26" s="237"/>
      <c r="O26" s="19">
        <f>O28-47</f>
        <v>42787</v>
      </c>
      <c r="P26" s="18" t="s">
        <v>45</v>
      </c>
      <c r="Q26">
        <f t="shared" si="1"/>
        <v>9</v>
      </c>
      <c r="R26">
        <f t="shared" si="2"/>
        <v>2</v>
      </c>
      <c r="V26" s="237"/>
      <c r="W26" s="19">
        <f>W28-47</f>
        <v>42423</v>
      </c>
      <c r="X26" s="18" t="s">
        <v>45</v>
      </c>
    </row>
    <row r="27" spans="2:24" x14ac:dyDescent="0.2">
      <c r="H27" s="18" t="s">
        <v>68</v>
      </c>
      <c r="I27" s="19">
        <f>IF(J26+3&lt;$E$15,J26+3,$E$15)</f>
        <v>42506</v>
      </c>
      <c r="J27" s="19">
        <f>I27+4</f>
        <v>42510</v>
      </c>
      <c r="K27" s="18">
        <f>_xlfn.DAYS(J27,I27-1)</f>
        <v>5</v>
      </c>
      <c r="N27" s="237"/>
      <c r="O27" s="19">
        <f>O28-2</f>
        <v>42832</v>
      </c>
      <c r="P27" s="18" t="s">
        <v>49</v>
      </c>
      <c r="Q27">
        <f t="shared" si="1"/>
        <v>15</v>
      </c>
      <c r="R27">
        <f t="shared" si="2"/>
        <v>5</v>
      </c>
      <c r="V27" s="237"/>
      <c r="W27" s="19">
        <f>W28-2</f>
        <v>42468</v>
      </c>
      <c r="X27" s="18" t="s">
        <v>49</v>
      </c>
    </row>
    <row r="28" spans="2:24" x14ac:dyDescent="0.2">
      <c r="H28" s="18" t="s">
        <v>69</v>
      </c>
      <c r="I28" s="19">
        <f>IF(J27+3&lt;$E$15,J27+3,$E$15)</f>
        <v>42513</v>
      </c>
      <c r="J28" s="19">
        <f>IF(I28+4&lt;E15,I28+4,E15)</f>
        <v>42517</v>
      </c>
      <c r="K28" s="18">
        <f>_xlfn.DAYS(J28,I28-1)</f>
        <v>5</v>
      </c>
      <c r="N28" s="237"/>
      <c r="O28" s="19">
        <f>FLOOR(DATE(N1+1,5,DAY(MINUTE(N1+1/38)/2+56)),7)-34</f>
        <v>42834</v>
      </c>
      <c r="P28" s="18" t="s">
        <v>53</v>
      </c>
      <c r="Q28">
        <f t="shared" si="1"/>
        <v>15</v>
      </c>
      <c r="R28">
        <f t="shared" si="2"/>
        <v>7</v>
      </c>
      <c r="V28" s="237"/>
      <c r="W28" s="19">
        <f>FLOOR(DATE(ANOGRAFTOT+1,5,DAY(MINUTE(ANOGRAFTOT+1/38)/2+56)),7)-34</f>
        <v>42470</v>
      </c>
      <c r="X28" s="18" t="s">
        <v>53</v>
      </c>
    </row>
    <row r="29" spans="2:24" x14ac:dyDescent="0.2">
      <c r="H29" s="18" t="s">
        <v>70</v>
      </c>
      <c r="I29" s="19">
        <f>IF(J28+3&gt;E15,"",IF(J28+3&lt;$E$15,J28+3,$E$15))</f>
        <v>42520</v>
      </c>
      <c r="J29" s="19">
        <f>IF(I29="","",IF(I29+4&lt;E15,I29+4,E15))</f>
        <v>42521</v>
      </c>
      <c r="K29" s="18">
        <f>IF(J29="","",_xlfn.DAYS(J29,I29-1))</f>
        <v>2</v>
      </c>
      <c r="N29" s="237"/>
      <c r="O29" s="19">
        <f>O28+60</f>
        <v>42894</v>
      </c>
      <c r="P29" s="18" t="s">
        <v>55</v>
      </c>
      <c r="Q29">
        <f t="shared" si="1"/>
        <v>24</v>
      </c>
      <c r="R29">
        <f t="shared" si="2"/>
        <v>4</v>
      </c>
      <c r="V29" s="237"/>
      <c r="W29" s="19">
        <f>W28+60</f>
        <v>42530</v>
      </c>
      <c r="X29" s="18" t="s">
        <v>55</v>
      </c>
    </row>
    <row r="30" spans="2:24" x14ac:dyDescent="0.2">
      <c r="K30" s="18">
        <f>SUM(K24:K29)</f>
        <v>23</v>
      </c>
    </row>
    <row r="32" spans="2:24" x14ac:dyDescent="0.2">
      <c r="H32" s="18" t="s">
        <v>63</v>
      </c>
      <c r="I32" s="20"/>
      <c r="J32" s="20"/>
      <c r="K32" s="18" t="s">
        <v>71</v>
      </c>
    </row>
    <row r="33" spans="8:11" x14ac:dyDescent="0.2">
      <c r="H33" s="18" t="s">
        <v>65</v>
      </c>
      <c r="I33" s="26"/>
      <c r="K33" s="23">
        <f>NETWORKDAYS(I24,J24,O:O)</f>
        <v>1</v>
      </c>
    </row>
    <row r="34" spans="8:11" x14ac:dyDescent="0.2">
      <c r="H34" s="18" t="s">
        <v>66</v>
      </c>
      <c r="K34" s="23">
        <f>NETWORKDAYS(I25,J25,O:O)</f>
        <v>5</v>
      </c>
    </row>
    <row r="35" spans="8:11" x14ac:dyDescent="0.2">
      <c r="H35" s="18" t="s">
        <v>67</v>
      </c>
      <c r="K35" s="23">
        <f>NETWORKDAYS(I26,J26,O:O)</f>
        <v>5</v>
      </c>
    </row>
    <row r="36" spans="8:11" x14ac:dyDescent="0.2">
      <c r="H36" s="18" t="s">
        <v>68</v>
      </c>
      <c r="K36" s="23">
        <f>NETWORKDAYS(I27,J27,O:O)</f>
        <v>5</v>
      </c>
    </row>
    <row r="37" spans="8:11" x14ac:dyDescent="0.2">
      <c r="H37" s="18" t="s">
        <v>69</v>
      </c>
      <c r="K37" s="23">
        <f>NETWORKDAYS(I28,J28,O:O)</f>
        <v>4</v>
      </c>
    </row>
    <row r="38" spans="8:11" x14ac:dyDescent="0.2">
      <c r="H38" s="18" t="s">
        <v>70</v>
      </c>
      <c r="K38" s="23">
        <f>IF(I29="",0,NETWORKDAYS(I29,J29,O:O))</f>
        <v>2</v>
      </c>
    </row>
    <row r="39" spans="8:11" x14ac:dyDescent="0.2">
      <c r="J39" s="28" t="s">
        <v>72</v>
      </c>
      <c r="K39" s="23">
        <f>SUM(K33:K38)</f>
        <v>22</v>
      </c>
    </row>
  </sheetData>
  <customSheetViews>
    <customSheetView guid="{FC643F0B-3E44-4304-9C6C-EBD35A45B8FD}" state="hidden">
      <pageMargins left="0" right="0" top="0" bottom="0" header="0" footer="0"/>
      <pageSetup paperSize="9" orientation="portrait" r:id="rId1"/>
    </customSheetView>
    <customSheetView guid="{ECC56881-4CE2-4FBF-815D-85F544F885E8}" state="hidden">
      <pageMargins left="0" right="0" top="0" bottom="0" header="0" footer="0"/>
      <pageSetup paperSize="9" orientation="portrait" r:id="rId2"/>
    </customSheetView>
    <customSheetView guid="{40F11FFD-627B-4157-AFFE-E57E44CED524}" state="hidden">
      <pageMargins left="0" right="0" top="0" bottom="0" header="0" footer="0"/>
      <pageSetup paperSize="9" orientation="portrait" r:id="rId3"/>
    </customSheetView>
  </customSheetViews>
  <mergeCells count="17">
    <mergeCell ref="Z1:AB1"/>
    <mergeCell ref="Z2:Z9"/>
    <mergeCell ref="Z11:Z15"/>
    <mergeCell ref="V1:X1"/>
    <mergeCell ref="V2:V9"/>
    <mergeCell ref="V11:V15"/>
    <mergeCell ref="H13:I13"/>
    <mergeCell ref="N11:N15"/>
    <mergeCell ref="V16:V23"/>
    <mergeCell ref="V25:V29"/>
    <mergeCell ref="D1:E1"/>
    <mergeCell ref="N16:N23"/>
    <mergeCell ref="N25:N29"/>
    <mergeCell ref="N1:P1"/>
    <mergeCell ref="N2:N9"/>
    <mergeCell ref="B19:F19"/>
    <mergeCell ref="D13:E13"/>
  </mergeCell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6">
    <tabColor rgb="FFFFCCCC"/>
  </sheetPr>
  <dimension ref="A1:Y840"/>
  <sheetViews>
    <sheetView workbookViewId="0">
      <selection activeCell="D1" sqref="D1"/>
    </sheetView>
  </sheetViews>
  <sheetFormatPr defaultRowHeight="12.75" x14ac:dyDescent="0.2"/>
  <cols>
    <col min="1" max="1" width="10.7109375" bestFit="1" customWidth="1"/>
    <col min="2" max="2" width="12" bestFit="1" customWidth="1"/>
    <col min="3" max="3" width="7.85546875" bestFit="1" customWidth="1"/>
    <col min="5" max="5" width="3" customWidth="1"/>
    <col min="6" max="6" width="5" customWidth="1"/>
    <col min="7" max="7" width="14.85546875" bestFit="1" customWidth="1"/>
    <col min="8" max="8" width="17.7109375" bestFit="1" customWidth="1"/>
    <col min="9" max="9" width="8.140625" bestFit="1" customWidth="1"/>
    <col min="10" max="10" width="20.140625" bestFit="1" customWidth="1"/>
    <col min="11" max="11" width="18.7109375" bestFit="1" customWidth="1"/>
    <col min="12" max="12" width="14.7109375" bestFit="1" customWidth="1"/>
    <col min="13" max="15" width="9.140625" customWidth="1"/>
    <col min="17" max="19" width="9.140625" customWidth="1"/>
    <col min="20" max="20" width="14.85546875" customWidth="1"/>
    <col min="21" max="21" width="11.85546875" customWidth="1"/>
    <col min="22" max="22" width="8.140625" customWidth="1"/>
    <col min="23" max="23" width="19.7109375" customWidth="1"/>
    <col min="24" max="24" width="18.7109375" customWidth="1"/>
    <col min="25" max="25" width="14.7109375" customWidth="1"/>
  </cols>
  <sheetData>
    <row r="1" spans="1:25" ht="25.5" x14ac:dyDescent="0.2">
      <c r="A1" s="118" t="str">
        <f>'Relatório GERAL'!A1</f>
        <v>mês</v>
      </c>
      <c r="B1" s="119" t="s">
        <v>73</v>
      </c>
      <c r="C1" s="120" t="str">
        <f>'Relatório GERAL'!B1</f>
        <v>DIA DA SEMANA</v>
      </c>
      <c r="D1" s="40">
        <f>Indivíduo</f>
        <v>1</v>
      </c>
      <c r="E1">
        <f>MATCH(D1,'Relatório GERAL'!1:1,0)</f>
        <v>3</v>
      </c>
      <c r="G1" s="89" t="s">
        <v>74</v>
      </c>
      <c r="H1" s="90">
        <f>'Relatório IND.'!D1</f>
        <v>1</v>
      </c>
      <c r="J1" s="74"/>
      <c r="K1" s="74"/>
      <c r="O1" s="27">
        <v>42125</v>
      </c>
    </row>
    <row r="2" spans="1:25" ht="15" x14ac:dyDescent="0.2">
      <c r="A2" s="116">
        <f>'Relatório GERAL'!A2</f>
        <v>42125</v>
      </c>
      <c r="B2" s="116">
        <f>DATEVALUE(CONCATENATE("01/",TEXT(A2,"mm/aaaa")))</f>
        <v>42125</v>
      </c>
      <c r="C2" s="117" t="str">
        <f>'Relatório GERAL'!B2</f>
        <v>sex</v>
      </c>
      <c r="D2" s="18" t="str">
        <f>IF(OR(C2="SÁB",C2="DOM"),"",IFERROR(IF(VLOOKUP(VLOOKUP(A2,'Relatório GERAL'!$A:$T,$E$1,0),'Dados de consulta'!$A$2:$D$38,4,0)=0,"",VLOOKUP(VLOOKUP(A2,'Relatório GERAL'!$A:$T,$E$1,0),'Dados de consulta'!$A$2:$D$38,4,0)),""))</f>
        <v/>
      </c>
      <c r="G2" s="89" t="s">
        <v>75</v>
      </c>
      <c r="H2" s="91" t="str">
        <f>MESGRAFIND</f>
        <v>JULHO</v>
      </c>
      <c r="J2" s="74"/>
      <c r="K2" s="74"/>
      <c r="O2" s="27">
        <v>42156</v>
      </c>
    </row>
    <row r="3" spans="1:25" ht="15" x14ac:dyDescent="0.2">
      <c r="A3" s="116">
        <f>'Relatório GERAL'!A3</f>
        <v>42126</v>
      </c>
      <c r="B3" s="116">
        <f t="shared" ref="B3:B66" si="0">DATEVALUE(CONCATENATE("01/",TEXT(A3,"mm/aaaa")))</f>
        <v>42125</v>
      </c>
      <c r="C3" s="117" t="str">
        <f>'Relatório GERAL'!B3</f>
        <v>sáb</v>
      </c>
      <c r="D3" s="18" t="str">
        <f>IF(OR(C3="SÁB",C3="DOM"),"",IFERROR(IF(VLOOKUP(VLOOKUP(A3,'Relatório GERAL'!$A:$T,$E$1,0),'Dados de consulta'!$A$2:$D$38,4,0)=0,"",VLOOKUP(VLOOKUP(A3,'Relatório GERAL'!$A:$T,$E$1,0),'Dados de consulta'!$A$2:$D$38,4,0)),""))</f>
        <v/>
      </c>
      <c r="G3" s="89" t="s">
        <v>76</v>
      </c>
      <c r="H3" s="91">
        <f>ANOGRAFIND</f>
        <v>2015</v>
      </c>
      <c r="J3" s="74"/>
      <c r="K3" s="74"/>
      <c r="O3" s="27">
        <v>42186</v>
      </c>
    </row>
    <row r="4" spans="1:25" ht="15" x14ac:dyDescent="0.2">
      <c r="A4" s="116">
        <f>'Relatório GERAL'!A4</f>
        <v>42127</v>
      </c>
      <c r="B4" s="116">
        <f t="shared" si="0"/>
        <v>42125</v>
      </c>
      <c r="C4" s="117" t="str">
        <f>'Relatório GERAL'!B4</f>
        <v>dom</v>
      </c>
      <c r="D4" s="18" t="str">
        <f>IF(OR(C4="SÁB",C4="DOM"),"",IFERROR(IF(VLOOKUP(VLOOKUP(A4,'Relatório GERAL'!$A:$T,$E$1,0),'Dados de consulta'!$A$2:$D$38,4,0)=0,"",VLOOKUP(VLOOKUP(A4,'Relatório GERAL'!$A:$T,$E$1,0),'Dados de consulta'!$A$2:$D$38,4,0)),""))</f>
        <v/>
      </c>
      <c r="O4" s="27">
        <v>42217</v>
      </c>
    </row>
    <row r="5" spans="1:25" ht="15" x14ac:dyDescent="0.2">
      <c r="A5" s="116">
        <f>'Relatório GERAL'!A5</f>
        <v>42128</v>
      </c>
      <c r="B5" s="116">
        <f t="shared" si="0"/>
        <v>42125</v>
      </c>
      <c r="C5" s="117" t="str">
        <f>'Relatório GERAL'!B5</f>
        <v>seg</v>
      </c>
      <c r="D5" s="18" t="str">
        <f>IF(OR(C5="SÁB",C5="DOM"),"",IFERROR(IF(VLOOKUP(VLOOKUP(A5,'Relatório GERAL'!$A:$T,$E$1,0),'Dados de consulta'!$A$2:$D$38,4,0)=0,"",VLOOKUP(VLOOKUP(A5,'Relatório GERAL'!$A:$T,$E$1,0),'Dados de consulta'!$A$2:$D$38,4,0)),""))</f>
        <v/>
      </c>
      <c r="H5" s="18" t="s">
        <v>58</v>
      </c>
      <c r="I5" s="18" t="s">
        <v>77</v>
      </c>
      <c r="J5" s="18" t="s">
        <v>60</v>
      </c>
      <c r="K5" s="18" t="s">
        <v>61</v>
      </c>
      <c r="L5" s="121" t="s">
        <v>62</v>
      </c>
      <c r="O5" s="27">
        <v>42248</v>
      </c>
      <c r="T5" s="18" t="s">
        <v>78</v>
      </c>
      <c r="U5" s="18" t="s">
        <v>58</v>
      </c>
      <c r="V5" s="18" t="s">
        <v>79</v>
      </c>
      <c r="W5" s="18" t="s">
        <v>60</v>
      </c>
      <c r="X5" s="18" t="s">
        <v>61</v>
      </c>
      <c r="Y5" s="18" t="s">
        <v>62</v>
      </c>
    </row>
    <row r="6" spans="1:25" ht="15" x14ac:dyDescent="0.2">
      <c r="A6" s="116">
        <f>'Relatório GERAL'!A6</f>
        <v>42129</v>
      </c>
      <c r="B6" s="116">
        <f t="shared" si="0"/>
        <v>42125</v>
      </c>
      <c r="C6" s="117" t="str">
        <f>'Relatório GERAL'!B6</f>
        <v>ter</v>
      </c>
      <c r="D6" s="18" t="str">
        <f>IF(OR(C6="SÁB",C6="DOM"),"",IFERROR(IF(VLOOKUP(VLOOKUP(A6,'Relatório GERAL'!$A:$T,$E$1,0),'Dados de consulta'!$A$2:$D$38,4,0)=0,"",VLOOKUP(VLOOKUP(A6,'Relatório GERAL'!$A:$T,$E$1,0),'Dados de consulta'!$A$2:$D$38,4,0)),""))</f>
        <v/>
      </c>
      <c r="G6" s="71">
        <f>DATE('Relatório IND.'!H3,VLOOKUP('Relatório IND.'!H2,'Dados Dinamicos'!A1:B12,2,0),1)</f>
        <v>42186</v>
      </c>
      <c r="H6" s="72">
        <f>((COUNTIFS('Relatório IND.'!$B:$B,'Relatório IND.'!G6,'Relatório IND.'!$D:$D,1))/M6)*100+((COUNTIFS('Relatório IND.'!$B:$B,'Relatório IND.'!G6,'Relatório IND.'!$D:$D,6))/M6)*100/2</f>
        <v>0</v>
      </c>
      <c r="I6" s="72">
        <f>((COUNTIFS('Relatório IND.'!$B:$B,'Relatório IND.'!G6,'Relatório IND.'!$D:$D,2))/M6)*100+((COUNTIFS('Relatório IND.'!$B:$B,'Relatório IND.'!G6,'Relatório IND.'!$D:$D,7))/M6)*100/2</f>
        <v>0</v>
      </c>
      <c r="J6" s="72">
        <f>((COUNTIFS('Relatório IND.'!$B:$B,'Relatório IND.'!G6,'Relatório IND.'!$D:$D,3))/M6)*100+((COUNTIFS('Relatório IND.'!$B:$B,'Relatório IND.'!G6,'Relatório IND.'!$D:$D,8))/M6)*100/2</f>
        <v>0</v>
      </c>
      <c r="K6" s="72">
        <f>((COUNTIFS('Relatório IND.'!$B:$B,'Relatório IND.'!G6,'Relatório IND.'!$D:$D,4))/M6)*100+((COUNTIFS('Relatório IND.'!$B:$B,'Relatório IND.'!G6,'Relatório IND.'!$D:$D,9))/M6)*100/2</f>
        <v>4.3478260869565215</v>
      </c>
      <c r="L6" s="72">
        <f>100-H6-I6-J6-K6</f>
        <v>95.652173913043484</v>
      </c>
      <c r="M6">
        <f>NETWORKDAYS(G6,G7-1,'Dados Dinamicos'!O:O)</f>
        <v>23</v>
      </c>
      <c r="O6" s="27">
        <v>42278</v>
      </c>
      <c r="P6" s="100" t="s">
        <v>80</v>
      </c>
      <c r="Q6" s="18">
        <f>MONTH(G6)</f>
        <v>7</v>
      </c>
      <c r="R6" s="18" t="str">
        <f>IF(Q6=1,"JANEIRO",IF(Q6=2,"FEVEREIRO",IF(Q6=3,"MARÇO",IF(Q6=4,"ABRIL",IF(Q6=5,"MAIO",IF(Q6=6,"JUNHO",IF(Q6=7,"JULHO",IF(Q6=8,"AGOSTO",IF(Q6=9,"SETEMBRO",IF(Q6=10,"OUTUBRO",IF(Q6=11,"NOVEMBRO",IF(Q6=12,"DEZEMBRO",""))))))))))))</f>
        <v>JULHO</v>
      </c>
      <c r="S6" s="18">
        <f>YEAR(G6)</f>
        <v>2015</v>
      </c>
      <c r="T6" s="79" t="str">
        <f>CONCATENATE(R6,"/",S6)</f>
        <v>JULHO/2015</v>
      </c>
      <c r="U6" s="79">
        <f>H6</f>
        <v>0</v>
      </c>
      <c r="V6" s="79">
        <f>I6</f>
        <v>0</v>
      </c>
      <c r="W6" s="79">
        <f>J6</f>
        <v>0</v>
      </c>
      <c r="X6" s="79">
        <f>K6</f>
        <v>4.3478260869565215</v>
      </c>
      <c r="Y6" s="79">
        <f>L6</f>
        <v>95.652173913043484</v>
      </c>
    </row>
    <row r="7" spans="1:25" ht="15" x14ac:dyDescent="0.2">
      <c r="A7" s="116">
        <f>'Relatório GERAL'!A7</f>
        <v>42130</v>
      </c>
      <c r="B7" s="116">
        <f t="shared" si="0"/>
        <v>42125</v>
      </c>
      <c r="C7" s="117" t="str">
        <f>'Relatório GERAL'!B7</f>
        <v>qua</v>
      </c>
      <c r="D7" s="18" t="str">
        <f>IF(OR(C7="SÁB",C7="DOM"),"",IFERROR(IF(VLOOKUP(VLOOKUP(A7,'Relatório GERAL'!$A:$T,$E$1,0),'Dados de consulta'!$A$2:$D$38,4,0)=0,"",VLOOKUP(VLOOKUP(A7,'Relatório GERAL'!$A:$T,$E$1,0),'Dados de consulta'!$A$2:$D$38,4,0)),""))</f>
        <v/>
      </c>
      <c r="G7" s="71">
        <f>DATE('Relatório IND.'!H3,VLOOKUP('Relatório IND.'!H2,'Dados Dinamicos'!A1:B12,2,0)+1,1)</f>
        <v>42217</v>
      </c>
      <c r="H7" s="72">
        <f>((COUNTIFS('Relatório IND.'!$B:$B,'Relatório IND.'!G7,'Relatório IND.'!$D:$D,1))/M7)*100+((COUNTIFS('Relatório IND.'!$B:$B,'Relatório IND.'!G7,'Relatório IND.'!$D:$D,6))/M7)*100/2</f>
        <v>0</v>
      </c>
      <c r="I7" s="72">
        <f>((COUNTIFS('Relatório IND.'!$B:$B,'Relatório IND.'!G7,'Relatório IND.'!$D:$D,2))/M7)*100+((COUNTIFS('Relatório IND.'!$B:$B,'Relatório IND.'!G7,'Relatório IND.'!$D:$D,7))/M7)*100/2</f>
        <v>0</v>
      </c>
      <c r="J7" s="72">
        <f>((COUNTIFS('Relatório IND.'!$B:$B,'Relatório IND.'!G7,'Relatório IND.'!$D:$D,3))/M7)*100+((COUNTIFS('Relatório IND.'!$B:$B,'Relatório IND.'!G7,'Relatório IND.'!$D:$D,8))/M7)*100/2</f>
        <v>0</v>
      </c>
      <c r="K7" s="72">
        <f>((COUNTIFS('Relatório IND.'!$B:$B,'Relatório IND.'!G7,'Relatório IND.'!$D:$D,4))/M7)*100+((COUNTIFS('Relatório IND.'!$B:$B,'Relatório IND.'!G7,'Relatório IND.'!$D:$D,9))/M7)*100/2</f>
        <v>0</v>
      </c>
      <c r="L7" s="72">
        <f t="shared" ref="L7:L17" si="1">100-H7-I7-J7-K7</f>
        <v>100</v>
      </c>
      <c r="M7">
        <f>NETWORKDAYS(G7,G8-1,'Dados Dinamicos'!O:O)</f>
        <v>21</v>
      </c>
      <c r="O7" s="27">
        <v>42309</v>
      </c>
      <c r="P7" s="100" t="s">
        <v>81</v>
      </c>
      <c r="Q7" s="18">
        <f t="shared" ref="Q7:Q17" si="2">MONTH(G7)</f>
        <v>8</v>
      </c>
      <c r="R7" s="18" t="str">
        <f t="shared" ref="R7:R17" si="3">IF(Q7=1,"JANEIRO",IF(Q7=2,"FEVEREIRO",IF(Q7=3,"MARÇO",IF(Q7=4,"ABRIL",IF(Q7=5,"MAIO",IF(Q7=6,"JUNHO",IF(Q7=7,"JULHO",IF(Q7=8,"AGOSTO",IF(Q7=9,"SETEMBRO",IF(Q7=10,"OUTUBRO",IF(Q7=11,"NOVEMBRO",IF(Q7=12,"DEZEMBRO",""))))))))))))</f>
        <v>AGOSTO</v>
      </c>
      <c r="S7" s="18">
        <f t="shared" ref="S7:S17" si="4">YEAR(G7)</f>
        <v>2015</v>
      </c>
      <c r="T7" s="79" t="str">
        <f t="shared" ref="T7:T17" si="5">CONCATENATE(R7,"/",S7)</f>
        <v>AGOSTO/2015</v>
      </c>
      <c r="U7" s="79">
        <f t="shared" ref="U7:U17" si="6">H7</f>
        <v>0</v>
      </c>
      <c r="V7" s="79">
        <f t="shared" ref="V7:V17" si="7">I7</f>
        <v>0</v>
      </c>
      <c r="W7" s="79">
        <f t="shared" ref="W7:W17" si="8">J7</f>
        <v>0</v>
      </c>
      <c r="X7" s="79">
        <f t="shared" ref="X7:X17" si="9">K7</f>
        <v>0</v>
      </c>
      <c r="Y7" s="79">
        <f t="shared" ref="Y7:Y17" si="10">L7</f>
        <v>100</v>
      </c>
    </row>
    <row r="8" spans="1:25" ht="15" x14ac:dyDescent="0.2">
      <c r="A8" s="116">
        <f>'Relatório GERAL'!A8</f>
        <v>42131</v>
      </c>
      <c r="B8" s="116">
        <f t="shared" si="0"/>
        <v>42125</v>
      </c>
      <c r="C8" s="117" t="str">
        <f>'Relatório GERAL'!B8</f>
        <v>qui</v>
      </c>
      <c r="D8" s="18" t="str">
        <f>IF(OR(C8="SÁB",C8="DOM"),"",IFERROR(IF(VLOOKUP(VLOOKUP(A8,'Relatório GERAL'!$A:$T,$E$1,0),'Dados de consulta'!$A$2:$D$38,4,0)=0,"",VLOOKUP(VLOOKUP(A8,'Relatório GERAL'!$A:$T,$E$1,0),'Dados de consulta'!$A$2:$D$38,4,0)),""))</f>
        <v/>
      </c>
      <c r="G8" s="71">
        <f>DATE('Relatório IND.'!H3,VLOOKUP('Relatório IND.'!H2,'Dados Dinamicos'!A1:B12,2,0)+2,1)</f>
        <v>42248</v>
      </c>
      <c r="H8" s="72">
        <f>((COUNTIFS('Relatório IND.'!$B:$B,'Relatório IND.'!G8,'Relatório IND.'!$D:$D,1))/M8)*100+((COUNTIFS('Relatório IND.'!$B:$B,'Relatório IND.'!G8,'Relatório IND.'!$D:$D,6))/M8)*100/2</f>
        <v>0</v>
      </c>
      <c r="I8" s="72">
        <f>((COUNTIFS('Relatório IND.'!$B:$B,'Relatório IND.'!G8,'Relatório IND.'!$D:$D,2))/M8)*100+((COUNTIFS('Relatório IND.'!$B:$B,'Relatório IND.'!G8,'Relatório IND.'!$D:$D,7))/M8)*100/2</f>
        <v>27.27272727272727</v>
      </c>
      <c r="J8" s="72">
        <f>((COUNTIFS('Relatório IND.'!$B:$B,'Relatório IND.'!G8,'Relatório IND.'!$D:$D,3))/M8)*100+((COUNTIFS('Relatório IND.'!$B:$B,'Relatório IND.'!G8,'Relatório IND.'!$D:$D,8))/M8)*100/2</f>
        <v>0</v>
      </c>
      <c r="K8" s="72">
        <f>((COUNTIFS('Relatório IND.'!$B:$B,'Relatório IND.'!G8,'Relatório IND.'!$D:$D,4))/M8)*100+((COUNTIFS('Relatório IND.'!$B:$B,'Relatório IND.'!G8,'Relatório IND.'!$D:$D,9))/M8)*100/2</f>
        <v>13.636363636363635</v>
      </c>
      <c r="L8" s="72">
        <f t="shared" si="1"/>
        <v>59.090909090909101</v>
      </c>
      <c r="M8">
        <f>NETWORKDAYS(G8,G9-1,'Dados Dinamicos'!O:O)</f>
        <v>22</v>
      </c>
      <c r="O8" s="27">
        <v>42339</v>
      </c>
      <c r="P8" s="100" t="s">
        <v>82</v>
      </c>
      <c r="Q8" s="18">
        <f t="shared" si="2"/>
        <v>9</v>
      </c>
      <c r="R8" s="18" t="str">
        <f t="shared" si="3"/>
        <v>SETEMBRO</v>
      </c>
      <c r="S8" s="18">
        <f t="shared" si="4"/>
        <v>2015</v>
      </c>
      <c r="T8" s="79" t="str">
        <f t="shared" si="5"/>
        <v>SETEMBRO/2015</v>
      </c>
      <c r="U8" s="79">
        <f t="shared" si="6"/>
        <v>0</v>
      </c>
      <c r="V8" s="79">
        <f t="shared" si="7"/>
        <v>27.27272727272727</v>
      </c>
      <c r="W8" s="79">
        <f t="shared" si="8"/>
        <v>0</v>
      </c>
      <c r="X8" s="79">
        <f t="shared" si="9"/>
        <v>13.636363636363635</v>
      </c>
      <c r="Y8" s="79">
        <f t="shared" si="10"/>
        <v>59.090909090909101</v>
      </c>
    </row>
    <row r="9" spans="1:25" ht="15" x14ac:dyDescent="0.2">
      <c r="A9" s="116">
        <f>'Relatório GERAL'!A9</f>
        <v>42132</v>
      </c>
      <c r="B9" s="116">
        <f t="shared" si="0"/>
        <v>42125</v>
      </c>
      <c r="C9" s="117" t="str">
        <f>'Relatório GERAL'!B9</f>
        <v>sex</v>
      </c>
      <c r="D9" s="18" t="str">
        <f>IF(OR(C9="SÁB",C9="DOM"),"",IFERROR(IF(VLOOKUP(VLOOKUP(A9,'Relatório GERAL'!$A:$T,$E$1,0),'Dados de consulta'!$A$2:$D$38,4,0)=0,"",VLOOKUP(VLOOKUP(A9,'Relatório GERAL'!$A:$T,$E$1,0),'Dados de consulta'!$A$2:$D$38,4,0)),""))</f>
        <v/>
      </c>
      <c r="G9" s="71">
        <f>DATE('Relatório IND.'!H3,VLOOKUP('Relatório IND.'!H2,'Dados Dinamicos'!A1:B12,2,0)+3,1)</f>
        <v>42278</v>
      </c>
      <c r="H9" s="72">
        <f>((COUNTIFS('Relatório IND.'!$B:$B,'Relatório IND.'!G9,'Relatório IND.'!$D:$D,1))/M9)*100+((COUNTIFS('Relatório IND.'!$B:$B,'Relatório IND.'!G9,'Relatório IND.'!$D:$D,6))/M9)*100/2</f>
        <v>0</v>
      </c>
      <c r="I9" s="72">
        <f>((COUNTIFS('Relatório IND.'!$B:$B,'Relatório IND.'!G9,'Relatório IND.'!$D:$D,2))/M9)*100+((COUNTIFS('Relatório IND.'!$B:$B,'Relatório IND.'!G9,'Relatório IND.'!$D:$D,7))/M9)*100/2</f>
        <v>0</v>
      </c>
      <c r="J9" s="72">
        <f>((COUNTIFS('Relatório IND.'!$B:$B,'Relatório IND.'!G9,'Relatório IND.'!$D:$D,3))/M9)*100+((COUNTIFS('Relatório IND.'!$B:$B,'Relatório IND.'!G9,'Relatório IND.'!$D:$D,8))/M9)*100/2</f>
        <v>0</v>
      </c>
      <c r="K9" s="72">
        <f>((COUNTIFS('Relatório IND.'!$B:$B,'Relatório IND.'!G9,'Relatório IND.'!$D:$D,4))/M9)*100+((COUNTIFS('Relatório IND.'!$B:$B,'Relatório IND.'!G9,'Relatório IND.'!$D:$D,9))/M9)*100/2</f>
        <v>4.5454545454545459</v>
      </c>
      <c r="L9" s="72">
        <f t="shared" si="1"/>
        <v>95.454545454545453</v>
      </c>
      <c r="M9">
        <f>NETWORKDAYS(G9,G10-1,'Dados Dinamicos'!O:O)</f>
        <v>22</v>
      </c>
      <c r="O9" s="27">
        <v>42370</v>
      </c>
      <c r="P9" s="100" t="s">
        <v>83</v>
      </c>
      <c r="Q9" s="18">
        <f t="shared" si="2"/>
        <v>10</v>
      </c>
      <c r="R9" s="18" t="str">
        <f t="shared" si="3"/>
        <v>OUTUBRO</v>
      </c>
      <c r="S9" s="18">
        <f t="shared" si="4"/>
        <v>2015</v>
      </c>
      <c r="T9" s="79" t="str">
        <f t="shared" si="5"/>
        <v>OUTUBRO/2015</v>
      </c>
      <c r="U9" s="79">
        <f t="shared" si="6"/>
        <v>0</v>
      </c>
      <c r="V9" s="79">
        <f t="shared" si="7"/>
        <v>0</v>
      </c>
      <c r="W9" s="79">
        <f t="shared" si="8"/>
        <v>0</v>
      </c>
      <c r="X9" s="79">
        <f t="shared" si="9"/>
        <v>4.5454545454545459</v>
      </c>
      <c r="Y9" s="79">
        <f t="shared" si="10"/>
        <v>95.454545454545453</v>
      </c>
    </row>
    <row r="10" spans="1:25" ht="15" x14ac:dyDescent="0.2">
      <c r="A10" s="116">
        <f>'Relatório GERAL'!A10</f>
        <v>42133</v>
      </c>
      <c r="B10" s="116">
        <f t="shared" si="0"/>
        <v>42125</v>
      </c>
      <c r="C10" s="117" t="str">
        <f>'Relatório GERAL'!B10</f>
        <v>sáb</v>
      </c>
      <c r="D10" s="18" t="str">
        <f>IF(OR(C10="SÁB",C10="DOM"),"",IFERROR(IF(VLOOKUP(VLOOKUP(A10,'Relatório GERAL'!$A:$T,$E$1,0),'Dados de consulta'!$A$2:$D$38,4,0)=0,"",VLOOKUP(VLOOKUP(A10,'Relatório GERAL'!$A:$T,$E$1,0),'Dados de consulta'!$A$2:$D$38,4,0)),""))</f>
        <v/>
      </c>
      <c r="G10" s="71">
        <f>DATE('Relatório IND.'!H3,VLOOKUP('Relatório IND.'!H2,'Dados Dinamicos'!A1:B12,2,0)+4,1)</f>
        <v>42309</v>
      </c>
      <c r="H10" s="72">
        <f>((COUNTIFS('Relatório IND.'!$B:$B,'Relatório IND.'!G10,'Relatório IND.'!$D:$D,1))/M10)*100+((COUNTIFS('Relatório IND.'!$B:$B,'Relatório IND.'!G10,'Relatório IND.'!$D:$D,6))/M10)*100/2</f>
        <v>4.7619047619047619</v>
      </c>
      <c r="I10" s="72">
        <f>((COUNTIFS('Relatório IND.'!$B:$B,'Relatório IND.'!G10,'Relatório IND.'!$D:$D,2))/M10)*100+((COUNTIFS('Relatório IND.'!$B:$B,'Relatório IND.'!G10,'Relatório IND.'!$D:$D,7))/M10)*100/2</f>
        <v>4.7619047619047619</v>
      </c>
      <c r="J10" s="72">
        <f>((COUNTIFS('Relatório IND.'!$B:$B,'Relatório IND.'!G10,'Relatório IND.'!$D:$D,3))/M10)*100+((COUNTIFS('Relatório IND.'!$B:$B,'Relatório IND.'!G10,'Relatório IND.'!$D:$D,8))/M10)*100/2</f>
        <v>0</v>
      </c>
      <c r="K10" s="72">
        <f>((COUNTIFS('Relatório IND.'!$B:$B,'Relatório IND.'!G10,'Relatório IND.'!$D:$D,4))/M10)*100+((COUNTIFS('Relatório IND.'!$B:$B,'Relatório IND.'!G10,'Relatório IND.'!$D:$D,9))/M10)*100/2</f>
        <v>0</v>
      </c>
      <c r="L10" s="72">
        <f t="shared" si="1"/>
        <v>90.476190476190482</v>
      </c>
      <c r="M10">
        <f>NETWORKDAYS(G10,G11-1,'Dados Dinamicos'!O:O)</f>
        <v>21</v>
      </c>
      <c r="O10" s="27">
        <v>42401</v>
      </c>
      <c r="P10" s="100" t="s">
        <v>84</v>
      </c>
      <c r="Q10" s="18">
        <f t="shared" si="2"/>
        <v>11</v>
      </c>
      <c r="R10" s="18" t="str">
        <f t="shared" si="3"/>
        <v>NOVEMBRO</v>
      </c>
      <c r="S10" s="18">
        <f t="shared" si="4"/>
        <v>2015</v>
      </c>
      <c r="T10" s="79" t="str">
        <f t="shared" si="5"/>
        <v>NOVEMBRO/2015</v>
      </c>
      <c r="U10" s="79">
        <f t="shared" si="6"/>
        <v>4.7619047619047619</v>
      </c>
      <c r="V10" s="79">
        <f t="shared" si="7"/>
        <v>4.7619047619047619</v>
      </c>
      <c r="W10" s="79">
        <f t="shared" si="8"/>
        <v>0</v>
      </c>
      <c r="X10" s="79">
        <f t="shared" si="9"/>
        <v>0</v>
      </c>
      <c r="Y10" s="79">
        <f t="shared" si="10"/>
        <v>90.476190476190482</v>
      </c>
    </row>
    <row r="11" spans="1:25" ht="15" x14ac:dyDescent="0.2">
      <c r="A11" s="116">
        <f>'Relatório GERAL'!A11</f>
        <v>42134</v>
      </c>
      <c r="B11" s="116">
        <f t="shared" si="0"/>
        <v>42125</v>
      </c>
      <c r="C11" s="117" t="str">
        <f>'Relatório GERAL'!B11</f>
        <v>dom</v>
      </c>
      <c r="D11" s="18" t="str">
        <f>IF(OR(C11="SÁB",C11="DOM"),"",IFERROR(IF(VLOOKUP(VLOOKUP(A11,'Relatório GERAL'!$A:$T,$E$1,0),'Dados de consulta'!$A$2:$D$38,4,0)=0,"",VLOOKUP(VLOOKUP(A11,'Relatório GERAL'!$A:$T,$E$1,0),'Dados de consulta'!$A$2:$D$38,4,0)),""))</f>
        <v/>
      </c>
      <c r="G11" s="71">
        <f>DATE('Relatório IND.'!H3,VLOOKUP('Relatório IND.'!H2,'Dados Dinamicos'!A1:B12,2,0)+5,1)</f>
        <v>42339</v>
      </c>
      <c r="H11" s="72">
        <f>((COUNTIFS('Relatório IND.'!$B:$B,'Relatório IND.'!G11,'Relatório IND.'!$D:$D,1))/M11)*100+((COUNTIFS('Relatório IND.'!$B:$B,'Relatório IND.'!G11,'Relatório IND.'!$D:$D,6))/M11)*100/2</f>
        <v>0</v>
      </c>
      <c r="I11" s="72">
        <f>((COUNTIFS('Relatório IND.'!$B:$B,'Relatório IND.'!G11,'Relatório IND.'!$D:$D,2))/M11)*100+((COUNTIFS('Relatório IND.'!$B:$B,'Relatório IND.'!G11,'Relatório IND.'!$D:$D,7))/M11)*100/2</f>
        <v>17.391304347826086</v>
      </c>
      <c r="J11" s="72">
        <f>((COUNTIFS('Relatório IND.'!$B:$B,'Relatório IND.'!G11,'Relatório IND.'!$D:$D,3))/M11)*100+((COUNTIFS('Relatório IND.'!$B:$B,'Relatório IND.'!G11,'Relatório IND.'!$D:$D,8))/M11)*100/2</f>
        <v>0</v>
      </c>
      <c r="K11" s="72">
        <f>((COUNTIFS('Relatório IND.'!$B:$B,'Relatório IND.'!G11,'Relatório IND.'!$D:$D,4))/M11)*100+((COUNTIFS('Relatório IND.'!$B:$B,'Relatório IND.'!G11,'Relatório IND.'!$D:$D,9))/M11)*100/2</f>
        <v>0</v>
      </c>
      <c r="L11" s="72">
        <f t="shared" si="1"/>
        <v>82.608695652173907</v>
      </c>
      <c r="M11">
        <f>NETWORKDAYS(G11,G12-1,'Dados Dinamicos'!O:O)</f>
        <v>23</v>
      </c>
      <c r="O11" s="27">
        <v>42430</v>
      </c>
      <c r="P11" s="100" t="s">
        <v>85</v>
      </c>
      <c r="Q11" s="18">
        <f t="shared" si="2"/>
        <v>12</v>
      </c>
      <c r="R11" s="18" t="str">
        <f t="shared" si="3"/>
        <v>DEZEMBRO</v>
      </c>
      <c r="S11" s="18">
        <f t="shared" si="4"/>
        <v>2015</v>
      </c>
      <c r="T11" s="79" t="str">
        <f t="shared" si="5"/>
        <v>DEZEMBRO/2015</v>
      </c>
      <c r="U11" s="79">
        <f t="shared" si="6"/>
        <v>0</v>
      </c>
      <c r="V11" s="79">
        <f t="shared" si="7"/>
        <v>17.391304347826086</v>
      </c>
      <c r="W11" s="79">
        <f t="shared" si="8"/>
        <v>0</v>
      </c>
      <c r="X11" s="79">
        <f t="shared" si="9"/>
        <v>0</v>
      </c>
      <c r="Y11" s="79">
        <f t="shared" si="10"/>
        <v>82.608695652173907</v>
      </c>
    </row>
    <row r="12" spans="1:25" ht="15" x14ac:dyDescent="0.2">
      <c r="A12" s="116">
        <f>'Relatório GERAL'!A12</f>
        <v>42135</v>
      </c>
      <c r="B12" s="116">
        <f t="shared" si="0"/>
        <v>42125</v>
      </c>
      <c r="C12" s="117" t="str">
        <f>'Relatório GERAL'!B12</f>
        <v>seg</v>
      </c>
      <c r="D12" s="18" t="str">
        <f>IF(OR(C12="SÁB",C12="DOM"),"",IFERROR(IF(VLOOKUP(VLOOKUP(A12,'Relatório GERAL'!$A:$T,$E$1,0),'Dados de consulta'!$A$2:$D$38,4,0)=0,"",VLOOKUP(VLOOKUP(A12,'Relatório GERAL'!$A:$T,$E$1,0),'Dados de consulta'!$A$2:$D$38,4,0)),""))</f>
        <v/>
      </c>
      <c r="G12" s="71">
        <f>DATE('Relatório IND.'!H3,VLOOKUP('Relatório IND.'!H2,'Dados Dinamicos'!A1:B12,2,0)+6,1)</f>
        <v>42370</v>
      </c>
      <c r="H12" s="72">
        <f>((COUNTIFS('Relatório IND.'!$B:$B,'Relatório IND.'!G12,'Relatório IND.'!$D:$D,1))/M12)*100+((COUNTIFS('Relatório IND.'!$B:$B,'Relatório IND.'!G12,'Relatório IND.'!$D:$D,6))/M12)*100/2</f>
        <v>5</v>
      </c>
      <c r="I12" s="72">
        <f>((COUNTIFS('Relatório IND.'!$B:$B,'Relatório IND.'!G12,'Relatório IND.'!$D:$D,2))/M12)*100+((COUNTIFS('Relatório IND.'!$B:$B,'Relatório IND.'!G12,'Relatório IND.'!$D:$D,7))/M12)*100/2</f>
        <v>45</v>
      </c>
      <c r="J12" s="72">
        <f>((COUNTIFS('Relatório IND.'!$B:$B,'Relatório IND.'!G12,'Relatório IND.'!$D:$D,3))/M12)*100+((COUNTIFS('Relatório IND.'!$B:$B,'Relatório IND.'!G12,'Relatório IND.'!$D:$D,8))/M12)*100/2</f>
        <v>0</v>
      </c>
      <c r="K12" s="72">
        <f>((COUNTIFS('Relatório IND.'!$B:$B,'Relatório IND.'!G12,'Relatório IND.'!$D:$D,4))/M12)*100+((COUNTIFS('Relatório IND.'!$B:$B,'Relatório IND.'!G12,'Relatório IND.'!$D:$D,9))/M12)*100/2</f>
        <v>0</v>
      </c>
      <c r="L12" s="72">
        <f t="shared" si="1"/>
        <v>50</v>
      </c>
      <c r="M12">
        <f>NETWORKDAYS(G12,G13-1,'Dados Dinamicos'!O:O)</f>
        <v>20</v>
      </c>
      <c r="O12" s="27">
        <v>42461</v>
      </c>
      <c r="P12" s="100" t="s">
        <v>86</v>
      </c>
      <c r="Q12" s="18">
        <f t="shared" si="2"/>
        <v>1</v>
      </c>
      <c r="R12" s="18" t="str">
        <f t="shared" si="3"/>
        <v>JANEIRO</v>
      </c>
      <c r="S12" s="18">
        <f t="shared" si="4"/>
        <v>2016</v>
      </c>
      <c r="T12" s="79" t="str">
        <f t="shared" si="5"/>
        <v>JANEIRO/2016</v>
      </c>
      <c r="U12" s="79">
        <f t="shared" si="6"/>
        <v>5</v>
      </c>
      <c r="V12" s="79">
        <f t="shared" si="7"/>
        <v>45</v>
      </c>
      <c r="W12" s="79">
        <f t="shared" si="8"/>
        <v>0</v>
      </c>
      <c r="X12" s="79">
        <f t="shared" si="9"/>
        <v>0</v>
      </c>
      <c r="Y12" s="79">
        <f t="shared" si="10"/>
        <v>50</v>
      </c>
    </row>
    <row r="13" spans="1:25" ht="15" x14ac:dyDescent="0.2">
      <c r="A13" s="116">
        <f>'Relatório GERAL'!A13</f>
        <v>42136</v>
      </c>
      <c r="B13" s="116">
        <f t="shared" si="0"/>
        <v>42125</v>
      </c>
      <c r="C13" s="117" t="str">
        <f>'Relatório GERAL'!B13</f>
        <v>ter</v>
      </c>
      <c r="D13" s="18" t="str">
        <f>IF(OR(C13="SÁB",C13="DOM"),"",IFERROR(IF(VLOOKUP(VLOOKUP(A13,'Relatório GERAL'!$A:$T,$E$1,0),'Dados de consulta'!$A$2:$D$38,4,0)=0,"",VLOOKUP(VLOOKUP(A13,'Relatório GERAL'!$A:$T,$E$1,0),'Dados de consulta'!$A$2:$D$38,4,0)),""))</f>
        <v/>
      </c>
      <c r="G13" s="71">
        <f>DATE('Relatório IND.'!H3,VLOOKUP('Relatório IND.'!H2,'Dados Dinamicos'!A1:B12,2,0)+7,1)</f>
        <v>42401</v>
      </c>
      <c r="H13" s="72">
        <f>((COUNTIFS('Relatório IND.'!$B:$B,'Relatório IND.'!G13,'Relatório IND.'!$D:$D,1))/M13)*100+((COUNTIFS('Relatório IND.'!$B:$B,'Relatório IND.'!G13,'Relatório IND.'!$D:$D,6))/M13)*100/2</f>
        <v>5.2631578947368416</v>
      </c>
      <c r="I13" s="72">
        <f>((COUNTIFS('Relatório IND.'!$B:$B,'Relatório IND.'!G13,'Relatório IND.'!$D:$D,2))/M13)*100+((COUNTIFS('Relatório IND.'!$B:$B,'Relatório IND.'!G13,'Relatório IND.'!$D:$D,7))/M13)*100/2</f>
        <v>0</v>
      </c>
      <c r="J13" s="72">
        <f>((COUNTIFS('Relatório IND.'!$B:$B,'Relatório IND.'!G13,'Relatório IND.'!$D:$D,3))/M13)*100+((COUNTIFS('Relatório IND.'!$B:$B,'Relatório IND.'!G13,'Relatório IND.'!$D:$D,8))/M13)*100/2</f>
        <v>0</v>
      </c>
      <c r="K13" s="72">
        <f>((COUNTIFS('Relatório IND.'!$B:$B,'Relatório IND.'!G13,'Relatório IND.'!$D:$D,4))/M13)*100+((COUNTIFS('Relatório IND.'!$B:$B,'Relatório IND.'!G13,'Relatório IND.'!$D:$D,9))/M13)*100/2</f>
        <v>0</v>
      </c>
      <c r="L13" s="72">
        <f t="shared" si="1"/>
        <v>94.736842105263165</v>
      </c>
      <c r="M13">
        <f>NETWORKDAYS(G13,G14-1,'Dados Dinamicos'!O:O)</f>
        <v>19</v>
      </c>
      <c r="O13" s="27">
        <v>42491</v>
      </c>
      <c r="P13" s="100" t="s">
        <v>87</v>
      </c>
      <c r="Q13" s="18">
        <f t="shared" si="2"/>
        <v>2</v>
      </c>
      <c r="R13" s="18" t="str">
        <f t="shared" si="3"/>
        <v>FEVEREIRO</v>
      </c>
      <c r="S13" s="18">
        <f t="shared" si="4"/>
        <v>2016</v>
      </c>
      <c r="T13" s="79" t="str">
        <f t="shared" si="5"/>
        <v>FEVEREIRO/2016</v>
      </c>
      <c r="U13" s="79">
        <f t="shared" si="6"/>
        <v>5.2631578947368416</v>
      </c>
      <c r="V13" s="79">
        <f t="shared" si="7"/>
        <v>0</v>
      </c>
      <c r="W13" s="79">
        <f t="shared" si="8"/>
        <v>0</v>
      </c>
      <c r="X13" s="79">
        <f t="shared" si="9"/>
        <v>0</v>
      </c>
      <c r="Y13" s="79">
        <f t="shared" si="10"/>
        <v>94.736842105263165</v>
      </c>
    </row>
    <row r="14" spans="1:25" ht="15" x14ac:dyDescent="0.2">
      <c r="A14" s="116">
        <f>'Relatório GERAL'!A14</f>
        <v>42137</v>
      </c>
      <c r="B14" s="116">
        <f t="shared" si="0"/>
        <v>42125</v>
      </c>
      <c r="C14" s="117" t="str">
        <f>'Relatório GERAL'!B14</f>
        <v>qua</v>
      </c>
      <c r="D14" s="18" t="str">
        <f>IF(OR(C14="SÁB",C14="DOM"),"",IFERROR(IF(VLOOKUP(VLOOKUP(A14,'Relatório GERAL'!$A:$T,$E$1,0),'Dados de consulta'!$A$2:$D$38,4,0)=0,"",VLOOKUP(VLOOKUP(A14,'Relatório GERAL'!$A:$T,$E$1,0),'Dados de consulta'!$A$2:$D$38,4,0)),""))</f>
        <v/>
      </c>
      <c r="G14" s="71">
        <f>DATE('Relatório IND.'!H3,VLOOKUP('Relatório IND.'!H2,'Dados Dinamicos'!A1:B12,2,0)+8,1)</f>
        <v>42430</v>
      </c>
      <c r="H14" s="72">
        <f>((COUNTIFS('Relatório IND.'!$B:$B,'Relatório IND.'!G14,'Relatório IND.'!$D:$D,1))/M14)*100+((COUNTIFS('Relatório IND.'!$B:$B,'Relatório IND.'!G14,'Relatório IND.'!$D:$D,6))/M14)*100/2</f>
        <v>0</v>
      </c>
      <c r="I14" s="72">
        <f>((COUNTIFS('Relatório IND.'!$B:$B,'Relatório IND.'!G14,'Relatório IND.'!$D:$D,2))/M14)*100+((COUNTIFS('Relatório IND.'!$B:$B,'Relatório IND.'!G14,'Relatório IND.'!$D:$D,7))/M14)*100/2</f>
        <v>0</v>
      </c>
      <c r="J14" s="72">
        <f>((COUNTIFS('Relatório IND.'!$B:$B,'Relatório IND.'!G14,'Relatório IND.'!$D:$D,3))/M14)*100+((COUNTIFS('Relatório IND.'!$B:$B,'Relatório IND.'!G14,'Relatório IND.'!$D:$D,8))/M14)*100/2</f>
        <v>0</v>
      </c>
      <c r="K14" s="72">
        <f>((COUNTIFS('Relatório IND.'!$B:$B,'Relatório IND.'!G14,'Relatório IND.'!$D:$D,4))/M14)*100+((COUNTIFS('Relatório IND.'!$B:$B,'Relatório IND.'!G14,'Relatório IND.'!$D:$D,9))/M14)*100/2</f>
        <v>0</v>
      </c>
      <c r="L14" s="72">
        <f t="shared" si="1"/>
        <v>100</v>
      </c>
      <c r="M14">
        <f>NETWORKDAYS(G14,G15-1,'Dados Dinamicos'!O:O)</f>
        <v>22</v>
      </c>
      <c r="O14" s="27">
        <v>42522</v>
      </c>
      <c r="P14" s="100" t="s">
        <v>88</v>
      </c>
      <c r="Q14" s="18">
        <f t="shared" si="2"/>
        <v>3</v>
      </c>
      <c r="R14" s="18" t="str">
        <f t="shared" si="3"/>
        <v>MARÇO</v>
      </c>
      <c r="S14" s="18">
        <f t="shared" si="4"/>
        <v>2016</v>
      </c>
      <c r="T14" s="79" t="str">
        <f t="shared" si="5"/>
        <v>MARÇO/2016</v>
      </c>
      <c r="U14" s="79">
        <f t="shared" si="6"/>
        <v>0</v>
      </c>
      <c r="V14" s="79">
        <f t="shared" si="7"/>
        <v>0</v>
      </c>
      <c r="W14" s="79">
        <f t="shared" si="8"/>
        <v>0</v>
      </c>
      <c r="X14" s="79">
        <f t="shared" si="9"/>
        <v>0</v>
      </c>
      <c r="Y14" s="79">
        <f t="shared" si="10"/>
        <v>100</v>
      </c>
    </row>
    <row r="15" spans="1:25" ht="15" x14ac:dyDescent="0.2">
      <c r="A15" s="116">
        <f>'Relatório GERAL'!A15</f>
        <v>42138</v>
      </c>
      <c r="B15" s="116">
        <f t="shared" si="0"/>
        <v>42125</v>
      </c>
      <c r="C15" s="117" t="str">
        <f>'Relatório GERAL'!B15</f>
        <v>qui</v>
      </c>
      <c r="D15" s="18" t="str">
        <f>IF(OR(C15="SÁB",C15="DOM"),"",IFERROR(IF(VLOOKUP(VLOOKUP(A15,'Relatório GERAL'!$A:$T,$E$1,0),'Dados de consulta'!$A$2:$D$38,4,0)=0,"",VLOOKUP(VLOOKUP(A15,'Relatório GERAL'!$A:$T,$E$1,0),'Dados de consulta'!$A$2:$D$38,4,0)),""))</f>
        <v/>
      </c>
      <c r="G15" s="71">
        <f>DATE('Relatório IND.'!H3,VLOOKUP('Relatório IND.'!H2,'Dados Dinamicos'!A1:B12,2,0)+9,1)</f>
        <v>42461</v>
      </c>
      <c r="H15" s="72">
        <f>((COUNTIFS('Relatório IND.'!$B:$B,'Relatório IND.'!G15,'Relatório IND.'!$D:$D,1))/M15)*100+((COUNTIFS('Relatório IND.'!$B:$B,'Relatório IND.'!G15,'Relatório IND.'!$D:$D,6))/M15)*100/2</f>
        <v>0</v>
      </c>
      <c r="I15" s="72">
        <f>((COUNTIFS('Relatório IND.'!$B:$B,'Relatório IND.'!G15,'Relatório IND.'!$D:$D,2))/M15)*100+((COUNTIFS('Relatório IND.'!$B:$B,'Relatório IND.'!G15,'Relatório IND.'!$D:$D,7))/M15)*100/2</f>
        <v>0</v>
      </c>
      <c r="J15" s="72">
        <f>((COUNTIFS('Relatório IND.'!$B:$B,'Relatório IND.'!G15,'Relatório IND.'!$D:$D,3))/M15)*100+((COUNTIFS('Relatório IND.'!$B:$B,'Relatório IND.'!G15,'Relatório IND.'!$D:$D,8))/M15)*100/2</f>
        <v>0</v>
      </c>
      <c r="K15" s="72">
        <f>((COUNTIFS('Relatório IND.'!$B:$B,'Relatório IND.'!G15,'Relatório IND.'!$D:$D,4))/M15)*100+((COUNTIFS('Relatório IND.'!$B:$B,'Relatório IND.'!G15,'Relatório IND.'!$D:$D,9))/M15)*100/2</f>
        <v>5</v>
      </c>
      <c r="L15" s="72">
        <f t="shared" si="1"/>
        <v>95</v>
      </c>
      <c r="M15">
        <f>NETWORKDAYS(G15,G16-1,'Dados Dinamicos'!O:O)</f>
        <v>20</v>
      </c>
      <c r="O15" s="27">
        <v>42552</v>
      </c>
      <c r="P15" s="100" t="s">
        <v>89</v>
      </c>
      <c r="Q15" s="18">
        <f t="shared" si="2"/>
        <v>4</v>
      </c>
      <c r="R15" s="18" t="str">
        <f t="shared" si="3"/>
        <v>ABRIL</v>
      </c>
      <c r="S15" s="18">
        <f t="shared" si="4"/>
        <v>2016</v>
      </c>
      <c r="T15" s="79" t="str">
        <f t="shared" si="5"/>
        <v>ABRIL/2016</v>
      </c>
      <c r="U15" s="79">
        <f t="shared" si="6"/>
        <v>0</v>
      </c>
      <c r="V15" s="79">
        <f t="shared" si="7"/>
        <v>0</v>
      </c>
      <c r="W15" s="79">
        <f t="shared" si="8"/>
        <v>0</v>
      </c>
      <c r="X15" s="79">
        <f t="shared" si="9"/>
        <v>5</v>
      </c>
      <c r="Y15" s="79">
        <f t="shared" si="10"/>
        <v>95</v>
      </c>
    </row>
    <row r="16" spans="1:25" ht="15" x14ac:dyDescent="0.2">
      <c r="A16" s="116">
        <f>'Relatório GERAL'!A16</f>
        <v>42139</v>
      </c>
      <c r="B16" s="116">
        <f t="shared" si="0"/>
        <v>42125</v>
      </c>
      <c r="C16" s="117" t="str">
        <f>'Relatório GERAL'!B16</f>
        <v>sex</v>
      </c>
      <c r="D16" s="18" t="str">
        <f>IF(OR(C16="SÁB",C16="DOM"),"",IFERROR(IF(VLOOKUP(VLOOKUP(A16,'Relatório GERAL'!$A:$T,$E$1,0),'Dados de consulta'!$A$2:$D$38,4,0)=0,"",VLOOKUP(VLOOKUP(A16,'Relatório GERAL'!$A:$T,$E$1,0),'Dados de consulta'!$A$2:$D$38,4,0)),""))</f>
        <v/>
      </c>
      <c r="G16" s="71">
        <f>DATE('Relatório IND.'!H3,VLOOKUP('Relatório IND.'!H2,'Dados Dinamicos'!A1:B12,2,0)+10,1)</f>
        <v>42491</v>
      </c>
      <c r="H16" s="72">
        <f>((COUNTIFS('Relatório IND.'!$B:$B,'Relatório IND.'!G16,'Relatório IND.'!$D:$D,1))/M16)*100+((COUNTIFS('Relatório IND.'!$B:$B,'Relatório IND.'!G16,'Relatório IND.'!$D:$D,6))/M16)*100/2</f>
        <v>0</v>
      </c>
      <c r="I16" s="72">
        <f>((COUNTIFS('Relatório IND.'!$B:$B,'Relatório IND.'!G16,'Relatório IND.'!$D:$D,2))/M16)*100+((COUNTIFS('Relatório IND.'!$B:$B,'Relatório IND.'!G16,'Relatório IND.'!$D:$D,7))/M16)*100/2</f>
        <v>0</v>
      </c>
      <c r="J16" s="72">
        <f>((COUNTIFS('Relatório IND.'!$B:$B,'Relatório IND.'!G16,'Relatório IND.'!$D:$D,3))/M16)*100+((COUNTIFS('Relatório IND.'!$B:$B,'Relatório IND.'!G16,'Relatório IND.'!$D:$D,8))/M16)*100/2</f>
        <v>0</v>
      </c>
      <c r="K16" s="72">
        <f>((COUNTIFS('Relatório IND.'!$B:$B,'Relatório IND.'!G16,'Relatório IND.'!$D:$D,4))/M16)*100+((COUNTIFS('Relatório IND.'!$B:$B,'Relatório IND.'!G16,'Relatório IND.'!$D:$D,9))/M16)*100/2</f>
        <v>57.142857142857139</v>
      </c>
      <c r="L16" s="72">
        <f t="shared" si="1"/>
        <v>42.857142857142861</v>
      </c>
      <c r="M16">
        <f>NETWORKDAYS(G16,G17-1,'Dados Dinamicos'!O:O)</f>
        <v>21</v>
      </c>
      <c r="O16" s="27">
        <v>42583</v>
      </c>
      <c r="P16" s="100" t="s">
        <v>90</v>
      </c>
      <c r="Q16" s="18">
        <f t="shared" si="2"/>
        <v>5</v>
      </c>
      <c r="R16" s="18" t="str">
        <f t="shared" si="3"/>
        <v>MAIO</v>
      </c>
      <c r="S16" s="18">
        <f t="shared" si="4"/>
        <v>2016</v>
      </c>
      <c r="T16" s="79" t="str">
        <f t="shared" si="5"/>
        <v>MAIO/2016</v>
      </c>
      <c r="U16" s="79">
        <f t="shared" si="6"/>
        <v>0</v>
      </c>
      <c r="V16" s="79">
        <f t="shared" si="7"/>
        <v>0</v>
      </c>
      <c r="W16" s="79">
        <f t="shared" si="8"/>
        <v>0</v>
      </c>
      <c r="X16" s="79">
        <f t="shared" si="9"/>
        <v>57.142857142857139</v>
      </c>
      <c r="Y16" s="79">
        <f t="shared" si="10"/>
        <v>42.857142857142861</v>
      </c>
    </row>
    <row r="17" spans="1:25" ht="15" x14ac:dyDescent="0.2">
      <c r="A17" s="116">
        <f>'Relatório GERAL'!A17</f>
        <v>42140</v>
      </c>
      <c r="B17" s="116">
        <f t="shared" si="0"/>
        <v>42125</v>
      </c>
      <c r="C17" s="117" t="str">
        <f>'Relatório GERAL'!B17</f>
        <v>sáb</v>
      </c>
      <c r="D17" s="18" t="str">
        <f>IF(OR(C17="SÁB",C17="DOM"),"",IFERROR(IF(VLOOKUP(VLOOKUP(A17,'Relatório GERAL'!$A:$T,$E$1,0),'Dados de consulta'!$A$2:$D$38,4,0)=0,"",VLOOKUP(VLOOKUP(A17,'Relatório GERAL'!$A:$T,$E$1,0),'Dados de consulta'!$A$2:$D$38,4,0)),""))</f>
        <v/>
      </c>
      <c r="G17" s="71">
        <f>DATE('Relatório IND.'!H3,VLOOKUP('Relatório IND.'!H2,'Dados Dinamicos'!A1:B12,2,0)+11,1)</f>
        <v>42522</v>
      </c>
      <c r="H17" s="72">
        <f>((COUNTIFS('Relatório IND.'!$B:$B,'Relatório IND.'!G17,'Relatório IND.'!$D:$D,1))/M17)*100+((COUNTIFS('Relatório IND.'!$B:$B,'Relatório IND.'!G17,'Relatório IND.'!$D:$D,6))/M17)*100/2</f>
        <v>0</v>
      </c>
      <c r="I17" s="72">
        <f>((COUNTIFS('Relatório IND.'!$B:$B,'Relatório IND.'!G17,'Relatório IND.'!$D:$D,2))/M17)*100+((COUNTIFS('Relatório IND.'!$B:$B,'Relatório IND.'!G17,'Relatório IND.'!$D:$D,7))/M17)*100/2</f>
        <v>0</v>
      </c>
      <c r="J17" s="72">
        <f>((COUNTIFS('Relatório IND.'!$B:$B,'Relatório IND.'!G17,'Relatório IND.'!$D:$D,3))/M17)*100+((COUNTIFS('Relatório IND.'!$B:$B,'Relatório IND.'!G17,'Relatório IND.'!$D:$D,8))/M17)*100/2</f>
        <v>0</v>
      </c>
      <c r="K17" s="72">
        <f>((COUNTIFS('Relatório IND.'!$B:$B,'Relatório IND.'!G17,'Relatório IND.'!$D:$D,4))/M17)*100+((COUNTIFS('Relatório IND.'!$B:$B,'Relatório IND.'!G17,'Relatório IND.'!$D:$D,9))/M17)*100/2</f>
        <v>63.636363636363633</v>
      </c>
      <c r="L17" s="72">
        <f t="shared" si="1"/>
        <v>36.363636363636367</v>
      </c>
      <c r="M17">
        <f>NETWORKDAYS(G17,G18-1,'Dados Dinamicos'!O:O)</f>
        <v>22</v>
      </c>
      <c r="O17" s="27">
        <v>42614</v>
      </c>
      <c r="P17" s="100" t="s">
        <v>91</v>
      </c>
      <c r="Q17" s="18">
        <f t="shared" si="2"/>
        <v>6</v>
      </c>
      <c r="R17" s="18" t="str">
        <f t="shared" si="3"/>
        <v>JUNHO</v>
      </c>
      <c r="S17" s="18">
        <f t="shared" si="4"/>
        <v>2016</v>
      </c>
      <c r="T17" s="79" t="str">
        <f t="shared" si="5"/>
        <v>JUNHO/2016</v>
      </c>
      <c r="U17" s="79">
        <f t="shared" si="6"/>
        <v>0</v>
      </c>
      <c r="V17" s="79">
        <f t="shared" si="7"/>
        <v>0</v>
      </c>
      <c r="W17" s="79">
        <f t="shared" si="8"/>
        <v>0</v>
      </c>
      <c r="X17" s="79">
        <f t="shared" si="9"/>
        <v>63.636363636363633</v>
      </c>
      <c r="Y17" s="79">
        <f t="shared" si="10"/>
        <v>36.363636363636367</v>
      </c>
    </row>
    <row r="18" spans="1:25" ht="15" x14ac:dyDescent="0.2">
      <c r="A18" s="116">
        <f>'Relatório GERAL'!A18</f>
        <v>42141</v>
      </c>
      <c r="B18" s="116">
        <f t="shared" si="0"/>
        <v>42125</v>
      </c>
      <c r="C18" s="117" t="str">
        <f>'Relatório GERAL'!B18</f>
        <v>dom</v>
      </c>
      <c r="D18" s="18" t="str">
        <f>IF(OR(C18="SÁB",C18="DOM"),"",IFERROR(IF(VLOOKUP(VLOOKUP(A18,'Relatório GERAL'!$A:$T,$E$1,0),'Dados de consulta'!$A$2:$D$38,4,0)=0,"",VLOOKUP(VLOOKUP(A18,'Relatório GERAL'!$A:$T,$E$1,0),'Dados de consulta'!$A$2:$D$38,4,0)),""))</f>
        <v/>
      </c>
      <c r="G18" s="66">
        <f>DATE('Relatório IND.'!H3,VLOOKUP('Relatório IND.'!H2,'Dados Dinamicos'!A1:B12,2,0)+12,1)</f>
        <v>42552</v>
      </c>
      <c r="O18" s="27">
        <v>42644</v>
      </c>
    </row>
    <row r="19" spans="1:25" ht="15" x14ac:dyDescent="0.2">
      <c r="A19" s="116">
        <f>'Relatório GERAL'!A19</f>
        <v>42142</v>
      </c>
      <c r="B19" s="116">
        <f t="shared" si="0"/>
        <v>42125</v>
      </c>
      <c r="C19" s="117" t="str">
        <f>'Relatório GERAL'!B19</f>
        <v>seg</v>
      </c>
      <c r="D19" s="18" t="str">
        <f>IF(OR(C19="SÁB",C19="DOM"),"",IFERROR(IF(VLOOKUP(VLOOKUP(A19,'Relatório GERAL'!$A:$T,$E$1,0),'Dados de consulta'!$A$2:$D$38,4,0)=0,"",VLOOKUP(VLOOKUP(A19,'Relatório GERAL'!$A:$T,$E$1,0),'Dados de consulta'!$A$2:$D$38,4,0)),""))</f>
        <v/>
      </c>
      <c r="O19" s="27">
        <v>42675</v>
      </c>
    </row>
    <row r="20" spans="1:25" ht="15" x14ac:dyDescent="0.2">
      <c r="A20" s="116">
        <f>'Relatório GERAL'!A20</f>
        <v>42143</v>
      </c>
      <c r="B20" s="116">
        <f t="shared" si="0"/>
        <v>42125</v>
      </c>
      <c r="C20" s="117" t="str">
        <f>'Relatório GERAL'!B20</f>
        <v>ter</v>
      </c>
      <c r="D20" s="18" t="str">
        <f>IF(OR(C20="SÁB",C20="DOM"),"",IFERROR(IF(VLOOKUP(VLOOKUP(A20,'Relatório GERAL'!$A:$T,$E$1,0),'Dados de consulta'!$A$2:$D$38,4,0)=0,"",VLOOKUP(VLOOKUP(A20,'Relatório GERAL'!$A:$T,$E$1,0),'Dados de consulta'!$A$2:$D$38,4,0)),""))</f>
        <v/>
      </c>
      <c r="O20" s="27">
        <v>42705</v>
      </c>
    </row>
    <row r="21" spans="1:25" ht="15" x14ac:dyDescent="0.2">
      <c r="A21" s="116">
        <f>'Relatório GERAL'!A21</f>
        <v>42144</v>
      </c>
      <c r="B21" s="116">
        <f t="shared" si="0"/>
        <v>42125</v>
      </c>
      <c r="C21" s="117" t="str">
        <f>'Relatório GERAL'!B21</f>
        <v>qua</v>
      </c>
      <c r="D21" s="18" t="str">
        <f>IF(OR(C21="SÁB",C21="DOM"),"",IFERROR(IF(VLOOKUP(VLOOKUP(A21,'Relatório GERAL'!$A:$T,$E$1,0),'Dados de consulta'!$A$2:$D$38,4,0)=0,"",VLOOKUP(VLOOKUP(A21,'Relatório GERAL'!$A:$T,$E$1,0),'Dados de consulta'!$A$2:$D$38,4,0)),""))</f>
        <v/>
      </c>
      <c r="O21" s="27">
        <v>42736</v>
      </c>
    </row>
    <row r="22" spans="1:25" ht="15" x14ac:dyDescent="0.2">
      <c r="A22" s="116">
        <f>'Relatório GERAL'!A22</f>
        <v>42145</v>
      </c>
      <c r="B22" s="116">
        <f t="shared" si="0"/>
        <v>42125</v>
      </c>
      <c r="C22" s="117" t="str">
        <f>'Relatório GERAL'!B22</f>
        <v>qui</v>
      </c>
      <c r="D22" s="18" t="str">
        <f>IF(OR(C22="SÁB",C22="DOM"),"",IFERROR(IF(VLOOKUP(VLOOKUP(A22,'Relatório GERAL'!$A:$T,$E$1,0),'Dados de consulta'!$A$2:$D$38,4,0)=0,"",VLOOKUP(VLOOKUP(A22,'Relatório GERAL'!$A:$T,$E$1,0),'Dados de consulta'!$A$2:$D$38,4,0)),""))</f>
        <v/>
      </c>
      <c r="O22" s="27">
        <v>42767</v>
      </c>
    </row>
    <row r="23" spans="1:25" ht="15" x14ac:dyDescent="0.2">
      <c r="A23" s="116">
        <f>'Relatório GERAL'!A23</f>
        <v>42146</v>
      </c>
      <c r="B23" s="116">
        <f t="shared" si="0"/>
        <v>42125</v>
      </c>
      <c r="C23" s="117" t="str">
        <f>'Relatório GERAL'!B23</f>
        <v>sex</v>
      </c>
      <c r="D23" s="18" t="str">
        <f>IF(OR(C23="SÁB",C23="DOM"),"",IFERROR(IF(VLOOKUP(VLOOKUP(A23,'Relatório GERAL'!$A:$T,$E$1,0),'Dados de consulta'!$A$2:$D$38,4,0)=0,"",VLOOKUP(VLOOKUP(A23,'Relatório GERAL'!$A:$T,$E$1,0),'Dados de consulta'!$A$2:$D$38,4,0)),""))</f>
        <v/>
      </c>
      <c r="O23" s="27">
        <v>42795</v>
      </c>
    </row>
    <row r="24" spans="1:25" ht="15" x14ac:dyDescent="0.2">
      <c r="A24" s="116">
        <f>'Relatório GERAL'!A24</f>
        <v>42147</v>
      </c>
      <c r="B24" s="116">
        <f t="shared" si="0"/>
        <v>42125</v>
      </c>
      <c r="C24" s="117" t="str">
        <f>'Relatório GERAL'!B24</f>
        <v>sáb</v>
      </c>
      <c r="D24" s="18" t="str">
        <f>IF(OR(C24="SÁB",C24="DOM"),"",IFERROR(IF(VLOOKUP(VLOOKUP(A24,'Relatório GERAL'!$A:$T,$E$1,0),'Dados de consulta'!$A$2:$D$38,4,0)=0,"",VLOOKUP(VLOOKUP(A24,'Relatório GERAL'!$A:$T,$E$1,0),'Dados de consulta'!$A$2:$D$38,4,0)),""))</f>
        <v/>
      </c>
      <c r="O24" s="27">
        <v>42826</v>
      </c>
    </row>
    <row r="25" spans="1:25" ht="15" x14ac:dyDescent="0.2">
      <c r="A25" s="116">
        <f>'Relatório GERAL'!A25</f>
        <v>42148</v>
      </c>
      <c r="B25" s="116">
        <f t="shared" si="0"/>
        <v>42125</v>
      </c>
      <c r="C25" s="117" t="str">
        <f>'Relatório GERAL'!B25</f>
        <v>dom</v>
      </c>
      <c r="D25" s="18" t="str">
        <f>IF(OR(C25="SÁB",C25="DOM"),"",IFERROR(IF(VLOOKUP(VLOOKUP(A25,'Relatório GERAL'!$A:$T,$E$1,0),'Dados de consulta'!$A$2:$D$38,4,0)=0,"",VLOOKUP(VLOOKUP(A25,'Relatório GERAL'!$A:$T,$E$1,0),'Dados de consulta'!$A$2:$D$38,4,0)),""))</f>
        <v/>
      </c>
      <c r="O25" s="27">
        <v>42856</v>
      </c>
    </row>
    <row r="26" spans="1:25" ht="15" x14ac:dyDescent="0.2">
      <c r="A26" s="116">
        <f>'Relatório GERAL'!A26</f>
        <v>42149</v>
      </c>
      <c r="B26" s="116">
        <f t="shared" si="0"/>
        <v>42125</v>
      </c>
      <c r="C26" s="117" t="str">
        <f>'Relatório GERAL'!B26</f>
        <v>seg</v>
      </c>
      <c r="D26" s="18" t="str">
        <f>IF(OR(C26="SÁB",C26="DOM"),"",IFERROR(IF(VLOOKUP(VLOOKUP(A26,'Relatório GERAL'!$A:$T,$E$1,0),'Dados de consulta'!$A$2:$D$38,4,0)=0,"",VLOOKUP(VLOOKUP(A26,'Relatório GERAL'!$A:$T,$E$1,0),'Dados de consulta'!$A$2:$D$38,4,0)),""))</f>
        <v/>
      </c>
      <c r="O26" s="27">
        <v>42887</v>
      </c>
    </row>
    <row r="27" spans="1:25" ht="15" x14ac:dyDescent="0.2">
      <c r="A27" s="116">
        <f>'Relatório GERAL'!A27</f>
        <v>42150</v>
      </c>
      <c r="B27" s="116">
        <f t="shared" si="0"/>
        <v>42125</v>
      </c>
      <c r="C27" s="117" t="str">
        <f>'Relatório GERAL'!B27</f>
        <v>ter</v>
      </c>
      <c r="D27" s="18" t="str">
        <f>IF(OR(C27="SÁB",C27="DOM"),"",IFERROR(IF(VLOOKUP(VLOOKUP(A27,'Relatório GERAL'!$A:$T,$E$1,0),'Dados de consulta'!$A$2:$D$38,4,0)=0,"",VLOOKUP(VLOOKUP(A27,'Relatório GERAL'!$A:$T,$E$1,0),'Dados de consulta'!$A$2:$D$38,4,0)),""))</f>
        <v/>
      </c>
      <c r="O27" s="27">
        <v>42917</v>
      </c>
    </row>
    <row r="28" spans="1:25" ht="15" x14ac:dyDescent="0.2">
      <c r="A28" s="116">
        <f>'Relatório GERAL'!A28</f>
        <v>42151</v>
      </c>
      <c r="B28" s="116">
        <f t="shared" si="0"/>
        <v>42125</v>
      </c>
      <c r="C28" s="117" t="str">
        <f>'Relatório GERAL'!B28</f>
        <v>qua</v>
      </c>
      <c r="D28" s="18" t="str">
        <f>IF(OR(C28="SÁB",C28="DOM"),"",IFERROR(IF(VLOOKUP(VLOOKUP(A28,'Relatório GERAL'!$A:$T,$E$1,0),'Dados de consulta'!$A$2:$D$38,4,0)=0,"",VLOOKUP(VLOOKUP(A28,'Relatório GERAL'!$A:$T,$E$1,0),'Dados de consulta'!$A$2:$D$38,4,0)),""))</f>
        <v/>
      </c>
      <c r="O28" s="27">
        <v>42948</v>
      </c>
    </row>
    <row r="29" spans="1:25" ht="15" x14ac:dyDescent="0.2">
      <c r="A29" s="116">
        <f>'Relatório GERAL'!A29</f>
        <v>42152</v>
      </c>
      <c r="B29" s="116">
        <f t="shared" si="0"/>
        <v>42125</v>
      </c>
      <c r="C29" s="117" t="str">
        <f>'Relatório GERAL'!B29</f>
        <v>qui</v>
      </c>
      <c r="D29" s="18" t="str">
        <f>IF(OR(C29="SÁB",C29="DOM"),"",IFERROR(IF(VLOOKUP(VLOOKUP(A29,'Relatório GERAL'!$A:$T,$E$1,0),'Dados de consulta'!$A$2:$D$38,4,0)=0,"",VLOOKUP(VLOOKUP(A29,'Relatório GERAL'!$A:$T,$E$1,0),'Dados de consulta'!$A$2:$D$38,4,0)),""))</f>
        <v/>
      </c>
      <c r="O29" s="27">
        <v>42979</v>
      </c>
    </row>
    <row r="30" spans="1:25" ht="15" x14ac:dyDescent="0.2">
      <c r="A30" s="116">
        <f>'Relatório GERAL'!A30</f>
        <v>42153</v>
      </c>
      <c r="B30" s="116">
        <f t="shared" si="0"/>
        <v>42125</v>
      </c>
      <c r="C30" s="117" t="str">
        <f>'Relatório GERAL'!B30</f>
        <v>sex</v>
      </c>
      <c r="D30" s="18" t="str">
        <f>IF(OR(C30="SÁB",C30="DOM"),"",IFERROR(IF(VLOOKUP(VLOOKUP(A30,'Relatório GERAL'!$A:$T,$E$1,0),'Dados de consulta'!$A$2:$D$38,4,0)=0,"",VLOOKUP(VLOOKUP(A30,'Relatório GERAL'!$A:$T,$E$1,0),'Dados de consulta'!$A$2:$D$38,4,0)),""))</f>
        <v/>
      </c>
      <c r="O30" s="27">
        <v>43009</v>
      </c>
    </row>
    <row r="31" spans="1:25" ht="15" x14ac:dyDescent="0.2">
      <c r="A31" s="116">
        <f>'Relatório GERAL'!A31</f>
        <v>42154</v>
      </c>
      <c r="B31" s="116">
        <f t="shared" si="0"/>
        <v>42125</v>
      </c>
      <c r="C31" s="117" t="str">
        <f>'Relatório GERAL'!B31</f>
        <v>sáb</v>
      </c>
      <c r="D31" s="18" t="str">
        <f>IF(OR(C31="SÁB",C31="DOM"),"",IFERROR(IF(VLOOKUP(VLOOKUP(A31,'Relatório GERAL'!$A:$T,$E$1,0),'Dados de consulta'!$A$2:$D$38,4,0)=0,"",VLOOKUP(VLOOKUP(A31,'Relatório GERAL'!$A:$T,$E$1,0),'Dados de consulta'!$A$2:$D$38,4,0)),""))</f>
        <v/>
      </c>
      <c r="O31" s="27">
        <v>43040</v>
      </c>
    </row>
    <row r="32" spans="1:25" ht="15" x14ac:dyDescent="0.2">
      <c r="A32" s="116">
        <f>'Relatório GERAL'!A32</f>
        <v>42155</v>
      </c>
      <c r="B32" s="116">
        <f t="shared" si="0"/>
        <v>42125</v>
      </c>
      <c r="C32" s="117" t="str">
        <f>'Relatório GERAL'!B32</f>
        <v>dom</v>
      </c>
      <c r="D32" s="18" t="str">
        <f>IF(OR(C32="SÁB",C32="DOM"),"",IFERROR(IF(VLOOKUP(VLOOKUP(A32,'Relatório GERAL'!$A:$T,$E$1,0),'Dados de consulta'!$A$2:$D$38,4,0)=0,"",VLOOKUP(VLOOKUP(A32,'Relatório GERAL'!$A:$T,$E$1,0),'Dados de consulta'!$A$2:$D$38,4,0)),""))</f>
        <v/>
      </c>
      <c r="O32" s="27">
        <v>43070</v>
      </c>
    </row>
    <row r="33" spans="1:15" ht="15" x14ac:dyDescent="0.2">
      <c r="A33" s="116">
        <f>'Relatório GERAL'!A33</f>
        <v>42156</v>
      </c>
      <c r="B33" s="116">
        <f t="shared" si="0"/>
        <v>42156</v>
      </c>
      <c r="C33" s="117" t="str">
        <f>'Relatório GERAL'!B33</f>
        <v>seg</v>
      </c>
      <c r="D33" s="18" t="str">
        <f>IF(OR(C33="SÁB",C33="DOM"),"",IFERROR(IF(VLOOKUP(VLOOKUP(A33,'Relatório GERAL'!$A:$T,$E$1,0),'Dados de consulta'!$A$2:$D$38,4,0)=0,"",VLOOKUP(VLOOKUP(A33,'Relatório GERAL'!$A:$T,$E$1,0),'Dados de consulta'!$A$2:$D$38,4,0)),""))</f>
        <v/>
      </c>
      <c r="O33" s="27">
        <v>43101</v>
      </c>
    </row>
    <row r="34" spans="1:15" ht="15" x14ac:dyDescent="0.2">
      <c r="A34" s="116">
        <f>'Relatório GERAL'!A34</f>
        <v>42157</v>
      </c>
      <c r="B34" s="116">
        <f t="shared" si="0"/>
        <v>42156</v>
      </c>
      <c r="C34" s="117" t="str">
        <f>'Relatório GERAL'!B34</f>
        <v>ter</v>
      </c>
      <c r="D34" s="18" t="str">
        <f>IF(OR(C34="SÁB",C34="DOM"),"",IFERROR(IF(VLOOKUP(VLOOKUP(A34,'Relatório GERAL'!$A:$T,$E$1,0),'Dados de consulta'!$A$2:$D$38,4,0)=0,"",VLOOKUP(VLOOKUP(A34,'Relatório GERAL'!$A:$T,$E$1,0),'Dados de consulta'!$A$2:$D$38,4,0)),""))</f>
        <v/>
      </c>
      <c r="O34" s="27">
        <v>43132</v>
      </c>
    </row>
    <row r="35" spans="1:15" ht="15" x14ac:dyDescent="0.2">
      <c r="A35" s="116">
        <f>'Relatório GERAL'!A35</f>
        <v>42158</v>
      </c>
      <c r="B35" s="116">
        <f t="shared" si="0"/>
        <v>42156</v>
      </c>
      <c r="C35" s="117" t="str">
        <f>'Relatório GERAL'!B35</f>
        <v>qua</v>
      </c>
      <c r="D35" s="18" t="str">
        <f>IF(OR(C35="SÁB",C35="DOM"),"",IFERROR(IF(VLOOKUP(VLOOKUP(A35,'Relatório GERAL'!$A:$T,$E$1,0),'Dados de consulta'!$A$2:$D$38,4,0)=0,"",VLOOKUP(VLOOKUP(A35,'Relatório GERAL'!$A:$T,$E$1,0),'Dados de consulta'!$A$2:$D$38,4,0)),""))</f>
        <v/>
      </c>
      <c r="O35" s="27">
        <v>43160</v>
      </c>
    </row>
    <row r="36" spans="1:15" ht="15" x14ac:dyDescent="0.2">
      <c r="A36" s="116">
        <f>'Relatório GERAL'!A36</f>
        <v>42159</v>
      </c>
      <c r="B36" s="116">
        <f t="shared" si="0"/>
        <v>42156</v>
      </c>
      <c r="C36" s="117" t="str">
        <f>'Relatório GERAL'!B36</f>
        <v>qui</v>
      </c>
      <c r="D36" s="18" t="str">
        <f>IF(OR(C36="SÁB",C36="DOM"),"",IFERROR(IF(VLOOKUP(VLOOKUP(A36,'Relatório GERAL'!$A:$T,$E$1,0),'Dados de consulta'!$A$2:$D$38,4,0)=0,"",VLOOKUP(VLOOKUP(A36,'Relatório GERAL'!$A:$T,$E$1,0),'Dados de consulta'!$A$2:$D$38,4,0)),""))</f>
        <v/>
      </c>
      <c r="O36" s="27">
        <v>43191</v>
      </c>
    </row>
    <row r="37" spans="1:15" ht="15" x14ac:dyDescent="0.2">
      <c r="A37" s="116">
        <f>'Relatório GERAL'!A37</f>
        <v>42160</v>
      </c>
      <c r="B37" s="116">
        <f t="shared" si="0"/>
        <v>42156</v>
      </c>
      <c r="C37" s="117" t="str">
        <f>'Relatório GERAL'!B37</f>
        <v>sex</v>
      </c>
      <c r="D37" s="18" t="str">
        <f>IF(OR(C37="SÁB",C37="DOM"),"",IFERROR(IF(VLOOKUP(VLOOKUP(A37,'Relatório GERAL'!$A:$T,$E$1,0),'Dados de consulta'!$A$2:$D$38,4,0)=0,"",VLOOKUP(VLOOKUP(A37,'Relatório GERAL'!$A:$T,$E$1,0),'Dados de consulta'!$A$2:$D$38,4,0)),""))</f>
        <v/>
      </c>
      <c r="O37" s="27">
        <v>43221</v>
      </c>
    </row>
    <row r="38" spans="1:15" ht="15" x14ac:dyDescent="0.2">
      <c r="A38" s="116">
        <f>'Relatório GERAL'!A38</f>
        <v>42161</v>
      </c>
      <c r="B38" s="116">
        <f t="shared" si="0"/>
        <v>42156</v>
      </c>
      <c r="C38" s="117" t="str">
        <f>'Relatório GERAL'!B38</f>
        <v>sáb</v>
      </c>
      <c r="D38" s="18" t="str">
        <f>IF(OR(C38="SÁB",C38="DOM"),"",IFERROR(IF(VLOOKUP(VLOOKUP(A38,'Relatório GERAL'!$A:$T,$E$1,0),'Dados de consulta'!$A$2:$D$38,4,0)=0,"",VLOOKUP(VLOOKUP(A38,'Relatório GERAL'!$A:$T,$E$1,0),'Dados de consulta'!$A$2:$D$38,4,0)),""))</f>
        <v/>
      </c>
      <c r="O38" s="27">
        <v>43252</v>
      </c>
    </row>
    <row r="39" spans="1:15" ht="15" x14ac:dyDescent="0.2">
      <c r="A39" s="116">
        <f>'Relatório GERAL'!A39</f>
        <v>42162</v>
      </c>
      <c r="B39" s="116">
        <f t="shared" si="0"/>
        <v>42156</v>
      </c>
      <c r="C39" s="117" t="str">
        <f>'Relatório GERAL'!B39</f>
        <v>dom</v>
      </c>
      <c r="D39" s="18" t="str">
        <f>IF(OR(C39="SÁB",C39="DOM"),"",IFERROR(IF(VLOOKUP(VLOOKUP(A39,'Relatório GERAL'!$A:$T,$E$1,0),'Dados de consulta'!$A$2:$D$38,4,0)=0,"",VLOOKUP(VLOOKUP(A39,'Relatório GERAL'!$A:$T,$E$1,0),'Dados de consulta'!$A$2:$D$38,4,0)),""))</f>
        <v/>
      </c>
      <c r="O39" s="27">
        <v>43282</v>
      </c>
    </row>
    <row r="40" spans="1:15" ht="15" x14ac:dyDescent="0.2">
      <c r="A40" s="116">
        <f>'Relatório GERAL'!A40</f>
        <v>42163</v>
      </c>
      <c r="B40" s="116">
        <f t="shared" si="0"/>
        <v>42156</v>
      </c>
      <c r="C40" s="117" t="str">
        <f>'Relatório GERAL'!B40</f>
        <v>seg</v>
      </c>
      <c r="D40" s="18" t="str">
        <f>IF(OR(C40="SÁB",C40="DOM"),"",IFERROR(IF(VLOOKUP(VLOOKUP(A40,'Relatório GERAL'!$A:$T,$E$1,0),'Dados de consulta'!$A$2:$D$38,4,0)=0,"",VLOOKUP(VLOOKUP(A40,'Relatório GERAL'!$A:$T,$E$1,0),'Dados de consulta'!$A$2:$D$38,4,0)),""))</f>
        <v/>
      </c>
      <c r="O40" s="27">
        <v>43313</v>
      </c>
    </row>
    <row r="41" spans="1:15" ht="15" x14ac:dyDescent="0.2">
      <c r="A41" s="116">
        <f>'Relatório GERAL'!A41</f>
        <v>42164</v>
      </c>
      <c r="B41" s="116">
        <f t="shared" si="0"/>
        <v>42156</v>
      </c>
      <c r="C41" s="117" t="str">
        <f>'Relatório GERAL'!B41</f>
        <v>ter</v>
      </c>
      <c r="D41" s="18" t="str">
        <f>IF(OR(C41="SÁB",C41="DOM"),"",IFERROR(IF(VLOOKUP(VLOOKUP(A41,'Relatório GERAL'!$A:$T,$E$1,0),'Dados de consulta'!$A$2:$D$38,4,0)=0,"",VLOOKUP(VLOOKUP(A41,'Relatório GERAL'!$A:$T,$E$1,0),'Dados de consulta'!$A$2:$D$38,4,0)),""))</f>
        <v/>
      </c>
      <c r="O41" s="27">
        <v>43344</v>
      </c>
    </row>
    <row r="42" spans="1:15" ht="15" x14ac:dyDescent="0.2">
      <c r="A42" s="116">
        <f>'Relatório GERAL'!A42</f>
        <v>42165</v>
      </c>
      <c r="B42" s="116">
        <f t="shared" si="0"/>
        <v>42156</v>
      </c>
      <c r="C42" s="117" t="str">
        <f>'Relatório GERAL'!B42</f>
        <v>qua</v>
      </c>
      <c r="D42" s="18" t="str">
        <f>IF(OR(C42="SÁB",C42="DOM"),"",IFERROR(IF(VLOOKUP(VLOOKUP(A42,'Relatório GERAL'!$A:$T,$E$1,0),'Dados de consulta'!$A$2:$D$38,4,0)=0,"",VLOOKUP(VLOOKUP(A42,'Relatório GERAL'!$A:$T,$E$1,0),'Dados de consulta'!$A$2:$D$38,4,0)),""))</f>
        <v/>
      </c>
      <c r="O42" s="27">
        <v>43374</v>
      </c>
    </row>
    <row r="43" spans="1:15" ht="15" x14ac:dyDescent="0.2">
      <c r="A43" s="116">
        <f>'Relatório GERAL'!A43</f>
        <v>42166</v>
      </c>
      <c r="B43" s="116">
        <f t="shared" si="0"/>
        <v>42156</v>
      </c>
      <c r="C43" s="117" t="str">
        <f>'Relatório GERAL'!B43</f>
        <v>qui</v>
      </c>
      <c r="D43" s="18" t="str">
        <f>IF(OR(C43="SÁB",C43="DOM"),"",IFERROR(IF(VLOOKUP(VLOOKUP(A43,'Relatório GERAL'!$A:$T,$E$1,0),'Dados de consulta'!$A$2:$D$38,4,0)=0,"",VLOOKUP(VLOOKUP(A43,'Relatório GERAL'!$A:$T,$E$1,0),'Dados de consulta'!$A$2:$D$38,4,0)),""))</f>
        <v/>
      </c>
      <c r="O43" s="27">
        <v>43405</v>
      </c>
    </row>
    <row r="44" spans="1:15" ht="15" x14ac:dyDescent="0.2">
      <c r="A44" s="116">
        <f>'Relatório GERAL'!A44</f>
        <v>42167</v>
      </c>
      <c r="B44" s="116">
        <f t="shared" si="0"/>
        <v>42156</v>
      </c>
      <c r="C44" s="117" t="str">
        <f>'Relatório GERAL'!B44</f>
        <v>sex</v>
      </c>
      <c r="D44" s="18" t="str">
        <f>IF(OR(C44="SÁB",C44="DOM"),"",IFERROR(IF(VLOOKUP(VLOOKUP(A44,'Relatório GERAL'!$A:$T,$E$1,0),'Dados de consulta'!$A$2:$D$38,4,0)=0,"",VLOOKUP(VLOOKUP(A44,'Relatório GERAL'!$A:$T,$E$1,0),'Dados de consulta'!$A$2:$D$38,4,0)),""))</f>
        <v/>
      </c>
      <c r="O44" s="27">
        <v>43435</v>
      </c>
    </row>
    <row r="45" spans="1:15" ht="15" x14ac:dyDescent="0.2">
      <c r="A45" s="116">
        <f>'Relatório GERAL'!A45</f>
        <v>42168</v>
      </c>
      <c r="B45" s="116">
        <f t="shared" si="0"/>
        <v>42156</v>
      </c>
      <c r="C45" s="117" t="str">
        <f>'Relatório GERAL'!B45</f>
        <v>sáb</v>
      </c>
      <c r="D45" s="18" t="str">
        <f>IF(OR(C45="SÁB",C45="DOM"),"",IFERROR(IF(VLOOKUP(VLOOKUP(A45,'Relatório GERAL'!$A:$T,$E$1,0),'Dados de consulta'!$A$2:$D$38,4,0)=0,"",VLOOKUP(VLOOKUP(A45,'Relatório GERAL'!$A:$T,$E$1,0),'Dados de consulta'!$A$2:$D$38,4,0)),""))</f>
        <v/>
      </c>
      <c r="O45" s="27">
        <v>43466</v>
      </c>
    </row>
    <row r="46" spans="1:15" ht="15" x14ac:dyDescent="0.2">
      <c r="A46" s="116">
        <f>'Relatório GERAL'!A46</f>
        <v>42169</v>
      </c>
      <c r="B46" s="116">
        <f t="shared" si="0"/>
        <v>42156</v>
      </c>
      <c r="C46" s="117" t="str">
        <f>'Relatório GERAL'!B46</f>
        <v>dom</v>
      </c>
      <c r="D46" s="18" t="str">
        <f>IF(OR(C46="SÁB",C46="DOM"),"",IFERROR(IF(VLOOKUP(VLOOKUP(A46,'Relatório GERAL'!$A:$T,$E$1,0),'Dados de consulta'!$A$2:$D$38,4,0)=0,"",VLOOKUP(VLOOKUP(A46,'Relatório GERAL'!$A:$T,$E$1,0),'Dados de consulta'!$A$2:$D$38,4,0)),""))</f>
        <v/>
      </c>
      <c r="O46" s="27">
        <v>43497</v>
      </c>
    </row>
    <row r="47" spans="1:15" ht="15" x14ac:dyDescent="0.2">
      <c r="A47" s="116">
        <f>'Relatório GERAL'!A47</f>
        <v>42170</v>
      </c>
      <c r="B47" s="116">
        <f t="shared" si="0"/>
        <v>42156</v>
      </c>
      <c r="C47" s="117" t="str">
        <f>'Relatório GERAL'!B47</f>
        <v>seg</v>
      </c>
      <c r="D47" s="18" t="str">
        <f>IF(OR(C47="SÁB",C47="DOM"),"",IFERROR(IF(VLOOKUP(VLOOKUP(A47,'Relatório GERAL'!$A:$T,$E$1,0),'Dados de consulta'!$A$2:$D$38,4,0)=0,"",VLOOKUP(VLOOKUP(A47,'Relatório GERAL'!$A:$T,$E$1,0),'Dados de consulta'!$A$2:$D$38,4,0)),""))</f>
        <v/>
      </c>
      <c r="O47" s="27">
        <v>43525</v>
      </c>
    </row>
    <row r="48" spans="1:15" ht="15" x14ac:dyDescent="0.2">
      <c r="A48" s="116">
        <f>'Relatório GERAL'!A48</f>
        <v>42171</v>
      </c>
      <c r="B48" s="116">
        <f t="shared" si="0"/>
        <v>42156</v>
      </c>
      <c r="C48" s="117" t="str">
        <f>'Relatório GERAL'!B48</f>
        <v>ter</v>
      </c>
      <c r="D48" s="18" t="str">
        <f>IF(OR(C48="SÁB",C48="DOM"),"",IFERROR(IF(VLOOKUP(VLOOKUP(A48,'Relatório GERAL'!$A:$T,$E$1,0),'Dados de consulta'!$A$2:$D$38,4,0)=0,"",VLOOKUP(VLOOKUP(A48,'Relatório GERAL'!$A:$T,$E$1,0),'Dados de consulta'!$A$2:$D$38,4,0)),""))</f>
        <v/>
      </c>
      <c r="O48" s="27">
        <v>43556</v>
      </c>
    </row>
    <row r="49" spans="1:15" ht="15" x14ac:dyDescent="0.2">
      <c r="A49" s="116">
        <f>'Relatório GERAL'!A49</f>
        <v>42172</v>
      </c>
      <c r="B49" s="116">
        <f t="shared" si="0"/>
        <v>42156</v>
      </c>
      <c r="C49" s="117" t="str">
        <f>'Relatório GERAL'!B49</f>
        <v>qua</v>
      </c>
      <c r="D49" s="18" t="str">
        <f>IF(OR(C49="SÁB",C49="DOM"),"",IFERROR(IF(VLOOKUP(VLOOKUP(A49,'Relatório GERAL'!$A:$T,$E$1,0),'Dados de consulta'!$A$2:$D$38,4,0)=0,"",VLOOKUP(VLOOKUP(A49,'Relatório GERAL'!$A:$T,$E$1,0),'Dados de consulta'!$A$2:$D$38,4,0)),""))</f>
        <v/>
      </c>
      <c r="O49" s="27">
        <v>43586</v>
      </c>
    </row>
    <row r="50" spans="1:15" ht="15" x14ac:dyDescent="0.2">
      <c r="A50" s="116">
        <f>'Relatório GERAL'!A50</f>
        <v>42173</v>
      </c>
      <c r="B50" s="116">
        <f t="shared" si="0"/>
        <v>42156</v>
      </c>
      <c r="C50" s="117" t="str">
        <f>'Relatório GERAL'!B50</f>
        <v>qui</v>
      </c>
      <c r="D50" s="18" t="str">
        <f>IF(OR(C50="SÁB",C50="DOM"),"",IFERROR(IF(VLOOKUP(VLOOKUP(A50,'Relatório GERAL'!$A:$T,$E$1,0),'Dados de consulta'!$A$2:$D$38,4,0)=0,"",VLOOKUP(VLOOKUP(A50,'Relatório GERAL'!$A:$T,$E$1,0),'Dados de consulta'!$A$2:$D$38,4,0)),""))</f>
        <v/>
      </c>
      <c r="O50" s="27">
        <v>43617</v>
      </c>
    </row>
    <row r="51" spans="1:15" ht="15" x14ac:dyDescent="0.2">
      <c r="A51" s="116">
        <f>'Relatório GERAL'!A51</f>
        <v>42174</v>
      </c>
      <c r="B51" s="116">
        <f t="shared" si="0"/>
        <v>42156</v>
      </c>
      <c r="C51" s="117" t="str">
        <f>'Relatório GERAL'!B51</f>
        <v>sex</v>
      </c>
      <c r="D51" s="18" t="str">
        <f>IF(OR(C51="SÁB",C51="DOM"),"",IFERROR(IF(VLOOKUP(VLOOKUP(A51,'Relatório GERAL'!$A:$T,$E$1,0),'Dados de consulta'!$A$2:$D$38,4,0)=0,"",VLOOKUP(VLOOKUP(A51,'Relatório GERAL'!$A:$T,$E$1,0),'Dados de consulta'!$A$2:$D$38,4,0)),""))</f>
        <v/>
      </c>
      <c r="O51" s="27">
        <v>43647</v>
      </c>
    </row>
    <row r="52" spans="1:15" ht="15" x14ac:dyDescent="0.2">
      <c r="A52" s="116">
        <f>'Relatório GERAL'!A52</f>
        <v>42175</v>
      </c>
      <c r="B52" s="116">
        <f t="shared" si="0"/>
        <v>42156</v>
      </c>
      <c r="C52" s="117" t="str">
        <f>'Relatório GERAL'!B52</f>
        <v>sáb</v>
      </c>
      <c r="D52" s="18" t="str">
        <f>IF(OR(C52="SÁB",C52="DOM"),"",IFERROR(IF(VLOOKUP(VLOOKUP(A52,'Relatório GERAL'!$A:$T,$E$1,0),'Dados de consulta'!$A$2:$D$38,4,0)=0,"",VLOOKUP(VLOOKUP(A52,'Relatório GERAL'!$A:$T,$E$1,0),'Dados de consulta'!$A$2:$D$38,4,0)),""))</f>
        <v/>
      </c>
      <c r="O52" s="27">
        <v>43678</v>
      </c>
    </row>
    <row r="53" spans="1:15" ht="15" x14ac:dyDescent="0.2">
      <c r="A53" s="116">
        <f>'Relatório GERAL'!A53</f>
        <v>42176</v>
      </c>
      <c r="B53" s="116">
        <f t="shared" si="0"/>
        <v>42156</v>
      </c>
      <c r="C53" s="117" t="str">
        <f>'Relatório GERAL'!B53</f>
        <v>dom</v>
      </c>
      <c r="D53" s="18" t="str">
        <f>IF(OR(C53="SÁB",C53="DOM"),"",IFERROR(IF(VLOOKUP(VLOOKUP(A53,'Relatório GERAL'!$A:$T,$E$1,0),'Dados de consulta'!$A$2:$D$38,4,0)=0,"",VLOOKUP(VLOOKUP(A53,'Relatório GERAL'!$A:$T,$E$1,0),'Dados de consulta'!$A$2:$D$38,4,0)),""))</f>
        <v/>
      </c>
      <c r="O53" s="27">
        <v>43709</v>
      </c>
    </row>
    <row r="54" spans="1:15" ht="15" x14ac:dyDescent="0.2">
      <c r="A54" s="116">
        <f>'Relatório GERAL'!A54</f>
        <v>42177</v>
      </c>
      <c r="B54" s="116">
        <f t="shared" si="0"/>
        <v>42156</v>
      </c>
      <c r="C54" s="117" t="str">
        <f>'Relatório GERAL'!B54</f>
        <v>seg</v>
      </c>
      <c r="D54" s="18" t="str">
        <f>IF(OR(C54="SÁB",C54="DOM"),"",IFERROR(IF(VLOOKUP(VLOOKUP(A54,'Relatório GERAL'!$A:$T,$E$1,0),'Dados de consulta'!$A$2:$D$38,4,0)=0,"",VLOOKUP(VLOOKUP(A54,'Relatório GERAL'!$A:$T,$E$1,0),'Dados de consulta'!$A$2:$D$38,4,0)),""))</f>
        <v/>
      </c>
      <c r="O54" s="27">
        <v>43739</v>
      </c>
    </row>
    <row r="55" spans="1:15" ht="15" x14ac:dyDescent="0.2">
      <c r="A55" s="116">
        <f>'Relatório GERAL'!A55</f>
        <v>42178</v>
      </c>
      <c r="B55" s="116">
        <f t="shared" si="0"/>
        <v>42156</v>
      </c>
      <c r="C55" s="117" t="str">
        <f>'Relatório GERAL'!B55</f>
        <v>ter</v>
      </c>
      <c r="D55" s="18" t="str">
        <f>IF(OR(C55="SÁB",C55="DOM"),"",IFERROR(IF(VLOOKUP(VLOOKUP(A55,'Relatório GERAL'!$A:$T,$E$1,0),'Dados de consulta'!$A$2:$D$38,4,0)=0,"",VLOOKUP(VLOOKUP(A55,'Relatório GERAL'!$A:$T,$E$1,0),'Dados de consulta'!$A$2:$D$38,4,0)),""))</f>
        <v/>
      </c>
      <c r="O55" s="27">
        <v>43770</v>
      </c>
    </row>
    <row r="56" spans="1:15" ht="15" x14ac:dyDescent="0.2">
      <c r="A56" s="116">
        <f>'Relatório GERAL'!A56</f>
        <v>42179</v>
      </c>
      <c r="B56" s="116">
        <f t="shared" si="0"/>
        <v>42156</v>
      </c>
      <c r="C56" s="117" t="str">
        <f>'Relatório GERAL'!B56</f>
        <v>qua</v>
      </c>
      <c r="D56" s="18">
        <f>IF(OR(C56="SÁB",C56="DOM"),"",IFERROR(IF(VLOOKUP(VLOOKUP(A56,'Relatório GERAL'!$A:$T,$E$1,0),'Dados de consulta'!$A$2:$D$38,4,0)=0,"",VLOOKUP(VLOOKUP(A56,'Relatório GERAL'!$A:$T,$E$1,0),'Dados de consulta'!$A$2:$D$38,4,0)),""))</f>
        <v>4</v>
      </c>
      <c r="O56" s="27">
        <v>43800</v>
      </c>
    </row>
    <row r="57" spans="1:15" ht="15" x14ac:dyDescent="0.2">
      <c r="A57" s="116">
        <f>'Relatório GERAL'!A57</f>
        <v>42180</v>
      </c>
      <c r="B57" s="116">
        <f t="shared" si="0"/>
        <v>42156</v>
      </c>
      <c r="C57" s="117" t="str">
        <f>'Relatório GERAL'!B57</f>
        <v>qui</v>
      </c>
      <c r="D57" s="18" t="str">
        <f>IF(OR(C57="SÁB",C57="DOM"),"",IFERROR(IF(VLOOKUP(VLOOKUP(A57,'Relatório GERAL'!$A:$T,$E$1,0),'Dados de consulta'!$A$2:$D$38,4,0)=0,"",VLOOKUP(VLOOKUP(A57,'Relatório GERAL'!$A:$T,$E$1,0),'Dados de consulta'!$A$2:$D$38,4,0)),""))</f>
        <v/>
      </c>
      <c r="O57" s="27">
        <v>43831</v>
      </c>
    </row>
    <row r="58" spans="1:15" ht="15" x14ac:dyDescent="0.2">
      <c r="A58" s="116">
        <f>'Relatório GERAL'!A58</f>
        <v>42181</v>
      </c>
      <c r="B58" s="116">
        <f t="shared" si="0"/>
        <v>42156</v>
      </c>
      <c r="C58" s="117" t="str">
        <f>'Relatório GERAL'!B58</f>
        <v>sex</v>
      </c>
      <c r="D58" s="18" t="str">
        <f>IF(OR(C58="SÁB",C58="DOM"),"",IFERROR(IF(VLOOKUP(VLOOKUP(A58,'Relatório GERAL'!$A:$T,$E$1,0),'Dados de consulta'!$A$2:$D$38,4,0)=0,"",VLOOKUP(VLOOKUP(A58,'Relatório GERAL'!$A:$T,$E$1,0),'Dados de consulta'!$A$2:$D$38,4,0)),""))</f>
        <v/>
      </c>
      <c r="O58" s="27">
        <v>43862</v>
      </c>
    </row>
    <row r="59" spans="1:15" ht="15" x14ac:dyDescent="0.2">
      <c r="A59" s="116">
        <f>'Relatório GERAL'!A59</f>
        <v>42182</v>
      </c>
      <c r="B59" s="116">
        <f t="shared" si="0"/>
        <v>42156</v>
      </c>
      <c r="C59" s="117" t="str">
        <f>'Relatório GERAL'!B59</f>
        <v>sáb</v>
      </c>
      <c r="D59" s="18" t="str">
        <f>IF(OR(C59="SÁB",C59="DOM"),"",IFERROR(IF(VLOOKUP(VLOOKUP(A59,'Relatório GERAL'!$A:$T,$E$1,0),'Dados de consulta'!$A$2:$D$38,4,0)=0,"",VLOOKUP(VLOOKUP(A59,'Relatório GERAL'!$A:$T,$E$1,0),'Dados de consulta'!$A$2:$D$38,4,0)),""))</f>
        <v/>
      </c>
      <c r="O59" s="27">
        <v>43891</v>
      </c>
    </row>
    <row r="60" spans="1:15" ht="15" x14ac:dyDescent="0.2">
      <c r="A60" s="116">
        <f>'Relatório GERAL'!A60</f>
        <v>42183</v>
      </c>
      <c r="B60" s="116">
        <f t="shared" si="0"/>
        <v>42156</v>
      </c>
      <c r="C60" s="117" t="str">
        <f>'Relatório GERAL'!B60</f>
        <v>dom</v>
      </c>
      <c r="D60" s="18" t="str">
        <f>IF(OR(C60="SÁB",C60="DOM"),"",IFERROR(IF(VLOOKUP(VLOOKUP(A60,'Relatório GERAL'!$A:$T,$E$1,0),'Dados de consulta'!$A$2:$D$38,4,0)=0,"",VLOOKUP(VLOOKUP(A60,'Relatório GERAL'!$A:$T,$E$1,0),'Dados de consulta'!$A$2:$D$38,4,0)),""))</f>
        <v/>
      </c>
      <c r="O60" s="27">
        <v>43922</v>
      </c>
    </row>
    <row r="61" spans="1:15" ht="15" x14ac:dyDescent="0.2">
      <c r="A61" s="116">
        <f>'Relatório GERAL'!A61</f>
        <v>42184</v>
      </c>
      <c r="B61" s="116">
        <f t="shared" si="0"/>
        <v>42156</v>
      </c>
      <c r="C61" s="117" t="str">
        <f>'Relatório GERAL'!B61</f>
        <v>seg</v>
      </c>
      <c r="D61" s="18" t="str">
        <f>IF(OR(C61="SÁB",C61="DOM"),"",IFERROR(IF(VLOOKUP(VLOOKUP(A61,'Relatório GERAL'!$A:$T,$E$1,0),'Dados de consulta'!$A$2:$D$38,4,0)=0,"",VLOOKUP(VLOOKUP(A61,'Relatório GERAL'!$A:$T,$E$1,0),'Dados de consulta'!$A$2:$D$38,4,0)),""))</f>
        <v/>
      </c>
      <c r="O61" s="27">
        <v>43952</v>
      </c>
    </row>
    <row r="62" spans="1:15" ht="15" x14ac:dyDescent="0.2">
      <c r="A62" s="116">
        <f>'Relatório GERAL'!A62</f>
        <v>42185</v>
      </c>
      <c r="B62" s="116">
        <f t="shared" si="0"/>
        <v>42156</v>
      </c>
      <c r="C62" s="117" t="str">
        <f>'Relatório GERAL'!B62</f>
        <v>ter</v>
      </c>
      <c r="D62" s="18" t="str">
        <f>IF(OR(C62="SÁB",C62="DOM"),"",IFERROR(IF(VLOOKUP(VLOOKUP(A62,'Relatório GERAL'!$A:$T,$E$1,0),'Dados de consulta'!$A$2:$D$38,4,0)=0,"",VLOOKUP(VLOOKUP(A62,'Relatório GERAL'!$A:$T,$E$1,0),'Dados de consulta'!$A$2:$D$38,4,0)),""))</f>
        <v/>
      </c>
      <c r="O62" s="27">
        <v>43983</v>
      </c>
    </row>
    <row r="63" spans="1:15" ht="15" x14ac:dyDescent="0.2">
      <c r="A63" s="116">
        <f>'Relatório GERAL'!A63</f>
        <v>42186</v>
      </c>
      <c r="B63" s="116">
        <f t="shared" si="0"/>
        <v>42186</v>
      </c>
      <c r="C63" s="117" t="str">
        <f>'Relatório GERAL'!B63</f>
        <v>qua</v>
      </c>
      <c r="D63" s="18" t="str">
        <f>IF(OR(C63="SÁB",C63="DOM"),"",IFERROR(IF(VLOOKUP(VLOOKUP(A63,'Relatório GERAL'!$A:$T,$E$1,0),'Dados de consulta'!$A$2:$D$38,4,0)=0,"",VLOOKUP(VLOOKUP(A63,'Relatório GERAL'!$A:$T,$E$1,0),'Dados de consulta'!$A$2:$D$38,4,0)),""))</f>
        <v/>
      </c>
      <c r="O63" s="27">
        <v>44013</v>
      </c>
    </row>
    <row r="64" spans="1:15" ht="15" x14ac:dyDescent="0.2">
      <c r="A64" s="116">
        <f>'Relatório GERAL'!A64</f>
        <v>42187</v>
      </c>
      <c r="B64" s="116">
        <f t="shared" si="0"/>
        <v>42186</v>
      </c>
      <c r="C64" s="117" t="str">
        <f>'Relatório GERAL'!B64</f>
        <v>qui</v>
      </c>
      <c r="D64" s="18" t="str">
        <f>IF(OR(C64="SÁB",C64="DOM"),"",IFERROR(IF(VLOOKUP(VLOOKUP(A64,'Relatório GERAL'!$A:$T,$E$1,0),'Dados de consulta'!$A$2:$D$38,4,0)=0,"",VLOOKUP(VLOOKUP(A64,'Relatório GERAL'!$A:$T,$E$1,0),'Dados de consulta'!$A$2:$D$38,4,0)),""))</f>
        <v/>
      </c>
      <c r="O64" s="27">
        <v>44044</v>
      </c>
    </row>
    <row r="65" spans="1:15" ht="15" x14ac:dyDescent="0.2">
      <c r="A65" s="116">
        <f>'Relatório GERAL'!A65</f>
        <v>42188</v>
      </c>
      <c r="B65" s="116">
        <f t="shared" si="0"/>
        <v>42186</v>
      </c>
      <c r="C65" s="117" t="str">
        <f>'Relatório GERAL'!B65</f>
        <v>sex</v>
      </c>
      <c r="D65" s="18" t="str">
        <f>IF(OR(C65="SÁB",C65="DOM"),"",IFERROR(IF(VLOOKUP(VLOOKUP(A65,'Relatório GERAL'!$A:$T,$E$1,0),'Dados de consulta'!$A$2:$D$38,4,0)=0,"",VLOOKUP(VLOOKUP(A65,'Relatório GERAL'!$A:$T,$E$1,0),'Dados de consulta'!$A$2:$D$38,4,0)),""))</f>
        <v/>
      </c>
      <c r="O65" s="27">
        <v>44075</v>
      </c>
    </row>
    <row r="66" spans="1:15" ht="15" x14ac:dyDescent="0.2">
      <c r="A66" s="116">
        <f>'Relatório GERAL'!A66</f>
        <v>42189</v>
      </c>
      <c r="B66" s="116">
        <f t="shared" si="0"/>
        <v>42186</v>
      </c>
      <c r="C66" s="117" t="str">
        <f>'Relatório GERAL'!B66</f>
        <v>sáb</v>
      </c>
      <c r="D66" s="18" t="str">
        <f>IF(OR(C66="SÁB",C66="DOM"),"",IFERROR(IF(VLOOKUP(VLOOKUP(A66,'Relatório GERAL'!$A:$T,$E$1,0),'Dados de consulta'!$A$2:$D$38,4,0)=0,"",VLOOKUP(VLOOKUP(A66,'Relatório GERAL'!$A:$T,$E$1,0),'Dados de consulta'!$A$2:$D$38,4,0)),""))</f>
        <v/>
      </c>
      <c r="O66" s="27">
        <v>44105</v>
      </c>
    </row>
    <row r="67" spans="1:15" ht="15" x14ac:dyDescent="0.2">
      <c r="A67" s="116">
        <f>'Relatório GERAL'!A67</f>
        <v>42190</v>
      </c>
      <c r="B67" s="116">
        <f t="shared" ref="B67:B130" si="11">DATEVALUE(CONCATENATE("01/",TEXT(A67,"mm/aaaa")))</f>
        <v>42186</v>
      </c>
      <c r="C67" s="117" t="str">
        <f>'Relatório GERAL'!B67</f>
        <v>dom</v>
      </c>
      <c r="D67" s="18" t="str">
        <f>IF(OR(C67="SÁB",C67="DOM"),"",IFERROR(IF(VLOOKUP(VLOOKUP(A67,'Relatório GERAL'!$A:$T,$E$1,0),'Dados de consulta'!$A$2:$D$38,4,0)=0,"",VLOOKUP(VLOOKUP(A67,'Relatório GERAL'!$A:$T,$E$1,0),'Dados de consulta'!$A$2:$D$38,4,0)),""))</f>
        <v/>
      </c>
      <c r="O67" s="27">
        <v>44136</v>
      </c>
    </row>
    <row r="68" spans="1:15" ht="15" x14ac:dyDescent="0.2">
      <c r="A68" s="116">
        <f>'Relatório GERAL'!A68</f>
        <v>42191</v>
      </c>
      <c r="B68" s="116">
        <f t="shared" si="11"/>
        <v>42186</v>
      </c>
      <c r="C68" s="117" t="str">
        <f>'Relatório GERAL'!B68</f>
        <v>seg</v>
      </c>
      <c r="D68" s="18" t="str">
        <f>IF(OR(C68="SÁB",C68="DOM"),"",IFERROR(IF(VLOOKUP(VLOOKUP(A68,'Relatório GERAL'!$A:$T,$E$1,0),'Dados de consulta'!$A$2:$D$38,4,0)=0,"",VLOOKUP(VLOOKUP(A68,'Relatório GERAL'!$A:$T,$E$1,0),'Dados de consulta'!$A$2:$D$38,4,0)),""))</f>
        <v/>
      </c>
      <c r="O68" s="27">
        <v>44166</v>
      </c>
    </row>
    <row r="69" spans="1:15" ht="15" x14ac:dyDescent="0.2">
      <c r="A69" s="116">
        <f>'Relatório GERAL'!A69</f>
        <v>42192</v>
      </c>
      <c r="B69" s="116">
        <f t="shared" si="11"/>
        <v>42186</v>
      </c>
      <c r="C69" s="117" t="str">
        <f>'Relatório GERAL'!B69</f>
        <v>ter</v>
      </c>
      <c r="D69" s="18" t="str">
        <f>IF(OR(C69="SÁB",C69="DOM"),"",IFERROR(IF(VLOOKUP(VLOOKUP(A69,'Relatório GERAL'!$A:$T,$E$1,0),'Dados de consulta'!$A$2:$D$38,4,0)=0,"",VLOOKUP(VLOOKUP(A69,'Relatório GERAL'!$A:$T,$E$1,0),'Dados de consulta'!$A$2:$D$38,4,0)),""))</f>
        <v/>
      </c>
      <c r="O69" s="27">
        <v>44197</v>
      </c>
    </row>
    <row r="70" spans="1:15" ht="15" x14ac:dyDescent="0.2">
      <c r="A70" s="116">
        <f>'Relatório GERAL'!A70</f>
        <v>42193</v>
      </c>
      <c r="B70" s="116">
        <f t="shared" si="11"/>
        <v>42186</v>
      </c>
      <c r="C70" s="117" t="str">
        <f>'Relatório GERAL'!B70</f>
        <v>qua</v>
      </c>
      <c r="D70" s="18" t="str">
        <f>IF(OR(C70="SÁB",C70="DOM"),"",IFERROR(IF(VLOOKUP(VLOOKUP(A70,'Relatório GERAL'!$A:$T,$E$1,0),'Dados de consulta'!$A$2:$D$38,4,0)=0,"",VLOOKUP(VLOOKUP(A70,'Relatório GERAL'!$A:$T,$E$1,0),'Dados de consulta'!$A$2:$D$38,4,0)),""))</f>
        <v/>
      </c>
      <c r="O70" s="27">
        <v>44228</v>
      </c>
    </row>
    <row r="71" spans="1:15" ht="15" x14ac:dyDescent="0.2">
      <c r="A71" s="116">
        <f>'Relatório GERAL'!A71</f>
        <v>42194</v>
      </c>
      <c r="B71" s="116">
        <f t="shared" si="11"/>
        <v>42186</v>
      </c>
      <c r="C71" s="117" t="str">
        <f>'Relatório GERAL'!B71</f>
        <v>qui</v>
      </c>
      <c r="D71" s="18" t="str">
        <f>IF(OR(C71="SÁB",C71="DOM"),"",IFERROR(IF(VLOOKUP(VLOOKUP(A71,'Relatório GERAL'!$A:$T,$E$1,0),'Dados de consulta'!$A$2:$D$38,4,0)=0,"",VLOOKUP(VLOOKUP(A71,'Relatório GERAL'!$A:$T,$E$1,0),'Dados de consulta'!$A$2:$D$38,4,0)),""))</f>
        <v/>
      </c>
      <c r="O71" s="27">
        <v>44256</v>
      </c>
    </row>
    <row r="72" spans="1:15" ht="15" x14ac:dyDescent="0.2">
      <c r="A72" s="116">
        <f>'Relatório GERAL'!A72</f>
        <v>42195</v>
      </c>
      <c r="B72" s="116">
        <f t="shared" si="11"/>
        <v>42186</v>
      </c>
      <c r="C72" s="117" t="str">
        <f>'Relatório GERAL'!B72</f>
        <v>sex</v>
      </c>
      <c r="D72" s="18" t="str">
        <f>IF(OR(C72="SÁB",C72="DOM"),"",IFERROR(IF(VLOOKUP(VLOOKUP(A72,'Relatório GERAL'!$A:$T,$E$1,0),'Dados de consulta'!$A$2:$D$38,4,0)=0,"",VLOOKUP(VLOOKUP(A72,'Relatório GERAL'!$A:$T,$E$1,0),'Dados de consulta'!$A$2:$D$38,4,0)),""))</f>
        <v/>
      </c>
      <c r="O72" s="27">
        <v>44287</v>
      </c>
    </row>
    <row r="73" spans="1:15" ht="15" x14ac:dyDescent="0.2">
      <c r="A73" s="116">
        <f>'Relatório GERAL'!A73</f>
        <v>42196</v>
      </c>
      <c r="B73" s="116">
        <f t="shared" si="11"/>
        <v>42186</v>
      </c>
      <c r="C73" s="117" t="str">
        <f>'Relatório GERAL'!B73</f>
        <v>sáb</v>
      </c>
      <c r="D73" s="18" t="str">
        <f>IF(OR(C73="SÁB",C73="DOM"),"",IFERROR(IF(VLOOKUP(VLOOKUP(A73,'Relatório GERAL'!$A:$T,$E$1,0),'Dados de consulta'!$A$2:$D$38,4,0)=0,"",VLOOKUP(VLOOKUP(A73,'Relatório GERAL'!$A:$T,$E$1,0),'Dados de consulta'!$A$2:$D$38,4,0)),""))</f>
        <v/>
      </c>
      <c r="O73" s="27">
        <v>44317</v>
      </c>
    </row>
    <row r="74" spans="1:15" ht="15" x14ac:dyDescent="0.2">
      <c r="A74" s="116">
        <f>'Relatório GERAL'!A74</f>
        <v>42197</v>
      </c>
      <c r="B74" s="116">
        <f t="shared" si="11"/>
        <v>42186</v>
      </c>
      <c r="C74" s="117" t="str">
        <f>'Relatório GERAL'!B74</f>
        <v>dom</v>
      </c>
      <c r="D74" s="18" t="str">
        <f>IF(OR(C74="SÁB",C74="DOM"),"",IFERROR(IF(VLOOKUP(VLOOKUP(A74,'Relatório GERAL'!$A:$T,$E$1,0),'Dados de consulta'!$A$2:$D$38,4,0)=0,"",VLOOKUP(VLOOKUP(A74,'Relatório GERAL'!$A:$T,$E$1,0),'Dados de consulta'!$A$2:$D$38,4,0)),""))</f>
        <v/>
      </c>
      <c r="O74" s="27">
        <v>44348</v>
      </c>
    </row>
    <row r="75" spans="1:15" ht="15" x14ac:dyDescent="0.2">
      <c r="A75" s="116">
        <f>'Relatório GERAL'!A75</f>
        <v>42198</v>
      </c>
      <c r="B75" s="116">
        <f t="shared" si="11"/>
        <v>42186</v>
      </c>
      <c r="C75" s="117" t="str">
        <f>'Relatório GERAL'!B75</f>
        <v>seg</v>
      </c>
      <c r="D75" s="18" t="str">
        <f>IF(OR(C75="SÁB",C75="DOM"),"",IFERROR(IF(VLOOKUP(VLOOKUP(A75,'Relatório GERAL'!$A:$T,$E$1,0),'Dados de consulta'!$A$2:$D$38,4,0)=0,"",VLOOKUP(VLOOKUP(A75,'Relatório GERAL'!$A:$T,$E$1,0),'Dados de consulta'!$A$2:$D$38,4,0)),""))</f>
        <v/>
      </c>
      <c r="O75" s="27">
        <v>44378</v>
      </c>
    </row>
    <row r="76" spans="1:15" ht="15" x14ac:dyDescent="0.2">
      <c r="A76" s="116">
        <f>'Relatório GERAL'!A76</f>
        <v>42199</v>
      </c>
      <c r="B76" s="116">
        <f t="shared" si="11"/>
        <v>42186</v>
      </c>
      <c r="C76" s="117" t="str">
        <f>'Relatório GERAL'!B76</f>
        <v>ter</v>
      </c>
      <c r="D76" s="18" t="str">
        <f>IF(OR(C76="SÁB",C76="DOM"),"",IFERROR(IF(VLOOKUP(VLOOKUP(A76,'Relatório GERAL'!$A:$T,$E$1,0),'Dados de consulta'!$A$2:$D$38,4,0)=0,"",VLOOKUP(VLOOKUP(A76,'Relatório GERAL'!$A:$T,$E$1,0),'Dados de consulta'!$A$2:$D$38,4,0)),""))</f>
        <v/>
      </c>
      <c r="O76" s="27">
        <v>44409</v>
      </c>
    </row>
    <row r="77" spans="1:15" ht="15" x14ac:dyDescent="0.2">
      <c r="A77" s="116">
        <f>'Relatório GERAL'!A77</f>
        <v>42200</v>
      </c>
      <c r="B77" s="116">
        <f t="shared" si="11"/>
        <v>42186</v>
      </c>
      <c r="C77" s="117" t="str">
        <f>'Relatório GERAL'!B77</f>
        <v>qua</v>
      </c>
      <c r="D77" s="18" t="str">
        <f>IF(OR(C77="SÁB",C77="DOM"),"",IFERROR(IF(VLOOKUP(VLOOKUP(A77,'Relatório GERAL'!$A:$T,$E$1,0),'Dados de consulta'!$A$2:$D$38,4,0)=0,"",VLOOKUP(VLOOKUP(A77,'Relatório GERAL'!$A:$T,$E$1,0),'Dados de consulta'!$A$2:$D$38,4,0)),""))</f>
        <v/>
      </c>
      <c r="O77" s="27">
        <v>44440</v>
      </c>
    </row>
    <row r="78" spans="1:15" ht="15" x14ac:dyDescent="0.2">
      <c r="A78" s="116">
        <f>'Relatório GERAL'!A78</f>
        <v>42201</v>
      </c>
      <c r="B78" s="116">
        <f t="shared" si="11"/>
        <v>42186</v>
      </c>
      <c r="C78" s="117" t="str">
        <f>'Relatório GERAL'!B78</f>
        <v>qui</v>
      </c>
      <c r="D78" s="18" t="str">
        <f>IF(OR(C78="SÁB",C78="DOM"),"",IFERROR(IF(VLOOKUP(VLOOKUP(A78,'Relatório GERAL'!$A:$T,$E$1,0),'Dados de consulta'!$A$2:$D$38,4,0)=0,"",VLOOKUP(VLOOKUP(A78,'Relatório GERAL'!$A:$T,$E$1,0),'Dados de consulta'!$A$2:$D$38,4,0)),""))</f>
        <v/>
      </c>
      <c r="O78" s="27">
        <v>44470</v>
      </c>
    </row>
    <row r="79" spans="1:15" ht="15" x14ac:dyDescent="0.2">
      <c r="A79" s="116">
        <f>'Relatório GERAL'!A79</f>
        <v>42202</v>
      </c>
      <c r="B79" s="116">
        <f t="shared" si="11"/>
        <v>42186</v>
      </c>
      <c r="C79" s="117" t="str">
        <f>'Relatório GERAL'!B79</f>
        <v>sex</v>
      </c>
      <c r="D79" s="18" t="str">
        <f>IF(OR(C79="SÁB",C79="DOM"),"",IFERROR(IF(VLOOKUP(VLOOKUP(A79,'Relatório GERAL'!$A:$T,$E$1,0),'Dados de consulta'!$A$2:$D$38,4,0)=0,"",VLOOKUP(VLOOKUP(A79,'Relatório GERAL'!$A:$T,$E$1,0),'Dados de consulta'!$A$2:$D$38,4,0)),""))</f>
        <v/>
      </c>
      <c r="O79" s="27">
        <v>44501</v>
      </c>
    </row>
    <row r="80" spans="1:15" ht="15" x14ac:dyDescent="0.2">
      <c r="A80" s="116">
        <f>'Relatório GERAL'!A80</f>
        <v>42203</v>
      </c>
      <c r="B80" s="116">
        <f t="shared" si="11"/>
        <v>42186</v>
      </c>
      <c r="C80" s="117" t="str">
        <f>'Relatório GERAL'!B80</f>
        <v>sáb</v>
      </c>
      <c r="D80" s="18" t="str">
        <f>IF(OR(C80="SÁB",C80="DOM"),"",IFERROR(IF(VLOOKUP(VLOOKUP(A80,'Relatório GERAL'!$A:$T,$E$1,0),'Dados de consulta'!$A$2:$D$38,4,0)=0,"",VLOOKUP(VLOOKUP(A80,'Relatório GERAL'!$A:$T,$E$1,0),'Dados de consulta'!$A$2:$D$38,4,0)),""))</f>
        <v/>
      </c>
      <c r="O80" s="27">
        <v>44531</v>
      </c>
    </row>
    <row r="81" spans="1:15" ht="15" x14ac:dyDescent="0.2">
      <c r="A81" s="116">
        <f>'Relatório GERAL'!A81</f>
        <v>42204</v>
      </c>
      <c r="B81" s="116">
        <f t="shared" si="11"/>
        <v>42186</v>
      </c>
      <c r="C81" s="117" t="str">
        <f>'Relatório GERAL'!B81</f>
        <v>dom</v>
      </c>
      <c r="D81" s="18" t="str">
        <f>IF(OR(C81="SÁB",C81="DOM"),"",IFERROR(IF(VLOOKUP(VLOOKUP(A81,'Relatório GERAL'!$A:$T,$E$1,0),'Dados de consulta'!$A$2:$D$38,4,0)=0,"",VLOOKUP(VLOOKUP(A81,'Relatório GERAL'!$A:$T,$E$1,0),'Dados de consulta'!$A$2:$D$38,4,0)),""))</f>
        <v/>
      </c>
      <c r="O81" s="27">
        <v>44562</v>
      </c>
    </row>
    <row r="82" spans="1:15" ht="15" x14ac:dyDescent="0.2">
      <c r="A82" s="116">
        <f>'Relatório GERAL'!A82</f>
        <v>42205</v>
      </c>
      <c r="B82" s="116">
        <f t="shared" si="11"/>
        <v>42186</v>
      </c>
      <c r="C82" s="117" t="str">
        <f>'Relatório GERAL'!B82</f>
        <v>seg</v>
      </c>
      <c r="D82" s="18" t="str">
        <f>IF(OR(C82="SÁB",C82="DOM"),"",IFERROR(IF(VLOOKUP(VLOOKUP(A82,'Relatório GERAL'!$A:$T,$E$1,0),'Dados de consulta'!$A$2:$D$38,4,0)=0,"",VLOOKUP(VLOOKUP(A82,'Relatório GERAL'!$A:$T,$E$1,0),'Dados de consulta'!$A$2:$D$38,4,0)),""))</f>
        <v/>
      </c>
      <c r="O82" s="27">
        <v>44593</v>
      </c>
    </row>
    <row r="83" spans="1:15" ht="15" x14ac:dyDescent="0.2">
      <c r="A83" s="116">
        <f>'Relatório GERAL'!A83</f>
        <v>42206</v>
      </c>
      <c r="B83" s="116">
        <f t="shared" si="11"/>
        <v>42186</v>
      </c>
      <c r="C83" s="117" t="str">
        <f>'Relatório GERAL'!B83</f>
        <v>ter</v>
      </c>
      <c r="D83" s="18" t="str">
        <f>IF(OR(C83="SÁB",C83="DOM"),"",IFERROR(IF(VLOOKUP(VLOOKUP(A83,'Relatório GERAL'!$A:$T,$E$1,0),'Dados de consulta'!$A$2:$D$38,4,0)=0,"",VLOOKUP(VLOOKUP(A83,'Relatório GERAL'!$A:$T,$E$1,0),'Dados de consulta'!$A$2:$D$38,4,0)),""))</f>
        <v/>
      </c>
      <c r="O83" s="27">
        <v>44621</v>
      </c>
    </row>
    <row r="84" spans="1:15" ht="15" x14ac:dyDescent="0.2">
      <c r="A84" s="116">
        <f>'Relatório GERAL'!A84</f>
        <v>42207</v>
      </c>
      <c r="B84" s="116">
        <f t="shared" si="11"/>
        <v>42186</v>
      </c>
      <c r="C84" s="117" t="str">
        <f>'Relatório GERAL'!B84</f>
        <v>qua</v>
      </c>
      <c r="D84" s="18" t="str">
        <f>IF(OR(C84="SÁB",C84="DOM"),"",IFERROR(IF(VLOOKUP(VLOOKUP(A84,'Relatório GERAL'!$A:$T,$E$1,0),'Dados de consulta'!$A$2:$D$38,4,0)=0,"",VLOOKUP(VLOOKUP(A84,'Relatório GERAL'!$A:$T,$E$1,0),'Dados de consulta'!$A$2:$D$38,4,0)),""))</f>
        <v/>
      </c>
      <c r="O84" s="27">
        <v>44652</v>
      </c>
    </row>
    <row r="85" spans="1:15" ht="15" x14ac:dyDescent="0.2">
      <c r="A85" s="116">
        <f>'Relatório GERAL'!A85</f>
        <v>42208</v>
      </c>
      <c r="B85" s="116">
        <f t="shared" si="11"/>
        <v>42186</v>
      </c>
      <c r="C85" s="117" t="str">
        <f>'Relatório GERAL'!B85</f>
        <v>qui</v>
      </c>
      <c r="D85" s="18" t="str">
        <f>IF(OR(C85="SÁB",C85="DOM"),"",IFERROR(IF(VLOOKUP(VLOOKUP(A85,'Relatório GERAL'!$A:$T,$E$1,0),'Dados de consulta'!$A$2:$D$38,4,0)=0,"",VLOOKUP(VLOOKUP(A85,'Relatório GERAL'!$A:$T,$E$1,0),'Dados de consulta'!$A$2:$D$38,4,0)),""))</f>
        <v/>
      </c>
      <c r="O85" s="27">
        <v>44682</v>
      </c>
    </row>
    <row r="86" spans="1:15" ht="15" x14ac:dyDescent="0.2">
      <c r="A86" s="116">
        <f>'Relatório GERAL'!A86</f>
        <v>42209</v>
      </c>
      <c r="B86" s="116">
        <f t="shared" si="11"/>
        <v>42186</v>
      </c>
      <c r="C86" s="117" t="str">
        <f>'Relatório GERAL'!B86</f>
        <v>sex</v>
      </c>
      <c r="D86" s="18" t="str">
        <f>IF(OR(C86="SÁB",C86="DOM"),"",IFERROR(IF(VLOOKUP(VLOOKUP(A86,'Relatório GERAL'!$A:$T,$E$1,0),'Dados de consulta'!$A$2:$D$38,4,0)=0,"",VLOOKUP(VLOOKUP(A86,'Relatório GERAL'!$A:$T,$E$1,0),'Dados de consulta'!$A$2:$D$38,4,0)),""))</f>
        <v/>
      </c>
      <c r="O86" s="27">
        <v>44713</v>
      </c>
    </row>
    <row r="87" spans="1:15" ht="15" x14ac:dyDescent="0.2">
      <c r="A87" s="116">
        <f>'Relatório GERAL'!A87</f>
        <v>42210</v>
      </c>
      <c r="B87" s="116">
        <f t="shared" si="11"/>
        <v>42186</v>
      </c>
      <c r="C87" s="117" t="str">
        <f>'Relatório GERAL'!B87</f>
        <v>sáb</v>
      </c>
      <c r="D87" s="18" t="str">
        <f>IF(OR(C87="SÁB",C87="DOM"),"",IFERROR(IF(VLOOKUP(VLOOKUP(A87,'Relatório GERAL'!$A:$T,$E$1,0),'Dados de consulta'!$A$2:$D$38,4,0)=0,"",VLOOKUP(VLOOKUP(A87,'Relatório GERAL'!$A:$T,$E$1,0),'Dados de consulta'!$A$2:$D$38,4,0)),""))</f>
        <v/>
      </c>
      <c r="O87" s="27">
        <v>44743</v>
      </c>
    </row>
    <row r="88" spans="1:15" ht="15" x14ac:dyDescent="0.2">
      <c r="A88" s="116">
        <f>'Relatório GERAL'!A88</f>
        <v>42211</v>
      </c>
      <c r="B88" s="116">
        <f t="shared" si="11"/>
        <v>42186</v>
      </c>
      <c r="C88" s="117" t="str">
        <f>'Relatório GERAL'!B88</f>
        <v>dom</v>
      </c>
      <c r="D88" s="18" t="str">
        <f>IF(OR(C88="SÁB",C88="DOM"),"",IFERROR(IF(VLOOKUP(VLOOKUP(A88,'Relatório GERAL'!$A:$T,$E$1,0),'Dados de consulta'!$A$2:$D$38,4,0)=0,"",VLOOKUP(VLOOKUP(A88,'Relatório GERAL'!$A:$T,$E$1,0),'Dados de consulta'!$A$2:$D$38,4,0)),""))</f>
        <v/>
      </c>
      <c r="O88" s="27">
        <v>44774</v>
      </c>
    </row>
    <row r="89" spans="1:15" ht="15" x14ac:dyDescent="0.2">
      <c r="A89" s="116">
        <f>'Relatório GERAL'!A89</f>
        <v>42212</v>
      </c>
      <c r="B89" s="116">
        <f t="shared" si="11"/>
        <v>42186</v>
      </c>
      <c r="C89" s="117" t="str">
        <f>'Relatório GERAL'!B89</f>
        <v>seg</v>
      </c>
      <c r="D89" s="18" t="str">
        <f>IF(OR(C89="SÁB",C89="DOM"),"",IFERROR(IF(VLOOKUP(VLOOKUP(A89,'Relatório GERAL'!$A:$T,$E$1,0),'Dados de consulta'!$A$2:$D$38,4,0)=0,"",VLOOKUP(VLOOKUP(A89,'Relatório GERAL'!$A:$T,$E$1,0),'Dados de consulta'!$A$2:$D$38,4,0)),""))</f>
        <v/>
      </c>
      <c r="O89" s="27">
        <v>44805</v>
      </c>
    </row>
    <row r="90" spans="1:15" ht="15" x14ac:dyDescent="0.2">
      <c r="A90" s="116">
        <f>'Relatório GERAL'!A90</f>
        <v>42213</v>
      </c>
      <c r="B90" s="116">
        <f t="shared" si="11"/>
        <v>42186</v>
      </c>
      <c r="C90" s="117" t="str">
        <f>'Relatório GERAL'!B90</f>
        <v>ter</v>
      </c>
      <c r="D90" s="18" t="str">
        <f>IF(OR(C90="SÁB",C90="DOM"),"",IFERROR(IF(VLOOKUP(VLOOKUP(A90,'Relatório GERAL'!$A:$T,$E$1,0),'Dados de consulta'!$A$2:$D$38,4,0)=0,"",VLOOKUP(VLOOKUP(A90,'Relatório GERAL'!$A:$T,$E$1,0),'Dados de consulta'!$A$2:$D$38,4,0)),""))</f>
        <v/>
      </c>
      <c r="O90" s="27">
        <v>44835</v>
      </c>
    </row>
    <row r="91" spans="1:15" ht="15" x14ac:dyDescent="0.2">
      <c r="A91" s="116">
        <f>'Relatório GERAL'!A91</f>
        <v>42214</v>
      </c>
      <c r="B91" s="116">
        <f t="shared" si="11"/>
        <v>42186</v>
      </c>
      <c r="C91" s="117" t="str">
        <f>'Relatório GERAL'!B91</f>
        <v>qua</v>
      </c>
      <c r="D91" s="18" t="str">
        <f>IF(OR(C91="SÁB",C91="DOM"),"",IFERROR(IF(VLOOKUP(VLOOKUP(A91,'Relatório GERAL'!$A:$T,$E$1,0),'Dados de consulta'!$A$2:$D$38,4,0)=0,"",VLOOKUP(VLOOKUP(A91,'Relatório GERAL'!$A:$T,$E$1,0),'Dados de consulta'!$A$2:$D$38,4,0)),""))</f>
        <v/>
      </c>
      <c r="O91" s="27">
        <v>44866</v>
      </c>
    </row>
    <row r="92" spans="1:15" ht="15" x14ac:dyDescent="0.2">
      <c r="A92" s="116">
        <f>'Relatório GERAL'!A92</f>
        <v>42215</v>
      </c>
      <c r="B92" s="116">
        <f t="shared" si="11"/>
        <v>42186</v>
      </c>
      <c r="C92" s="117" t="str">
        <f>'Relatório GERAL'!B92</f>
        <v>qui</v>
      </c>
      <c r="D92" s="18">
        <f>IF(OR(C92="SÁB",C92="DOM"),"",IFERROR(IF(VLOOKUP(VLOOKUP(A92,'Relatório GERAL'!$A:$T,$E$1,0),'Dados de consulta'!$A$2:$D$38,4,0)=0,"",VLOOKUP(VLOOKUP(A92,'Relatório GERAL'!$A:$T,$E$1,0),'Dados de consulta'!$A$2:$D$38,4,0)),""))</f>
        <v>4</v>
      </c>
      <c r="O92" s="27">
        <v>44896</v>
      </c>
    </row>
    <row r="93" spans="1:15" ht="15" x14ac:dyDescent="0.2">
      <c r="A93" s="116">
        <f>'Relatório GERAL'!A93</f>
        <v>42216</v>
      </c>
      <c r="B93" s="116">
        <f t="shared" si="11"/>
        <v>42186</v>
      </c>
      <c r="C93" s="117" t="str">
        <f>'Relatório GERAL'!B93</f>
        <v>sex</v>
      </c>
      <c r="D93" s="18" t="str">
        <f>IF(OR(C93="SÁB",C93="DOM"),"",IFERROR(IF(VLOOKUP(VLOOKUP(A93,'Relatório GERAL'!$A:$T,$E$1,0),'Dados de consulta'!$A$2:$D$38,4,0)=0,"",VLOOKUP(VLOOKUP(A93,'Relatório GERAL'!$A:$T,$E$1,0),'Dados de consulta'!$A$2:$D$38,4,0)),""))</f>
        <v/>
      </c>
      <c r="O93" s="27">
        <v>44927</v>
      </c>
    </row>
    <row r="94" spans="1:15" ht="15" x14ac:dyDescent="0.2">
      <c r="A94" s="116">
        <f>'Relatório GERAL'!A94</f>
        <v>42217</v>
      </c>
      <c r="B94" s="116">
        <f t="shared" si="11"/>
        <v>42217</v>
      </c>
      <c r="C94" s="117" t="str">
        <f>'Relatório GERAL'!B94</f>
        <v>sáb</v>
      </c>
      <c r="D94" s="18" t="str">
        <f>IF(OR(C94="SÁB",C94="DOM"),"",IFERROR(IF(VLOOKUP(VLOOKUP(A94,'Relatório GERAL'!$A:$T,$E$1,0),'Dados de consulta'!$A$2:$D$38,4,0)=0,"",VLOOKUP(VLOOKUP(A94,'Relatório GERAL'!$A:$T,$E$1,0),'Dados de consulta'!$A$2:$D$38,4,0)),""))</f>
        <v/>
      </c>
      <c r="O94" s="27">
        <v>44958</v>
      </c>
    </row>
    <row r="95" spans="1:15" ht="15" x14ac:dyDescent="0.2">
      <c r="A95" s="116">
        <f>'Relatório GERAL'!A95</f>
        <v>42218</v>
      </c>
      <c r="B95" s="116">
        <f t="shared" si="11"/>
        <v>42217</v>
      </c>
      <c r="C95" s="117" t="str">
        <f>'Relatório GERAL'!B95</f>
        <v>dom</v>
      </c>
      <c r="D95" s="18" t="str">
        <f>IF(OR(C95="SÁB",C95="DOM"),"",IFERROR(IF(VLOOKUP(VLOOKUP(A95,'Relatório GERAL'!$A:$T,$E$1,0),'Dados de consulta'!$A$2:$D$38,4,0)=0,"",VLOOKUP(VLOOKUP(A95,'Relatório GERAL'!$A:$T,$E$1,0),'Dados de consulta'!$A$2:$D$38,4,0)),""))</f>
        <v/>
      </c>
      <c r="O95" s="27">
        <v>44986</v>
      </c>
    </row>
    <row r="96" spans="1:15" ht="15" x14ac:dyDescent="0.2">
      <c r="A96" s="116">
        <f>'Relatório GERAL'!A96</f>
        <v>42219</v>
      </c>
      <c r="B96" s="116">
        <f t="shared" si="11"/>
        <v>42217</v>
      </c>
      <c r="C96" s="117" t="str">
        <f>'Relatório GERAL'!B96</f>
        <v>seg</v>
      </c>
      <c r="D96" s="18" t="str">
        <f>IF(OR(C96="SÁB",C96="DOM"),"",IFERROR(IF(VLOOKUP(VLOOKUP(A96,'Relatório GERAL'!$A:$T,$E$1,0),'Dados de consulta'!$A$2:$D$38,4,0)=0,"",VLOOKUP(VLOOKUP(A96,'Relatório GERAL'!$A:$T,$E$1,0),'Dados de consulta'!$A$2:$D$38,4,0)),""))</f>
        <v/>
      </c>
      <c r="O96" s="27">
        <v>45017</v>
      </c>
    </row>
    <row r="97" spans="1:15" ht="15" x14ac:dyDescent="0.2">
      <c r="A97" s="116">
        <f>'Relatório GERAL'!A97</f>
        <v>42220</v>
      </c>
      <c r="B97" s="116">
        <f t="shared" si="11"/>
        <v>42217</v>
      </c>
      <c r="C97" s="117" t="str">
        <f>'Relatório GERAL'!B97</f>
        <v>ter</v>
      </c>
      <c r="D97" s="18" t="str">
        <f>IF(OR(C97="SÁB",C97="DOM"),"",IFERROR(IF(VLOOKUP(VLOOKUP(A97,'Relatório GERAL'!$A:$T,$E$1,0),'Dados de consulta'!$A$2:$D$38,4,0)=0,"",VLOOKUP(VLOOKUP(A97,'Relatório GERAL'!$A:$T,$E$1,0),'Dados de consulta'!$A$2:$D$38,4,0)),""))</f>
        <v/>
      </c>
      <c r="O97" s="27">
        <v>45047</v>
      </c>
    </row>
    <row r="98" spans="1:15" ht="15" x14ac:dyDescent="0.2">
      <c r="A98" s="116">
        <f>'Relatório GERAL'!A98</f>
        <v>42221</v>
      </c>
      <c r="B98" s="116">
        <f t="shared" si="11"/>
        <v>42217</v>
      </c>
      <c r="C98" s="117" t="str">
        <f>'Relatório GERAL'!B98</f>
        <v>qua</v>
      </c>
      <c r="D98" s="18" t="str">
        <f>IF(OR(C98="SÁB",C98="DOM"),"",IFERROR(IF(VLOOKUP(VLOOKUP(A98,'Relatório GERAL'!$A:$T,$E$1,0),'Dados de consulta'!$A$2:$D$38,4,0)=0,"",VLOOKUP(VLOOKUP(A98,'Relatório GERAL'!$A:$T,$E$1,0),'Dados de consulta'!$A$2:$D$38,4,0)),""))</f>
        <v/>
      </c>
      <c r="O98" s="27">
        <v>45078</v>
      </c>
    </row>
    <row r="99" spans="1:15" ht="15" x14ac:dyDescent="0.2">
      <c r="A99" s="116">
        <f>'Relatório GERAL'!A99</f>
        <v>42222</v>
      </c>
      <c r="B99" s="116">
        <f t="shared" si="11"/>
        <v>42217</v>
      </c>
      <c r="C99" s="117" t="str">
        <f>'Relatório GERAL'!B99</f>
        <v>qui</v>
      </c>
      <c r="D99" s="18" t="str">
        <f>IF(OR(C99="SÁB",C99="DOM"),"",IFERROR(IF(VLOOKUP(VLOOKUP(A99,'Relatório GERAL'!$A:$T,$E$1,0),'Dados de consulta'!$A$2:$D$38,4,0)=0,"",VLOOKUP(VLOOKUP(A99,'Relatório GERAL'!$A:$T,$E$1,0),'Dados de consulta'!$A$2:$D$38,4,0)),""))</f>
        <v/>
      </c>
      <c r="O99" s="27">
        <v>45108</v>
      </c>
    </row>
    <row r="100" spans="1:15" ht="15" x14ac:dyDescent="0.2">
      <c r="A100" s="116">
        <f>'Relatório GERAL'!A100</f>
        <v>42223</v>
      </c>
      <c r="B100" s="116">
        <f t="shared" si="11"/>
        <v>42217</v>
      </c>
      <c r="C100" s="117" t="str">
        <f>'Relatório GERAL'!B100</f>
        <v>sex</v>
      </c>
      <c r="D100" s="18" t="str">
        <f>IF(OR(C100="SÁB",C100="DOM"),"",IFERROR(IF(VLOOKUP(VLOOKUP(A100,'Relatório GERAL'!$A:$T,$E$1,0),'Dados de consulta'!$A$2:$D$38,4,0)=0,"",VLOOKUP(VLOOKUP(A100,'Relatório GERAL'!$A:$T,$E$1,0),'Dados de consulta'!$A$2:$D$38,4,0)),""))</f>
        <v/>
      </c>
      <c r="O100" s="27">
        <v>45139</v>
      </c>
    </row>
    <row r="101" spans="1:15" ht="15" x14ac:dyDescent="0.2">
      <c r="A101" s="116">
        <f>'Relatório GERAL'!A101</f>
        <v>42224</v>
      </c>
      <c r="B101" s="116">
        <f t="shared" si="11"/>
        <v>42217</v>
      </c>
      <c r="C101" s="117" t="str">
        <f>'Relatório GERAL'!B101</f>
        <v>sáb</v>
      </c>
      <c r="D101" s="18" t="str">
        <f>IF(OR(C101="SÁB",C101="DOM"),"",IFERROR(IF(VLOOKUP(VLOOKUP(A101,'Relatório GERAL'!$A:$T,$E$1,0),'Dados de consulta'!$A$2:$D$38,4,0)=0,"",VLOOKUP(VLOOKUP(A101,'Relatório GERAL'!$A:$T,$E$1,0),'Dados de consulta'!$A$2:$D$38,4,0)),""))</f>
        <v/>
      </c>
      <c r="O101" s="27">
        <v>45170</v>
      </c>
    </row>
    <row r="102" spans="1:15" ht="15" x14ac:dyDescent="0.2">
      <c r="A102" s="116">
        <f>'Relatório GERAL'!A102</f>
        <v>42225</v>
      </c>
      <c r="B102" s="116">
        <f t="shared" si="11"/>
        <v>42217</v>
      </c>
      <c r="C102" s="117" t="str">
        <f>'Relatório GERAL'!B102</f>
        <v>dom</v>
      </c>
      <c r="D102" s="18" t="str">
        <f>IF(OR(C102="SÁB",C102="DOM"),"",IFERROR(IF(VLOOKUP(VLOOKUP(A102,'Relatório GERAL'!$A:$T,$E$1,0),'Dados de consulta'!$A$2:$D$38,4,0)=0,"",VLOOKUP(VLOOKUP(A102,'Relatório GERAL'!$A:$T,$E$1,0),'Dados de consulta'!$A$2:$D$38,4,0)),""))</f>
        <v/>
      </c>
      <c r="O102" s="27">
        <v>45200</v>
      </c>
    </row>
    <row r="103" spans="1:15" ht="15" x14ac:dyDescent="0.2">
      <c r="A103" s="116">
        <f>'Relatório GERAL'!A103</f>
        <v>42226</v>
      </c>
      <c r="B103" s="116">
        <f t="shared" si="11"/>
        <v>42217</v>
      </c>
      <c r="C103" s="117" t="str">
        <f>'Relatório GERAL'!B103</f>
        <v>seg</v>
      </c>
      <c r="D103" s="18" t="str">
        <f>IF(OR(C103="SÁB",C103="DOM"),"",IFERROR(IF(VLOOKUP(VLOOKUP(A103,'Relatório GERAL'!$A:$T,$E$1,0),'Dados de consulta'!$A$2:$D$38,4,0)=0,"",VLOOKUP(VLOOKUP(A103,'Relatório GERAL'!$A:$T,$E$1,0),'Dados de consulta'!$A$2:$D$38,4,0)),""))</f>
        <v/>
      </c>
      <c r="O103" s="27">
        <v>45231</v>
      </c>
    </row>
    <row r="104" spans="1:15" ht="15" x14ac:dyDescent="0.2">
      <c r="A104" s="116">
        <f>'Relatório GERAL'!A104</f>
        <v>42227</v>
      </c>
      <c r="B104" s="116">
        <f t="shared" si="11"/>
        <v>42217</v>
      </c>
      <c r="C104" s="117" t="str">
        <f>'Relatório GERAL'!B104</f>
        <v>ter</v>
      </c>
      <c r="D104" s="18" t="str">
        <f>IF(OR(C104="SÁB",C104="DOM"),"",IFERROR(IF(VLOOKUP(VLOOKUP(A104,'Relatório GERAL'!$A:$T,$E$1,0),'Dados de consulta'!$A$2:$D$38,4,0)=0,"",VLOOKUP(VLOOKUP(A104,'Relatório GERAL'!$A:$T,$E$1,0),'Dados de consulta'!$A$2:$D$38,4,0)),""))</f>
        <v/>
      </c>
      <c r="O104" s="27">
        <v>45261</v>
      </c>
    </row>
    <row r="105" spans="1:15" ht="15" x14ac:dyDescent="0.2">
      <c r="A105" s="116">
        <f>'Relatório GERAL'!A105</f>
        <v>42228</v>
      </c>
      <c r="B105" s="116">
        <f t="shared" si="11"/>
        <v>42217</v>
      </c>
      <c r="C105" s="117" t="str">
        <f>'Relatório GERAL'!B105</f>
        <v>qua</v>
      </c>
      <c r="D105" s="18" t="str">
        <f>IF(OR(C105="SÁB",C105="DOM"),"",IFERROR(IF(VLOOKUP(VLOOKUP(A105,'Relatório GERAL'!$A:$T,$E$1,0),'Dados de consulta'!$A$2:$D$38,4,0)=0,"",VLOOKUP(VLOOKUP(A105,'Relatório GERAL'!$A:$T,$E$1,0),'Dados de consulta'!$A$2:$D$38,4,0)),""))</f>
        <v/>
      </c>
      <c r="O105" s="27">
        <v>45292</v>
      </c>
    </row>
    <row r="106" spans="1:15" ht="15" x14ac:dyDescent="0.2">
      <c r="A106" s="116">
        <f>'Relatório GERAL'!A106</f>
        <v>42229</v>
      </c>
      <c r="B106" s="116">
        <f t="shared" si="11"/>
        <v>42217</v>
      </c>
      <c r="C106" s="117" t="str">
        <f>'Relatório GERAL'!B106</f>
        <v>qui</v>
      </c>
      <c r="D106" s="18" t="str">
        <f>IF(OR(C106="SÁB",C106="DOM"),"",IFERROR(IF(VLOOKUP(VLOOKUP(A106,'Relatório GERAL'!$A:$T,$E$1,0),'Dados de consulta'!$A$2:$D$38,4,0)=0,"",VLOOKUP(VLOOKUP(A106,'Relatório GERAL'!$A:$T,$E$1,0),'Dados de consulta'!$A$2:$D$38,4,0)),""))</f>
        <v/>
      </c>
      <c r="O106" s="27">
        <v>45323</v>
      </c>
    </row>
    <row r="107" spans="1:15" ht="15" x14ac:dyDescent="0.2">
      <c r="A107" s="116">
        <f>'Relatório GERAL'!A107</f>
        <v>42230</v>
      </c>
      <c r="B107" s="116">
        <f t="shared" si="11"/>
        <v>42217</v>
      </c>
      <c r="C107" s="117" t="str">
        <f>'Relatório GERAL'!B107</f>
        <v>sex</v>
      </c>
      <c r="D107" s="18" t="str">
        <f>IF(OR(C107="SÁB",C107="DOM"),"",IFERROR(IF(VLOOKUP(VLOOKUP(A107,'Relatório GERAL'!$A:$T,$E$1,0),'Dados de consulta'!$A$2:$D$38,4,0)=0,"",VLOOKUP(VLOOKUP(A107,'Relatório GERAL'!$A:$T,$E$1,0),'Dados de consulta'!$A$2:$D$38,4,0)),""))</f>
        <v/>
      </c>
      <c r="O107" s="27">
        <v>45352</v>
      </c>
    </row>
    <row r="108" spans="1:15" ht="15" x14ac:dyDescent="0.2">
      <c r="A108" s="116">
        <f>'Relatório GERAL'!A108</f>
        <v>42231</v>
      </c>
      <c r="B108" s="116">
        <f t="shared" si="11"/>
        <v>42217</v>
      </c>
      <c r="C108" s="117" t="str">
        <f>'Relatório GERAL'!B108</f>
        <v>sáb</v>
      </c>
      <c r="D108" s="18" t="str">
        <f>IF(OR(C108="SÁB",C108="DOM"),"",IFERROR(IF(VLOOKUP(VLOOKUP(A108,'Relatório GERAL'!$A:$T,$E$1,0),'Dados de consulta'!$A$2:$D$38,4,0)=0,"",VLOOKUP(VLOOKUP(A108,'Relatório GERAL'!$A:$T,$E$1,0),'Dados de consulta'!$A$2:$D$38,4,0)),""))</f>
        <v/>
      </c>
      <c r="O108" s="27">
        <v>45383</v>
      </c>
    </row>
    <row r="109" spans="1:15" ht="15" x14ac:dyDescent="0.2">
      <c r="A109" s="116">
        <f>'Relatório GERAL'!A109</f>
        <v>42232</v>
      </c>
      <c r="B109" s="116">
        <f t="shared" si="11"/>
        <v>42217</v>
      </c>
      <c r="C109" s="117" t="str">
        <f>'Relatório GERAL'!B109</f>
        <v>dom</v>
      </c>
      <c r="D109" s="18" t="str">
        <f>IF(OR(C109="SÁB",C109="DOM"),"",IFERROR(IF(VLOOKUP(VLOOKUP(A109,'Relatório GERAL'!$A:$T,$E$1,0),'Dados de consulta'!$A$2:$D$38,4,0)=0,"",VLOOKUP(VLOOKUP(A109,'Relatório GERAL'!$A:$T,$E$1,0),'Dados de consulta'!$A$2:$D$38,4,0)),""))</f>
        <v/>
      </c>
      <c r="O109" s="27">
        <v>45413</v>
      </c>
    </row>
    <row r="110" spans="1:15" ht="15" x14ac:dyDescent="0.2">
      <c r="A110" s="116">
        <f>'Relatório GERAL'!A110</f>
        <v>42233</v>
      </c>
      <c r="B110" s="116">
        <f t="shared" si="11"/>
        <v>42217</v>
      </c>
      <c r="C110" s="117" t="str">
        <f>'Relatório GERAL'!B110</f>
        <v>seg</v>
      </c>
      <c r="D110" s="18" t="str">
        <f>IF(OR(C110="SÁB",C110="DOM"),"",IFERROR(IF(VLOOKUP(VLOOKUP(A110,'Relatório GERAL'!$A:$T,$E$1,0),'Dados de consulta'!$A$2:$D$38,4,0)=0,"",VLOOKUP(VLOOKUP(A110,'Relatório GERAL'!$A:$T,$E$1,0),'Dados de consulta'!$A$2:$D$38,4,0)),""))</f>
        <v/>
      </c>
      <c r="O110" s="27">
        <v>45444</v>
      </c>
    </row>
    <row r="111" spans="1:15" ht="15" x14ac:dyDescent="0.2">
      <c r="A111" s="116">
        <f>'Relatório GERAL'!A111</f>
        <v>42234</v>
      </c>
      <c r="B111" s="116">
        <f t="shared" si="11"/>
        <v>42217</v>
      </c>
      <c r="C111" s="117" t="str">
        <f>'Relatório GERAL'!B111</f>
        <v>ter</v>
      </c>
      <c r="D111" s="18" t="str">
        <f>IF(OR(C111="SÁB",C111="DOM"),"",IFERROR(IF(VLOOKUP(VLOOKUP(A111,'Relatório GERAL'!$A:$T,$E$1,0),'Dados de consulta'!$A$2:$D$38,4,0)=0,"",VLOOKUP(VLOOKUP(A111,'Relatório GERAL'!$A:$T,$E$1,0),'Dados de consulta'!$A$2:$D$38,4,0)),""))</f>
        <v/>
      </c>
      <c r="O111" s="27">
        <v>45474</v>
      </c>
    </row>
    <row r="112" spans="1:15" ht="15" x14ac:dyDescent="0.2">
      <c r="A112" s="116">
        <f>'Relatório GERAL'!A112</f>
        <v>42235</v>
      </c>
      <c r="B112" s="116">
        <f t="shared" si="11"/>
        <v>42217</v>
      </c>
      <c r="C112" s="117" t="str">
        <f>'Relatório GERAL'!B112</f>
        <v>qua</v>
      </c>
      <c r="D112" s="18" t="str">
        <f>IF(OR(C112="SÁB",C112="DOM"),"",IFERROR(IF(VLOOKUP(VLOOKUP(A112,'Relatório GERAL'!$A:$T,$E$1,0),'Dados de consulta'!$A$2:$D$38,4,0)=0,"",VLOOKUP(VLOOKUP(A112,'Relatório GERAL'!$A:$T,$E$1,0),'Dados de consulta'!$A$2:$D$38,4,0)),""))</f>
        <v/>
      </c>
      <c r="O112" s="27">
        <v>45505</v>
      </c>
    </row>
    <row r="113" spans="1:15" ht="15" x14ac:dyDescent="0.2">
      <c r="A113" s="116">
        <f>'Relatório GERAL'!A113</f>
        <v>42236</v>
      </c>
      <c r="B113" s="116">
        <f t="shared" si="11"/>
        <v>42217</v>
      </c>
      <c r="C113" s="117" t="str">
        <f>'Relatório GERAL'!B113</f>
        <v>qui</v>
      </c>
      <c r="D113" s="18" t="str">
        <f>IF(OR(C113="SÁB",C113="DOM"),"",IFERROR(IF(VLOOKUP(VLOOKUP(A113,'Relatório GERAL'!$A:$T,$E$1,0),'Dados de consulta'!$A$2:$D$38,4,0)=0,"",VLOOKUP(VLOOKUP(A113,'Relatório GERAL'!$A:$T,$E$1,0),'Dados de consulta'!$A$2:$D$38,4,0)),""))</f>
        <v/>
      </c>
      <c r="O113" s="27">
        <v>45536</v>
      </c>
    </row>
    <row r="114" spans="1:15" ht="15" x14ac:dyDescent="0.2">
      <c r="A114" s="116">
        <f>'Relatório GERAL'!A114</f>
        <v>42237</v>
      </c>
      <c r="B114" s="116">
        <f t="shared" si="11"/>
        <v>42217</v>
      </c>
      <c r="C114" s="117" t="str">
        <f>'Relatório GERAL'!B114</f>
        <v>sex</v>
      </c>
      <c r="D114" s="18" t="str">
        <f>IF(OR(C114="SÁB",C114="DOM"),"",IFERROR(IF(VLOOKUP(VLOOKUP(A114,'Relatório GERAL'!$A:$T,$E$1,0),'Dados de consulta'!$A$2:$D$38,4,0)=0,"",VLOOKUP(VLOOKUP(A114,'Relatório GERAL'!$A:$T,$E$1,0),'Dados de consulta'!$A$2:$D$38,4,0)),""))</f>
        <v/>
      </c>
      <c r="O114" s="27">
        <v>45566</v>
      </c>
    </row>
    <row r="115" spans="1:15" ht="15" x14ac:dyDescent="0.2">
      <c r="A115" s="116">
        <f>'Relatório GERAL'!A115</f>
        <v>42238</v>
      </c>
      <c r="B115" s="116">
        <f t="shared" si="11"/>
        <v>42217</v>
      </c>
      <c r="C115" s="117" t="str">
        <f>'Relatório GERAL'!B115</f>
        <v>sáb</v>
      </c>
      <c r="D115" s="18" t="str">
        <f>IF(OR(C115="SÁB",C115="DOM"),"",IFERROR(IF(VLOOKUP(VLOOKUP(A115,'Relatório GERAL'!$A:$T,$E$1,0),'Dados de consulta'!$A$2:$D$38,4,0)=0,"",VLOOKUP(VLOOKUP(A115,'Relatório GERAL'!$A:$T,$E$1,0),'Dados de consulta'!$A$2:$D$38,4,0)),""))</f>
        <v/>
      </c>
      <c r="O115" s="27">
        <v>45597</v>
      </c>
    </row>
    <row r="116" spans="1:15" ht="15" x14ac:dyDescent="0.2">
      <c r="A116" s="116">
        <f>'Relatório GERAL'!A116</f>
        <v>42239</v>
      </c>
      <c r="B116" s="116">
        <f t="shared" si="11"/>
        <v>42217</v>
      </c>
      <c r="C116" s="117" t="str">
        <f>'Relatório GERAL'!B116</f>
        <v>dom</v>
      </c>
      <c r="D116" s="18" t="str">
        <f>IF(OR(C116="SÁB",C116="DOM"),"",IFERROR(IF(VLOOKUP(VLOOKUP(A116,'Relatório GERAL'!$A:$T,$E$1,0),'Dados de consulta'!$A$2:$D$38,4,0)=0,"",VLOOKUP(VLOOKUP(A116,'Relatório GERAL'!$A:$T,$E$1,0),'Dados de consulta'!$A$2:$D$38,4,0)),""))</f>
        <v/>
      </c>
      <c r="O116" s="27">
        <v>45627</v>
      </c>
    </row>
    <row r="117" spans="1:15" ht="15" x14ac:dyDescent="0.2">
      <c r="A117" s="116">
        <f>'Relatório GERAL'!A117</f>
        <v>42240</v>
      </c>
      <c r="B117" s="116">
        <f t="shared" si="11"/>
        <v>42217</v>
      </c>
      <c r="C117" s="117" t="str">
        <f>'Relatório GERAL'!B117</f>
        <v>seg</v>
      </c>
      <c r="D117" s="18" t="str">
        <f>IF(OR(C117="SÁB",C117="DOM"),"",IFERROR(IF(VLOOKUP(VLOOKUP(A117,'Relatório GERAL'!$A:$T,$E$1,0),'Dados de consulta'!$A$2:$D$38,4,0)=0,"",VLOOKUP(VLOOKUP(A117,'Relatório GERAL'!$A:$T,$E$1,0),'Dados de consulta'!$A$2:$D$38,4,0)),""))</f>
        <v/>
      </c>
      <c r="O117" s="27">
        <v>45658</v>
      </c>
    </row>
    <row r="118" spans="1:15" ht="15" x14ac:dyDescent="0.2">
      <c r="A118" s="116">
        <f>'Relatório GERAL'!A118</f>
        <v>42241</v>
      </c>
      <c r="B118" s="116">
        <f t="shared" si="11"/>
        <v>42217</v>
      </c>
      <c r="C118" s="117" t="str">
        <f>'Relatório GERAL'!B118</f>
        <v>ter</v>
      </c>
      <c r="D118" s="18" t="str">
        <f>IF(OR(C118="SÁB",C118="DOM"),"",IFERROR(IF(VLOOKUP(VLOOKUP(A118,'Relatório GERAL'!$A:$T,$E$1,0),'Dados de consulta'!$A$2:$D$38,4,0)=0,"",VLOOKUP(VLOOKUP(A118,'Relatório GERAL'!$A:$T,$E$1,0),'Dados de consulta'!$A$2:$D$38,4,0)),""))</f>
        <v/>
      </c>
      <c r="O118" s="27">
        <v>45689</v>
      </c>
    </row>
    <row r="119" spans="1:15" ht="15" x14ac:dyDescent="0.2">
      <c r="A119" s="116">
        <f>'Relatório GERAL'!A119</f>
        <v>42242</v>
      </c>
      <c r="B119" s="116">
        <f t="shared" si="11"/>
        <v>42217</v>
      </c>
      <c r="C119" s="117" t="str">
        <f>'Relatório GERAL'!B119</f>
        <v>qua</v>
      </c>
      <c r="D119" s="18" t="str">
        <f>IF(OR(C119="SÁB",C119="DOM"),"",IFERROR(IF(VLOOKUP(VLOOKUP(A119,'Relatório GERAL'!$A:$T,$E$1,0),'Dados de consulta'!$A$2:$D$38,4,0)=0,"",VLOOKUP(VLOOKUP(A119,'Relatório GERAL'!$A:$T,$E$1,0),'Dados de consulta'!$A$2:$D$38,4,0)),""))</f>
        <v/>
      </c>
      <c r="O119" s="27">
        <v>45717</v>
      </c>
    </row>
    <row r="120" spans="1:15" ht="15" x14ac:dyDescent="0.2">
      <c r="A120" s="116">
        <f>'Relatório GERAL'!A120</f>
        <v>42243</v>
      </c>
      <c r="B120" s="116">
        <f t="shared" si="11"/>
        <v>42217</v>
      </c>
      <c r="C120" s="117" t="str">
        <f>'Relatório GERAL'!B120</f>
        <v>qui</v>
      </c>
      <c r="D120" s="18" t="str">
        <f>IF(OR(C120="SÁB",C120="DOM"),"",IFERROR(IF(VLOOKUP(VLOOKUP(A120,'Relatório GERAL'!$A:$T,$E$1,0),'Dados de consulta'!$A$2:$D$38,4,0)=0,"",VLOOKUP(VLOOKUP(A120,'Relatório GERAL'!$A:$T,$E$1,0),'Dados de consulta'!$A$2:$D$38,4,0)),""))</f>
        <v/>
      </c>
      <c r="O120" s="27">
        <v>45748</v>
      </c>
    </row>
    <row r="121" spans="1:15" ht="15" x14ac:dyDescent="0.2">
      <c r="A121" s="116">
        <f>'Relatório GERAL'!A121</f>
        <v>42244</v>
      </c>
      <c r="B121" s="116">
        <f t="shared" si="11"/>
        <v>42217</v>
      </c>
      <c r="C121" s="117" t="str">
        <f>'Relatório GERAL'!B121</f>
        <v>sex</v>
      </c>
      <c r="D121" s="18" t="str">
        <f>IF(OR(C121="SÁB",C121="DOM"),"",IFERROR(IF(VLOOKUP(VLOOKUP(A121,'Relatório GERAL'!$A:$T,$E$1,0),'Dados de consulta'!$A$2:$D$38,4,0)=0,"",VLOOKUP(VLOOKUP(A121,'Relatório GERAL'!$A:$T,$E$1,0),'Dados de consulta'!$A$2:$D$38,4,0)),""))</f>
        <v/>
      </c>
      <c r="O121" s="27">
        <v>45778</v>
      </c>
    </row>
    <row r="122" spans="1:15" ht="15" x14ac:dyDescent="0.2">
      <c r="A122" s="116">
        <f>'Relatório GERAL'!A122</f>
        <v>42245</v>
      </c>
      <c r="B122" s="116">
        <f t="shared" si="11"/>
        <v>42217</v>
      </c>
      <c r="C122" s="117" t="str">
        <f>'Relatório GERAL'!B122</f>
        <v>sáb</v>
      </c>
      <c r="D122" s="18" t="str">
        <f>IF(OR(C122="SÁB",C122="DOM"),"",IFERROR(IF(VLOOKUP(VLOOKUP(A122,'Relatório GERAL'!$A:$T,$E$1,0),'Dados de consulta'!$A$2:$D$38,4,0)=0,"",VLOOKUP(VLOOKUP(A122,'Relatório GERAL'!$A:$T,$E$1,0),'Dados de consulta'!$A$2:$D$38,4,0)),""))</f>
        <v/>
      </c>
      <c r="O122" s="27">
        <v>45809</v>
      </c>
    </row>
    <row r="123" spans="1:15" ht="15" x14ac:dyDescent="0.2">
      <c r="A123" s="116">
        <f>'Relatório GERAL'!A123</f>
        <v>42246</v>
      </c>
      <c r="B123" s="116">
        <f t="shared" si="11"/>
        <v>42217</v>
      </c>
      <c r="C123" s="117" t="str">
        <f>'Relatório GERAL'!B123</f>
        <v>dom</v>
      </c>
      <c r="D123" s="18" t="str">
        <f>IF(OR(C123="SÁB",C123="DOM"),"",IFERROR(IF(VLOOKUP(VLOOKUP(A123,'Relatório GERAL'!$A:$T,$E$1,0),'Dados de consulta'!$A$2:$D$38,4,0)=0,"",VLOOKUP(VLOOKUP(A123,'Relatório GERAL'!$A:$T,$E$1,0),'Dados de consulta'!$A$2:$D$38,4,0)),""))</f>
        <v/>
      </c>
      <c r="O123" s="27">
        <v>45839</v>
      </c>
    </row>
    <row r="124" spans="1:15" ht="15" x14ac:dyDescent="0.2">
      <c r="A124" s="116">
        <f>'Relatório GERAL'!A124</f>
        <v>42247</v>
      </c>
      <c r="B124" s="116">
        <f t="shared" si="11"/>
        <v>42217</v>
      </c>
      <c r="C124" s="117" t="str">
        <f>'Relatório GERAL'!B124</f>
        <v>seg</v>
      </c>
      <c r="D124" s="18" t="str">
        <f>IF(OR(C124="SÁB",C124="DOM"),"",IFERROR(IF(VLOOKUP(VLOOKUP(A124,'Relatório GERAL'!$A:$T,$E$1,0),'Dados de consulta'!$A$2:$D$38,4,0)=0,"",VLOOKUP(VLOOKUP(A124,'Relatório GERAL'!$A:$T,$E$1,0),'Dados de consulta'!$A$2:$D$38,4,0)),""))</f>
        <v/>
      </c>
      <c r="O124" s="27">
        <v>45870</v>
      </c>
    </row>
    <row r="125" spans="1:15" ht="15" x14ac:dyDescent="0.2">
      <c r="A125" s="116">
        <f>'Relatório GERAL'!A125</f>
        <v>42248</v>
      </c>
      <c r="B125" s="116">
        <f t="shared" si="11"/>
        <v>42248</v>
      </c>
      <c r="C125" s="117" t="str">
        <f>'Relatório GERAL'!B125</f>
        <v>ter</v>
      </c>
      <c r="D125" s="18">
        <f>IF(OR(C125="SÁB",C125="DOM"),"",IFERROR(IF(VLOOKUP(VLOOKUP(A125,'Relatório GERAL'!$A:$T,$E$1,0),'Dados de consulta'!$A$2:$D$38,4,0)=0,"",VLOOKUP(VLOOKUP(A125,'Relatório GERAL'!$A:$T,$E$1,0),'Dados de consulta'!$A$2:$D$38,4,0)),""))</f>
        <v>2</v>
      </c>
      <c r="O125" s="27">
        <v>45901</v>
      </c>
    </row>
    <row r="126" spans="1:15" ht="15" x14ac:dyDescent="0.2">
      <c r="A126" s="116">
        <f>'Relatório GERAL'!A126</f>
        <v>42249</v>
      </c>
      <c r="B126" s="116">
        <f t="shared" si="11"/>
        <v>42248</v>
      </c>
      <c r="C126" s="117" t="str">
        <f>'Relatório GERAL'!B126</f>
        <v>qua</v>
      </c>
      <c r="D126" s="18">
        <f>IF(OR(C126="SÁB",C126="DOM"),"",IFERROR(IF(VLOOKUP(VLOOKUP(A126,'Relatório GERAL'!$A:$T,$E$1,0),'Dados de consulta'!$A$2:$D$38,4,0)=0,"",VLOOKUP(VLOOKUP(A126,'Relatório GERAL'!$A:$T,$E$1,0),'Dados de consulta'!$A$2:$D$38,4,0)),""))</f>
        <v>2</v>
      </c>
      <c r="O126" s="27">
        <v>45931</v>
      </c>
    </row>
    <row r="127" spans="1:15" ht="15" x14ac:dyDescent="0.2">
      <c r="A127" s="116">
        <f>'Relatório GERAL'!A127</f>
        <v>42250</v>
      </c>
      <c r="B127" s="116">
        <f t="shared" si="11"/>
        <v>42248</v>
      </c>
      <c r="C127" s="117" t="str">
        <f>'Relatório GERAL'!B127</f>
        <v>qui</v>
      </c>
      <c r="D127" s="18">
        <f>IF(OR(C127="SÁB",C127="DOM"),"",IFERROR(IF(VLOOKUP(VLOOKUP(A127,'Relatório GERAL'!$A:$T,$E$1,0),'Dados de consulta'!$A$2:$D$38,4,0)=0,"",VLOOKUP(VLOOKUP(A127,'Relatório GERAL'!$A:$T,$E$1,0),'Dados de consulta'!$A$2:$D$38,4,0)),""))</f>
        <v>2</v>
      </c>
      <c r="O127" s="27">
        <v>45962</v>
      </c>
    </row>
    <row r="128" spans="1:15" ht="15" x14ac:dyDescent="0.2">
      <c r="A128" s="116">
        <f>'Relatório GERAL'!A128</f>
        <v>42251</v>
      </c>
      <c r="B128" s="116">
        <f t="shared" si="11"/>
        <v>42248</v>
      </c>
      <c r="C128" s="117" t="str">
        <f>'Relatório GERAL'!B128</f>
        <v>sex</v>
      </c>
      <c r="D128" s="18">
        <f>IF(OR(C128="SÁB",C128="DOM"),"",IFERROR(IF(VLOOKUP(VLOOKUP(A128,'Relatório GERAL'!$A:$T,$E$1,0),'Dados de consulta'!$A$2:$D$38,4,0)=0,"",VLOOKUP(VLOOKUP(A128,'Relatório GERAL'!$A:$T,$E$1,0),'Dados de consulta'!$A$2:$D$38,4,0)),""))</f>
        <v>2</v>
      </c>
      <c r="O128" s="27">
        <v>45992</v>
      </c>
    </row>
    <row r="129" spans="1:15" ht="15" x14ac:dyDescent="0.2">
      <c r="A129" s="116">
        <f>'Relatório GERAL'!A129</f>
        <v>42252</v>
      </c>
      <c r="B129" s="116">
        <f t="shared" si="11"/>
        <v>42248</v>
      </c>
      <c r="C129" s="117" t="str">
        <f>'Relatório GERAL'!B129</f>
        <v>sáb</v>
      </c>
      <c r="D129" s="18" t="str">
        <f>IF(OR(C129="SÁB",C129="DOM"),"",IFERROR(IF(VLOOKUP(VLOOKUP(A129,'Relatório GERAL'!$A:$T,$E$1,0),'Dados de consulta'!$A$2:$D$38,4,0)=0,"",VLOOKUP(VLOOKUP(A129,'Relatório GERAL'!$A:$T,$E$1,0),'Dados de consulta'!$A$2:$D$38,4,0)),""))</f>
        <v/>
      </c>
      <c r="O129" s="27">
        <v>46023</v>
      </c>
    </row>
    <row r="130" spans="1:15" ht="15" x14ac:dyDescent="0.2">
      <c r="A130" s="116">
        <f>'Relatório GERAL'!A130</f>
        <v>42253</v>
      </c>
      <c r="B130" s="116">
        <f t="shared" si="11"/>
        <v>42248</v>
      </c>
      <c r="C130" s="117" t="str">
        <f>'Relatório GERAL'!B130</f>
        <v>dom</v>
      </c>
      <c r="D130" s="18" t="str">
        <f>IF(OR(C130="SÁB",C130="DOM"),"",IFERROR(IF(VLOOKUP(VLOOKUP(A130,'Relatório GERAL'!$A:$T,$E$1,0),'Dados de consulta'!$A$2:$D$38,4,0)=0,"",VLOOKUP(VLOOKUP(A130,'Relatório GERAL'!$A:$T,$E$1,0),'Dados de consulta'!$A$2:$D$38,4,0)),""))</f>
        <v/>
      </c>
      <c r="O130" s="27">
        <v>46054</v>
      </c>
    </row>
    <row r="131" spans="1:15" ht="15" x14ac:dyDescent="0.2">
      <c r="A131" s="116">
        <f>'Relatório GERAL'!A131</f>
        <v>42254</v>
      </c>
      <c r="B131" s="116">
        <f t="shared" ref="B131:B194" si="12">DATEVALUE(CONCATENATE("01/",TEXT(A131,"mm/aaaa")))</f>
        <v>42248</v>
      </c>
      <c r="C131" s="117" t="str">
        <f>'Relatório GERAL'!B131</f>
        <v>seg</v>
      </c>
      <c r="D131" s="18" t="str">
        <f>IF(OR(C131="SÁB",C131="DOM"),"",IFERROR(IF(VLOOKUP(VLOOKUP(A131,'Relatório GERAL'!$A:$T,$E$1,0),'Dados de consulta'!$A$2:$D$38,4,0)=0,"",VLOOKUP(VLOOKUP(A131,'Relatório GERAL'!$A:$T,$E$1,0),'Dados de consulta'!$A$2:$D$38,4,0)),""))</f>
        <v/>
      </c>
      <c r="O131" s="27">
        <v>46082</v>
      </c>
    </row>
    <row r="132" spans="1:15" ht="15" x14ac:dyDescent="0.2">
      <c r="A132" s="116">
        <f>'Relatório GERAL'!A132</f>
        <v>42255</v>
      </c>
      <c r="B132" s="116">
        <f t="shared" si="12"/>
        <v>42248</v>
      </c>
      <c r="C132" s="117" t="str">
        <f>'Relatório GERAL'!B132</f>
        <v>ter</v>
      </c>
      <c r="D132" s="18">
        <f>IF(OR(C132="SÁB",C132="DOM"),"",IFERROR(IF(VLOOKUP(VLOOKUP(A132,'Relatório GERAL'!$A:$T,$E$1,0),'Dados de consulta'!$A$2:$D$38,4,0)=0,"",VLOOKUP(VLOOKUP(A132,'Relatório GERAL'!$A:$T,$E$1,0),'Dados de consulta'!$A$2:$D$38,4,0)),""))</f>
        <v>2</v>
      </c>
      <c r="O132" s="27">
        <v>46113</v>
      </c>
    </row>
    <row r="133" spans="1:15" ht="15" x14ac:dyDescent="0.2">
      <c r="A133" s="116">
        <f>'Relatório GERAL'!A133</f>
        <v>42256</v>
      </c>
      <c r="B133" s="116">
        <f t="shared" si="12"/>
        <v>42248</v>
      </c>
      <c r="C133" s="117" t="str">
        <f>'Relatório GERAL'!B133</f>
        <v>qua</v>
      </c>
      <c r="D133" s="18">
        <f>IF(OR(C133="SÁB",C133="DOM"),"",IFERROR(IF(VLOOKUP(VLOOKUP(A133,'Relatório GERAL'!$A:$T,$E$1,0),'Dados de consulta'!$A$2:$D$38,4,0)=0,"",VLOOKUP(VLOOKUP(A133,'Relatório GERAL'!$A:$T,$E$1,0),'Dados de consulta'!$A$2:$D$38,4,0)),""))</f>
        <v>2</v>
      </c>
      <c r="O133" s="27">
        <v>46143</v>
      </c>
    </row>
    <row r="134" spans="1:15" ht="15" x14ac:dyDescent="0.2">
      <c r="A134" s="116">
        <f>'Relatório GERAL'!A134</f>
        <v>42257</v>
      </c>
      <c r="B134" s="116">
        <f t="shared" si="12"/>
        <v>42248</v>
      </c>
      <c r="C134" s="117" t="str">
        <f>'Relatório GERAL'!B134</f>
        <v>qui</v>
      </c>
      <c r="D134" s="18">
        <f>IF(OR(C134="SÁB",C134="DOM"),"",IFERROR(IF(VLOOKUP(VLOOKUP(A134,'Relatório GERAL'!$A:$T,$E$1,0),'Dados de consulta'!$A$2:$D$38,4,0)=0,"",VLOOKUP(VLOOKUP(A134,'Relatório GERAL'!$A:$T,$E$1,0),'Dados de consulta'!$A$2:$D$38,4,0)),""))</f>
        <v>4</v>
      </c>
      <c r="O134" s="27">
        <v>46174</v>
      </c>
    </row>
    <row r="135" spans="1:15" ht="15" x14ac:dyDescent="0.2">
      <c r="A135" s="116">
        <f>'Relatório GERAL'!A135</f>
        <v>42258</v>
      </c>
      <c r="B135" s="116">
        <f t="shared" si="12"/>
        <v>42248</v>
      </c>
      <c r="C135" s="117" t="str">
        <f>'Relatório GERAL'!B135</f>
        <v>sex</v>
      </c>
      <c r="D135" s="18" t="str">
        <f>IF(OR(C135="SÁB",C135="DOM"),"",IFERROR(IF(VLOOKUP(VLOOKUP(A135,'Relatório GERAL'!$A:$T,$E$1,0),'Dados de consulta'!$A$2:$D$38,4,0)=0,"",VLOOKUP(VLOOKUP(A135,'Relatório GERAL'!$A:$T,$E$1,0),'Dados de consulta'!$A$2:$D$38,4,0)),""))</f>
        <v/>
      </c>
      <c r="O135" s="27">
        <v>46204</v>
      </c>
    </row>
    <row r="136" spans="1:15" ht="15" x14ac:dyDescent="0.2">
      <c r="A136" s="116">
        <f>'Relatório GERAL'!A136</f>
        <v>42259</v>
      </c>
      <c r="B136" s="116">
        <f t="shared" si="12"/>
        <v>42248</v>
      </c>
      <c r="C136" s="117" t="str">
        <f>'Relatório GERAL'!B136</f>
        <v>sáb</v>
      </c>
      <c r="D136" s="18" t="str">
        <f>IF(OR(C136="SÁB",C136="DOM"),"",IFERROR(IF(VLOOKUP(VLOOKUP(A136,'Relatório GERAL'!$A:$T,$E$1,0),'Dados de consulta'!$A$2:$D$38,4,0)=0,"",VLOOKUP(VLOOKUP(A136,'Relatório GERAL'!$A:$T,$E$1,0),'Dados de consulta'!$A$2:$D$38,4,0)),""))</f>
        <v/>
      </c>
      <c r="O136" s="27">
        <v>46235</v>
      </c>
    </row>
    <row r="137" spans="1:15" ht="15" x14ac:dyDescent="0.2">
      <c r="A137" s="116">
        <f>'Relatório GERAL'!A137</f>
        <v>42260</v>
      </c>
      <c r="B137" s="116">
        <f t="shared" si="12"/>
        <v>42248</v>
      </c>
      <c r="C137" s="117" t="str">
        <f>'Relatório GERAL'!B137</f>
        <v>dom</v>
      </c>
      <c r="D137" s="18" t="str">
        <f>IF(OR(C137="SÁB",C137="DOM"),"",IFERROR(IF(VLOOKUP(VLOOKUP(A137,'Relatório GERAL'!$A:$T,$E$1,0),'Dados de consulta'!$A$2:$D$38,4,0)=0,"",VLOOKUP(VLOOKUP(A137,'Relatório GERAL'!$A:$T,$E$1,0),'Dados de consulta'!$A$2:$D$38,4,0)),""))</f>
        <v/>
      </c>
      <c r="O137" s="27">
        <v>46266</v>
      </c>
    </row>
    <row r="138" spans="1:15" ht="15" x14ac:dyDescent="0.2">
      <c r="A138" s="116">
        <f>'Relatório GERAL'!A138</f>
        <v>42261</v>
      </c>
      <c r="B138" s="116">
        <f t="shared" si="12"/>
        <v>42248</v>
      </c>
      <c r="C138" s="117" t="str">
        <f>'Relatório GERAL'!B138</f>
        <v>seg</v>
      </c>
      <c r="D138" s="18" t="str">
        <f>IF(OR(C138="SÁB",C138="DOM"),"",IFERROR(IF(VLOOKUP(VLOOKUP(A138,'Relatório GERAL'!$A:$T,$E$1,0),'Dados de consulta'!$A$2:$D$38,4,0)=0,"",VLOOKUP(VLOOKUP(A138,'Relatório GERAL'!$A:$T,$E$1,0),'Dados de consulta'!$A$2:$D$38,4,0)),""))</f>
        <v/>
      </c>
      <c r="O138" s="27">
        <v>46296</v>
      </c>
    </row>
    <row r="139" spans="1:15" ht="15" x14ac:dyDescent="0.2">
      <c r="A139" s="116">
        <f>'Relatório GERAL'!A139</f>
        <v>42262</v>
      </c>
      <c r="B139" s="116">
        <f t="shared" si="12"/>
        <v>42248</v>
      </c>
      <c r="C139" s="117" t="str">
        <f>'Relatório GERAL'!B139</f>
        <v>ter</v>
      </c>
      <c r="D139" s="18" t="str">
        <f>IF(OR(C139="SÁB",C139="DOM"),"",IFERROR(IF(VLOOKUP(VLOOKUP(A139,'Relatório GERAL'!$A:$T,$E$1,0),'Dados de consulta'!$A$2:$D$38,4,0)=0,"",VLOOKUP(VLOOKUP(A139,'Relatório GERAL'!$A:$T,$E$1,0),'Dados de consulta'!$A$2:$D$38,4,0)),""))</f>
        <v/>
      </c>
      <c r="O139" s="27">
        <v>46327</v>
      </c>
    </row>
    <row r="140" spans="1:15" ht="15" x14ac:dyDescent="0.2">
      <c r="A140" s="116">
        <f>'Relatório GERAL'!A140</f>
        <v>42263</v>
      </c>
      <c r="B140" s="116">
        <f t="shared" si="12"/>
        <v>42248</v>
      </c>
      <c r="C140" s="117" t="str">
        <f>'Relatório GERAL'!B140</f>
        <v>qua</v>
      </c>
      <c r="D140" s="18" t="str">
        <f>IF(OR(C140="SÁB",C140="DOM"),"",IFERROR(IF(VLOOKUP(VLOOKUP(A140,'Relatório GERAL'!$A:$T,$E$1,0),'Dados de consulta'!$A$2:$D$38,4,0)=0,"",VLOOKUP(VLOOKUP(A140,'Relatório GERAL'!$A:$T,$E$1,0),'Dados de consulta'!$A$2:$D$38,4,0)),""))</f>
        <v/>
      </c>
      <c r="O140" s="27">
        <v>46357</v>
      </c>
    </row>
    <row r="141" spans="1:15" ht="15" x14ac:dyDescent="0.2">
      <c r="A141" s="116">
        <f>'Relatório GERAL'!A141</f>
        <v>42264</v>
      </c>
      <c r="B141" s="116">
        <f t="shared" si="12"/>
        <v>42248</v>
      </c>
      <c r="C141" s="117" t="str">
        <f>'Relatório GERAL'!B141</f>
        <v>qui</v>
      </c>
      <c r="D141" s="18">
        <f>IF(OR(C141="SÁB",C141="DOM"),"",IFERROR(IF(VLOOKUP(VLOOKUP(A141,'Relatório GERAL'!$A:$T,$E$1,0),'Dados de consulta'!$A$2:$D$38,4,0)=0,"",VLOOKUP(VLOOKUP(A141,'Relatório GERAL'!$A:$T,$E$1,0),'Dados de consulta'!$A$2:$D$38,4,0)),""))</f>
        <v>4</v>
      </c>
      <c r="O141" s="27">
        <v>46388</v>
      </c>
    </row>
    <row r="142" spans="1:15" ht="15" x14ac:dyDescent="0.2">
      <c r="A142" s="116">
        <f>'Relatório GERAL'!A142</f>
        <v>42265</v>
      </c>
      <c r="B142" s="116">
        <f t="shared" si="12"/>
        <v>42248</v>
      </c>
      <c r="C142" s="117" t="str">
        <f>'Relatório GERAL'!B142</f>
        <v>sex</v>
      </c>
      <c r="D142" s="18" t="str">
        <f>IF(OR(C142="SÁB",C142="DOM"),"",IFERROR(IF(VLOOKUP(VLOOKUP(A142,'Relatório GERAL'!$A:$T,$E$1,0),'Dados de consulta'!$A$2:$D$38,4,0)=0,"",VLOOKUP(VLOOKUP(A142,'Relatório GERAL'!$A:$T,$E$1,0),'Dados de consulta'!$A$2:$D$38,4,0)),""))</f>
        <v/>
      </c>
      <c r="O142" s="27">
        <v>46419</v>
      </c>
    </row>
    <row r="143" spans="1:15" ht="15" x14ac:dyDescent="0.2">
      <c r="A143" s="116">
        <f>'Relatório GERAL'!A143</f>
        <v>42266</v>
      </c>
      <c r="B143" s="116">
        <f t="shared" si="12"/>
        <v>42248</v>
      </c>
      <c r="C143" s="117" t="str">
        <f>'Relatório GERAL'!B143</f>
        <v>sáb</v>
      </c>
      <c r="D143" s="18" t="str">
        <f>IF(OR(C143="SÁB",C143="DOM"),"",IFERROR(IF(VLOOKUP(VLOOKUP(A143,'Relatório GERAL'!$A:$T,$E$1,0),'Dados de consulta'!$A$2:$D$38,4,0)=0,"",VLOOKUP(VLOOKUP(A143,'Relatório GERAL'!$A:$T,$E$1,0),'Dados de consulta'!$A$2:$D$38,4,0)),""))</f>
        <v/>
      </c>
      <c r="O143" s="27">
        <v>46447</v>
      </c>
    </row>
    <row r="144" spans="1:15" ht="15" x14ac:dyDescent="0.2">
      <c r="A144" s="116">
        <f>'Relatório GERAL'!A144</f>
        <v>42267</v>
      </c>
      <c r="B144" s="116">
        <f t="shared" si="12"/>
        <v>42248</v>
      </c>
      <c r="C144" s="117" t="str">
        <f>'Relatório GERAL'!B144</f>
        <v>dom</v>
      </c>
      <c r="D144" s="18" t="str">
        <f>IF(OR(C144="SÁB",C144="DOM"),"",IFERROR(IF(VLOOKUP(VLOOKUP(A144,'Relatório GERAL'!$A:$T,$E$1,0),'Dados de consulta'!$A$2:$D$38,4,0)=0,"",VLOOKUP(VLOOKUP(A144,'Relatório GERAL'!$A:$T,$E$1,0),'Dados de consulta'!$A$2:$D$38,4,0)),""))</f>
        <v/>
      </c>
      <c r="O144" s="27">
        <v>46478</v>
      </c>
    </row>
    <row r="145" spans="1:15" ht="15" x14ac:dyDescent="0.2">
      <c r="A145" s="116">
        <f>'Relatório GERAL'!A145</f>
        <v>42268</v>
      </c>
      <c r="B145" s="116">
        <f t="shared" si="12"/>
        <v>42248</v>
      </c>
      <c r="C145" s="117" t="str">
        <f>'Relatório GERAL'!B145</f>
        <v>seg</v>
      </c>
      <c r="D145" s="18" t="str">
        <f>IF(OR(C145="SÁB",C145="DOM"),"",IFERROR(IF(VLOOKUP(VLOOKUP(A145,'Relatório GERAL'!$A:$T,$E$1,0),'Dados de consulta'!$A$2:$D$38,4,0)=0,"",VLOOKUP(VLOOKUP(A145,'Relatório GERAL'!$A:$T,$E$1,0),'Dados de consulta'!$A$2:$D$38,4,0)),""))</f>
        <v/>
      </c>
      <c r="O145" s="27">
        <v>46508</v>
      </c>
    </row>
    <row r="146" spans="1:15" ht="15" x14ac:dyDescent="0.2">
      <c r="A146" s="116">
        <f>'Relatório GERAL'!A146</f>
        <v>42269</v>
      </c>
      <c r="B146" s="116">
        <f t="shared" si="12"/>
        <v>42248</v>
      </c>
      <c r="C146" s="117" t="str">
        <f>'Relatório GERAL'!B146</f>
        <v>ter</v>
      </c>
      <c r="D146" s="18" t="str">
        <f>IF(OR(C146="SÁB",C146="DOM"),"",IFERROR(IF(VLOOKUP(VLOOKUP(A146,'Relatório GERAL'!$A:$T,$E$1,0),'Dados de consulta'!$A$2:$D$38,4,0)=0,"",VLOOKUP(VLOOKUP(A146,'Relatório GERAL'!$A:$T,$E$1,0),'Dados de consulta'!$A$2:$D$38,4,0)),""))</f>
        <v/>
      </c>
      <c r="O146" s="27">
        <v>46539</v>
      </c>
    </row>
    <row r="147" spans="1:15" ht="15" x14ac:dyDescent="0.2">
      <c r="A147" s="116">
        <f>'Relatório GERAL'!A147</f>
        <v>42270</v>
      </c>
      <c r="B147" s="116">
        <f t="shared" si="12"/>
        <v>42248</v>
      </c>
      <c r="C147" s="117" t="str">
        <f>'Relatório GERAL'!B147</f>
        <v>qua</v>
      </c>
      <c r="D147" s="18" t="str">
        <f>IF(OR(C147="SÁB",C147="DOM"),"",IFERROR(IF(VLOOKUP(VLOOKUP(A147,'Relatório GERAL'!$A:$T,$E$1,0),'Dados de consulta'!$A$2:$D$38,4,0)=0,"",VLOOKUP(VLOOKUP(A147,'Relatório GERAL'!$A:$T,$E$1,0),'Dados de consulta'!$A$2:$D$38,4,0)),""))</f>
        <v/>
      </c>
      <c r="O147" s="27">
        <v>46569</v>
      </c>
    </row>
    <row r="148" spans="1:15" ht="15" x14ac:dyDescent="0.2">
      <c r="A148" s="116">
        <f>'Relatório GERAL'!A148</f>
        <v>42271</v>
      </c>
      <c r="B148" s="116">
        <f t="shared" si="12"/>
        <v>42248</v>
      </c>
      <c r="C148" s="117" t="str">
        <f>'Relatório GERAL'!B148</f>
        <v>qui</v>
      </c>
      <c r="D148" s="18">
        <f>IF(OR(C148="SÁB",C148="DOM"),"",IFERROR(IF(VLOOKUP(VLOOKUP(A148,'Relatório GERAL'!$A:$T,$E$1,0),'Dados de consulta'!$A$2:$D$38,4,0)=0,"",VLOOKUP(VLOOKUP(A148,'Relatório GERAL'!$A:$T,$E$1,0),'Dados de consulta'!$A$2:$D$38,4,0)),""))</f>
        <v>4</v>
      </c>
      <c r="O148" s="27">
        <v>46600</v>
      </c>
    </row>
    <row r="149" spans="1:15" ht="15" x14ac:dyDescent="0.2">
      <c r="A149" s="116">
        <f>'Relatório GERAL'!A149</f>
        <v>42272</v>
      </c>
      <c r="B149" s="116">
        <f t="shared" si="12"/>
        <v>42248</v>
      </c>
      <c r="C149" s="117" t="str">
        <f>'Relatório GERAL'!B149</f>
        <v>sex</v>
      </c>
      <c r="D149" s="18" t="str">
        <f>IF(OR(C149="SÁB",C149="DOM"),"",IFERROR(IF(VLOOKUP(VLOOKUP(A149,'Relatório GERAL'!$A:$T,$E$1,0),'Dados de consulta'!$A$2:$D$38,4,0)=0,"",VLOOKUP(VLOOKUP(A149,'Relatório GERAL'!$A:$T,$E$1,0),'Dados de consulta'!$A$2:$D$38,4,0)),""))</f>
        <v/>
      </c>
      <c r="O149" s="27">
        <v>46631</v>
      </c>
    </row>
    <row r="150" spans="1:15" ht="15" x14ac:dyDescent="0.2">
      <c r="A150" s="116">
        <f>'Relatório GERAL'!A150</f>
        <v>42273</v>
      </c>
      <c r="B150" s="116">
        <f t="shared" si="12"/>
        <v>42248</v>
      </c>
      <c r="C150" s="117" t="str">
        <f>'Relatório GERAL'!B150</f>
        <v>sáb</v>
      </c>
      <c r="D150" s="18" t="str">
        <f>IF(OR(C150="SÁB",C150="DOM"),"",IFERROR(IF(VLOOKUP(VLOOKUP(A150,'Relatório GERAL'!$A:$T,$E$1,0),'Dados de consulta'!$A$2:$D$38,4,0)=0,"",VLOOKUP(VLOOKUP(A150,'Relatório GERAL'!$A:$T,$E$1,0),'Dados de consulta'!$A$2:$D$38,4,0)),""))</f>
        <v/>
      </c>
      <c r="O150" s="27">
        <v>46661</v>
      </c>
    </row>
    <row r="151" spans="1:15" ht="15" x14ac:dyDescent="0.2">
      <c r="A151" s="116">
        <f>'Relatório GERAL'!A151</f>
        <v>42274</v>
      </c>
      <c r="B151" s="116">
        <f t="shared" si="12"/>
        <v>42248</v>
      </c>
      <c r="C151" s="117" t="str">
        <f>'Relatório GERAL'!B151</f>
        <v>dom</v>
      </c>
      <c r="D151" s="18" t="str">
        <f>IF(OR(C151="SÁB",C151="DOM"),"",IFERROR(IF(VLOOKUP(VLOOKUP(A151,'Relatório GERAL'!$A:$T,$E$1,0),'Dados de consulta'!$A$2:$D$38,4,0)=0,"",VLOOKUP(VLOOKUP(A151,'Relatório GERAL'!$A:$T,$E$1,0),'Dados de consulta'!$A$2:$D$38,4,0)),""))</f>
        <v/>
      </c>
      <c r="O151" s="27">
        <v>46692</v>
      </c>
    </row>
    <row r="152" spans="1:15" ht="15" x14ac:dyDescent="0.2">
      <c r="A152" s="116">
        <f>'Relatório GERAL'!A152</f>
        <v>42275</v>
      </c>
      <c r="B152" s="116">
        <f t="shared" si="12"/>
        <v>42248</v>
      </c>
      <c r="C152" s="117" t="str">
        <f>'Relatório GERAL'!B152</f>
        <v>seg</v>
      </c>
      <c r="D152" s="18" t="str">
        <f>IF(OR(C152="SÁB",C152="DOM"),"",IFERROR(IF(VLOOKUP(VLOOKUP(A152,'Relatório GERAL'!$A:$T,$E$1,0),'Dados de consulta'!$A$2:$D$38,4,0)=0,"",VLOOKUP(VLOOKUP(A152,'Relatório GERAL'!$A:$T,$E$1,0),'Dados de consulta'!$A$2:$D$38,4,0)),""))</f>
        <v/>
      </c>
      <c r="O152" s="27">
        <v>46722</v>
      </c>
    </row>
    <row r="153" spans="1:15" ht="15" x14ac:dyDescent="0.2">
      <c r="A153" s="116">
        <f>'Relatório GERAL'!A153</f>
        <v>42276</v>
      </c>
      <c r="B153" s="116">
        <f t="shared" si="12"/>
        <v>42248</v>
      </c>
      <c r="C153" s="117" t="str">
        <f>'Relatório GERAL'!B153</f>
        <v>ter</v>
      </c>
      <c r="D153" s="18" t="str">
        <f>IF(OR(C153="SÁB",C153="DOM"),"",IFERROR(IF(VLOOKUP(VLOOKUP(A153,'Relatório GERAL'!$A:$T,$E$1,0),'Dados de consulta'!$A$2:$D$38,4,0)=0,"",VLOOKUP(VLOOKUP(A153,'Relatório GERAL'!$A:$T,$E$1,0),'Dados de consulta'!$A$2:$D$38,4,0)),""))</f>
        <v/>
      </c>
      <c r="O153" s="27">
        <v>46753</v>
      </c>
    </row>
    <row r="154" spans="1:15" ht="15" x14ac:dyDescent="0.2">
      <c r="A154" s="116">
        <f>'Relatório GERAL'!A154</f>
        <v>42277</v>
      </c>
      <c r="B154" s="116">
        <f t="shared" si="12"/>
        <v>42248</v>
      </c>
      <c r="C154" s="117" t="str">
        <f>'Relatório GERAL'!B154</f>
        <v>qua</v>
      </c>
      <c r="D154" s="18" t="str">
        <f>IF(OR(C154="SÁB",C154="DOM"),"",IFERROR(IF(VLOOKUP(VLOOKUP(A154,'Relatório GERAL'!$A:$T,$E$1,0),'Dados de consulta'!$A$2:$D$38,4,0)=0,"",VLOOKUP(VLOOKUP(A154,'Relatório GERAL'!$A:$T,$E$1,0),'Dados de consulta'!$A$2:$D$38,4,0)),""))</f>
        <v/>
      </c>
      <c r="O154" s="27">
        <v>46784</v>
      </c>
    </row>
    <row r="155" spans="1:15" ht="15" x14ac:dyDescent="0.2">
      <c r="A155" s="116">
        <f>'Relatório GERAL'!A155</f>
        <v>42278</v>
      </c>
      <c r="B155" s="116">
        <f t="shared" si="12"/>
        <v>42278</v>
      </c>
      <c r="C155" s="117" t="str">
        <f>'Relatório GERAL'!B155</f>
        <v>qui</v>
      </c>
      <c r="D155" s="18" t="str">
        <f>IF(OR(C155="SÁB",C155="DOM"),"",IFERROR(IF(VLOOKUP(VLOOKUP(A155,'Relatório GERAL'!$A:$T,$E$1,0),'Dados de consulta'!$A$2:$D$38,4,0)=0,"",VLOOKUP(VLOOKUP(A155,'Relatório GERAL'!$A:$T,$E$1,0),'Dados de consulta'!$A$2:$D$38,4,0)),""))</f>
        <v/>
      </c>
      <c r="O155" s="27">
        <v>46813</v>
      </c>
    </row>
    <row r="156" spans="1:15" ht="15" x14ac:dyDescent="0.2">
      <c r="A156" s="116">
        <f>'Relatório GERAL'!A156</f>
        <v>42279</v>
      </c>
      <c r="B156" s="116">
        <f t="shared" si="12"/>
        <v>42278</v>
      </c>
      <c r="C156" s="117" t="str">
        <f>'Relatório GERAL'!B156</f>
        <v>sex</v>
      </c>
      <c r="D156" s="18" t="str">
        <f>IF(OR(C156="SÁB",C156="DOM"),"",IFERROR(IF(VLOOKUP(VLOOKUP(A156,'Relatório GERAL'!$A:$T,$E$1,0),'Dados de consulta'!$A$2:$D$38,4,0)=0,"",VLOOKUP(VLOOKUP(A156,'Relatório GERAL'!$A:$T,$E$1,0),'Dados de consulta'!$A$2:$D$38,4,0)),""))</f>
        <v/>
      </c>
      <c r="O156" s="27">
        <v>46844</v>
      </c>
    </row>
    <row r="157" spans="1:15" ht="15" x14ac:dyDescent="0.2">
      <c r="A157" s="116">
        <f>'Relatório GERAL'!A157</f>
        <v>42280</v>
      </c>
      <c r="B157" s="116">
        <f t="shared" si="12"/>
        <v>42278</v>
      </c>
      <c r="C157" s="117" t="str">
        <f>'Relatório GERAL'!B157</f>
        <v>sáb</v>
      </c>
      <c r="D157" s="18" t="str">
        <f>IF(OR(C157="SÁB",C157="DOM"),"",IFERROR(IF(VLOOKUP(VLOOKUP(A157,'Relatório GERAL'!$A:$T,$E$1,0),'Dados de consulta'!$A$2:$D$38,4,0)=0,"",VLOOKUP(VLOOKUP(A157,'Relatório GERAL'!$A:$T,$E$1,0),'Dados de consulta'!$A$2:$D$38,4,0)),""))</f>
        <v/>
      </c>
      <c r="O157" s="27">
        <v>46874</v>
      </c>
    </row>
    <row r="158" spans="1:15" ht="15" x14ac:dyDescent="0.2">
      <c r="A158" s="116">
        <f>'Relatório GERAL'!A158</f>
        <v>42281</v>
      </c>
      <c r="B158" s="116">
        <f t="shared" si="12"/>
        <v>42278</v>
      </c>
      <c r="C158" s="117" t="str">
        <f>'Relatório GERAL'!B158</f>
        <v>dom</v>
      </c>
      <c r="D158" s="18" t="str">
        <f>IF(OR(C158="SÁB",C158="DOM"),"",IFERROR(IF(VLOOKUP(VLOOKUP(A158,'Relatório GERAL'!$A:$T,$E$1,0),'Dados de consulta'!$A$2:$D$38,4,0)=0,"",VLOOKUP(VLOOKUP(A158,'Relatório GERAL'!$A:$T,$E$1,0),'Dados de consulta'!$A$2:$D$38,4,0)),""))</f>
        <v/>
      </c>
      <c r="O158" s="27">
        <v>46905</v>
      </c>
    </row>
    <row r="159" spans="1:15" ht="15" x14ac:dyDescent="0.2">
      <c r="A159" s="116">
        <f>'Relatório GERAL'!A159</f>
        <v>42282</v>
      </c>
      <c r="B159" s="116">
        <f t="shared" si="12"/>
        <v>42278</v>
      </c>
      <c r="C159" s="117" t="str">
        <f>'Relatório GERAL'!B159</f>
        <v>seg</v>
      </c>
      <c r="D159" s="18" t="str">
        <f>IF(OR(C159="SÁB",C159="DOM"),"",IFERROR(IF(VLOOKUP(VLOOKUP(A159,'Relatório GERAL'!$A:$T,$E$1,0),'Dados de consulta'!$A$2:$D$38,4,0)=0,"",VLOOKUP(VLOOKUP(A159,'Relatório GERAL'!$A:$T,$E$1,0),'Dados de consulta'!$A$2:$D$38,4,0)),""))</f>
        <v/>
      </c>
      <c r="O159" s="27">
        <v>46935</v>
      </c>
    </row>
    <row r="160" spans="1:15" ht="15" x14ac:dyDescent="0.2">
      <c r="A160" s="116">
        <f>'Relatório GERAL'!A160</f>
        <v>42283</v>
      </c>
      <c r="B160" s="116">
        <f t="shared" si="12"/>
        <v>42278</v>
      </c>
      <c r="C160" s="117" t="str">
        <f>'Relatório GERAL'!B160</f>
        <v>ter</v>
      </c>
      <c r="D160" s="18">
        <f>IF(OR(C160="SÁB",C160="DOM"),"",IFERROR(IF(VLOOKUP(VLOOKUP(A160,'Relatório GERAL'!$A:$T,$E$1,0),'Dados de consulta'!$A$2:$D$38,4,0)=0,"",VLOOKUP(VLOOKUP(A160,'Relatório GERAL'!$A:$T,$E$1,0),'Dados de consulta'!$A$2:$D$38,4,0)),""))</f>
        <v>4</v>
      </c>
      <c r="O160" s="27">
        <v>46966</v>
      </c>
    </row>
    <row r="161" spans="1:15" ht="15" x14ac:dyDescent="0.2">
      <c r="A161" s="116">
        <f>'Relatório GERAL'!A161</f>
        <v>42284</v>
      </c>
      <c r="B161" s="116">
        <f t="shared" si="12"/>
        <v>42278</v>
      </c>
      <c r="C161" s="117" t="str">
        <f>'Relatório GERAL'!B161</f>
        <v>qua</v>
      </c>
      <c r="D161" s="18" t="str">
        <f>IF(OR(C161="SÁB",C161="DOM"),"",IFERROR(IF(VLOOKUP(VLOOKUP(A161,'Relatório GERAL'!$A:$T,$E$1,0),'Dados de consulta'!$A$2:$D$38,4,0)=0,"",VLOOKUP(VLOOKUP(A161,'Relatório GERAL'!$A:$T,$E$1,0),'Dados de consulta'!$A$2:$D$38,4,0)),""))</f>
        <v/>
      </c>
      <c r="O161" s="27">
        <v>46997</v>
      </c>
    </row>
    <row r="162" spans="1:15" ht="15" x14ac:dyDescent="0.2">
      <c r="A162" s="116">
        <f>'Relatório GERAL'!A162</f>
        <v>42285</v>
      </c>
      <c r="B162" s="116">
        <f t="shared" si="12"/>
        <v>42278</v>
      </c>
      <c r="C162" s="117" t="str">
        <f>'Relatório GERAL'!B162</f>
        <v>qui</v>
      </c>
      <c r="D162" s="18" t="str">
        <f>IF(OR(C162="SÁB",C162="DOM"),"",IFERROR(IF(VLOOKUP(VLOOKUP(A162,'Relatório GERAL'!$A:$T,$E$1,0),'Dados de consulta'!$A$2:$D$38,4,0)=0,"",VLOOKUP(VLOOKUP(A162,'Relatório GERAL'!$A:$T,$E$1,0),'Dados de consulta'!$A$2:$D$38,4,0)),""))</f>
        <v/>
      </c>
      <c r="O162" s="27">
        <v>47027</v>
      </c>
    </row>
    <row r="163" spans="1:15" ht="15" x14ac:dyDescent="0.2">
      <c r="A163" s="116">
        <f>'Relatório GERAL'!A163</f>
        <v>42286</v>
      </c>
      <c r="B163" s="116">
        <f t="shared" si="12"/>
        <v>42278</v>
      </c>
      <c r="C163" s="117" t="str">
        <f>'Relatório GERAL'!B163</f>
        <v>sex</v>
      </c>
      <c r="D163" s="18" t="str">
        <f>IF(OR(C163="SÁB",C163="DOM"),"",IFERROR(IF(VLOOKUP(VLOOKUP(A163,'Relatório GERAL'!$A:$T,$E$1,0),'Dados de consulta'!$A$2:$D$38,4,0)=0,"",VLOOKUP(VLOOKUP(A163,'Relatório GERAL'!$A:$T,$E$1,0),'Dados de consulta'!$A$2:$D$38,4,0)),""))</f>
        <v/>
      </c>
      <c r="O163" s="27">
        <v>47058</v>
      </c>
    </row>
    <row r="164" spans="1:15" ht="15" x14ac:dyDescent="0.2">
      <c r="A164" s="116">
        <f>'Relatório GERAL'!A164</f>
        <v>42287</v>
      </c>
      <c r="B164" s="116">
        <f t="shared" si="12"/>
        <v>42278</v>
      </c>
      <c r="C164" s="117" t="str">
        <f>'Relatório GERAL'!B164</f>
        <v>sáb</v>
      </c>
      <c r="D164" s="18" t="str">
        <f>IF(OR(C164="SÁB",C164="DOM"),"",IFERROR(IF(VLOOKUP(VLOOKUP(A164,'Relatório GERAL'!$A:$T,$E$1,0),'Dados de consulta'!$A$2:$D$38,4,0)=0,"",VLOOKUP(VLOOKUP(A164,'Relatório GERAL'!$A:$T,$E$1,0),'Dados de consulta'!$A$2:$D$38,4,0)),""))</f>
        <v/>
      </c>
      <c r="O164" s="27">
        <v>47088</v>
      </c>
    </row>
    <row r="165" spans="1:15" ht="15" x14ac:dyDescent="0.2">
      <c r="A165" s="116">
        <f>'Relatório GERAL'!A165</f>
        <v>42288</v>
      </c>
      <c r="B165" s="116">
        <f t="shared" si="12"/>
        <v>42278</v>
      </c>
      <c r="C165" s="117" t="str">
        <f>'Relatório GERAL'!B165</f>
        <v>dom</v>
      </c>
      <c r="D165" s="18" t="str">
        <f>IF(OR(C165="SÁB",C165="DOM"),"",IFERROR(IF(VLOOKUP(VLOOKUP(A165,'Relatório GERAL'!$A:$T,$E$1,0),'Dados de consulta'!$A$2:$D$38,4,0)=0,"",VLOOKUP(VLOOKUP(A165,'Relatório GERAL'!$A:$T,$E$1,0),'Dados de consulta'!$A$2:$D$38,4,0)),""))</f>
        <v/>
      </c>
      <c r="O165" s="27">
        <v>47119</v>
      </c>
    </row>
    <row r="166" spans="1:15" ht="15" x14ac:dyDescent="0.2">
      <c r="A166" s="116">
        <f>'Relatório GERAL'!A166</f>
        <v>42289</v>
      </c>
      <c r="B166" s="116">
        <f t="shared" si="12"/>
        <v>42278</v>
      </c>
      <c r="C166" s="117" t="str">
        <f>'Relatório GERAL'!B166</f>
        <v>seg</v>
      </c>
      <c r="D166" s="18" t="str">
        <f>IF(OR(C166="SÁB",C166="DOM"),"",IFERROR(IF(VLOOKUP(VLOOKUP(A166,'Relatório GERAL'!$A:$T,$E$1,0),'Dados de consulta'!$A$2:$D$38,4,0)=0,"",VLOOKUP(VLOOKUP(A166,'Relatório GERAL'!$A:$T,$E$1,0),'Dados de consulta'!$A$2:$D$38,4,0)),""))</f>
        <v/>
      </c>
      <c r="O166" s="27">
        <v>47150</v>
      </c>
    </row>
    <row r="167" spans="1:15" ht="15" x14ac:dyDescent="0.2">
      <c r="A167" s="116">
        <f>'Relatório GERAL'!A167</f>
        <v>42290</v>
      </c>
      <c r="B167" s="116">
        <f t="shared" si="12"/>
        <v>42278</v>
      </c>
      <c r="C167" s="117" t="str">
        <f>'Relatório GERAL'!B167</f>
        <v>ter</v>
      </c>
      <c r="D167" s="18" t="str">
        <f>IF(OR(C167="SÁB",C167="DOM"),"",IFERROR(IF(VLOOKUP(VLOOKUP(A167,'Relatório GERAL'!$A:$T,$E$1,0),'Dados de consulta'!$A$2:$D$38,4,0)=0,"",VLOOKUP(VLOOKUP(A167,'Relatório GERAL'!$A:$T,$E$1,0),'Dados de consulta'!$A$2:$D$38,4,0)),""))</f>
        <v/>
      </c>
      <c r="O167" s="27">
        <v>47178</v>
      </c>
    </row>
    <row r="168" spans="1:15" ht="15" x14ac:dyDescent="0.2">
      <c r="A168" s="116">
        <f>'Relatório GERAL'!A168</f>
        <v>42291</v>
      </c>
      <c r="B168" s="116">
        <f t="shared" si="12"/>
        <v>42278</v>
      </c>
      <c r="C168" s="117" t="str">
        <f>'Relatório GERAL'!B168</f>
        <v>qua</v>
      </c>
      <c r="D168" s="18" t="str">
        <f>IF(OR(C168="SÁB",C168="DOM"),"",IFERROR(IF(VLOOKUP(VLOOKUP(A168,'Relatório GERAL'!$A:$T,$E$1,0),'Dados de consulta'!$A$2:$D$38,4,0)=0,"",VLOOKUP(VLOOKUP(A168,'Relatório GERAL'!$A:$T,$E$1,0),'Dados de consulta'!$A$2:$D$38,4,0)),""))</f>
        <v/>
      </c>
      <c r="O168" s="27">
        <v>47209</v>
      </c>
    </row>
    <row r="169" spans="1:15" ht="15" x14ac:dyDescent="0.2">
      <c r="A169" s="116">
        <f>'Relatório GERAL'!A169</f>
        <v>42292</v>
      </c>
      <c r="B169" s="116">
        <f t="shared" si="12"/>
        <v>42278</v>
      </c>
      <c r="C169" s="117" t="str">
        <f>'Relatório GERAL'!B169</f>
        <v>qui</v>
      </c>
      <c r="D169" s="18" t="str">
        <f>IF(OR(C169="SÁB",C169="DOM"),"",IFERROR(IF(VLOOKUP(VLOOKUP(A169,'Relatório GERAL'!$A:$T,$E$1,0),'Dados de consulta'!$A$2:$D$38,4,0)=0,"",VLOOKUP(VLOOKUP(A169,'Relatório GERAL'!$A:$T,$E$1,0),'Dados de consulta'!$A$2:$D$38,4,0)),""))</f>
        <v/>
      </c>
      <c r="O169" s="27">
        <v>47239</v>
      </c>
    </row>
    <row r="170" spans="1:15" ht="15" x14ac:dyDescent="0.2">
      <c r="A170" s="116">
        <f>'Relatório GERAL'!A170</f>
        <v>42293</v>
      </c>
      <c r="B170" s="116">
        <f t="shared" si="12"/>
        <v>42278</v>
      </c>
      <c r="C170" s="117" t="str">
        <f>'Relatório GERAL'!B170</f>
        <v>sex</v>
      </c>
      <c r="D170" s="18" t="str">
        <f>IF(OR(C170="SÁB",C170="DOM"),"",IFERROR(IF(VLOOKUP(VLOOKUP(A170,'Relatório GERAL'!$A:$T,$E$1,0),'Dados de consulta'!$A$2:$D$38,4,0)=0,"",VLOOKUP(VLOOKUP(A170,'Relatório GERAL'!$A:$T,$E$1,0),'Dados de consulta'!$A$2:$D$38,4,0)),""))</f>
        <v/>
      </c>
      <c r="O170" s="27">
        <v>47270</v>
      </c>
    </row>
    <row r="171" spans="1:15" ht="15" x14ac:dyDescent="0.2">
      <c r="A171" s="116">
        <f>'Relatório GERAL'!A171</f>
        <v>42294</v>
      </c>
      <c r="B171" s="116">
        <f t="shared" si="12"/>
        <v>42278</v>
      </c>
      <c r="C171" s="117" t="str">
        <f>'Relatório GERAL'!B171</f>
        <v>sáb</v>
      </c>
      <c r="D171" s="18" t="str">
        <f>IF(OR(C171="SÁB",C171="DOM"),"",IFERROR(IF(VLOOKUP(VLOOKUP(A171,'Relatório GERAL'!$A:$T,$E$1,0),'Dados de consulta'!$A$2:$D$38,4,0)=0,"",VLOOKUP(VLOOKUP(A171,'Relatório GERAL'!$A:$T,$E$1,0),'Dados de consulta'!$A$2:$D$38,4,0)),""))</f>
        <v/>
      </c>
      <c r="O171" s="27">
        <v>47300</v>
      </c>
    </row>
    <row r="172" spans="1:15" ht="15" x14ac:dyDescent="0.2">
      <c r="A172" s="116">
        <f>'Relatório GERAL'!A172</f>
        <v>42295</v>
      </c>
      <c r="B172" s="116">
        <f t="shared" si="12"/>
        <v>42278</v>
      </c>
      <c r="C172" s="117" t="str">
        <f>'Relatório GERAL'!B172</f>
        <v>dom</v>
      </c>
      <c r="D172" s="18" t="str">
        <f>IF(OR(C172="SÁB",C172="DOM"),"",IFERROR(IF(VLOOKUP(VLOOKUP(A172,'Relatório GERAL'!$A:$T,$E$1,0),'Dados de consulta'!$A$2:$D$38,4,0)=0,"",VLOOKUP(VLOOKUP(A172,'Relatório GERAL'!$A:$T,$E$1,0),'Dados de consulta'!$A$2:$D$38,4,0)),""))</f>
        <v/>
      </c>
      <c r="O172" s="27">
        <v>47331</v>
      </c>
    </row>
    <row r="173" spans="1:15" ht="15" x14ac:dyDescent="0.2">
      <c r="A173" s="116">
        <f>'Relatório GERAL'!A173</f>
        <v>42296</v>
      </c>
      <c r="B173" s="116">
        <f t="shared" si="12"/>
        <v>42278</v>
      </c>
      <c r="C173" s="117" t="str">
        <f>'Relatório GERAL'!B173</f>
        <v>seg</v>
      </c>
      <c r="D173" s="18" t="str">
        <f>IF(OR(C173="SÁB",C173="DOM"),"",IFERROR(IF(VLOOKUP(VLOOKUP(A173,'Relatório GERAL'!$A:$T,$E$1,0),'Dados de consulta'!$A$2:$D$38,4,0)=0,"",VLOOKUP(VLOOKUP(A173,'Relatório GERAL'!$A:$T,$E$1,0),'Dados de consulta'!$A$2:$D$38,4,0)),""))</f>
        <v/>
      </c>
      <c r="O173" s="27">
        <v>47362</v>
      </c>
    </row>
    <row r="174" spans="1:15" ht="15" x14ac:dyDescent="0.2">
      <c r="A174" s="116">
        <f>'Relatório GERAL'!A174</f>
        <v>42297</v>
      </c>
      <c r="B174" s="116">
        <f t="shared" si="12"/>
        <v>42278</v>
      </c>
      <c r="C174" s="117" t="str">
        <f>'Relatório GERAL'!B174</f>
        <v>ter</v>
      </c>
      <c r="D174" s="18" t="str">
        <f>IF(OR(C174="SÁB",C174="DOM"),"",IFERROR(IF(VLOOKUP(VLOOKUP(A174,'Relatório GERAL'!$A:$T,$E$1,0),'Dados de consulta'!$A$2:$D$38,4,0)=0,"",VLOOKUP(VLOOKUP(A174,'Relatório GERAL'!$A:$T,$E$1,0),'Dados de consulta'!$A$2:$D$38,4,0)),""))</f>
        <v/>
      </c>
      <c r="O174" s="27">
        <v>47392</v>
      </c>
    </row>
    <row r="175" spans="1:15" ht="15" x14ac:dyDescent="0.2">
      <c r="A175" s="116">
        <f>'Relatório GERAL'!A175</f>
        <v>42298</v>
      </c>
      <c r="B175" s="116">
        <f t="shared" si="12"/>
        <v>42278</v>
      </c>
      <c r="C175" s="117" t="str">
        <f>'Relatório GERAL'!B175</f>
        <v>qua</v>
      </c>
      <c r="D175" s="18" t="str">
        <f>IF(OR(C175="SÁB",C175="DOM"),"",IFERROR(IF(VLOOKUP(VLOOKUP(A175,'Relatório GERAL'!$A:$T,$E$1,0),'Dados de consulta'!$A$2:$D$38,4,0)=0,"",VLOOKUP(VLOOKUP(A175,'Relatório GERAL'!$A:$T,$E$1,0),'Dados de consulta'!$A$2:$D$38,4,0)),""))</f>
        <v/>
      </c>
      <c r="O175" s="27">
        <v>47423</v>
      </c>
    </row>
    <row r="176" spans="1:15" ht="15" x14ac:dyDescent="0.2">
      <c r="A176" s="116">
        <f>'Relatório GERAL'!A176</f>
        <v>42299</v>
      </c>
      <c r="B176" s="116">
        <f t="shared" si="12"/>
        <v>42278</v>
      </c>
      <c r="C176" s="117" t="str">
        <f>'Relatório GERAL'!B176</f>
        <v>qui</v>
      </c>
      <c r="D176" s="18" t="str">
        <f>IF(OR(C176="SÁB",C176="DOM"),"",IFERROR(IF(VLOOKUP(VLOOKUP(A176,'Relatório GERAL'!$A:$T,$E$1,0),'Dados de consulta'!$A$2:$D$38,4,0)=0,"",VLOOKUP(VLOOKUP(A176,'Relatório GERAL'!$A:$T,$E$1,0),'Dados de consulta'!$A$2:$D$38,4,0)),""))</f>
        <v/>
      </c>
      <c r="O176" s="27">
        <v>47453</v>
      </c>
    </row>
    <row r="177" spans="1:15" ht="15" x14ac:dyDescent="0.2">
      <c r="A177" s="116">
        <f>'Relatório GERAL'!A177</f>
        <v>42300</v>
      </c>
      <c r="B177" s="116">
        <f t="shared" si="12"/>
        <v>42278</v>
      </c>
      <c r="C177" s="117" t="str">
        <f>'Relatório GERAL'!B177</f>
        <v>sex</v>
      </c>
      <c r="D177" s="18" t="str">
        <f>IF(OR(C177="SÁB",C177="DOM"),"",IFERROR(IF(VLOOKUP(VLOOKUP(A177,'Relatório GERAL'!$A:$T,$E$1,0),'Dados de consulta'!$A$2:$D$38,4,0)=0,"",VLOOKUP(VLOOKUP(A177,'Relatório GERAL'!$A:$T,$E$1,0),'Dados de consulta'!$A$2:$D$38,4,0)),""))</f>
        <v/>
      </c>
      <c r="O177" s="27">
        <v>47484</v>
      </c>
    </row>
    <row r="178" spans="1:15" ht="15" x14ac:dyDescent="0.2">
      <c r="A178" s="116">
        <f>'Relatório GERAL'!A178</f>
        <v>42301</v>
      </c>
      <c r="B178" s="116">
        <f t="shared" si="12"/>
        <v>42278</v>
      </c>
      <c r="C178" s="117" t="str">
        <f>'Relatório GERAL'!B178</f>
        <v>sáb</v>
      </c>
      <c r="D178" s="18" t="str">
        <f>IF(OR(C178="SÁB",C178="DOM"),"",IFERROR(IF(VLOOKUP(VLOOKUP(A178,'Relatório GERAL'!$A:$T,$E$1,0),'Dados de consulta'!$A$2:$D$38,4,0)=0,"",VLOOKUP(VLOOKUP(A178,'Relatório GERAL'!$A:$T,$E$1,0),'Dados de consulta'!$A$2:$D$38,4,0)),""))</f>
        <v/>
      </c>
      <c r="O178" s="27">
        <v>47515</v>
      </c>
    </row>
    <row r="179" spans="1:15" ht="15" x14ac:dyDescent="0.2">
      <c r="A179" s="116">
        <f>'Relatório GERAL'!A179</f>
        <v>42302</v>
      </c>
      <c r="B179" s="116">
        <f t="shared" si="12"/>
        <v>42278</v>
      </c>
      <c r="C179" s="117" t="str">
        <f>'Relatório GERAL'!B179</f>
        <v>dom</v>
      </c>
      <c r="D179" s="18" t="str">
        <f>IF(OR(C179="SÁB",C179="DOM"),"",IFERROR(IF(VLOOKUP(VLOOKUP(A179,'Relatório GERAL'!$A:$T,$E$1,0),'Dados de consulta'!$A$2:$D$38,4,0)=0,"",VLOOKUP(VLOOKUP(A179,'Relatório GERAL'!$A:$T,$E$1,0),'Dados de consulta'!$A$2:$D$38,4,0)),""))</f>
        <v/>
      </c>
      <c r="O179" s="27">
        <v>47543</v>
      </c>
    </row>
    <row r="180" spans="1:15" ht="15" x14ac:dyDescent="0.2">
      <c r="A180" s="116">
        <f>'Relatório GERAL'!A180</f>
        <v>42303</v>
      </c>
      <c r="B180" s="116">
        <f t="shared" si="12"/>
        <v>42278</v>
      </c>
      <c r="C180" s="117" t="str">
        <f>'Relatório GERAL'!B180</f>
        <v>seg</v>
      </c>
      <c r="D180" s="18" t="str">
        <f>IF(OR(C180="SÁB",C180="DOM"),"",IFERROR(IF(VLOOKUP(VLOOKUP(A180,'Relatório GERAL'!$A:$T,$E$1,0),'Dados de consulta'!$A$2:$D$38,4,0)=0,"",VLOOKUP(VLOOKUP(A180,'Relatório GERAL'!$A:$T,$E$1,0),'Dados de consulta'!$A$2:$D$38,4,0)),""))</f>
        <v/>
      </c>
      <c r="O180" s="27">
        <v>47574</v>
      </c>
    </row>
    <row r="181" spans="1:15" ht="15" x14ac:dyDescent="0.2">
      <c r="A181" s="116">
        <f>'Relatório GERAL'!A181</f>
        <v>42304</v>
      </c>
      <c r="B181" s="116">
        <f t="shared" si="12"/>
        <v>42278</v>
      </c>
      <c r="C181" s="117" t="str">
        <f>'Relatório GERAL'!B181</f>
        <v>ter</v>
      </c>
      <c r="D181" s="18" t="str">
        <f>IF(OR(C181="SÁB",C181="DOM"),"",IFERROR(IF(VLOOKUP(VLOOKUP(A181,'Relatório GERAL'!$A:$T,$E$1,0),'Dados de consulta'!$A$2:$D$38,4,0)=0,"",VLOOKUP(VLOOKUP(A181,'Relatório GERAL'!$A:$T,$E$1,0),'Dados de consulta'!$A$2:$D$38,4,0)),""))</f>
        <v/>
      </c>
      <c r="O181" s="27">
        <v>47604</v>
      </c>
    </row>
    <row r="182" spans="1:15" ht="15" x14ac:dyDescent="0.2">
      <c r="A182" s="116">
        <f>'Relatório GERAL'!A182</f>
        <v>42305</v>
      </c>
      <c r="B182" s="116">
        <f t="shared" si="12"/>
        <v>42278</v>
      </c>
      <c r="C182" s="117" t="str">
        <f>'Relatório GERAL'!B182</f>
        <v>qua</v>
      </c>
      <c r="D182" s="18" t="str">
        <f>IF(OR(C182="SÁB",C182="DOM"),"",IFERROR(IF(VLOOKUP(VLOOKUP(A182,'Relatório GERAL'!$A:$T,$E$1,0),'Dados de consulta'!$A$2:$D$38,4,0)=0,"",VLOOKUP(VLOOKUP(A182,'Relatório GERAL'!$A:$T,$E$1,0),'Dados de consulta'!$A$2:$D$38,4,0)),""))</f>
        <v/>
      </c>
      <c r="O182" s="27">
        <v>47635</v>
      </c>
    </row>
    <row r="183" spans="1:15" ht="15" x14ac:dyDescent="0.2">
      <c r="A183" s="116">
        <f>'Relatório GERAL'!A183</f>
        <v>42306</v>
      </c>
      <c r="B183" s="116">
        <f t="shared" si="12"/>
        <v>42278</v>
      </c>
      <c r="C183" s="117" t="str">
        <f>'Relatório GERAL'!B183</f>
        <v>qui</v>
      </c>
      <c r="D183" s="18" t="str">
        <f>IF(OR(C183="SÁB",C183="DOM"),"",IFERROR(IF(VLOOKUP(VLOOKUP(A183,'Relatório GERAL'!$A:$T,$E$1,0),'Dados de consulta'!$A$2:$D$38,4,0)=0,"",VLOOKUP(VLOOKUP(A183,'Relatório GERAL'!$A:$T,$E$1,0),'Dados de consulta'!$A$2:$D$38,4,0)),""))</f>
        <v/>
      </c>
      <c r="O183" s="27">
        <v>47665</v>
      </c>
    </row>
    <row r="184" spans="1:15" ht="15" x14ac:dyDescent="0.2">
      <c r="A184" s="116">
        <f>'Relatório GERAL'!A184</f>
        <v>42307</v>
      </c>
      <c r="B184" s="116">
        <f t="shared" si="12"/>
        <v>42278</v>
      </c>
      <c r="C184" s="117" t="str">
        <f>'Relatório GERAL'!B184</f>
        <v>sex</v>
      </c>
      <c r="D184" s="18" t="str">
        <f>IF(OR(C184="SÁB",C184="DOM"),"",IFERROR(IF(VLOOKUP(VLOOKUP(A184,'Relatório GERAL'!$A:$T,$E$1,0),'Dados de consulta'!$A$2:$D$38,4,0)=0,"",VLOOKUP(VLOOKUP(A184,'Relatório GERAL'!$A:$T,$E$1,0),'Dados de consulta'!$A$2:$D$38,4,0)),""))</f>
        <v/>
      </c>
      <c r="O184" s="27">
        <v>47696</v>
      </c>
    </row>
    <row r="185" spans="1:15" ht="15" x14ac:dyDescent="0.2">
      <c r="A185" s="116">
        <f>'Relatório GERAL'!A185</f>
        <v>42308</v>
      </c>
      <c r="B185" s="116">
        <f t="shared" si="12"/>
        <v>42278</v>
      </c>
      <c r="C185" s="117" t="str">
        <f>'Relatório GERAL'!B185</f>
        <v>sáb</v>
      </c>
      <c r="D185" s="18" t="str">
        <f>IF(OR(C185="SÁB",C185="DOM"),"",IFERROR(IF(VLOOKUP(VLOOKUP(A185,'Relatório GERAL'!$A:$T,$E$1,0),'Dados de consulta'!$A$2:$D$38,4,0)=0,"",VLOOKUP(VLOOKUP(A185,'Relatório GERAL'!$A:$T,$E$1,0),'Dados de consulta'!$A$2:$D$38,4,0)),""))</f>
        <v/>
      </c>
      <c r="O185" s="27">
        <v>47727</v>
      </c>
    </row>
    <row r="186" spans="1:15" ht="15" x14ac:dyDescent="0.2">
      <c r="A186" s="116">
        <f>'Relatório GERAL'!A186</f>
        <v>42309</v>
      </c>
      <c r="B186" s="116">
        <f t="shared" si="12"/>
        <v>42309</v>
      </c>
      <c r="C186" s="117" t="str">
        <f>'Relatório GERAL'!B186</f>
        <v>dom</v>
      </c>
      <c r="D186" s="18" t="str">
        <f>IF(OR(C186="SÁB",C186="DOM"),"",IFERROR(IF(VLOOKUP(VLOOKUP(A186,'Relatório GERAL'!$A:$T,$E$1,0),'Dados de consulta'!$A$2:$D$38,4,0)=0,"",VLOOKUP(VLOOKUP(A186,'Relatório GERAL'!$A:$T,$E$1,0),'Dados de consulta'!$A$2:$D$38,4,0)),""))</f>
        <v/>
      </c>
      <c r="O186" s="27">
        <v>47757</v>
      </c>
    </row>
    <row r="187" spans="1:15" ht="15" x14ac:dyDescent="0.2">
      <c r="A187" s="116">
        <f>'Relatório GERAL'!A187</f>
        <v>42310</v>
      </c>
      <c r="B187" s="116">
        <f t="shared" si="12"/>
        <v>42309</v>
      </c>
      <c r="C187" s="117" t="str">
        <f>'Relatório GERAL'!B187</f>
        <v>seg</v>
      </c>
      <c r="D187" s="18" t="str">
        <f>IF(OR(C187="SÁB",C187="DOM"),"",IFERROR(IF(VLOOKUP(VLOOKUP(A187,'Relatório GERAL'!$A:$T,$E$1,0),'Dados de consulta'!$A$2:$D$38,4,0)=0,"",VLOOKUP(VLOOKUP(A187,'Relatório GERAL'!$A:$T,$E$1,0),'Dados de consulta'!$A$2:$D$38,4,0)),""))</f>
        <v/>
      </c>
      <c r="O187" s="27">
        <v>47788</v>
      </c>
    </row>
    <row r="188" spans="1:15" ht="15" x14ac:dyDescent="0.2">
      <c r="A188" s="116">
        <f>'Relatório GERAL'!A188</f>
        <v>42311</v>
      </c>
      <c r="B188" s="116">
        <f t="shared" si="12"/>
        <v>42309</v>
      </c>
      <c r="C188" s="117" t="str">
        <f>'Relatório GERAL'!B188</f>
        <v>ter</v>
      </c>
      <c r="D188" s="18" t="str">
        <f>IF(OR(C188="SÁB",C188="DOM"),"",IFERROR(IF(VLOOKUP(VLOOKUP(A188,'Relatório GERAL'!$A:$T,$E$1,0),'Dados de consulta'!$A$2:$D$38,4,0)=0,"",VLOOKUP(VLOOKUP(A188,'Relatório GERAL'!$A:$T,$E$1,0),'Dados de consulta'!$A$2:$D$38,4,0)),""))</f>
        <v/>
      </c>
      <c r="O188" s="27">
        <v>47818</v>
      </c>
    </row>
    <row r="189" spans="1:15" ht="15" x14ac:dyDescent="0.2">
      <c r="A189" s="116">
        <f>'Relatório GERAL'!A189</f>
        <v>42312</v>
      </c>
      <c r="B189" s="116">
        <f t="shared" si="12"/>
        <v>42309</v>
      </c>
      <c r="C189" s="117" t="str">
        <f>'Relatório GERAL'!B189</f>
        <v>qua</v>
      </c>
      <c r="D189" s="18" t="str">
        <f>IF(OR(C189="SÁB",C189="DOM"),"",IFERROR(IF(VLOOKUP(VLOOKUP(A189,'Relatório GERAL'!$A:$T,$E$1,0),'Dados de consulta'!$A$2:$D$38,4,0)=0,"",VLOOKUP(VLOOKUP(A189,'Relatório GERAL'!$A:$T,$E$1,0),'Dados de consulta'!$A$2:$D$38,4,0)),""))</f>
        <v/>
      </c>
      <c r="O189" s="27">
        <v>47849</v>
      </c>
    </row>
    <row r="190" spans="1:15" ht="15" x14ac:dyDescent="0.2">
      <c r="A190" s="116">
        <f>'Relatório GERAL'!A190</f>
        <v>42313</v>
      </c>
      <c r="B190" s="116">
        <f t="shared" si="12"/>
        <v>42309</v>
      </c>
      <c r="C190" s="117" t="str">
        <f>'Relatório GERAL'!B190</f>
        <v>qui</v>
      </c>
      <c r="D190" s="18" t="str">
        <f>IF(OR(C190="SÁB",C190="DOM"),"",IFERROR(IF(VLOOKUP(VLOOKUP(A190,'Relatório GERAL'!$A:$T,$E$1,0),'Dados de consulta'!$A$2:$D$38,4,0)=0,"",VLOOKUP(VLOOKUP(A190,'Relatório GERAL'!$A:$T,$E$1,0),'Dados de consulta'!$A$2:$D$38,4,0)),""))</f>
        <v/>
      </c>
      <c r="O190" s="27">
        <v>47880</v>
      </c>
    </row>
    <row r="191" spans="1:15" ht="15" x14ac:dyDescent="0.2">
      <c r="A191" s="116">
        <f>'Relatório GERAL'!A191</f>
        <v>42314</v>
      </c>
      <c r="B191" s="116">
        <f t="shared" si="12"/>
        <v>42309</v>
      </c>
      <c r="C191" s="117" t="str">
        <f>'Relatório GERAL'!B191</f>
        <v>sex</v>
      </c>
      <c r="D191" s="18" t="str">
        <f>IF(OR(C191="SÁB",C191="DOM"),"",IFERROR(IF(VLOOKUP(VLOOKUP(A191,'Relatório GERAL'!$A:$T,$E$1,0),'Dados de consulta'!$A$2:$D$38,4,0)=0,"",VLOOKUP(VLOOKUP(A191,'Relatório GERAL'!$A:$T,$E$1,0),'Dados de consulta'!$A$2:$D$38,4,0)),""))</f>
        <v/>
      </c>
      <c r="O191" s="27">
        <v>47908</v>
      </c>
    </row>
    <row r="192" spans="1:15" ht="15" x14ac:dyDescent="0.2">
      <c r="A192" s="116">
        <f>'Relatório GERAL'!A192</f>
        <v>42315</v>
      </c>
      <c r="B192" s="116">
        <f t="shared" si="12"/>
        <v>42309</v>
      </c>
      <c r="C192" s="117" t="str">
        <f>'Relatório GERAL'!B192</f>
        <v>sáb</v>
      </c>
      <c r="D192" s="18" t="str">
        <f>IF(OR(C192="SÁB",C192="DOM"),"",IFERROR(IF(VLOOKUP(VLOOKUP(A192,'Relatório GERAL'!$A:$T,$E$1,0),'Dados de consulta'!$A$2:$D$38,4,0)=0,"",VLOOKUP(VLOOKUP(A192,'Relatório GERAL'!$A:$T,$E$1,0),'Dados de consulta'!$A$2:$D$38,4,0)),""))</f>
        <v/>
      </c>
      <c r="O192" s="27">
        <v>47939</v>
      </c>
    </row>
    <row r="193" spans="1:15" ht="15" x14ac:dyDescent="0.2">
      <c r="A193" s="116">
        <f>'Relatório GERAL'!A193</f>
        <v>42316</v>
      </c>
      <c r="B193" s="116">
        <f t="shared" si="12"/>
        <v>42309</v>
      </c>
      <c r="C193" s="117" t="str">
        <f>'Relatório GERAL'!B193</f>
        <v>dom</v>
      </c>
      <c r="D193" s="18" t="str">
        <f>IF(OR(C193="SÁB",C193="DOM"),"",IFERROR(IF(VLOOKUP(VLOOKUP(A193,'Relatório GERAL'!$A:$T,$E$1,0),'Dados de consulta'!$A$2:$D$38,4,0)=0,"",VLOOKUP(VLOOKUP(A193,'Relatório GERAL'!$A:$T,$E$1,0),'Dados de consulta'!$A$2:$D$38,4,0)),""))</f>
        <v/>
      </c>
      <c r="O193" s="27">
        <v>47969</v>
      </c>
    </row>
    <row r="194" spans="1:15" ht="15" x14ac:dyDescent="0.2">
      <c r="A194" s="116">
        <f>'Relatório GERAL'!A194</f>
        <v>42317</v>
      </c>
      <c r="B194" s="116">
        <f t="shared" si="12"/>
        <v>42309</v>
      </c>
      <c r="C194" s="117" t="str">
        <f>'Relatório GERAL'!B194</f>
        <v>seg</v>
      </c>
      <c r="D194" s="18">
        <f>IF(OR(C194="SÁB",C194="DOM"),"",IFERROR(IF(VLOOKUP(VLOOKUP(A194,'Relatório GERAL'!$A:$T,$E$1,0),'Dados de consulta'!$A$2:$D$38,4,0)=0,"",VLOOKUP(VLOOKUP(A194,'Relatório GERAL'!$A:$T,$E$1,0),'Dados de consulta'!$A$2:$D$38,4,0)),""))</f>
        <v>2</v>
      </c>
      <c r="O194" s="27">
        <v>48000</v>
      </c>
    </row>
    <row r="195" spans="1:15" ht="15" x14ac:dyDescent="0.2">
      <c r="A195" s="116">
        <f>'Relatório GERAL'!A195</f>
        <v>42318</v>
      </c>
      <c r="B195" s="116">
        <f t="shared" ref="B195:B246" si="13">DATEVALUE(CONCATENATE("01/",TEXT(A195,"mm/aaaa")))</f>
        <v>42309</v>
      </c>
      <c r="C195" s="117" t="str">
        <f>'Relatório GERAL'!B195</f>
        <v>ter</v>
      </c>
      <c r="D195" s="18" t="str">
        <f>IF(OR(C195="SÁB",C195="DOM"),"",IFERROR(IF(VLOOKUP(VLOOKUP(A195,'Relatório GERAL'!$A:$T,$E$1,0),'Dados de consulta'!$A$2:$D$38,4,0)=0,"",VLOOKUP(VLOOKUP(A195,'Relatório GERAL'!$A:$T,$E$1,0),'Dados de consulta'!$A$2:$D$38,4,0)),""))</f>
        <v/>
      </c>
      <c r="O195" s="27">
        <v>48030</v>
      </c>
    </row>
    <row r="196" spans="1:15" ht="15" x14ac:dyDescent="0.2">
      <c r="A196" s="116">
        <f>'Relatório GERAL'!A196</f>
        <v>42319</v>
      </c>
      <c r="B196" s="116">
        <f t="shared" si="13"/>
        <v>42309</v>
      </c>
      <c r="C196" s="117" t="str">
        <f>'Relatório GERAL'!B196</f>
        <v>qua</v>
      </c>
      <c r="D196" s="18" t="str">
        <f>IF(OR(C196="SÁB",C196="DOM"),"",IFERROR(IF(VLOOKUP(VLOOKUP(A196,'Relatório GERAL'!$A:$T,$E$1,0),'Dados de consulta'!$A$2:$D$38,4,0)=0,"",VLOOKUP(VLOOKUP(A196,'Relatório GERAL'!$A:$T,$E$1,0),'Dados de consulta'!$A$2:$D$38,4,0)),""))</f>
        <v/>
      </c>
      <c r="O196" s="27">
        <v>48061</v>
      </c>
    </row>
    <row r="197" spans="1:15" ht="15" x14ac:dyDescent="0.2">
      <c r="A197" s="116">
        <f>'Relatório GERAL'!A197</f>
        <v>42320</v>
      </c>
      <c r="B197" s="116">
        <f t="shared" si="13"/>
        <v>42309</v>
      </c>
      <c r="C197" s="117" t="str">
        <f>'Relatório GERAL'!B197</f>
        <v>qui</v>
      </c>
      <c r="D197" s="18" t="str">
        <f>IF(OR(C197="SÁB",C197="DOM"),"",IFERROR(IF(VLOOKUP(VLOOKUP(A197,'Relatório GERAL'!$A:$T,$E$1,0),'Dados de consulta'!$A$2:$D$38,4,0)=0,"",VLOOKUP(VLOOKUP(A197,'Relatório GERAL'!$A:$T,$E$1,0),'Dados de consulta'!$A$2:$D$38,4,0)),""))</f>
        <v/>
      </c>
      <c r="O197" s="27">
        <v>48092</v>
      </c>
    </row>
    <row r="198" spans="1:15" ht="15" x14ac:dyDescent="0.2">
      <c r="A198" s="116">
        <f>'Relatório GERAL'!A198</f>
        <v>42321</v>
      </c>
      <c r="B198" s="116">
        <f t="shared" si="13"/>
        <v>42309</v>
      </c>
      <c r="C198" s="117" t="str">
        <f>'Relatório GERAL'!B198</f>
        <v>sex</v>
      </c>
      <c r="D198" s="18" t="str">
        <f>IF(OR(C198="SÁB",C198="DOM"),"",IFERROR(IF(VLOOKUP(VLOOKUP(A198,'Relatório GERAL'!$A:$T,$E$1,0),'Dados de consulta'!$A$2:$D$38,4,0)=0,"",VLOOKUP(VLOOKUP(A198,'Relatório GERAL'!$A:$T,$E$1,0),'Dados de consulta'!$A$2:$D$38,4,0)),""))</f>
        <v/>
      </c>
      <c r="O198" s="27">
        <v>48122</v>
      </c>
    </row>
    <row r="199" spans="1:15" ht="15" x14ac:dyDescent="0.2">
      <c r="A199" s="116">
        <f>'Relatório GERAL'!A199</f>
        <v>42322</v>
      </c>
      <c r="B199" s="116">
        <f t="shared" si="13"/>
        <v>42309</v>
      </c>
      <c r="C199" s="117" t="str">
        <f>'Relatório GERAL'!B199</f>
        <v>sáb</v>
      </c>
      <c r="D199" s="18" t="str">
        <f>IF(OR(C199="SÁB",C199="DOM"),"",IFERROR(IF(VLOOKUP(VLOOKUP(A199,'Relatório GERAL'!$A:$T,$E$1,0),'Dados de consulta'!$A$2:$D$38,4,0)=0,"",VLOOKUP(VLOOKUP(A199,'Relatório GERAL'!$A:$T,$E$1,0),'Dados de consulta'!$A$2:$D$38,4,0)),""))</f>
        <v/>
      </c>
      <c r="O199" s="27">
        <v>48153</v>
      </c>
    </row>
    <row r="200" spans="1:15" ht="15" x14ac:dyDescent="0.2">
      <c r="A200" s="116">
        <f>'Relatório GERAL'!A200</f>
        <v>42323</v>
      </c>
      <c r="B200" s="116">
        <f t="shared" si="13"/>
        <v>42309</v>
      </c>
      <c r="C200" s="117" t="str">
        <f>'Relatório GERAL'!B200</f>
        <v>dom</v>
      </c>
      <c r="D200" s="18" t="str">
        <f>IF(OR(C200="SÁB",C200="DOM"),"",IFERROR(IF(VLOOKUP(VLOOKUP(A200,'Relatório GERAL'!$A:$T,$E$1,0),'Dados de consulta'!$A$2:$D$38,4,0)=0,"",VLOOKUP(VLOOKUP(A200,'Relatório GERAL'!$A:$T,$E$1,0),'Dados de consulta'!$A$2:$D$38,4,0)),""))</f>
        <v/>
      </c>
      <c r="O200" s="27">
        <v>48183</v>
      </c>
    </row>
    <row r="201" spans="1:15" ht="15" x14ac:dyDescent="0.2">
      <c r="A201" s="116">
        <f>'Relatório GERAL'!A201</f>
        <v>42324</v>
      </c>
      <c r="B201" s="116">
        <f t="shared" si="13"/>
        <v>42309</v>
      </c>
      <c r="C201" s="117" t="str">
        <f>'Relatório GERAL'!B201</f>
        <v>seg</v>
      </c>
      <c r="D201" s="18" t="str">
        <f>IF(OR(C201="SÁB",C201="DOM"),"",IFERROR(IF(VLOOKUP(VLOOKUP(A201,'Relatório GERAL'!$A:$T,$E$1,0),'Dados de consulta'!$A$2:$D$38,4,0)=0,"",VLOOKUP(VLOOKUP(A201,'Relatório GERAL'!$A:$T,$E$1,0),'Dados de consulta'!$A$2:$D$38,4,0)),""))</f>
        <v/>
      </c>
      <c r="O201" s="27">
        <v>48214</v>
      </c>
    </row>
    <row r="202" spans="1:15" ht="15" x14ac:dyDescent="0.2">
      <c r="A202" s="116">
        <f>'Relatório GERAL'!A202</f>
        <v>42325</v>
      </c>
      <c r="B202" s="116">
        <f t="shared" si="13"/>
        <v>42309</v>
      </c>
      <c r="C202" s="117" t="str">
        <f>'Relatório GERAL'!B202</f>
        <v>ter</v>
      </c>
      <c r="D202" s="18" t="str">
        <f>IF(OR(C202="SÁB",C202="DOM"),"",IFERROR(IF(VLOOKUP(VLOOKUP(A202,'Relatório GERAL'!$A:$T,$E$1,0),'Dados de consulta'!$A$2:$D$38,4,0)=0,"",VLOOKUP(VLOOKUP(A202,'Relatório GERAL'!$A:$T,$E$1,0),'Dados de consulta'!$A$2:$D$38,4,0)),""))</f>
        <v/>
      </c>
      <c r="O202" s="27">
        <v>48245</v>
      </c>
    </row>
    <row r="203" spans="1:15" ht="15" x14ac:dyDescent="0.2">
      <c r="A203" s="116">
        <f>'Relatório GERAL'!A203</f>
        <v>42326</v>
      </c>
      <c r="B203" s="116">
        <f t="shared" si="13"/>
        <v>42309</v>
      </c>
      <c r="C203" s="117" t="str">
        <f>'Relatório GERAL'!B203</f>
        <v>qua</v>
      </c>
      <c r="D203" s="18">
        <f>IF(OR(C203="SÁB",C203="DOM"),"",IFERROR(IF(VLOOKUP(VLOOKUP(A203,'Relatório GERAL'!$A:$T,$E$1,0),'Dados de consulta'!$A$2:$D$38,4,0)=0,"",VLOOKUP(VLOOKUP(A203,'Relatório GERAL'!$A:$T,$E$1,0),'Dados de consulta'!$A$2:$D$38,4,0)),""))</f>
        <v>1</v>
      </c>
      <c r="O203" s="27">
        <v>48274</v>
      </c>
    </row>
    <row r="204" spans="1:15" ht="15" x14ac:dyDescent="0.2">
      <c r="A204" s="116">
        <f>'Relatório GERAL'!A204</f>
        <v>42327</v>
      </c>
      <c r="B204" s="116">
        <f t="shared" si="13"/>
        <v>42309</v>
      </c>
      <c r="C204" s="117" t="str">
        <f>'Relatório GERAL'!B204</f>
        <v>qui</v>
      </c>
      <c r="D204" s="18" t="str">
        <f>IF(OR(C204="SÁB",C204="DOM"),"",IFERROR(IF(VLOOKUP(VLOOKUP(A204,'Relatório GERAL'!$A:$T,$E$1,0),'Dados de consulta'!$A$2:$D$38,4,0)=0,"",VLOOKUP(VLOOKUP(A204,'Relatório GERAL'!$A:$T,$E$1,0),'Dados de consulta'!$A$2:$D$38,4,0)),""))</f>
        <v/>
      </c>
      <c r="O204" s="27">
        <v>48305</v>
      </c>
    </row>
    <row r="205" spans="1:15" ht="15" x14ac:dyDescent="0.2">
      <c r="A205" s="116">
        <f>'Relatório GERAL'!A205</f>
        <v>42328</v>
      </c>
      <c r="B205" s="116">
        <f t="shared" si="13"/>
        <v>42309</v>
      </c>
      <c r="C205" s="117" t="str">
        <f>'Relatório GERAL'!B205</f>
        <v>sex</v>
      </c>
      <c r="D205" s="18" t="str">
        <f>IF(OR(C205="SÁB",C205="DOM"),"",IFERROR(IF(VLOOKUP(VLOOKUP(A205,'Relatório GERAL'!$A:$T,$E$1,0),'Dados de consulta'!$A$2:$D$38,4,0)=0,"",VLOOKUP(VLOOKUP(A205,'Relatório GERAL'!$A:$T,$E$1,0),'Dados de consulta'!$A$2:$D$38,4,0)),""))</f>
        <v/>
      </c>
      <c r="O205" s="27">
        <v>48335</v>
      </c>
    </row>
    <row r="206" spans="1:15" ht="15" x14ac:dyDescent="0.2">
      <c r="A206" s="116">
        <f>'Relatório GERAL'!A206</f>
        <v>42329</v>
      </c>
      <c r="B206" s="116">
        <f t="shared" si="13"/>
        <v>42309</v>
      </c>
      <c r="C206" s="117" t="str">
        <f>'Relatório GERAL'!B206</f>
        <v>sáb</v>
      </c>
      <c r="D206" s="18" t="str">
        <f>IF(OR(C206="SÁB",C206="DOM"),"",IFERROR(IF(VLOOKUP(VLOOKUP(A206,'Relatório GERAL'!$A:$T,$E$1,0),'Dados de consulta'!$A$2:$D$38,4,0)=0,"",VLOOKUP(VLOOKUP(A206,'Relatório GERAL'!$A:$T,$E$1,0),'Dados de consulta'!$A$2:$D$38,4,0)),""))</f>
        <v/>
      </c>
      <c r="O206" s="27">
        <v>48366</v>
      </c>
    </row>
    <row r="207" spans="1:15" ht="15" x14ac:dyDescent="0.2">
      <c r="A207" s="116">
        <f>'Relatório GERAL'!A207</f>
        <v>42330</v>
      </c>
      <c r="B207" s="116">
        <f t="shared" si="13"/>
        <v>42309</v>
      </c>
      <c r="C207" s="117" t="str">
        <f>'Relatório GERAL'!B207</f>
        <v>dom</v>
      </c>
      <c r="D207" s="18" t="str">
        <f>IF(OR(C207="SÁB",C207="DOM"),"",IFERROR(IF(VLOOKUP(VLOOKUP(A207,'Relatório GERAL'!$A:$T,$E$1,0),'Dados de consulta'!$A$2:$D$38,4,0)=0,"",VLOOKUP(VLOOKUP(A207,'Relatório GERAL'!$A:$T,$E$1,0),'Dados de consulta'!$A$2:$D$38,4,0)),""))</f>
        <v/>
      </c>
      <c r="O207" s="27">
        <v>48396</v>
      </c>
    </row>
    <row r="208" spans="1:15" ht="15" x14ac:dyDescent="0.2">
      <c r="A208" s="116">
        <f>'Relatório GERAL'!A208</f>
        <v>42331</v>
      </c>
      <c r="B208" s="116">
        <f t="shared" si="13"/>
        <v>42309</v>
      </c>
      <c r="C208" s="117" t="str">
        <f>'Relatório GERAL'!B208</f>
        <v>seg</v>
      </c>
      <c r="D208" s="18" t="str">
        <f>IF(OR(C208="SÁB",C208="DOM"),"",IFERROR(IF(VLOOKUP(VLOOKUP(A208,'Relatório GERAL'!$A:$T,$E$1,0),'Dados de consulta'!$A$2:$D$38,4,0)=0,"",VLOOKUP(VLOOKUP(A208,'Relatório GERAL'!$A:$T,$E$1,0),'Dados de consulta'!$A$2:$D$38,4,0)),""))</f>
        <v/>
      </c>
      <c r="O208" s="27">
        <v>48427</v>
      </c>
    </row>
    <row r="209" spans="1:15" ht="15" x14ac:dyDescent="0.2">
      <c r="A209" s="116">
        <f>'Relatório GERAL'!A209</f>
        <v>42332</v>
      </c>
      <c r="B209" s="116">
        <f t="shared" si="13"/>
        <v>42309</v>
      </c>
      <c r="C209" s="117" t="str">
        <f>'Relatório GERAL'!B209</f>
        <v>ter</v>
      </c>
      <c r="D209" s="18" t="str">
        <f>IF(OR(C209="SÁB",C209="DOM"),"",IFERROR(IF(VLOOKUP(VLOOKUP(A209,'Relatório GERAL'!$A:$T,$E$1,0),'Dados de consulta'!$A$2:$D$38,4,0)=0,"",VLOOKUP(VLOOKUP(A209,'Relatório GERAL'!$A:$T,$E$1,0),'Dados de consulta'!$A$2:$D$38,4,0)),""))</f>
        <v/>
      </c>
      <c r="O209" s="27">
        <v>48458</v>
      </c>
    </row>
    <row r="210" spans="1:15" ht="15" x14ac:dyDescent="0.2">
      <c r="A210" s="116">
        <f>'Relatório GERAL'!A210</f>
        <v>42333</v>
      </c>
      <c r="B210" s="116">
        <f t="shared" si="13"/>
        <v>42309</v>
      </c>
      <c r="C210" s="117" t="str">
        <f>'Relatório GERAL'!B210</f>
        <v>qua</v>
      </c>
      <c r="D210" s="18" t="str">
        <f>IF(OR(C210="SÁB",C210="DOM"),"",IFERROR(IF(VLOOKUP(VLOOKUP(A210,'Relatório GERAL'!$A:$T,$E$1,0),'Dados de consulta'!$A$2:$D$38,4,0)=0,"",VLOOKUP(VLOOKUP(A210,'Relatório GERAL'!$A:$T,$E$1,0),'Dados de consulta'!$A$2:$D$38,4,0)),""))</f>
        <v/>
      </c>
      <c r="O210" s="27">
        <v>48488</v>
      </c>
    </row>
    <row r="211" spans="1:15" ht="15" x14ac:dyDescent="0.2">
      <c r="A211" s="116">
        <f>'Relatório GERAL'!A211</f>
        <v>42334</v>
      </c>
      <c r="B211" s="116">
        <f t="shared" si="13"/>
        <v>42309</v>
      </c>
      <c r="C211" s="117" t="str">
        <f>'Relatório GERAL'!B211</f>
        <v>qui</v>
      </c>
      <c r="D211" s="18" t="str">
        <f>IF(OR(C211="SÁB",C211="DOM"),"",IFERROR(IF(VLOOKUP(VLOOKUP(A211,'Relatório GERAL'!$A:$T,$E$1,0),'Dados de consulta'!$A$2:$D$38,4,0)=0,"",VLOOKUP(VLOOKUP(A211,'Relatório GERAL'!$A:$T,$E$1,0),'Dados de consulta'!$A$2:$D$38,4,0)),""))</f>
        <v/>
      </c>
      <c r="O211" s="27">
        <v>48519</v>
      </c>
    </row>
    <row r="212" spans="1:15" ht="15" x14ac:dyDescent="0.2">
      <c r="A212" s="116">
        <f>'Relatório GERAL'!A212</f>
        <v>42335</v>
      </c>
      <c r="B212" s="116">
        <f t="shared" si="13"/>
        <v>42309</v>
      </c>
      <c r="C212" s="117" t="str">
        <f>'Relatório GERAL'!B212</f>
        <v>sex</v>
      </c>
      <c r="D212" s="18" t="str">
        <f>IF(OR(C212="SÁB",C212="DOM"),"",IFERROR(IF(VLOOKUP(VLOOKUP(A212,'Relatório GERAL'!$A:$T,$E$1,0),'Dados de consulta'!$A$2:$D$38,4,0)=0,"",VLOOKUP(VLOOKUP(A212,'Relatório GERAL'!$A:$T,$E$1,0),'Dados de consulta'!$A$2:$D$38,4,0)),""))</f>
        <v/>
      </c>
      <c r="O212" s="27">
        <v>48549</v>
      </c>
    </row>
    <row r="213" spans="1:15" ht="15" x14ac:dyDescent="0.2">
      <c r="A213" s="116">
        <f>'Relatório GERAL'!A213</f>
        <v>42336</v>
      </c>
      <c r="B213" s="116">
        <f t="shared" si="13"/>
        <v>42309</v>
      </c>
      <c r="C213" s="117" t="str">
        <f>'Relatório GERAL'!B213</f>
        <v>sáb</v>
      </c>
      <c r="D213" s="18" t="str">
        <f>IF(OR(C213="SÁB",C213="DOM"),"",IFERROR(IF(VLOOKUP(VLOOKUP(A213,'Relatório GERAL'!$A:$T,$E$1,0),'Dados de consulta'!$A$2:$D$38,4,0)=0,"",VLOOKUP(VLOOKUP(A213,'Relatório GERAL'!$A:$T,$E$1,0),'Dados de consulta'!$A$2:$D$38,4,0)),""))</f>
        <v/>
      </c>
      <c r="O213" s="27">
        <v>48580</v>
      </c>
    </row>
    <row r="214" spans="1:15" ht="15" x14ac:dyDescent="0.2">
      <c r="A214" s="116">
        <f>'Relatório GERAL'!A214</f>
        <v>42337</v>
      </c>
      <c r="B214" s="116">
        <f t="shared" si="13"/>
        <v>42309</v>
      </c>
      <c r="C214" s="117" t="str">
        <f>'Relatório GERAL'!B214</f>
        <v>dom</v>
      </c>
      <c r="D214" s="18" t="str">
        <f>IF(OR(C214="SÁB",C214="DOM"),"",IFERROR(IF(VLOOKUP(VLOOKUP(A214,'Relatório GERAL'!$A:$T,$E$1,0),'Dados de consulta'!$A$2:$D$38,4,0)=0,"",VLOOKUP(VLOOKUP(A214,'Relatório GERAL'!$A:$T,$E$1,0),'Dados de consulta'!$A$2:$D$38,4,0)),""))</f>
        <v/>
      </c>
      <c r="O214" s="27">
        <v>48611</v>
      </c>
    </row>
    <row r="215" spans="1:15" ht="15" x14ac:dyDescent="0.2">
      <c r="A215" s="116">
        <f>'Relatório GERAL'!A215</f>
        <v>42338</v>
      </c>
      <c r="B215" s="116">
        <f t="shared" si="13"/>
        <v>42309</v>
      </c>
      <c r="C215" s="117" t="str">
        <f>'Relatório GERAL'!B215</f>
        <v>seg</v>
      </c>
      <c r="D215" s="18" t="str">
        <f>IF(OR(C215="SÁB",C215="DOM"),"",IFERROR(IF(VLOOKUP(VLOOKUP(A215,'Relatório GERAL'!$A:$T,$E$1,0),'Dados de consulta'!$A$2:$D$38,4,0)=0,"",VLOOKUP(VLOOKUP(A215,'Relatório GERAL'!$A:$T,$E$1,0),'Dados de consulta'!$A$2:$D$38,4,0)),""))</f>
        <v/>
      </c>
      <c r="O215" s="27">
        <v>48639</v>
      </c>
    </row>
    <row r="216" spans="1:15" ht="15" x14ac:dyDescent="0.2">
      <c r="A216" s="116">
        <f>'Relatório GERAL'!A216</f>
        <v>42339</v>
      </c>
      <c r="B216" s="116">
        <f t="shared" si="13"/>
        <v>42339</v>
      </c>
      <c r="C216" s="117" t="str">
        <f>'Relatório GERAL'!B216</f>
        <v>ter</v>
      </c>
      <c r="D216" s="18" t="str">
        <f>IF(OR(C216="SÁB",C216="DOM"),"",IFERROR(IF(VLOOKUP(VLOOKUP(A216,'Relatório GERAL'!$A:$T,$E$1,0),'Dados de consulta'!$A$2:$D$38,4,0)=0,"",VLOOKUP(VLOOKUP(A216,'Relatório GERAL'!$A:$T,$E$1,0),'Dados de consulta'!$A$2:$D$38,4,0)),""))</f>
        <v/>
      </c>
      <c r="O216" s="27">
        <v>48670</v>
      </c>
    </row>
    <row r="217" spans="1:15" ht="15" x14ac:dyDescent="0.2">
      <c r="A217" s="116">
        <f>'Relatório GERAL'!A217</f>
        <v>42340</v>
      </c>
      <c r="B217" s="116">
        <f t="shared" si="13"/>
        <v>42339</v>
      </c>
      <c r="C217" s="117" t="str">
        <f>'Relatório GERAL'!B217</f>
        <v>qua</v>
      </c>
      <c r="D217" s="18" t="str">
        <f>IF(OR(C217="SÁB",C217="DOM"),"",IFERROR(IF(VLOOKUP(VLOOKUP(A217,'Relatório GERAL'!$A:$T,$E$1,0),'Dados de consulta'!$A$2:$D$38,4,0)=0,"",VLOOKUP(VLOOKUP(A217,'Relatório GERAL'!$A:$T,$E$1,0),'Dados de consulta'!$A$2:$D$38,4,0)),""))</f>
        <v/>
      </c>
      <c r="O217" s="27">
        <v>48700</v>
      </c>
    </row>
    <row r="218" spans="1:15" ht="15" x14ac:dyDescent="0.2">
      <c r="A218" s="116">
        <f>'Relatório GERAL'!A218</f>
        <v>42341</v>
      </c>
      <c r="B218" s="116">
        <f t="shared" si="13"/>
        <v>42339</v>
      </c>
      <c r="C218" s="117" t="str">
        <f>'Relatório GERAL'!B218</f>
        <v>qui</v>
      </c>
      <c r="D218" s="18" t="str">
        <f>IF(OR(C218="SÁB",C218="DOM"),"",IFERROR(IF(VLOOKUP(VLOOKUP(A218,'Relatório GERAL'!$A:$T,$E$1,0),'Dados de consulta'!$A$2:$D$38,4,0)=0,"",VLOOKUP(VLOOKUP(A218,'Relatório GERAL'!$A:$T,$E$1,0),'Dados de consulta'!$A$2:$D$38,4,0)),""))</f>
        <v/>
      </c>
      <c r="O218" s="27">
        <v>48731</v>
      </c>
    </row>
    <row r="219" spans="1:15" ht="15" x14ac:dyDescent="0.2">
      <c r="A219" s="116">
        <f>'Relatório GERAL'!A219</f>
        <v>42342</v>
      </c>
      <c r="B219" s="116">
        <f t="shared" si="13"/>
        <v>42339</v>
      </c>
      <c r="C219" s="117" t="str">
        <f>'Relatório GERAL'!B219</f>
        <v>sex</v>
      </c>
      <c r="D219" s="18" t="str">
        <f>IF(OR(C219="SÁB",C219="DOM"),"",IFERROR(IF(VLOOKUP(VLOOKUP(A219,'Relatório GERAL'!$A:$T,$E$1,0),'Dados de consulta'!$A$2:$D$38,4,0)=0,"",VLOOKUP(VLOOKUP(A219,'Relatório GERAL'!$A:$T,$E$1,0),'Dados de consulta'!$A$2:$D$38,4,0)),""))</f>
        <v/>
      </c>
      <c r="O219" s="27">
        <v>48761</v>
      </c>
    </row>
    <row r="220" spans="1:15" ht="15" x14ac:dyDescent="0.2">
      <c r="A220" s="116">
        <f>'Relatório GERAL'!A220</f>
        <v>42343</v>
      </c>
      <c r="B220" s="116">
        <f t="shared" si="13"/>
        <v>42339</v>
      </c>
      <c r="C220" s="117" t="str">
        <f>'Relatório GERAL'!B220</f>
        <v>sáb</v>
      </c>
      <c r="D220" s="18" t="str">
        <f>IF(OR(C220="SÁB",C220="DOM"),"",IFERROR(IF(VLOOKUP(VLOOKUP(A220,'Relatório GERAL'!$A:$T,$E$1,0),'Dados de consulta'!$A$2:$D$38,4,0)=0,"",VLOOKUP(VLOOKUP(A220,'Relatório GERAL'!$A:$T,$E$1,0),'Dados de consulta'!$A$2:$D$38,4,0)),""))</f>
        <v/>
      </c>
      <c r="O220" s="27">
        <v>48792</v>
      </c>
    </row>
    <row r="221" spans="1:15" ht="15" x14ac:dyDescent="0.2">
      <c r="A221" s="116">
        <f>'Relatório GERAL'!A221</f>
        <v>42344</v>
      </c>
      <c r="B221" s="116">
        <f t="shared" si="13"/>
        <v>42339</v>
      </c>
      <c r="C221" s="117" t="str">
        <f>'Relatório GERAL'!B221</f>
        <v>dom</v>
      </c>
      <c r="D221" s="18" t="str">
        <f>IF(OR(C221="SÁB",C221="DOM"),"",IFERROR(IF(VLOOKUP(VLOOKUP(A221,'Relatório GERAL'!$A:$T,$E$1,0),'Dados de consulta'!$A$2:$D$38,4,0)=0,"",VLOOKUP(VLOOKUP(A221,'Relatório GERAL'!$A:$T,$E$1,0),'Dados de consulta'!$A$2:$D$38,4,0)),""))</f>
        <v/>
      </c>
      <c r="O221" s="27">
        <v>48823</v>
      </c>
    </row>
    <row r="222" spans="1:15" ht="15" x14ac:dyDescent="0.2">
      <c r="A222" s="116">
        <f>'Relatório GERAL'!A222</f>
        <v>42345</v>
      </c>
      <c r="B222" s="116">
        <f t="shared" si="13"/>
        <v>42339</v>
      </c>
      <c r="C222" s="117" t="str">
        <f>'Relatório GERAL'!B222</f>
        <v>seg</v>
      </c>
      <c r="D222" s="18" t="str">
        <f>IF(OR(C222="SÁB",C222="DOM"),"",IFERROR(IF(VLOOKUP(VLOOKUP(A222,'Relatório GERAL'!$A:$T,$E$1,0),'Dados de consulta'!$A$2:$D$38,4,0)=0,"",VLOOKUP(VLOOKUP(A222,'Relatório GERAL'!$A:$T,$E$1,0),'Dados de consulta'!$A$2:$D$38,4,0)),""))</f>
        <v/>
      </c>
      <c r="O222" s="27">
        <v>48853</v>
      </c>
    </row>
    <row r="223" spans="1:15" ht="15" x14ac:dyDescent="0.2">
      <c r="A223" s="116">
        <f>'Relatório GERAL'!A223</f>
        <v>42346</v>
      </c>
      <c r="B223" s="116">
        <f t="shared" si="13"/>
        <v>42339</v>
      </c>
      <c r="C223" s="117" t="str">
        <f>'Relatório GERAL'!B223</f>
        <v>ter</v>
      </c>
      <c r="D223" s="18" t="str">
        <f>IF(OR(C223="SÁB",C223="DOM"),"",IFERROR(IF(VLOOKUP(VLOOKUP(A223,'Relatório GERAL'!$A:$T,$E$1,0),'Dados de consulta'!$A$2:$D$38,4,0)=0,"",VLOOKUP(VLOOKUP(A223,'Relatório GERAL'!$A:$T,$E$1,0),'Dados de consulta'!$A$2:$D$38,4,0)),""))</f>
        <v/>
      </c>
      <c r="O223" s="27">
        <v>48884</v>
      </c>
    </row>
    <row r="224" spans="1:15" ht="15" x14ac:dyDescent="0.2">
      <c r="A224" s="116">
        <f>'Relatório GERAL'!A224</f>
        <v>42347</v>
      </c>
      <c r="B224" s="116">
        <f t="shared" si="13"/>
        <v>42339</v>
      </c>
      <c r="C224" s="117" t="str">
        <f>'Relatório GERAL'!B224</f>
        <v>qua</v>
      </c>
      <c r="D224" s="18" t="str">
        <f>IF(OR(C224="SÁB",C224="DOM"),"",IFERROR(IF(VLOOKUP(VLOOKUP(A224,'Relatório GERAL'!$A:$T,$E$1,0),'Dados de consulta'!$A$2:$D$38,4,0)=0,"",VLOOKUP(VLOOKUP(A224,'Relatório GERAL'!$A:$T,$E$1,0),'Dados de consulta'!$A$2:$D$38,4,0)),""))</f>
        <v/>
      </c>
      <c r="O224" s="27">
        <v>48914</v>
      </c>
    </row>
    <row r="225" spans="1:15" ht="15" x14ac:dyDescent="0.2">
      <c r="A225" s="116">
        <f>'Relatório GERAL'!A225</f>
        <v>42348</v>
      </c>
      <c r="B225" s="116">
        <f t="shared" si="13"/>
        <v>42339</v>
      </c>
      <c r="C225" s="117" t="str">
        <f>'Relatório GERAL'!B225</f>
        <v>qui</v>
      </c>
      <c r="D225" s="18" t="str">
        <f>IF(OR(C225="SÁB",C225="DOM"),"",IFERROR(IF(VLOOKUP(VLOOKUP(A225,'Relatório GERAL'!$A:$T,$E$1,0),'Dados de consulta'!$A$2:$D$38,4,0)=0,"",VLOOKUP(VLOOKUP(A225,'Relatório GERAL'!$A:$T,$E$1,0),'Dados de consulta'!$A$2:$D$38,4,0)),""))</f>
        <v/>
      </c>
      <c r="O225" s="27">
        <v>48945</v>
      </c>
    </row>
    <row r="226" spans="1:15" ht="15" x14ac:dyDescent="0.2">
      <c r="A226" s="116">
        <f>'Relatório GERAL'!A226</f>
        <v>42349</v>
      </c>
      <c r="B226" s="116">
        <f t="shared" si="13"/>
        <v>42339</v>
      </c>
      <c r="C226" s="117" t="str">
        <f>'Relatório GERAL'!B226</f>
        <v>sex</v>
      </c>
      <c r="D226" s="18" t="str">
        <f>IF(OR(C226="SÁB",C226="DOM"),"",IFERROR(IF(VLOOKUP(VLOOKUP(A226,'Relatório GERAL'!$A:$T,$E$1,0),'Dados de consulta'!$A$2:$D$38,4,0)=0,"",VLOOKUP(VLOOKUP(A226,'Relatório GERAL'!$A:$T,$E$1,0),'Dados de consulta'!$A$2:$D$38,4,0)),""))</f>
        <v/>
      </c>
      <c r="O226" s="27">
        <v>48976</v>
      </c>
    </row>
    <row r="227" spans="1:15" ht="15" x14ac:dyDescent="0.2">
      <c r="A227" s="116">
        <f>'Relatório GERAL'!A227</f>
        <v>42350</v>
      </c>
      <c r="B227" s="116">
        <f t="shared" si="13"/>
        <v>42339</v>
      </c>
      <c r="C227" s="117" t="str">
        <f>'Relatório GERAL'!B227</f>
        <v>sáb</v>
      </c>
      <c r="D227" s="18" t="str">
        <f>IF(OR(C227="SÁB",C227="DOM"),"",IFERROR(IF(VLOOKUP(VLOOKUP(A227,'Relatório GERAL'!$A:$T,$E$1,0),'Dados de consulta'!$A$2:$D$38,4,0)=0,"",VLOOKUP(VLOOKUP(A227,'Relatório GERAL'!$A:$T,$E$1,0),'Dados de consulta'!$A$2:$D$38,4,0)),""))</f>
        <v/>
      </c>
      <c r="O227" s="27">
        <v>49004</v>
      </c>
    </row>
    <row r="228" spans="1:15" ht="15" x14ac:dyDescent="0.2">
      <c r="A228" s="116">
        <f>'Relatório GERAL'!A228</f>
        <v>42351</v>
      </c>
      <c r="B228" s="116">
        <f t="shared" si="13"/>
        <v>42339</v>
      </c>
      <c r="C228" s="117" t="str">
        <f>'Relatório GERAL'!B228</f>
        <v>dom</v>
      </c>
      <c r="D228" s="18" t="str">
        <f>IF(OR(C228="SÁB",C228="DOM"),"",IFERROR(IF(VLOOKUP(VLOOKUP(A228,'Relatório GERAL'!$A:$T,$E$1,0),'Dados de consulta'!$A$2:$D$38,4,0)=0,"",VLOOKUP(VLOOKUP(A228,'Relatório GERAL'!$A:$T,$E$1,0),'Dados de consulta'!$A$2:$D$38,4,0)),""))</f>
        <v/>
      </c>
      <c r="O228" s="27">
        <v>49035</v>
      </c>
    </row>
    <row r="229" spans="1:15" ht="15" x14ac:dyDescent="0.2">
      <c r="A229" s="116">
        <f>'Relatório GERAL'!A229</f>
        <v>42352</v>
      </c>
      <c r="B229" s="116">
        <f t="shared" si="13"/>
        <v>42339</v>
      </c>
      <c r="C229" s="117" t="str">
        <f>'Relatório GERAL'!B229</f>
        <v>seg</v>
      </c>
      <c r="D229" s="18" t="str">
        <f>IF(OR(C229="SÁB",C229="DOM"),"",IFERROR(IF(VLOOKUP(VLOOKUP(A229,'Relatório GERAL'!$A:$T,$E$1,0),'Dados de consulta'!$A$2:$D$38,4,0)=0,"",VLOOKUP(VLOOKUP(A229,'Relatório GERAL'!$A:$T,$E$1,0),'Dados de consulta'!$A$2:$D$38,4,0)),""))</f>
        <v/>
      </c>
      <c r="O229" s="27">
        <v>49065</v>
      </c>
    </row>
    <row r="230" spans="1:15" ht="15" x14ac:dyDescent="0.2">
      <c r="A230" s="116">
        <f>'Relatório GERAL'!A230</f>
        <v>42353</v>
      </c>
      <c r="B230" s="116">
        <f t="shared" si="13"/>
        <v>42339</v>
      </c>
      <c r="C230" s="117" t="str">
        <f>'Relatório GERAL'!B230</f>
        <v>ter</v>
      </c>
      <c r="D230" s="18" t="str">
        <f>IF(OR(C230="SÁB",C230="DOM"),"",IFERROR(IF(VLOOKUP(VLOOKUP(A230,'Relatório GERAL'!$A:$T,$E$1,0),'Dados de consulta'!$A$2:$D$38,4,0)=0,"",VLOOKUP(VLOOKUP(A230,'Relatório GERAL'!$A:$T,$E$1,0),'Dados de consulta'!$A$2:$D$38,4,0)),""))</f>
        <v/>
      </c>
      <c r="O230" s="27">
        <v>49096</v>
      </c>
    </row>
    <row r="231" spans="1:15" ht="15" x14ac:dyDescent="0.2">
      <c r="A231" s="116">
        <f>'Relatório GERAL'!A231</f>
        <v>42354</v>
      </c>
      <c r="B231" s="116">
        <f t="shared" si="13"/>
        <v>42339</v>
      </c>
      <c r="C231" s="117" t="str">
        <f>'Relatório GERAL'!B231</f>
        <v>qua</v>
      </c>
      <c r="D231" s="18" t="str">
        <f>IF(OR(C231="SÁB",C231="DOM"),"",IFERROR(IF(VLOOKUP(VLOOKUP(A231,'Relatório GERAL'!$A:$T,$E$1,0),'Dados de consulta'!$A$2:$D$38,4,0)=0,"",VLOOKUP(VLOOKUP(A231,'Relatório GERAL'!$A:$T,$E$1,0),'Dados de consulta'!$A$2:$D$38,4,0)),""))</f>
        <v/>
      </c>
      <c r="O231" s="27">
        <v>49126</v>
      </c>
    </row>
    <row r="232" spans="1:15" ht="15" x14ac:dyDescent="0.2">
      <c r="A232" s="116">
        <f>'Relatório GERAL'!A232</f>
        <v>42355</v>
      </c>
      <c r="B232" s="116">
        <f t="shared" si="13"/>
        <v>42339</v>
      </c>
      <c r="C232" s="117" t="str">
        <f>'Relatório GERAL'!B232</f>
        <v>qui</v>
      </c>
      <c r="D232" s="18" t="str">
        <f>IF(OR(C232="SÁB",C232="DOM"),"",IFERROR(IF(VLOOKUP(VLOOKUP(A232,'Relatório GERAL'!$A:$T,$E$1,0),'Dados de consulta'!$A$2:$D$38,4,0)=0,"",VLOOKUP(VLOOKUP(A232,'Relatório GERAL'!$A:$T,$E$1,0),'Dados de consulta'!$A$2:$D$38,4,0)),""))</f>
        <v/>
      </c>
      <c r="O232" s="27">
        <v>49157</v>
      </c>
    </row>
    <row r="233" spans="1:15" ht="15" x14ac:dyDescent="0.2">
      <c r="A233" s="116">
        <f>'Relatório GERAL'!A233</f>
        <v>42356</v>
      </c>
      <c r="B233" s="116">
        <f t="shared" si="13"/>
        <v>42339</v>
      </c>
      <c r="C233" s="117" t="str">
        <f>'Relatório GERAL'!B233</f>
        <v>sex</v>
      </c>
      <c r="D233" s="18" t="str">
        <f>IF(OR(C233="SÁB",C233="DOM"),"",IFERROR(IF(VLOOKUP(VLOOKUP(A233,'Relatório GERAL'!$A:$T,$E$1,0),'Dados de consulta'!$A$2:$D$38,4,0)=0,"",VLOOKUP(VLOOKUP(A233,'Relatório GERAL'!$A:$T,$E$1,0),'Dados de consulta'!$A$2:$D$38,4,0)),""))</f>
        <v/>
      </c>
      <c r="O233" s="27">
        <v>49188</v>
      </c>
    </row>
    <row r="234" spans="1:15" ht="15" x14ac:dyDescent="0.2">
      <c r="A234" s="116">
        <f>'Relatório GERAL'!A234</f>
        <v>42357</v>
      </c>
      <c r="B234" s="116">
        <f t="shared" si="13"/>
        <v>42339</v>
      </c>
      <c r="C234" s="117" t="str">
        <f>'Relatório GERAL'!B234</f>
        <v>sáb</v>
      </c>
      <c r="D234" s="18" t="str">
        <f>IF(OR(C234="SÁB",C234="DOM"),"",IFERROR(IF(VLOOKUP(VLOOKUP(A234,'Relatório GERAL'!$A:$T,$E$1,0),'Dados de consulta'!$A$2:$D$38,4,0)=0,"",VLOOKUP(VLOOKUP(A234,'Relatório GERAL'!$A:$T,$E$1,0),'Dados de consulta'!$A$2:$D$38,4,0)),""))</f>
        <v/>
      </c>
      <c r="O234" s="27">
        <v>49218</v>
      </c>
    </row>
    <row r="235" spans="1:15" ht="15" x14ac:dyDescent="0.2">
      <c r="A235" s="116">
        <f>'Relatório GERAL'!A235</f>
        <v>42358</v>
      </c>
      <c r="B235" s="116">
        <f t="shared" si="13"/>
        <v>42339</v>
      </c>
      <c r="C235" s="117" t="str">
        <f>'Relatório GERAL'!B235</f>
        <v>dom</v>
      </c>
      <c r="D235" s="18" t="str">
        <f>IF(OR(C235="SÁB",C235="DOM"),"",IFERROR(IF(VLOOKUP(VLOOKUP(A235,'Relatório GERAL'!$A:$T,$E$1,0),'Dados de consulta'!$A$2:$D$38,4,0)=0,"",VLOOKUP(VLOOKUP(A235,'Relatório GERAL'!$A:$T,$E$1,0),'Dados de consulta'!$A$2:$D$38,4,0)),""))</f>
        <v/>
      </c>
      <c r="O235" s="27">
        <v>49249</v>
      </c>
    </row>
    <row r="236" spans="1:15" ht="15" x14ac:dyDescent="0.2">
      <c r="A236" s="116">
        <f>'Relatório GERAL'!A236</f>
        <v>42359</v>
      </c>
      <c r="B236" s="116">
        <f t="shared" si="13"/>
        <v>42339</v>
      </c>
      <c r="C236" s="117" t="str">
        <f>'Relatório GERAL'!B236</f>
        <v>seg</v>
      </c>
      <c r="D236" s="18" t="str">
        <f>IF(OR(C236="SÁB",C236="DOM"),"",IFERROR(IF(VLOOKUP(VLOOKUP(A236,'Relatório GERAL'!$A:$T,$E$1,0),'Dados de consulta'!$A$2:$D$38,4,0)=0,"",VLOOKUP(VLOOKUP(A236,'Relatório GERAL'!$A:$T,$E$1,0),'Dados de consulta'!$A$2:$D$38,4,0)),""))</f>
        <v/>
      </c>
      <c r="O236" s="27">
        <v>49279</v>
      </c>
    </row>
    <row r="237" spans="1:15" ht="15" x14ac:dyDescent="0.2">
      <c r="A237" s="116">
        <f>'Relatório GERAL'!A237</f>
        <v>42360</v>
      </c>
      <c r="B237" s="116">
        <f t="shared" si="13"/>
        <v>42339</v>
      </c>
      <c r="C237" s="117" t="str">
        <f>'Relatório GERAL'!B237</f>
        <v>ter</v>
      </c>
      <c r="D237" s="18" t="str">
        <f>IF(OR(C237="SÁB",C237="DOM"),"",IFERROR(IF(VLOOKUP(VLOOKUP(A237,'Relatório GERAL'!$A:$T,$E$1,0),'Dados de consulta'!$A$2:$D$38,4,0)=0,"",VLOOKUP(VLOOKUP(A237,'Relatório GERAL'!$A:$T,$E$1,0),'Dados de consulta'!$A$2:$D$38,4,0)),""))</f>
        <v/>
      </c>
      <c r="O237" s="27">
        <v>49310</v>
      </c>
    </row>
    <row r="238" spans="1:15" ht="15" x14ac:dyDescent="0.2">
      <c r="A238" s="116">
        <f>'Relatório GERAL'!A238</f>
        <v>42361</v>
      </c>
      <c r="B238" s="116">
        <f t="shared" si="13"/>
        <v>42339</v>
      </c>
      <c r="C238" s="117" t="str">
        <f>'Relatório GERAL'!B238</f>
        <v>qua</v>
      </c>
      <c r="D238" s="18" t="str">
        <f>IF(OR(C238="SÁB",C238="DOM"),"",IFERROR(IF(VLOOKUP(VLOOKUP(A238,'Relatório GERAL'!$A:$T,$E$1,0),'Dados de consulta'!$A$2:$D$38,4,0)=0,"",VLOOKUP(VLOOKUP(A238,'Relatório GERAL'!$A:$T,$E$1,0),'Dados de consulta'!$A$2:$D$38,4,0)),""))</f>
        <v/>
      </c>
      <c r="O238" s="27">
        <v>49341</v>
      </c>
    </row>
    <row r="239" spans="1:15" ht="15" x14ac:dyDescent="0.2">
      <c r="A239" s="116">
        <f>'Relatório GERAL'!A239</f>
        <v>42362</v>
      </c>
      <c r="B239" s="116">
        <f t="shared" si="13"/>
        <v>42339</v>
      </c>
      <c r="C239" s="117" t="str">
        <f>'Relatório GERAL'!B239</f>
        <v>qui</v>
      </c>
      <c r="D239" s="18" t="str">
        <f>IF(OR(C239="SÁB",C239="DOM"),"",IFERROR(IF(VLOOKUP(VLOOKUP(A239,'Relatório GERAL'!$A:$T,$E$1,0),'Dados de consulta'!$A$2:$D$38,4,0)=0,"",VLOOKUP(VLOOKUP(A239,'Relatório GERAL'!$A:$T,$E$1,0),'Dados de consulta'!$A$2:$D$38,4,0)),""))</f>
        <v/>
      </c>
      <c r="O239" s="27">
        <v>49369</v>
      </c>
    </row>
    <row r="240" spans="1:15" ht="15" x14ac:dyDescent="0.2">
      <c r="A240" s="116">
        <f>'Relatório GERAL'!A240</f>
        <v>42363</v>
      </c>
      <c r="B240" s="116">
        <f t="shared" si="13"/>
        <v>42339</v>
      </c>
      <c r="C240" s="117" t="str">
        <f>'Relatório GERAL'!B240</f>
        <v>sex</v>
      </c>
      <c r="D240" s="18" t="str">
        <f>IF(OR(C240="SÁB",C240="DOM"),"",IFERROR(IF(VLOOKUP(VLOOKUP(A240,'Relatório GERAL'!$A:$T,$E$1,0),'Dados de consulta'!$A$2:$D$38,4,0)=0,"",VLOOKUP(VLOOKUP(A240,'Relatório GERAL'!$A:$T,$E$1,0),'Dados de consulta'!$A$2:$D$38,4,0)),""))</f>
        <v/>
      </c>
      <c r="O240" s="27">
        <v>49400</v>
      </c>
    </row>
    <row r="241" spans="1:15" ht="15" x14ac:dyDescent="0.2">
      <c r="A241" s="116">
        <f>'Relatório GERAL'!A241</f>
        <v>42364</v>
      </c>
      <c r="B241" s="116">
        <f t="shared" si="13"/>
        <v>42339</v>
      </c>
      <c r="C241" s="117" t="str">
        <f>'Relatório GERAL'!B241</f>
        <v>sáb</v>
      </c>
      <c r="D241" s="18" t="str">
        <f>IF(OR(C241="SÁB",C241="DOM"),"",IFERROR(IF(VLOOKUP(VLOOKUP(A241,'Relatório GERAL'!$A:$T,$E$1,0),'Dados de consulta'!$A$2:$D$38,4,0)=0,"",VLOOKUP(VLOOKUP(A241,'Relatório GERAL'!$A:$T,$E$1,0),'Dados de consulta'!$A$2:$D$38,4,0)),""))</f>
        <v/>
      </c>
      <c r="O241" s="27">
        <v>49430</v>
      </c>
    </row>
    <row r="242" spans="1:15" ht="15" x14ac:dyDescent="0.2">
      <c r="A242" s="116">
        <f>'Relatório GERAL'!A242</f>
        <v>42365</v>
      </c>
      <c r="B242" s="116">
        <f t="shared" si="13"/>
        <v>42339</v>
      </c>
      <c r="C242" s="117" t="str">
        <f>'Relatório GERAL'!B242</f>
        <v>dom</v>
      </c>
      <c r="D242" s="18" t="str">
        <f>IF(OR(C242="SÁB",C242="DOM"),"",IFERROR(IF(VLOOKUP(VLOOKUP(A242,'Relatório GERAL'!$A:$T,$E$1,0),'Dados de consulta'!$A$2:$D$38,4,0)=0,"",VLOOKUP(VLOOKUP(A242,'Relatório GERAL'!$A:$T,$E$1,0),'Dados de consulta'!$A$2:$D$38,4,0)),""))</f>
        <v/>
      </c>
      <c r="O242" s="27">
        <v>49461</v>
      </c>
    </row>
    <row r="243" spans="1:15" ht="15" x14ac:dyDescent="0.2">
      <c r="A243" s="116">
        <f>'Relatório GERAL'!A243</f>
        <v>42366</v>
      </c>
      <c r="B243" s="116">
        <f t="shared" si="13"/>
        <v>42339</v>
      </c>
      <c r="C243" s="117" t="str">
        <f>'Relatório GERAL'!B243</f>
        <v>seg</v>
      </c>
      <c r="D243" s="18">
        <f>IF(OR(C243="SÁB",C243="DOM"),"",IFERROR(IF(VLOOKUP(VLOOKUP(A243,'Relatório GERAL'!$A:$T,$E$1,0),'Dados de consulta'!$A$2:$D$38,4,0)=0,"",VLOOKUP(VLOOKUP(A243,'Relatório GERAL'!$A:$T,$E$1,0),'Dados de consulta'!$A$2:$D$38,4,0)),""))</f>
        <v>2</v>
      </c>
      <c r="O243" s="27">
        <v>49491</v>
      </c>
    </row>
    <row r="244" spans="1:15" ht="15" x14ac:dyDescent="0.2">
      <c r="A244" s="116">
        <f>'Relatório GERAL'!A244</f>
        <v>42367</v>
      </c>
      <c r="B244" s="116">
        <f t="shared" si="13"/>
        <v>42339</v>
      </c>
      <c r="C244" s="117" t="str">
        <f>'Relatório GERAL'!B244</f>
        <v>ter</v>
      </c>
      <c r="D244" s="18">
        <f>IF(OR(C244="SÁB",C244="DOM"),"",IFERROR(IF(VLOOKUP(VLOOKUP(A244,'Relatório GERAL'!$A:$T,$E$1,0),'Dados de consulta'!$A$2:$D$38,4,0)=0,"",VLOOKUP(VLOOKUP(A244,'Relatório GERAL'!$A:$T,$E$1,0),'Dados de consulta'!$A$2:$D$38,4,0)),""))</f>
        <v>2</v>
      </c>
      <c r="O244" s="27">
        <v>49522</v>
      </c>
    </row>
    <row r="245" spans="1:15" ht="15" x14ac:dyDescent="0.2">
      <c r="A245" s="116">
        <f>'Relatório GERAL'!A245</f>
        <v>42368</v>
      </c>
      <c r="B245" s="116">
        <f t="shared" si="13"/>
        <v>42339</v>
      </c>
      <c r="C245" s="117" t="str">
        <f>'Relatório GERAL'!B245</f>
        <v>qua</v>
      </c>
      <c r="D245" s="18">
        <f>IF(OR(C245="SÁB",C245="DOM"),"",IFERROR(IF(VLOOKUP(VLOOKUP(A245,'Relatório GERAL'!$A:$T,$E$1,0),'Dados de consulta'!$A$2:$D$38,4,0)=0,"",VLOOKUP(VLOOKUP(A245,'Relatório GERAL'!$A:$T,$E$1,0),'Dados de consulta'!$A$2:$D$38,4,0)),""))</f>
        <v>2</v>
      </c>
      <c r="O245" s="27">
        <v>49553</v>
      </c>
    </row>
    <row r="246" spans="1:15" ht="15" x14ac:dyDescent="0.2">
      <c r="A246" s="116">
        <f>'Relatório GERAL'!A246</f>
        <v>42369</v>
      </c>
      <c r="B246" s="116">
        <f t="shared" si="13"/>
        <v>42339</v>
      </c>
      <c r="C246" s="117" t="str">
        <f>'Relatório GERAL'!B246</f>
        <v>qui</v>
      </c>
      <c r="D246" s="18">
        <f>IF(OR(C246="SÁB",C246="DOM"),"",IFERROR(IF(VLOOKUP(VLOOKUP(A246,'Relatório GERAL'!$A:$T,$E$1,0),'Dados de consulta'!$A$2:$D$38,4,0)=0,"",VLOOKUP(VLOOKUP(A246,'Relatório GERAL'!$A:$T,$E$1,0),'Dados de consulta'!$A$2:$D$38,4,0)),""))</f>
        <v>2</v>
      </c>
      <c r="O246" s="27">
        <v>49583</v>
      </c>
    </row>
    <row r="247" spans="1:15" ht="15" x14ac:dyDescent="0.2">
      <c r="A247" s="116">
        <f>'Relatório GERAL'!A247</f>
        <v>42370</v>
      </c>
      <c r="B247" s="116">
        <f t="shared" ref="B247:B310" si="14">DATEVALUE(CONCATENATE("01/",TEXT(A247,"mm/aaaa")))</f>
        <v>42370</v>
      </c>
      <c r="C247" s="117" t="str">
        <f>'Relatório GERAL'!B247</f>
        <v>sex</v>
      </c>
      <c r="D247" s="18" t="str">
        <f>IF(OR(C247="SÁB",C247="DOM"),"",IFERROR(IF(VLOOKUP(VLOOKUP(A247,'Relatório GERAL'!$A:$T,$E$1,0),'Dados de consulta'!$A$2:$D$38,4,0)=0,"",VLOOKUP(VLOOKUP(A247,'Relatório GERAL'!$A:$T,$E$1,0),'Dados de consulta'!$A$2:$D$38,4,0)),""))</f>
        <v/>
      </c>
      <c r="O247" s="27">
        <v>49614</v>
      </c>
    </row>
    <row r="248" spans="1:15" ht="15" x14ac:dyDescent="0.2">
      <c r="A248" s="116">
        <f>'Relatório GERAL'!A248</f>
        <v>42371</v>
      </c>
      <c r="B248" s="116">
        <f t="shared" si="14"/>
        <v>42370</v>
      </c>
      <c r="C248" s="117" t="str">
        <f>'Relatório GERAL'!B248</f>
        <v>sáb</v>
      </c>
      <c r="D248" s="18" t="str">
        <f>IF(OR(C248="SÁB",C248="DOM"),"",IFERROR(IF(VLOOKUP(VLOOKUP(A248,'Relatório GERAL'!$A:$T,$E$1,0),'Dados de consulta'!$A$2:$D$38,4,0)=0,"",VLOOKUP(VLOOKUP(A248,'Relatório GERAL'!$A:$T,$E$1,0),'Dados de consulta'!$A$2:$D$38,4,0)),""))</f>
        <v/>
      </c>
      <c r="O248" s="27">
        <v>49644</v>
      </c>
    </row>
    <row r="249" spans="1:15" ht="15" x14ac:dyDescent="0.2">
      <c r="A249" s="116">
        <f>'Relatório GERAL'!A249</f>
        <v>42372</v>
      </c>
      <c r="B249" s="116">
        <f t="shared" si="14"/>
        <v>42370</v>
      </c>
      <c r="C249" s="117" t="str">
        <f>'Relatório GERAL'!B249</f>
        <v>dom</v>
      </c>
      <c r="D249" s="18" t="str">
        <f>IF(OR(C249="SÁB",C249="DOM"),"",IFERROR(IF(VLOOKUP(VLOOKUP(A249,'Relatório GERAL'!$A:$T,$E$1,0),'Dados de consulta'!$A$2:$D$38,4,0)=0,"",VLOOKUP(VLOOKUP(A249,'Relatório GERAL'!$A:$T,$E$1,0),'Dados de consulta'!$A$2:$D$38,4,0)),""))</f>
        <v/>
      </c>
      <c r="O249" s="27">
        <v>49675</v>
      </c>
    </row>
    <row r="250" spans="1:15" ht="15" x14ac:dyDescent="0.2">
      <c r="A250" s="116">
        <f>'Relatório GERAL'!A250</f>
        <v>42373</v>
      </c>
      <c r="B250" s="116">
        <f t="shared" si="14"/>
        <v>42370</v>
      </c>
      <c r="C250" s="117" t="str">
        <f>'Relatório GERAL'!B250</f>
        <v>seg</v>
      </c>
      <c r="D250" s="18">
        <f>IF(OR(C250="SÁB",C250="DOM"),"",IFERROR(IF(VLOOKUP(VLOOKUP(A250,'Relatório GERAL'!$A:$T,$E$1,0),'Dados de consulta'!$A$2:$D$38,4,0)=0,"",VLOOKUP(VLOOKUP(A250,'Relatório GERAL'!$A:$T,$E$1,0),'Dados de consulta'!$A$2:$D$38,4,0)),""))</f>
        <v>2</v>
      </c>
      <c r="O250" s="27">
        <v>49706</v>
      </c>
    </row>
    <row r="251" spans="1:15" ht="15" x14ac:dyDescent="0.2">
      <c r="A251" s="116">
        <f>'Relatório GERAL'!A251</f>
        <v>42374</v>
      </c>
      <c r="B251" s="116">
        <f t="shared" si="14"/>
        <v>42370</v>
      </c>
      <c r="C251" s="117" t="str">
        <f>'Relatório GERAL'!B251</f>
        <v>ter</v>
      </c>
      <c r="D251" s="18">
        <f>IF(OR(C251="SÁB",C251="DOM"),"",IFERROR(IF(VLOOKUP(VLOOKUP(A251,'Relatório GERAL'!$A:$T,$E$1,0),'Dados de consulta'!$A$2:$D$38,4,0)=0,"",VLOOKUP(VLOOKUP(A251,'Relatório GERAL'!$A:$T,$E$1,0),'Dados de consulta'!$A$2:$D$38,4,0)),""))</f>
        <v>2</v>
      </c>
      <c r="O251" s="27">
        <v>49735</v>
      </c>
    </row>
    <row r="252" spans="1:15" ht="15" x14ac:dyDescent="0.2">
      <c r="A252" s="116">
        <f>'Relatório GERAL'!A252</f>
        <v>42375</v>
      </c>
      <c r="B252" s="116">
        <f t="shared" si="14"/>
        <v>42370</v>
      </c>
      <c r="C252" s="117" t="str">
        <f>'Relatório GERAL'!B252</f>
        <v>qua</v>
      </c>
      <c r="D252" s="18">
        <f>IF(OR(C252="SÁB",C252="DOM"),"",IFERROR(IF(VLOOKUP(VLOOKUP(A252,'Relatório GERAL'!$A:$T,$E$1,0),'Dados de consulta'!$A$2:$D$38,4,0)=0,"",VLOOKUP(VLOOKUP(A252,'Relatório GERAL'!$A:$T,$E$1,0),'Dados de consulta'!$A$2:$D$38,4,0)),""))</f>
        <v>2</v>
      </c>
      <c r="O252" s="27">
        <v>49766</v>
      </c>
    </row>
    <row r="253" spans="1:15" ht="15" x14ac:dyDescent="0.2">
      <c r="A253" s="116">
        <f>'Relatório GERAL'!A253</f>
        <v>42376</v>
      </c>
      <c r="B253" s="116">
        <f t="shared" si="14"/>
        <v>42370</v>
      </c>
      <c r="C253" s="117" t="str">
        <f>'Relatório GERAL'!B253</f>
        <v>qui</v>
      </c>
      <c r="D253" s="18">
        <f>IF(OR(C253="SÁB",C253="DOM"),"",IFERROR(IF(VLOOKUP(VLOOKUP(A253,'Relatório GERAL'!$A:$T,$E$1,0),'Dados de consulta'!$A$2:$D$38,4,0)=0,"",VLOOKUP(VLOOKUP(A253,'Relatório GERAL'!$A:$T,$E$1,0),'Dados de consulta'!$A$2:$D$38,4,0)),""))</f>
        <v>2</v>
      </c>
      <c r="O253" s="27">
        <v>49796</v>
      </c>
    </row>
    <row r="254" spans="1:15" ht="15" x14ac:dyDescent="0.2">
      <c r="A254" s="116">
        <f>'Relatório GERAL'!A254</f>
        <v>42377</v>
      </c>
      <c r="B254" s="116">
        <f t="shared" si="14"/>
        <v>42370</v>
      </c>
      <c r="C254" s="117" t="str">
        <f>'Relatório GERAL'!B254</f>
        <v>sex</v>
      </c>
      <c r="D254" s="18">
        <f>IF(OR(C254="SÁB",C254="DOM"),"",IFERROR(IF(VLOOKUP(VLOOKUP(A254,'Relatório GERAL'!$A:$T,$E$1,0),'Dados de consulta'!$A$2:$D$38,4,0)=0,"",VLOOKUP(VLOOKUP(A254,'Relatório GERAL'!$A:$T,$E$1,0),'Dados de consulta'!$A$2:$D$38,4,0)),""))</f>
        <v>2</v>
      </c>
      <c r="O254" s="27">
        <v>49827</v>
      </c>
    </row>
    <row r="255" spans="1:15" ht="15" x14ac:dyDescent="0.2">
      <c r="A255" s="116">
        <f>'Relatório GERAL'!A255</f>
        <v>42378</v>
      </c>
      <c r="B255" s="116">
        <f t="shared" si="14"/>
        <v>42370</v>
      </c>
      <c r="C255" s="117" t="str">
        <f>'Relatório GERAL'!B255</f>
        <v>sáb</v>
      </c>
      <c r="D255" s="18" t="str">
        <f>IF(OR(C255="SÁB",C255="DOM"),"",IFERROR(IF(VLOOKUP(VLOOKUP(A255,'Relatório GERAL'!$A:$T,$E$1,0),'Dados de consulta'!$A$2:$D$38,4,0)=0,"",VLOOKUP(VLOOKUP(A255,'Relatório GERAL'!$A:$T,$E$1,0),'Dados de consulta'!$A$2:$D$38,4,0)),""))</f>
        <v/>
      </c>
      <c r="O255" s="27">
        <v>49857</v>
      </c>
    </row>
    <row r="256" spans="1:15" ht="15" x14ac:dyDescent="0.2">
      <c r="A256" s="116">
        <f>'Relatório GERAL'!A256</f>
        <v>42379</v>
      </c>
      <c r="B256" s="116">
        <f t="shared" si="14"/>
        <v>42370</v>
      </c>
      <c r="C256" s="117" t="str">
        <f>'Relatório GERAL'!B256</f>
        <v>dom</v>
      </c>
      <c r="D256" s="18" t="str">
        <f>IF(OR(C256="SÁB",C256="DOM"),"",IFERROR(IF(VLOOKUP(VLOOKUP(A256,'Relatório GERAL'!$A:$T,$E$1,0),'Dados de consulta'!$A$2:$D$38,4,0)=0,"",VLOOKUP(VLOOKUP(A256,'Relatório GERAL'!$A:$T,$E$1,0),'Dados de consulta'!$A$2:$D$38,4,0)),""))</f>
        <v/>
      </c>
      <c r="O256" s="27">
        <v>49888</v>
      </c>
    </row>
    <row r="257" spans="1:15" ht="15" x14ac:dyDescent="0.2">
      <c r="A257" s="116">
        <f>'Relatório GERAL'!A257</f>
        <v>42380</v>
      </c>
      <c r="B257" s="116">
        <f t="shared" si="14"/>
        <v>42370</v>
      </c>
      <c r="C257" s="117" t="str">
        <f>'Relatório GERAL'!B257</f>
        <v>seg</v>
      </c>
      <c r="D257" s="18">
        <f>IF(OR(C257="SÁB",C257="DOM"),"",IFERROR(IF(VLOOKUP(VLOOKUP(A257,'Relatório GERAL'!$A:$T,$E$1,0),'Dados de consulta'!$A$2:$D$38,4,0)=0,"",VLOOKUP(VLOOKUP(A257,'Relatório GERAL'!$A:$T,$E$1,0),'Dados de consulta'!$A$2:$D$38,4,0)),""))</f>
        <v>2</v>
      </c>
      <c r="O257" s="27">
        <v>49919</v>
      </c>
    </row>
    <row r="258" spans="1:15" ht="15" x14ac:dyDescent="0.2">
      <c r="A258" s="116">
        <f>'Relatório GERAL'!A258</f>
        <v>42381</v>
      </c>
      <c r="B258" s="116">
        <f t="shared" si="14"/>
        <v>42370</v>
      </c>
      <c r="C258" s="117" t="str">
        <f>'Relatório GERAL'!B258</f>
        <v>ter</v>
      </c>
      <c r="D258" s="18">
        <f>IF(OR(C258="SÁB",C258="DOM"),"",IFERROR(IF(VLOOKUP(VLOOKUP(A258,'Relatório GERAL'!$A:$T,$E$1,0),'Dados de consulta'!$A$2:$D$38,4,0)=0,"",VLOOKUP(VLOOKUP(A258,'Relatório GERAL'!$A:$T,$E$1,0),'Dados de consulta'!$A$2:$D$38,4,0)),""))</f>
        <v>2</v>
      </c>
      <c r="O258" s="27">
        <v>49949</v>
      </c>
    </row>
    <row r="259" spans="1:15" ht="15" x14ac:dyDescent="0.2">
      <c r="A259" s="116">
        <f>'Relatório GERAL'!A259</f>
        <v>42382</v>
      </c>
      <c r="B259" s="116">
        <f t="shared" si="14"/>
        <v>42370</v>
      </c>
      <c r="C259" s="117" t="str">
        <f>'Relatório GERAL'!B259</f>
        <v>qua</v>
      </c>
      <c r="D259" s="18">
        <f>IF(OR(C259="SÁB",C259="DOM"),"",IFERROR(IF(VLOOKUP(VLOOKUP(A259,'Relatório GERAL'!$A:$T,$E$1,0),'Dados de consulta'!$A$2:$D$38,4,0)=0,"",VLOOKUP(VLOOKUP(A259,'Relatório GERAL'!$A:$T,$E$1,0),'Dados de consulta'!$A$2:$D$38,4,0)),""))</f>
        <v>2</v>
      </c>
      <c r="O259" s="27">
        <v>49980</v>
      </c>
    </row>
    <row r="260" spans="1:15" ht="15" x14ac:dyDescent="0.2">
      <c r="A260" s="116">
        <f>'Relatório GERAL'!A260</f>
        <v>42383</v>
      </c>
      <c r="B260" s="116">
        <f t="shared" si="14"/>
        <v>42370</v>
      </c>
      <c r="C260" s="117" t="str">
        <f>'Relatório GERAL'!B260</f>
        <v>qui</v>
      </c>
      <c r="D260" s="18">
        <f>IF(OR(C260="SÁB",C260="DOM"),"",IFERROR(IF(VLOOKUP(VLOOKUP(A260,'Relatório GERAL'!$A:$T,$E$1,0),'Dados de consulta'!$A$2:$D$38,4,0)=0,"",VLOOKUP(VLOOKUP(A260,'Relatório GERAL'!$A:$T,$E$1,0),'Dados de consulta'!$A$2:$D$38,4,0)),""))</f>
        <v>2</v>
      </c>
      <c r="O260" s="27">
        <v>50010</v>
      </c>
    </row>
    <row r="261" spans="1:15" ht="15" x14ac:dyDescent="0.2">
      <c r="A261" s="116">
        <f>'Relatório GERAL'!A261</f>
        <v>42384</v>
      </c>
      <c r="B261" s="116">
        <f t="shared" si="14"/>
        <v>42370</v>
      </c>
      <c r="C261" s="117" t="str">
        <f>'Relatório GERAL'!B261</f>
        <v>sex</v>
      </c>
      <c r="D261" s="18" t="str">
        <f>IF(OR(C261="SÁB",C261="DOM"),"",IFERROR(IF(VLOOKUP(VLOOKUP(A261,'Relatório GERAL'!$A:$T,$E$1,0),'Dados de consulta'!$A$2:$D$38,4,0)=0,"",VLOOKUP(VLOOKUP(A261,'Relatório GERAL'!$A:$T,$E$1,0),'Dados de consulta'!$A$2:$D$38,4,0)),""))</f>
        <v/>
      </c>
      <c r="O261" s="27">
        <v>50041</v>
      </c>
    </row>
    <row r="262" spans="1:15" ht="15" x14ac:dyDescent="0.2">
      <c r="A262" s="116">
        <f>'Relatório GERAL'!A262</f>
        <v>42385</v>
      </c>
      <c r="B262" s="116">
        <f t="shared" si="14"/>
        <v>42370</v>
      </c>
      <c r="C262" s="117" t="str">
        <f>'Relatório GERAL'!B262</f>
        <v>sáb</v>
      </c>
      <c r="D262" s="18" t="str">
        <f>IF(OR(C262="SÁB",C262="DOM"),"",IFERROR(IF(VLOOKUP(VLOOKUP(A262,'Relatório GERAL'!$A:$T,$E$1,0),'Dados de consulta'!$A$2:$D$38,4,0)=0,"",VLOOKUP(VLOOKUP(A262,'Relatório GERAL'!$A:$T,$E$1,0),'Dados de consulta'!$A$2:$D$38,4,0)),""))</f>
        <v/>
      </c>
      <c r="O262" s="27">
        <v>50072</v>
      </c>
    </row>
    <row r="263" spans="1:15" ht="15" x14ac:dyDescent="0.2">
      <c r="A263" s="116">
        <f>'Relatório GERAL'!A263</f>
        <v>42386</v>
      </c>
      <c r="B263" s="116">
        <f t="shared" si="14"/>
        <v>42370</v>
      </c>
      <c r="C263" s="117" t="str">
        <f>'Relatório GERAL'!B263</f>
        <v>dom</v>
      </c>
      <c r="D263" s="18" t="str">
        <f>IF(OR(C263="SÁB",C263="DOM"),"",IFERROR(IF(VLOOKUP(VLOOKUP(A263,'Relatório GERAL'!$A:$T,$E$1,0),'Dados de consulta'!$A$2:$D$38,4,0)=0,"",VLOOKUP(VLOOKUP(A263,'Relatório GERAL'!$A:$T,$E$1,0),'Dados de consulta'!$A$2:$D$38,4,0)),""))</f>
        <v/>
      </c>
      <c r="O263" s="27">
        <v>50100</v>
      </c>
    </row>
    <row r="264" spans="1:15" ht="15" x14ac:dyDescent="0.2">
      <c r="A264" s="116">
        <f>'Relatório GERAL'!A264</f>
        <v>42387</v>
      </c>
      <c r="B264" s="116">
        <f t="shared" si="14"/>
        <v>42370</v>
      </c>
      <c r="C264" s="117" t="str">
        <f>'Relatório GERAL'!B264</f>
        <v>seg</v>
      </c>
      <c r="D264" s="18" t="str">
        <f>IF(OR(C264="SÁB",C264="DOM"),"",IFERROR(IF(VLOOKUP(VLOOKUP(A264,'Relatório GERAL'!$A:$T,$E$1,0),'Dados de consulta'!$A$2:$D$38,4,0)=0,"",VLOOKUP(VLOOKUP(A264,'Relatório GERAL'!$A:$T,$E$1,0),'Dados de consulta'!$A$2:$D$38,4,0)),""))</f>
        <v/>
      </c>
      <c r="O264" s="27">
        <v>50131</v>
      </c>
    </row>
    <row r="265" spans="1:15" ht="15" x14ac:dyDescent="0.2">
      <c r="A265" s="116">
        <f>'Relatório GERAL'!A265</f>
        <v>42388</v>
      </c>
      <c r="B265" s="116">
        <f t="shared" si="14"/>
        <v>42370</v>
      </c>
      <c r="C265" s="117" t="str">
        <f>'Relatório GERAL'!B265</f>
        <v>ter</v>
      </c>
      <c r="D265" s="18" t="str">
        <f>IF(OR(C265="SÁB",C265="DOM"),"",IFERROR(IF(VLOOKUP(VLOOKUP(A265,'Relatório GERAL'!$A:$T,$E$1,0),'Dados de consulta'!$A$2:$D$38,4,0)=0,"",VLOOKUP(VLOOKUP(A265,'Relatório GERAL'!$A:$T,$E$1,0),'Dados de consulta'!$A$2:$D$38,4,0)),""))</f>
        <v/>
      </c>
      <c r="O265" s="27">
        <v>50161</v>
      </c>
    </row>
    <row r="266" spans="1:15" ht="15" x14ac:dyDescent="0.2">
      <c r="A266" s="116">
        <f>'Relatório GERAL'!A266</f>
        <v>42389</v>
      </c>
      <c r="B266" s="116">
        <f t="shared" si="14"/>
        <v>42370</v>
      </c>
      <c r="C266" s="117" t="str">
        <f>'Relatório GERAL'!B266</f>
        <v>qua</v>
      </c>
      <c r="D266" s="18" t="str">
        <f>IF(OR(C266="SÁB",C266="DOM"),"",IFERROR(IF(VLOOKUP(VLOOKUP(A266,'Relatório GERAL'!$A:$T,$E$1,0),'Dados de consulta'!$A$2:$D$38,4,0)=0,"",VLOOKUP(VLOOKUP(A266,'Relatório GERAL'!$A:$T,$E$1,0),'Dados de consulta'!$A$2:$D$38,4,0)),""))</f>
        <v/>
      </c>
      <c r="O266" s="27">
        <v>50192</v>
      </c>
    </row>
    <row r="267" spans="1:15" ht="15" x14ac:dyDescent="0.2">
      <c r="A267" s="116">
        <f>'Relatório GERAL'!A267</f>
        <v>42390</v>
      </c>
      <c r="B267" s="116">
        <f t="shared" si="14"/>
        <v>42370</v>
      </c>
      <c r="C267" s="117" t="str">
        <f>'Relatório GERAL'!B267</f>
        <v>qui</v>
      </c>
      <c r="D267" s="18" t="str">
        <f>IF(OR(C267="SÁB",C267="DOM"),"",IFERROR(IF(VLOOKUP(VLOOKUP(A267,'Relatório GERAL'!$A:$T,$E$1,0),'Dados de consulta'!$A$2:$D$38,4,0)=0,"",VLOOKUP(VLOOKUP(A267,'Relatório GERAL'!$A:$T,$E$1,0),'Dados de consulta'!$A$2:$D$38,4,0)),""))</f>
        <v/>
      </c>
      <c r="O267" s="27">
        <v>50222</v>
      </c>
    </row>
    <row r="268" spans="1:15" ht="15" x14ac:dyDescent="0.2">
      <c r="A268" s="116">
        <f>'Relatório GERAL'!A268</f>
        <v>42391</v>
      </c>
      <c r="B268" s="116">
        <f t="shared" si="14"/>
        <v>42370</v>
      </c>
      <c r="C268" s="117" t="str">
        <f>'Relatório GERAL'!B268</f>
        <v>sex</v>
      </c>
      <c r="D268" s="18">
        <f>IF(OR(C268="SÁB",C268="DOM"),"",IFERROR(IF(VLOOKUP(VLOOKUP(A268,'Relatório GERAL'!$A:$T,$E$1,0),'Dados de consulta'!$A$2:$D$38,4,0)=0,"",VLOOKUP(VLOOKUP(A268,'Relatório GERAL'!$A:$T,$E$1,0),'Dados de consulta'!$A$2:$D$38,4,0)),""))</f>
        <v>1</v>
      </c>
      <c r="O268" s="27">
        <v>50253</v>
      </c>
    </row>
    <row r="269" spans="1:15" ht="15" x14ac:dyDescent="0.2">
      <c r="A269" s="116">
        <f>'Relatório GERAL'!A269</f>
        <v>42392</v>
      </c>
      <c r="B269" s="116">
        <f t="shared" si="14"/>
        <v>42370</v>
      </c>
      <c r="C269" s="117" t="str">
        <f>'Relatório GERAL'!B269</f>
        <v>sáb</v>
      </c>
      <c r="D269" s="18" t="str">
        <f>IF(OR(C269="SÁB",C269="DOM"),"",IFERROR(IF(VLOOKUP(VLOOKUP(A269,'Relatório GERAL'!$A:$T,$E$1,0),'Dados de consulta'!$A$2:$D$38,4,0)=0,"",VLOOKUP(VLOOKUP(A269,'Relatório GERAL'!$A:$T,$E$1,0),'Dados de consulta'!$A$2:$D$38,4,0)),""))</f>
        <v/>
      </c>
      <c r="O269" s="27">
        <v>50284</v>
      </c>
    </row>
    <row r="270" spans="1:15" ht="15" x14ac:dyDescent="0.2">
      <c r="A270" s="116">
        <f>'Relatório GERAL'!A270</f>
        <v>42393</v>
      </c>
      <c r="B270" s="116">
        <f t="shared" si="14"/>
        <v>42370</v>
      </c>
      <c r="C270" s="117" t="str">
        <f>'Relatório GERAL'!B270</f>
        <v>dom</v>
      </c>
      <c r="D270" s="18" t="str">
        <f>IF(OR(C270="SÁB",C270="DOM"),"",IFERROR(IF(VLOOKUP(VLOOKUP(A270,'Relatório GERAL'!$A:$T,$E$1,0),'Dados de consulta'!$A$2:$D$38,4,0)=0,"",VLOOKUP(VLOOKUP(A270,'Relatório GERAL'!$A:$T,$E$1,0),'Dados de consulta'!$A$2:$D$38,4,0)),""))</f>
        <v/>
      </c>
      <c r="O270" s="27">
        <v>50314</v>
      </c>
    </row>
    <row r="271" spans="1:15" ht="15" x14ac:dyDescent="0.2">
      <c r="A271" s="116">
        <f>'Relatório GERAL'!A271</f>
        <v>42394</v>
      </c>
      <c r="B271" s="116">
        <f t="shared" si="14"/>
        <v>42370</v>
      </c>
      <c r="C271" s="117" t="str">
        <f>'Relatório GERAL'!B271</f>
        <v>seg</v>
      </c>
      <c r="D271" s="18" t="str">
        <f>IF(OR(C271="SÁB",C271="DOM"),"",IFERROR(IF(VLOOKUP(VLOOKUP(A271,'Relatório GERAL'!$A:$T,$E$1,0),'Dados de consulta'!$A$2:$D$38,4,0)=0,"",VLOOKUP(VLOOKUP(A271,'Relatório GERAL'!$A:$T,$E$1,0),'Dados de consulta'!$A$2:$D$38,4,0)),""))</f>
        <v/>
      </c>
      <c r="O271" s="27">
        <v>50345</v>
      </c>
    </row>
    <row r="272" spans="1:15" ht="15" x14ac:dyDescent="0.2">
      <c r="A272" s="116">
        <f>'Relatório GERAL'!A272</f>
        <v>42395</v>
      </c>
      <c r="B272" s="116">
        <f t="shared" si="14"/>
        <v>42370</v>
      </c>
      <c r="C272" s="117" t="str">
        <f>'Relatório GERAL'!B272</f>
        <v>ter</v>
      </c>
      <c r="D272" s="18" t="str">
        <f>IF(OR(C272="SÁB",C272="DOM"),"",IFERROR(IF(VLOOKUP(VLOOKUP(A272,'Relatório GERAL'!$A:$T,$E$1,0),'Dados de consulta'!$A$2:$D$38,4,0)=0,"",VLOOKUP(VLOOKUP(A272,'Relatório GERAL'!$A:$T,$E$1,0),'Dados de consulta'!$A$2:$D$38,4,0)),""))</f>
        <v/>
      </c>
      <c r="O272" s="27">
        <v>50375</v>
      </c>
    </row>
    <row r="273" spans="1:15" ht="15" x14ac:dyDescent="0.2">
      <c r="A273" s="116">
        <f>'Relatório GERAL'!A273</f>
        <v>42396</v>
      </c>
      <c r="B273" s="116">
        <f t="shared" si="14"/>
        <v>42370</v>
      </c>
      <c r="C273" s="117" t="str">
        <f>'Relatório GERAL'!B273</f>
        <v>qua</v>
      </c>
      <c r="D273" s="18" t="str">
        <f>IF(OR(C273="SÁB",C273="DOM"),"",IFERROR(IF(VLOOKUP(VLOOKUP(A273,'Relatório GERAL'!$A:$T,$E$1,0),'Dados de consulta'!$A$2:$D$38,4,0)=0,"",VLOOKUP(VLOOKUP(A273,'Relatório GERAL'!$A:$T,$E$1,0),'Dados de consulta'!$A$2:$D$38,4,0)),""))</f>
        <v/>
      </c>
      <c r="O273" s="27">
        <v>50406</v>
      </c>
    </row>
    <row r="274" spans="1:15" ht="15" x14ac:dyDescent="0.2">
      <c r="A274" s="116">
        <f>'Relatório GERAL'!A274</f>
        <v>42397</v>
      </c>
      <c r="B274" s="116">
        <f t="shared" si="14"/>
        <v>42370</v>
      </c>
      <c r="C274" s="117" t="str">
        <f>'Relatório GERAL'!B274</f>
        <v>qui</v>
      </c>
      <c r="D274" s="18" t="str">
        <f>IF(OR(C274="SÁB",C274="DOM"),"",IFERROR(IF(VLOOKUP(VLOOKUP(A274,'Relatório GERAL'!$A:$T,$E$1,0),'Dados de consulta'!$A$2:$D$38,4,0)=0,"",VLOOKUP(VLOOKUP(A274,'Relatório GERAL'!$A:$T,$E$1,0),'Dados de consulta'!$A$2:$D$38,4,0)),""))</f>
        <v/>
      </c>
      <c r="O274" s="27">
        <v>50437</v>
      </c>
    </row>
    <row r="275" spans="1:15" ht="15" x14ac:dyDescent="0.2">
      <c r="A275" s="116">
        <f>'Relatório GERAL'!A275</f>
        <v>42398</v>
      </c>
      <c r="B275" s="116">
        <f t="shared" si="14"/>
        <v>42370</v>
      </c>
      <c r="C275" s="117" t="str">
        <f>'Relatório GERAL'!B275</f>
        <v>sex</v>
      </c>
      <c r="D275" s="18" t="str">
        <f>IF(OR(C275="SÁB",C275="DOM"),"",IFERROR(IF(VLOOKUP(VLOOKUP(A275,'Relatório GERAL'!$A:$T,$E$1,0),'Dados de consulta'!$A$2:$D$38,4,0)=0,"",VLOOKUP(VLOOKUP(A275,'Relatório GERAL'!$A:$T,$E$1,0),'Dados de consulta'!$A$2:$D$38,4,0)),""))</f>
        <v/>
      </c>
      <c r="O275" s="27">
        <v>50465</v>
      </c>
    </row>
    <row r="276" spans="1:15" ht="15" x14ac:dyDescent="0.2">
      <c r="A276" s="116">
        <f>'Relatório GERAL'!A276</f>
        <v>42399</v>
      </c>
      <c r="B276" s="116">
        <f t="shared" si="14"/>
        <v>42370</v>
      </c>
      <c r="C276" s="117" t="str">
        <f>'Relatório GERAL'!B276</f>
        <v>sáb</v>
      </c>
      <c r="D276" s="18" t="str">
        <f>IF(OR(C276="SÁB",C276="DOM"),"",IFERROR(IF(VLOOKUP(VLOOKUP(A276,'Relatório GERAL'!$A:$T,$E$1,0),'Dados de consulta'!$A$2:$D$38,4,0)=0,"",VLOOKUP(VLOOKUP(A276,'Relatório GERAL'!$A:$T,$E$1,0),'Dados de consulta'!$A$2:$D$38,4,0)),""))</f>
        <v/>
      </c>
      <c r="O276" s="27">
        <v>50496</v>
      </c>
    </row>
    <row r="277" spans="1:15" ht="15" x14ac:dyDescent="0.2">
      <c r="A277" s="116">
        <f>'Relatório GERAL'!A277</f>
        <v>42400</v>
      </c>
      <c r="B277" s="116">
        <f t="shared" si="14"/>
        <v>42370</v>
      </c>
      <c r="C277" s="117" t="str">
        <f>'Relatório GERAL'!B277</f>
        <v>dom</v>
      </c>
      <c r="D277" s="18" t="str">
        <f>IF(OR(C277="SÁB",C277="DOM"),"",IFERROR(IF(VLOOKUP(VLOOKUP(A277,'Relatório GERAL'!$A:$T,$E$1,0),'Dados de consulta'!$A$2:$D$38,4,0)=0,"",VLOOKUP(VLOOKUP(A277,'Relatório GERAL'!$A:$T,$E$1,0),'Dados de consulta'!$A$2:$D$38,4,0)),""))</f>
        <v/>
      </c>
      <c r="O277" s="27">
        <v>50526</v>
      </c>
    </row>
    <row r="278" spans="1:15" ht="15" x14ac:dyDescent="0.2">
      <c r="A278" s="116">
        <f>'Relatório GERAL'!A278</f>
        <v>42401</v>
      </c>
      <c r="B278" s="116">
        <f t="shared" si="14"/>
        <v>42401</v>
      </c>
      <c r="C278" s="117" t="str">
        <f>'Relatório GERAL'!B278</f>
        <v>seg</v>
      </c>
      <c r="D278" s="18" t="str">
        <f>IF(OR(C278="SÁB",C278="DOM"),"",IFERROR(IF(VLOOKUP(VLOOKUP(A278,'Relatório GERAL'!$A:$T,$E$1,0),'Dados de consulta'!$A$2:$D$38,4,0)=0,"",VLOOKUP(VLOOKUP(A278,'Relatório GERAL'!$A:$T,$E$1,0),'Dados de consulta'!$A$2:$D$38,4,0)),""))</f>
        <v/>
      </c>
      <c r="O278" s="27">
        <v>50557</v>
      </c>
    </row>
    <row r="279" spans="1:15" ht="15" x14ac:dyDescent="0.2">
      <c r="A279" s="116">
        <f>'Relatório GERAL'!A279</f>
        <v>42402</v>
      </c>
      <c r="B279" s="116">
        <f t="shared" si="14"/>
        <v>42401</v>
      </c>
      <c r="C279" s="117" t="str">
        <f>'Relatório GERAL'!B279</f>
        <v>ter</v>
      </c>
      <c r="D279" s="18" t="str">
        <f>IF(OR(C279="SÁB",C279="DOM"),"",IFERROR(IF(VLOOKUP(VLOOKUP(A279,'Relatório GERAL'!$A:$T,$E$1,0),'Dados de consulta'!$A$2:$D$38,4,0)=0,"",VLOOKUP(VLOOKUP(A279,'Relatório GERAL'!$A:$T,$E$1,0),'Dados de consulta'!$A$2:$D$38,4,0)),""))</f>
        <v/>
      </c>
      <c r="O279" s="27">
        <v>50587</v>
      </c>
    </row>
    <row r="280" spans="1:15" ht="15" x14ac:dyDescent="0.2">
      <c r="A280" s="116">
        <f>'Relatório GERAL'!A280</f>
        <v>42403</v>
      </c>
      <c r="B280" s="116">
        <f t="shared" si="14"/>
        <v>42401</v>
      </c>
      <c r="C280" s="117" t="str">
        <f>'Relatório GERAL'!B280</f>
        <v>qua</v>
      </c>
      <c r="D280" s="18">
        <f>IF(OR(C280="SÁB",C280="DOM"),"",IFERROR(IF(VLOOKUP(VLOOKUP(A280,'Relatório GERAL'!$A:$T,$E$1,0),'Dados de consulta'!$A$2:$D$38,4,0)=0,"",VLOOKUP(VLOOKUP(A280,'Relatório GERAL'!$A:$T,$E$1,0),'Dados de consulta'!$A$2:$D$38,4,0)),""))</f>
        <v>1</v>
      </c>
      <c r="O280" s="27">
        <v>50618</v>
      </c>
    </row>
    <row r="281" spans="1:15" ht="15" x14ac:dyDescent="0.2">
      <c r="A281" s="116">
        <f>'Relatório GERAL'!A281</f>
        <v>42404</v>
      </c>
      <c r="B281" s="116">
        <f t="shared" si="14"/>
        <v>42401</v>
      </c>
      <c r="C281" s="117" t="str">
        <f>'Relatório GERAL'!B281</f>
        <v>qui</v>
      </c>
      <c r="D281" s="18" t="str">
        <f>IF(OR(C281="SÁB",C281="DOM"),"",IFERROR(IF(VLOOKUP(VLOOKUP(A281,'Relatório GERAL'!$A:$T,$E$1,0),'Dados de consulta'!$A$2:$D$38,4,0)=0,"",VLOOKUP(VLOOKUP(A281,'Relatório GERAL'!$A:$T,$E$1,0),'Dados de consulta'!$A$2:$D$38,4,0)),""))</f>
        <v/>
      </c>
      <c r="O281" s="27">
        <v>50649</v>
      </c>
    </row>
    <row r="282" spans="1:15" ht="15" x14ac:dyDescent="0.2">
      <c r="A282" s="116">
        <f>'Relatório GERAL'!A282</f>
        <v>42405</v>
      </c>
      <c r="B282" s="116">
        <f t="shared" si="14"/>
        <v>42401</v>
      </c>
      <c r="C282" s="117" t="str">
        <f>'Relatório GERAL'!B282</f>
        <v>sex</v>
      </c>
      <c r="D282" s="18" t="str">
        <f>IF(OR(C282="SÁB",C282="DOM"),"",IFERROR(IF(VLOOKUP(VLOOKUP(A282,'Relatório GERAL'!$A:$T,$E$1,0),'Dados de consulta'!$A$2:$D$38,4,0)=0,"",VLOOKUP(VLOOKUP(A282,'Relatório GERAL'!$A:$T,$E$1,0),'Dados de consulta'!$A$2:$D$38,4,0)),""))</f>
        <v/>
      </c>
      <c r="O282" s="27">
        <v>50679</v>
      </c>
    </row>
    <row r="283" spans="1:15" ht="15" x14ac:dyDescent="0.2">
      <c r="A283" s="116">
        <f>'Relatório GERAL'!A283</f>
        <v>42406</v>
      </c>
      <c r="B283" s="116">
        <f t="shared" si="14"/>
        <v>42401</v>
      </c>
      <c r="C283" s="117" t="str">
        <f>'Relatório GERAL'!B283</f>
        <v>sáb</v>
      </c>
      <c r="D283" s="18" t="str">
        <f>IF(OR(C283="SÁB",C283="DOM"),"",IFERROR(IF(VLOOKUP(VLOOKUP(A283,'Relatório GERAL'!$A:$T,$E$1,0),'Dados de consulta'!$A$2:$D$38,4,0)=0,"",VLOOKUP(VLOOKUP(A283,'Relatório GERAL'!$A:$T,$E$1,0),'Dados de consulta'!$A$2:$D$38,4,0)),""))</f>
        <v/>
      </c>
      <c r="O283" s="27">
        <v>50710</v>
      </c>
    </row>
    <row r="284" spans="1:15" ht="15" x14ac:dyDescent="0.2">
      <c r="A284" s="116">
        <f>'Relatório GERAL'!A284</f>
        <v>42407</v>
      </c>
      <c r="B284" s="116">
        <f t="shared" si="14"/>
        <v>42401</v>
      </c>
      <c r="C284" s="117" t="str">
        <f>'Relatório GERAL'!B284</f>
        <v>dom</v>
      </c>
      <c r="D284" s="18" t="str">
        <f>IF(OR(C284="SÁB",C284="DOM"),"",IFERROR(IF(VLOOKUP(VLOOKUP(A284,'Relatório GERAL'!$A:$T,$E$1,0),'Dados de consulta'!$A$2:$D$38,4,0)=0,"",VLOOKUP(VLOOKUP(A284,'Relatório GERAL'!$A:$T,$E$1,0),'Dados de consulta'!$A$2:$D$38,4,0)),""))</f>
        <v/>
      </c>
      <c r="O284" s="27">
        <v>50740</v>
      </c>
    </row>
    <row r="285" spans="1:15" ht="15" x14ac:dyDescent="0.2">
      <c r="A285" s="116">
        <f>'Relatório GERAL'!A285</f>
        <v>42408</v>
      </c>
      <c r="B285" s="116">
        <f t="shared" si="14"/>
        <v>42401</v>
      </c>
      <c r="C285" s="117" t="str">
        <f>'Relatório GERAL'!B285</f>
        <v>seg</v>
      </c>
      <c r="D285" s="18" t="str">
        <f>IF(OR(C285="SÁB",C285="DOM"),"",IFERROR(IF(VLOOKUP(VLOOKUP(A285,'Relatório GERAL'!$A:$T,$E$1,0),'Dados de consulta'!$A$2:$D$38,4,0)=0,"",VLOOKUP(VLOOKUP(A285,'Relatório GERAL'!$A:$T,$E$1,0),'Dados de consulta'!$A$2:$D$38,4,0)),""))</f>
        <v/>
      </c>
      <c r="O285" s="27">
        <v>50771</v>
      </c>
    </row>
    <row r="286" spans="1:15" ht="15" x14ac:dyDescent="0.2">
      <c r="A286" s="116">
        <f>'Relatório GERAL'!A286</f>
        <v>42409</v>
      </c>
      <c r="B286" s="116">
        <f t="shared" si="14"/>
        <v>42401</v>
      </c>
      <c r="C286" s="117" t="str">
        <f>'Relatório GERAL'!B286</f>
        <v>ter</v>
      </c>
      <c r="D286" s="18" t="str">
        <f>IF(OR(C286="SÁB",C286="DOM"),"",IFERROR(IF(VLOOKUP(VLOOKUP(A286,'Relatório GERAL'!$A:$T,$E$1,0),'Dados de consulta'!$A$2:$D$38,4,0)=0,"",VLOOKUP(VLOOKUP(A286,'Relatório GERAL'!$A:$T,$E$1,0),'Dados de consulta'!$A$2:$D$38,4,0)),""))</f>
        <v/>
      </c>
      <c r="O286" s="27">
        <v>50802</v>
      </c>
    </row>
    <row r="287" spans="1:15" ht="15" x14ac:dyDescent="0.2">
      <c r="A287" s="116">
        <f>'Relatório GERAL'!A287</f>
        <v>42410</v>
      </c>
      <c r="B287" s="116">
        <f t="shared" si="14"/>
        <v>42401</v>
      </c>
      <c r="C287" s="117" t="str">
        <f>'Relatório GERAL'!B287</f>
        <v>qua</v>
      </c>
      <c r="D287" s="18" t="str">
        <f>IF(OR(C287="SÁB",C287="DOM"),"",IFERROR(IF(VLOOKUP(VLOOKUP(A287,'Relatório GERAL'!$A:$T,$E$1,0),'Dados de consulta'!$A$2:$D$38,4,0)=0,"",VLOOKUP(VLOOKUP(A287,'Relatório GERAL'!$A:$T,$E$1,0),'Dados de consulta'!$A$2:$D$38,4,0)),""))</f>
        <v/>
      </c>
      <c r="O287" s="27">
        <v>50830</v>
      </c>
    </row>
    <row r="288" spans="1:15" ht="15" x14ac:dyDescent="0.2">
      <c r="A288" s="116">
        <f>'Relatório GERAL'!A288</f>
        <v>42411</v>
      </c>
      <c r="B288" s="116">
        <f t="shared" si="14"/>
        <v>42401</v>
      </c>
      <c r="C288" s="117" t="str">
        <f>'Relatório GERAL'!B288</f>
        <v>qui</v>
      </c>
      <c r="D288" s="18" t="str">
        <f>IF(OR(C288="SÁB",C288="DOM"),"",IFERROR(IF(VLOOKUP(VLOOKUP(A288,'Relatório GERAL'!$A:$T,$E$1,0),'Dados de consulta'!$A$2:$D$38,4,0)=0,"",VLOOKUP(VLOOKUP(A288,'Relatório GERAL'!$A:$T,$E$1,0),'Dados de consulta'!$A$2:$D$38,4,0)),""))</f>
        <v/>
      </c>
      <c r="O288" s="27">
        <v>50861</v>
      </c>
    </row>
    <row r="289" spans="1:15" ht="15" x14ac:dyDescent="0.2">
      <c r="A289" s="116">
        <f>'Relatório GERAL'!A289</f>
        <v>42412</v>
      </c>
      <c r="B289" s="116">
        <f t="shared" si="14"/>
        <v>42401</v>
      </c>
      <c r="C289" s="117" t="str">
        <f>'Relatório GERAL'!B289</f>
        <v>sex</v>
      </c>
      <c r="D289" s="18" t="str">
        <f>IF(OR(C289="SÁB",C289="DOM"),"",IFERROR(IF(VLOOKUP(VLOOKUP(A289,'Relatório GERAL'!$A:$T,$E$1,0),'Dados de consulta'!$A$2:$D$38,4,0)=0,"",VLOOKUP(VLOOKUP(A289,'Relatório GERAL'!$A:$T,$E$1,0),'Dados de consulta'!$A$2:$D$38,4,0)),""))</f>
        <v/>
      </c>
      <c r="O289" s="27">
        <v>50891</v>
      </c>
    </row>
    <row r="290" spans="1:15" ht="15" x14ac:dyDescent="0.2">
      <c r="A290" s="116">
        <f>'Relatório GERAL'!A290</f>
        <v>42413</v>
      </c>
      <c r="B290" s="116">
        <f t="shared" si="14"/>
        <v>42401</v>
      </c>
      <c r="C290" s="117" t="str">
        <f>'Relatório GERAL'!B290</f>
        <v>sáb</v>
      </c>
      <c r="D290" s="18" t="str">
        <f>IF(OR(C290="SÁB",C290="DOM"),"",IFERROR(IF(VLOOKUP(VLOOKUP(A290,'Relatório GERAL'!$A:$T,$E$1,0),'Dados de consulta'!$A$2:$D$38,4,0)=0,"",VLOOKUP(VLOOKUP(A290,'Relatório GERAL'!$A:$T,$E$1,0),'Dados de consulta'!$A$2:$D$38,4,0)),""))</f>
        <v/>
      </c>
      <c r="O290" s="27">
        <v>50922</v>
      </c>
    </row>
    <row r="291" spans="1:15" ht="15" x14ac:dyDescent="0.2">
      <c r="A291" s="116">
        <f>'Relatório GERAL'!A291</f>
        <v>42414</v>
      </c>
      <c r="B291" s="116">
        <f t="shared" si="14"/>
        <v>42401</v>
      </c>
      <c r="C291" s="117" t="str">
        <f>'Relatório GERAL'!B291</f>
        <v>dom</v>
      </c>
      <c r="D291" s="18" t="str">
        <f>IF(OR(C291="SÁB",C291="DOM"),"",IFERROR(IF(VLOOKUP(VLOOKUP(A291,'Relatório GERAL'!$A:$T,$E$1,0),'Dados de consulta'!$A$2:$D$38,4,0)=0,"",VLOOKUP(VLOOKUP(A291,'Relatório GERAL'!$A:$T,$E$1,0),'Dados de consulta'!$A$2:$D$38,4,0)),""))</f>
        <v/>
      </c>
      <c r="O291" s="27">
        <v>50952</v>
      </c>
    </row>
    <row r="292" spans="1:15" ht="15" x14ac:dyDescent="0.2">
      <c r="A292" s="116">
        <f>'Relatório GERAL'!A292</f>
        <v>42415</v>
      </c>
      <c r="B292" s="116">
        <f t="shared" si="14"/>
        <v>42401</v>
      </c>
      <c r="C292" s="117" t="str">
        <f>'Relatório GERAL'!B292</f>
        <v>seg</v>
      </c>
      <c r="D292" s="18" t="str">
        <f>IF(OR(C292="SÁB",C292="DOM"),"",IFERROR(IF(VLOOKUP(VLOOKUP(A292,'Relatório GERAL'!$A:$T,$E$1,0),'Dados de consulta'!$A$2:$D$38,4,0)=0,"",VLOOKUP(VLOOKUP(A292,'Relatório GERAL'!$A:$T,$E$1,0),'Dados de consulta'!$A$2:$D$38,4,0)),""))</f>
        <v/>
      </c>
      <c r="O292" s="27">
        <v>50983</v>
      </c>
    </row>
    <row r="293" spans="1:15" ht="15" x14ac:dyDescent="0.2">
      <c r="A293" s="116">
        <f>'Relatório GERAL'!A293</f>
        <v>42416</v>
      </c>
      <c r="B293" s="116">
        <f t="shared" si="14"/>
        <v>42401</v>
      </c>
      <c r="C293" s="117" t="str">
        <f>'Relatório GERAL'!B293</f>
        <v>ter</v>
      </c>
      <c r="D293" s="18" t="str">
        <f>IF(OR(C293="SÁB",C293="DOM"),"",IFERROR(IF(VLOOKUP(VLOOKUP(A293,'Relatório GERAL'!$A:$T,$E$1,0),'Dados de consulta'!$A$2:$D$38,4,0)=0,"",VLOOKUP(VLOOKUP(A293,'Relatório GERAL'!$A:$T,$E$1,0),'Dados de consulta'!$A$2:$D$38,4,0)),""))</f>
        <v/>
      </c>
      <c r="O293" s="27">
        <v>51014</v>
      </c>
    </row>
    <row r="294" spans="1:15" ht="15" x14ac:dyDescent="0.2">
      <c r="A294" s="116">
        <f>'Relatório GERAL'!A294</f>
        <v>42417</v>
      </c>
      <c r="B294" s="116">
        <f t="shared" si="14"/>
        <v>42401</v>
      </c>
      <c r="C294" s="117" t="str">
        <f>'Relatório GERAL'!B294</f>
        <v>qua</v>
      </c>
      <c r="D294" s="18" t="str">
        <f>IF(OR(C294="SÁB",C294="DOM"),"",IFERROR(IF(VLOOKUP(VLOOKUP(A294,'Relatório GERAL'!$A:$T,$E$1,0),'Dados de consulta'!$A$2:$D$38,4,0)=0,"",VLOOKUP(VLOOKUP(A294,'Relatório GERAL'!$A:$T,$E$1,0),'Dados de consulta'!$A$2:$D$38,4,0)),""))</f>
        <v/>
      </c>
      <c r="O294" s="27">
        <v>51044</v>
      </c>
    </row>
    <row r="295" spans="1:15" ht="15" x14ac:dyDescent="0.2">
      <c r="A295" s="116">
        <f>'Relatório GERAL'!A295</f>
        <v>42418</v>
      </c>
      <c r="B295" s="116">
        <f t="shared" si="14"/>
        <v>42401</v>
      </c>
      <c r="C295" s="117" t="str">
        <f>'Relatório GERAL'!B295</f>
        <v>qui</v>
      </c>
      <c r="D295" s="18" t="str">
        <f>IF(OR(C295="SÁB",C295="DOM"),"",IFERROR(IF(VLOOKUP(VLOOKUP(A295,'Relatório GERAL'!$A:$T,$E$1,0),'Dados de consulta'!$A$2:$D$38,4,0)=0,"",VLOOKUP(VLOOKUP(A295,'Relatório GERAL'!$A:$T,$E$1,0),'Dados de consulta'!$A$2:$D$38,4,0)),""))</f>
        <v/>
      </c>
      <c r="O295" s="27">
        <v>51075</v>
      </c>
    </row>
    <row r="296" spans="1:15" ht="15" x14ac:dyDescent="0.2">
      <c r="A296" s="116">
        <f>'Relatório GERAL'!A296</f>
        <v>42419</v>
      </c>
      <c r="B296" s="116">
        <f t="shared" si="14"/>
        <v>42401</v>
      </c>
      <c r="C296" s="117" t="str">
        <f>'Relatório GERAL'!B296</f>
        <v>sex</v>
      </c>
      <c r="D296" s="18" t="str">
        <f>IF(OR(C296="SÁB",C296="DOM"),"",IFERROR(IF(VLOOKUP(VLOOKUP(A296,'Relatório GERAL'!$A:$T,$E$1,0),'Dados de consulta'!$A$2:$D$38,4,0)=0,"",VLOOKUP(VLOOKUP(A296,'Relatório GERAL'!$A:$T,$E$1,0),'Dados de consulta'!$A$2:$D$38,4,0)),""))</f>
        <v/>
      </c>
      <c r="O296" s="27">
        <v>51105</v>
      </c>
    </row>
    <row r="297" spans="1:15" ht="15" x14ac:dyDescent="0.2">
      <c r="A297" s="116">
        <f>'Relatório GERAL'!A297</f>
        <v>42420</v>
      </c>
      <c r="B297" s="116">
        <f t="shared" si="14"/>
        <v>42401</v>
      </c>
      <c r="C297" s="117" t="str">
        <f>'Relatório GERAL'!B297</f>
        <v>sáb</v>
      </c>
      <c r="D297" s="18" t="str">
        <f>IF(OR(C297="SÁB",C297="DOM"),"",IFERROR(IF(VLOOKUP(VLOOKUP(A297,'Relatório GERAL'!$A:$T,$E$1,0),'Dados de consulta'!$A$2:$D$38,4,0)=0,"",VLOOKUP(VLOOKUP(A297,'Relatório GERAL'!$A:$T,$E$1,0),'Dados de consulta'!$A$2:$D$38,4,0)),""))</f>
        <v/>
      </c>
      <c r="O297" s="27">
        <v>51136</v>
      </c>
    </row>
    <row r="298" spans="1:15" ht="15" x14ac:dyDescent="0.2">
      <c r="A298" s="116">
        <f>'Relatório GERAL'!A298</f>
        <v>42421</v>
      </c>
      <c r="B298" s="116">
        <f t="shared" si="14"/>
        <v>42401</v>
      </c>
      <c r="C298" s="117" t="str">
        <f>'Relatório GERAL'!B298</f>
        <v>dom</v>
      </c>
      <c r="D298" s="18" t="str">
        <f>IF(OR(C298="SÁB",C298="DOM"),"",IFERROR(IF(VLOOKUP(VLOOKUP(A298,'Relatório GERAL'!$A:$T,$E$1,0),'Dados de consulta'!$A$2:$D$38,4,0)=0,"",VLOOKUP(VLOOKUP(A298,'Relatório GERAL'!$A:$T,$E$1,0),'Dados de consulta'!$A$2:$D$38,4,0)),""))</f>
        <v/>
      </c>
      <c r="O298" s="27">
        <v>51167</v>
      </c>
    </row>
    <row r="299" spans="1:15" ht="15" x14ac:dyDescent="0.2">
      <c r="A299" s="116">
        <f>'Relatório GERAL'!A299</f>
        <v>42422</v>
      </c>
      <c r="B299" s="116">
        <f t="shared" si="14"/>
        <v>42401</v>
      </c>
      <c r="C299" s="117" t="str">
        <f>'Relatório GERAL'!B299</f>
        <v>seg</v>
      </c>
      <c r="D299" s="18" t="str">
        <f>IF(OR(C299="SÁB",C299="DOM"),"",IFERROR(IF(VLOOKUP(VLOOKUP(A299,'Relatório GERAL'!$A:$T,$E$1,0),'Dados de consulta'!$A$2:$D$38,4,0)=0,"",VLOOKUP(VLOOKUP(A299,'Relatório GERAL'!$A:$T,$E$1,0),'Dados de consulta'!$A$2:$D$38,4,0)),""))</f>
        <v/>
      </c>
      <c r="O299" s="27">
        <v>51196</v>
      </c>
    </row>
    <row r="300" spans="1:15" ht="15" x14ac:dyDescent="0.2">
      <c r="A300" s="116">
        <f>'Relatório GERAL'!A300</f>
        <v>42423</v>
      </c>
      <c r="B300" s="116">
        <f t="shared" si="14"/>
        <v>42401</v>
      </c>
      <c r="C300" s="117" t="str">
        <f>'Relatório GERAL'!B300</f>
        <v>ter</v>
      </c>
      <c r="D300" s="18" t="str">
        <f>IF(OR(C300="SÁB",C300="DOM"),"",IFERROR(IF(VLOOKUP(VLOOKUP(A300,'Relatório GERAL'!$A:$T,$E$1,0),'Dados de consulta'!$A$2:$D$38,4,0)=0,"",VLOOKUP(VLOOKUP(A300,'Relatório GERAL'!$A:$T,$E$1,0),'Dados de consulta'!$A$2:$D$38,4,0)),""))</f>
        <v/>
      </c>
      <c r="O300" s="27">
        <v>51227</v>
      </c>
    </row>
    <row r="301" spans="1:15" ht="15" x14ac:dyDescent="0.2">
      <c r="A301" s="116">
        <f>'Relatório GERAL'!A301</f>
        <v>42424</v>
      </c>
      <c r="B301" s="116">
        <f t="shared" si="14"/>
        <v>42401</v>
      </c>
      <c r="C301" s="117" t="str">
        <f>'Relatório GERAL'!B301</f>
        <v>qua</v>
      </c>
      <c r="D301" s="18" t="str">
        <f>IF(OR(C301="SÁB",C301="DOM"),"",IFERROR(IF(VLOOKUP(VLOOKUP(A301,'Relatório GERAL'!$A:$T,$E$1,0),'Dados de consulta'!$A$2:$D$38,4,0)=0,"",VLOOKUP(VLOOKUP(A301,'Relatório GERAL'!$A:$T,$E$1,0),'Dados de consulta'!$A$2:$D$38,4,0)),""))</f>
        <v/>
      </c>
      <c r="O301" s="27">
        <v>51257</v>
      </c>
    </row>
    <row r="302" spans="1:15" ht="15" x14ac:dyDescent="0.2">
      <c r="A302" s="116">
        <f>'Relatório GERAL'!A302</f>
        <v>42425</v>
      </c>
      <c r="B302" s="116">
        <f t="shared" si="14"/>
        <v>42401</v>
      </c>
      <c r="C302" s="117" t="str">
        <f>'Relatório GERAL'!B302</f>
        <v>qui</v>
      </c>
      <c r="D302" s="18" t="str">
        <f>IF(OR(C302="SÁB",C302="DOM"),"",IFERROR(IF(VLOOKUP(VLOOKUP(A302,'Relatório GERAL'!$A:$T,$E$1,0),'Dados de consulta'!$A$2:$D$38,4,0)=0,"",VLOOKUP(VLOOKUP(A302,'Relatório GERAL'!$A:$T,$E$1,0),'Dados de consulta'!$A$2:$D$38,4,0)),""))</f>
        <v/>
      </c>
      <c r="O302" s="27">
        <v>51288</v>
      </c>
    </row>
    <row r="303" spans="1:15" ht="15" x14ac:dyDescent="0.2">
      <c r="A303" s="116">
        <f>'Relatório GERAL'!A303</f>
        <v>42426</v>
      </c>
      <c r="B303" s="116">
        <f t="shared" si="14"/>
        <v>42401</v>
      </c>
      <c r="C303" s="117" t="str">
        <f>'Relatório GERAL'!B303</f>
        <v>sex</v>
      </c>
      <c r="D303" s="18" t="str">
        <f>IF(OR(C303="SÁB",C303="DOM"),"",IFERROR(IF(VLOOKUP(VLOOKUP(A303,'Relatório GERAL'!$A:$T,$E$1,0),'Dados de consulta'!$A$2:$D$38,4,0)=0,"",VLOOKUP(VLOOKUP(A303,'Relatório GERAL'!$A:$T,$E$1,0),'Dados de consulta'!$A$2:$D$38,4,0)),""))</f>
        <v/>
      </c>
      <c r="O303" s="27">
        <v>51318</v>
      </c>
    </row>
    <row r="304" spans="1:15" ht="15" x14ac:dyDescent="0.2">
      <c r="A304" s="116">
        <f>'Relatório GERAL'!A304</f>
        <v>42427</v>
      </c>
      <c r="B304" s="116">
        <f t="shared" si="14"/>
        <v>42401</v>
      </c>
      <c r="C304" s="117" t="str">
        <f>'Relatório GERAL'!B304</f>
        <v>sáb</v>
      </c>
      <c r="D304" s="18" t="str">
        <f>IF(OR(C304="SÁB",C304="DOM"),"",IFERROR(IF(VLOOKUP(VLOOKUP(A304,'Relatório GERAL'!$A:$T,$E$1,0),'Dados de consulta'!$A$2:$D$38,4,0)=0,"",VLOOKUP(VLOOKUP(A304,'Relatório GERAL'!$A:$T,$E$1,0),'Dados de consulta'!$A$2:$D$38,4,0)),""))</f>
        <v/>
      </c>
      <c r="O304" s="27">
        <v>51349</v>
      </c>
    </row>
    <row r="305" spans="1:15" ht="15" x14ac:dyDescent="0.2">
      <c r="A305" s="116">
        <f>'Relatório GERAL'!A305</f>
        <v>42428</v>
      </c>
      <c r="B305" s="116">
        <f t="shared" si="14"/>
        <v>42401</v>
      </c>
      <c r="C305" s="117" t="str">
        <f>'Relatório GERAL'!B305</f>
        <v>dom</v>
      </c>
      <c r="D305" s="18" t="str">
        <f>IF(OR(C305="SÁB",C305="DOM"),"",IFERROR(IF(VLOOKUP(VLOOKUP(A305,'Relatório GERAL'!$A:$T,$E$1,0),'Dados de consulta'!$A$2:$D$38,4,0)=0,"",VLOOKUP(VLOOKUP(A305,'Relatório GERAL'!$A:$T,$E$1,0),'Dados de consulta'!$A$2:$D$38,4,0)),""))</f>
        <v/>
      </c>
      <c r="O305" s="27">
        <v>51380</v>
      </c>
    </row>
    <row r="306" spans="1:15" ht="15" x14ac:dyDescent="0.2">
      <c r="A306" s="116">
        <f>'Relatório GERAL'!A306</f>
        <v>42429</v>
      </c>
      <c r="B306" s="116">
        <f t="shared" si="14"/>
        <v>42401</v>
      </c>
      <c r="C306" s="117" t="str">
        <f>'Relatório GERAL'!B306</f>
        <v>seg</v>
      </c>
      <c r="D306" s="18" t="str">
        <f>IF(OR(C306="SÁB",C306="DOM"),"",IFERROR(IF(VLOOKUP(VLOOKUP(A306,'Relatório GERAL'!$A:$T,$E$1,0),'Dados de consulta'!$A$2:$D$38,4,0)=0,"",VLOOKUP(VLOOKUP(A306,'Relatório GERAL'!$A:$T,$E$1,0),'Dados de consulta'!$A$2:$D$38,4,0)),""))</f>
        <v/>
      </c>
      <c r="O306" s="27">
        <v>51410</v>
      </c>
    </row>
    <row r="307" spans="1:15" ht="15" x14ac:dyDescent="0.2">
      <c r="A307" s="116">
        <f>'Relatório GERAL'!A307</f>
        <v>42430</v>
      </c>
      <c r="B307" s="116">
        <f t="shared" si="14"/>
        <v>42430</v>
      </c>
      <c r="C307" s="117" t="str">
        <f>'Relatório GERAL'!B307</f>
        <v>ter</v>
      </c>
      <c r="D307" s="18" t="str">
        <f>IF(OR(C307="SÁB",C307="DOM"),"",IFERROR(IF(VLOOKUP(VLOOKUP(A307,'Relatório GERAL'!$A:$T,$E$1,0),'Dados de consulta'!$A$2:$D$38,4,0)=0,"",VLOOKUP(VLOOKUP(A307,'Relatório GERAL'!$A:$T,$E$1,0),'Dados de consulta'!$A$2:$D$38,4,0)),""))</f>
        <v/>
      </c>
      <c r="O307" s="27">
        <v>51441</v>
      </c>
    </row>
    <row r="308" spans="1:15" ht="15" x14ac:dyDescent="0.2">
      <c r="A308" s="116">
        <f>'Relatório GERAL'!A308</f>
        <v>42431</v>
      </c>
      <c r="B308" s="116">
        <f t="shared" si="14"/>
        <v>42430</v>
      </c>
      <c r="C308" s="117" t="str">
        <f>'Relatório GERAL'!B308</f>
        <v>qua</v>
      </c>
      <c r="D308" s="18" t="str">
        <f>IF(OR(C308="SÁB",C308="DOM"),"",IFERROR(IF(VLOOKUP(VLOOKUP(A308,'Relatório GERAL'!$A:$T,$E$1,0),'Dados de consulta'!$A$2:$D$38,4,0)=0,"",VLOOKUP(VLOOKUP(A308,'Relatório GERAL'!$A:$T,$E$1,0),'Dados de consulta'!$A$2:$D$38,4,0)),""))</f>
        <v/>
      </c>
      <c r="O308" s="27">
        <v>51471</v>
      </c>
    </row>
    <row r="309" spans="1:15" ht="15" x14ac:dyDescent="0.2">
      <c r="A309" s="116">
        <f>'Relatório GERAL'!A309</f>
        <v>42432</v>
      </c>
      <c r="B309" s="116">
        <f t="shared" si="14"/>
        <v>42430</v>
      </c>
      <c r="C309" s="117" t="str">
        <f>'Relatório GERAL'!B309</f>
        <v>qui</v>
      </c>
      <c r="D309" s="18" t="str">
        <f>IF(OR(C309="SÁB",C309="DOM"),"",IFERROR(IF(VLOOKUP(VLOOKUP(A309,'Relatório GERAL'!$A:$T,$E$1,0),'Dados de consulta'!$A$2:$D$38,4,0)=0,"",VLOOKUP(VLOOKUP(A309,'Relatório GERAL'!$A:$T,$E$1,0),'Dados de consulta'!$A$2:$D$38,4,0)),""))</f>
        <v/>
      </c>
      <c r="O309" s="27">
        <v>51502</v>
      </c>
    </row>
    <row r="310" spans="1:15" ht="15" x14ac:dyDescent="0.2">
      <c r="A310" s="116">
        <f>'Relatório GERAL'!A310</f>
        <v>42433</v>
      </c>
      <c r="B310" s="116">
        <f t="shared" si="14"/>
        <v>42430</v>
      </c>
      <c r="C310" s="117" t="str">
        <f>'Relatório GERAL'!B310</f>
        <v>sex</v>
      </c>
      <c r="D310" s="18" t="str">
        <f>IF(OR(C310="SÁB",C310="DOM"),"",IFERROR(IF(VLOOKUP(VLOOKUP(A310,'Relatório GERAL'!$A:$T,$E$1,0),'Dados de consulta'!$A$2:$D$38,4,0)=0,"",VLOOKUP(VLOOKUP(A310,'Relatório GERAL'!$A:$T,$E$1,0),'Dados de consulta'!$A$2:$D$38,4,0)),""))</f>
        <v/>
      </c>
      <c r="O310" s="27">
        <v>51533</v>
      </c>
    </row>
    <row r="311" spans="1:15" ht="15" x14ac:dyDescent="0.2">
      <c r="A311" s="116">
        <f>'Relatório GERAL'!A311</f>
        <v>42434</v>
      </c>
      <c r="B311" s="116">
        <f t="shared" ref="B311:B374" si="15">DATEVALUE(CONCATENATE("01/",TEXT(A311,"mm/aaaa")))</f>
        <v>42430</v>
      </c>
      <c r="C311" s="117" t="str">
        <f>'Relatório GERAL'!B311</f>
        <v>sáb</v>
      </c>
      <c r="D311" s="18" t="str">
        <f>IF(OR(C311="SÁB",C311="DOM"),"",IFERROR(IF(VLOOKUP(VLOOKUP(A311,'Relatório GERAL'!$A:$T,$E$1,0),'Dados de consulta'!$A$2:$D$38,4,0)=0,"",VLOOKUP(VLOOKUP(A311,'Relatório GERAL'!$A:$T,$E$1,0),'Dados de consulta'!$A$2:$D$38,4,0)),""))</f>
        <v/>
      </c>
      <c r="O311" s="27">
        <v>51561</v>
      </c>
    </row>
    <row r="312" spans="1:15" ht="15" x14ac:dyDescent="0.2">
      <c r="A312" s="116">
        <f>'Relatório GERAL'!A312</f>
        <v>42435</v>
      </c>
      <c r="B312" s="116">
        <f t="shared" si="15"/>
        <v>42430</v>
      </c>
      <c r="C312" s="117" t="str">
        <f>'Relatório GERAL'!B312</f>
        <v>dom</v>
      </c>
      <c r="D312" s="18" t="str">
        <f>IF(OR(C312="SÁB",C312="DOM"),"",IFERROR(IF(VLOOKUP(VLOOKUP(A312,'Relatório GERAL'!$A:$T,$E$1,0),'Dados de consulta'!$A$2:$D$38,4,0)=0,"",VLOOKUP(VLOOKUP(A312,'Relatório GERAL'!$A:$T,$E$1,0),'Dados de consulta'!$A$2:$D$38,4,0)),""))</f>
        <v/>
      </c>
      <c r="O312" s="27">
        <v>51592</v>
      </c>
    </row>
    <row r="313" spans="1:15" ht="15" x14ac:dyDescent="0.2">
      <c r="A313" s="116">
        <f>'Relatório GERAL'!A313</f>
        <v>42436</v>
      </c>
      <c r="B313" s="116">
        <f t="shared" si="15"/>
        <v>42430</v>
      </c>
      <c r="C313" s="117" t="str">
        <f>'Relatório GERAL'!B313</f>
        <v>seg</v>
      </c>
      <c r="D313" s="18" t="str">
        <f>IF(OR(C313="SÁB",C313="DOM"),"",IFERROR(IF(VLOOKUP(VLOOKUP(A313,'Relatório GERAL'!$A:$T,$E$1,0),'Dados de consulta'!$A$2:$D$38,4,0)=0,"",VLOOKUP(VLOOKUP(A313,'Relatório GERAL'!$A:$T,$E$1,0),'Dados de consulta'!$A$2:$D$38,4,0)),""))</f>
        <v/>
      </c>
      <c r="O313" s="27">
        <v>51622</v>
      </c>
    </row>
    <row r="314" spans="1:15" ht="15" x14ac:dyDescent="0.2">
      <c r="A314" s="116">
        <f>'Relatório GERAL'!A314</f>
        <v>42437</v>
      </c>
      <c r="B314" s="116">
        <f t="shared" si="15"/>
        <v>42430</v>
      </c>
      <c r="C314" s="117" t="str">
        <f>'Relatório GERAL'!B314</f>
        <v>ter</v>
      </c>
      <c r="D314" s="18" t="str">
        <f>IF(OR(C314="SÁB",C314="DOM"),"",IFERROR(IF(VLOOKUP(VLOOKUP(A314,'Relatório GERAL'!$A:$T,$E$1,0),'Dados de consulta'!$A$2:$D$38,4,0)=0,"",VLOOKUP(VLOOKUP(A314,'Relatório GERAL'!$A:$T,$E$1,0),'Dados de consulta'!$A$2:$D$38,4,0)),""))</f>
        <v/>
      </c>
      <c r="O314" s="27">
        <v>51653</v>
      </c>
    </row>
    <row r="315" spans="1:15" ht="15" x14ac:dyDescent="0.2">
      <c r="A315" s="116">
        <f>'Relatório GERAL'!A315</f>
        <v>42438</v>
      </c>
      <c r="B315" s="116">
        <f t="shared" si="15"/>
        <v>42430</v>
      </c>
      <c r="C315" s="117" t="str">
        <f>'Relatório GERAL'!B315</f>
        <v>qua</v>
      </c>
      <c r="D315" s="18" t="str">
        <f>IF(OR(C315="SÁB",C315="DOM"),"",IFERROR(IF(VLOOKUP(VLOOKUP(A315,'Relatório GERAL'!$A:$T,$E$1,0),'Dados de consulta'!$A$2:$D$38,4,0)=0,"",VLOOKUP(VLOOKUP(A315,'Relatório GERAL'!$A:$T,$E$1,0),'Dados de consulta'!$A$2:$D$38,4,0)),""))</f>
        <v/>
      </c>
      <c r="O315" s="27">
        <v>51683</v>
      </c>
    </row>
    <row r="316" spans="1:15" ht="15" x14ac:dyDescent="0.2">
      <c r="A316" s="116">
        <f>'Relatório GERAL'!A316</f>
        <v>42439</v>
      </c>
      <c r="B316" s="116">
        <f t="shared" si="15"/>
        <v>42430</v>
      </c>
      <c r="C316" s="117" t="str">
        <f>'Relatório GERAL'!B316</f>
        <v>qui</v>
      </c>
      <c r="D316" s="18" t="str">
        <f>IF(OR(C316="SÁB",C316="DOM"),"",IFERROR(IF(VLOOKUP(VLOOKUP(A316,'Relatório GERAL'!$A:$T,$E$1,0),'Dados de consulta'!$A$2:$D$38,4,0)=0,"",VLOOKUP(VLOOKUP(A316,'Relatório GERAL'!$A:$T,$E$1,0),'Dados de consulta'!$A$2:$D$38,4,0)),""))</f>
        <v/>
      </c>
      <c r="O316" s="27">
        <v>51714</v>
      </c>
    </row>
    <row r="317" spans="1:15" ht="15" x14ac:dyDescent="0.2">
      <c r="A317" s="116">
        <f>'Relatório GERAL'!A317</f>
        <v>42440</v>
      </c>
      <c r="B317" s="116">
        <f t="shared" si="15"/>
        <v>42430</v>
      </c>
      <c r="C317" s="117" t="str">
        <f>'Relatório GERAL'!B317</f>
        <v>sex</v>
      </c>
      <c r="D317" s="18" t="str">
        <f>IF(OR(C317="SÁB",C317="DOM"),"",IFERROR(IF(VLOOKUP(VLOOKUP(A317,'Relatório GERAL'!$A:$T,$E$1,0),'Dados de consulta'!$A$2:$D$38,4,0)=0,"",VLOOKUP(VLOOKUP(A317,'Relatório GERAL'!$A:$T,$E$1,0),'Dados de consulta'!$A$2:$D$38,4,0)),""))</f>
        <v/>
      </c>
      <c r="O317" s="27">
        <v>51745</v>
      </c>
    </row>
    <row r="318" spans="1:15" ht="15" x14ac:dyDescent="0.2">
      <c r="A318" s="116">
        <f>'Relatório GERAL'!A318</f>
        <v>42441</v>
      </c>
      <c r="B318" s="116">
        <f t="shared" si="15"/>
        <v>42430</v>
      </c>
      <c r="C318" s="117" t="str">
        <f>'Relatório GERAL'!B318</f>
        <v>sáb</v>
      </c>
      <c r="D318" s="18" t="str">
        <f>IF(OR(C318="SÁB",C318="DOM"),"",IFERROR(IF(VLOOKUP(VLOOKUP(A318,'Relatório GERAL'!$A:$T,$E$1,0),'Dados de consulta'!$A$2:$D$38,4,0)=0,"",VLOOKUP(VLOOKUP(A318,'Relatório GERAL'!$A:$T,$E$1,0),'Dados de consulta'!$A$2:$D$38,4,0)),""))</f>
        <v/>
      </c>
      <c r="O318" s="27">
        <v>51775</v>
      </c>
    </row>
    <row r="319" spans="1:15" ht="15" x14ac:dyDescent="0.2">
      <c r="A319" s="116">
        <f>'Relatório GERAL'!A319</f>
        <v>42442</v>
      </c>
      <c r="B319" s="116">
        <f t="shared" si="15"/>
        <v>42430</v>
      </c>
      <c r="C319" s="117" t="str">
        <f>'Relatório GERAL'!B319</f>
        <v>dom</v>
      </c>
      <c r="D319" s="18" t="str">
        <f>IF(OR(C319="SÁB",C319="DOM"),"",IFERROR(IF(VLOOKUP(VLOOKUP(A319,'Relatório GERAL'!$A:$T,$E$1,0),'Dados de consulta'!$A$2:$D$38,4,0)=0,"",VLOOKUP(VLOOKUP(A319,'Relatório GERAL'!$A:$T,$E$1,0),'Dados de consulta'!$A$2:$D$38,4,0)),""))</f>
        <v/>
      </c>
      <c r="O319" s="27">
        <v>51806</v>
      </c>
    </row>
    <row r="320" spans="1:15" ht="15" x14ac:dyDescent="0.2">
      <c r="A320" s="116">
        <f>'Relatório GERAL'!A320</f>
        <v>42443</v>
      </c>
      <c r="B320" s="116">
        <f t="shared" si="15"/>
        <v>42430</v>
      </c>
      <c r="C320" s="117" t="str">
        <f>'Relatório GERAL'!B320</f>
        <v>seg</v>
      </c>
      <c r="D320" s="18" t="str">
        <f>IF(OR(C320="SÁB",C320="DOM"),"",IFERROR(IF(VLOOKUP(VLOOKUP(A320,'Relatório GERAL'!$A:$T,$E$1,0),'Dados de consulta'!$A$2:$D$38,4,0)=0,"",VLOOKUP(VLOOKUP(A320,'Relatório GERAL'!$A:$T,$E$1,0),'Dados de consulta'!$A$2:$D$38,4,0)),""))</f>
        <v/>
      </c>
      <c r="O320" s="27">
        <v>51836</v>
      </c>
    </row>
    <row r="321" spans="1:15" ht="15" x14ac:dyDescent="0.2">
      <c r="A321" s="116">
        <f>'Relatório GERAL'!A321</f>
        <v>42444</v>
      </c>
      <c r="B321" s="116">
        <f t="shared" si="15"/>
        <v>42430</v>
      </c>
      <c r="C321" s="117" t="str">
        <f>'Relatório GERAL'!B321</f>
        <v>ter</v>
      </c>
      <c r="D321" s="18" t="str">
        <f>IF(OR(C321="SÁB",C321="DOM"),"",IFERROR(IF(VLOOKUP(VLOOKUP(A321,'Relatório GERAL'!$A:$T,$E$1,0),'Dados de consulta'!$A$2:$D$38,4,0)=0,"",VLOOKUP(VLOOKUP(A321,'Relatório GERAL'!$A:$T,$E$1,0),'Dados de consulta'!$A$2:$D$38,4,0)),""))</f>
        <v/>
      </c>
      <c r="O321" s="27">
        <v>51867</v>
      </c>
    </row>
    <row r="322" spans="1:15" ht="15" x14ac:dyDescent="0.2">
      <c r="A322" s="116">
        <f>'Relatório GERAL'!A322</f>
        <v>42445</v>
      </c>
      <c r="B322" s="116">
        <f t="shared" si="15"/>
        <v>42430</v>
      </c>
      <c r="C322" s="117" t="str">
        <f>'Relatório GERAL'!B322</f>
        <v>qua</v>
      </c>
      <c r="D322" s="18" t="str">
        <f>IF(OR(C322="SÁB",C322="DOM"),"",IFERROR(IF(VLOOKUP(VLOOKUP(A322,'Relatório GERAL'!$A:$T,$E$1,0),'Dados de consulta'!$A$2:$D$38,4,0)=0,"",VLOOKUP(VLOOKUP(A322,'Relatório GERAL'!$A:$T,$E$1,0),'Dados de consulta'!$A$2:$D$38,4,0)),""))</f>
        <v/>
      </c>
      <c r="O322" s="27">
        <v>51898</v>
      </c>
    </row>
    <row r="323" spans="1:15" ht="15" x14ac:dyDescent="0.2">
      <c r="A323" s="116">
        <f>'Relatório GERAL'!A323</f>
        <v>42446</v>
      </c>
      <c r="B323" s="116">
        <f t="shared" si="15"/>
        <v>42430</v>
      </c>
      <c r="C323" s="117" t="str">
        <f>'Relatório GERAL'!B323</f>
        <v>qui</v>
      </c>
      <c r="D323" s="18" t="str">
        <f>IF(OR(C323="SÁB",C323="DOM"),"",IFERROR(IF(VLOOKUP(VLOOKUP(A323,'Relatório GERAL'!$A:$T,$E$1,0),'Dados de consulta'!$A$2:$D$38,4,0)=0,"",VLOOKUP(VLOOKUP(A323,'Relatório GERAL'!$A:$T,$E$1,0),'Dados de consulta'!$A$2:$D$38,4,0)),""))</f>
        <v/>
      </c>
      <c r="O323" s="27">
        <v>51926</v>
      </c>
    </row>
    <row r="324" spans="1:15" ht="15" x14ac:dyDescent="0.2">
      <c r="A324" s="116">
        <f>'Relatório GERAL'!A324</f>
        <v>42447</v>
      </c>
      <c r="B324" s="116">
        <f t="shared" si="15"/>
        <v>42430</v>
      </c>
      <c r="C324" s="117" t="str">
        <f>'Relatório GERAL'!B324</f>
        <v>sex</v>
      </c>
      <c r="D324" s="18" t="str">
        <f>IF(OR(C324="SÁB",C324="DOM"),"",IFERROR(IF(VLOOKUP(VLOOKUP(A324,'Relatório GERAL'!$A:$T,$E$1,0),'Dados de consulta'!$A$2:$D$38,4,0)=0,"",VLOOKUP(VLOOKUP(A324,'Relatório GERAL'!$A:$T,$E$1,0),'Dados de consulta'!$A$2:$D$38,4,0)),""))</f>
        <v/>
      </c>
      <c r="O324" s="27">
        <v>51957</v>
      </c>
    </row>
    <row r="325" spans="1:15" ht="15" x14ac:dyDescent="0.2">
      <c r="A325" s="116">
        <f>'Relatório GERAL'!A325</f>
        <v>42448</v>
      </c>
      <c r="B325" s="116">
        <f t="shared" si="15"/>
        <v>42430</v>
      </c>
      <c r="C325" s="117" t="str">
        <f>'Relatório GERAL'!B325</f>
        <v>sáb</v>
      </c>
      <c r="D325" s="18" t="str">
        <f>IF(OR(C325="SÁB",C325="DOM"),"",IFERROR(IF(VLOOKUP(VLOOKUP(A325,'Relatório GERAL'!$A:$T,$E$1,0),'Dados de consulta'!$A$2:$D$38,4,0)=0,"",VLOOKUP(VLOOKUP(A325,'Relatório GERAL'!$A:$T,$E$1,0),'Dados de consulta'!$A$2:$D$38,4,0)),""))</f>
        <v/>
      </c>
      <c r="O325" s="27">
        <v>51987</v>
      </c>
    </row>
    <row r="326" spans="1:15" ht="15" x14ac:dyDescent="0.2">
      <c r="A326" s="116">
        <f>'Relatório GERAL'!A326</f>
        <v>42449</v>
      </c>
      <c r="B326" s="116">
        <f t="shared" si="15"/>
        <v>42430</v>
      </c>
      <c r="C326" s="117" t="str">
        <f>'Relatório GERAL'!B326</f>
        <v>dom</v>
      </c>
      <c r="D326" s="18" t="str">
        <f>IF(OR(C326="SÁB",C326="DOM"),"",IFERROR(IF(VLOOKUP(VLOOKUP(A326,'Relatório GERAL'!$A:$T,$E$1,0),'Dados de consulta'!$A$2:$D$38,4,0)=0,"",VLOOKUP(VLOOKUP(A326,'Relatório GERAL'!$A:$T,$E$1,0),'Dados de consulta'!$A$2:$D$38,4,0)),""))</f>
        <v/>
      </c>
      <c r="O326" s="27">
        <v>52018</v>
      </c>
    </row>
    <row r="327" spans="1:15" ht="15" x14ac:dyDescent="0.2">
      <c r="A327" s="116">
        <f>'Relatório GERAL'!A327</f>
        <v>42450</v>
      </c>
      <c r="B327" s="116">
        <f t="shared" si="15"/>
        <v>42430</v>
      </c>
      <c r="C327" s="117" t="str">
        <f>'Relatório GERAL'!B327</f>
        <v>seg</v>
      </c>
      <c r="D327" s="18" t="str">
        <f>IF(OR(C327="SÁB",C327="DOM"),"",IFERROR(IF(VLOOKUP(VLOOKUP(A327,'Relatório GERAL'!$A:$T,$E$1,0),'Dados de consulta'!$A$2:$D$38,4,0)=0,"",VLOOKUP(VLOOKUP(A327,'Relatório GERAL'!$A:$T,$E$1,0),'Dados de consulta'!$A$2:$D$38,4,0)),""))</f>
        <v/>
      </c>
      <c r="O327" s="27">
        <v>52048</v>
      </c>
    </row>
    <row r="328" spans="1:15" ht="15" x14ac:dyDescent="0.2">
      <c r="A328" s="116">
        <f>'Relatório GERAL'!A328</f>
        <v>42451</v>
      </c>
      <c r="B328" s="116">
        <f t="shared" si="15"/>
        <v>42430</v>
      </c>
      <c r="C328" s="117" t="str">
        <f>'Relatório GERAL'!B328</f>
        <v>ter</v>
      </c>
      <c r="D328" s="18" t="str">
        <f>IF(OR(C328="SÁB",C328="DOM"),"",IFERROR(IF(VLOOKUP(VLOOKUP(A328,'Relatório GERAL'!$A:$T,$E$1,0),'Dados de consulta'!$A$2:$D$38,4,0)=0,"",VLOOKUP(VLOOKUP(A328,'Relatório GERAL'!$A:$T,$E$1,0),'Dados de consulta'!$A$2:$D$38,4,0)),""))</f>
        <v/>
      </c>
      <c r="O328" s="27">
        <v>52079</v>
      </c>
    </row>
    <row r="329" spans="1:15" ht="15" x14ac:dyDescent="0.2">
      <c r="A329" s="116">
        <f>'Relatório GERAL'!A329</f>
        <v>42452</v>
      </c>
      <c r="B329" s="116">
        <f t="shared" si="15"/>
        <v>42430</v>
      </c>
      <c r="C329" s="117" t="str">
        <f>'Relatório GERAL'!B329</f>
        <v>qua</v>
      </c>
      <c r="D329" s="18" t="str">
        <f>IF(OR(C329="SÁB",C329="DOM"),"",IFERROR(IF(VLOOKUP(VLOOKUP(A329,'Relatório GERAL'!$A:$T,$E$1,0),'Dados de consulta'!$A$2:$D$38,4,0)=0,"",VLOOKUP(VLOOKUP(A329,'Relatório GERAL'!$A:$T,$E$1,0),'Dados de consulta'!$A$2:$D$38,4,0)),""))</f>
        <v/>
      </c>
      <c r="O329" s="27">
        <v>52110</v>
      </c>
    </row>
    <row r="330" spans="1:15" ht="15" x14ac:dyDescent="0.2">
      <c r="A330" s="116">
        <f>'Relatório GERAL'!A330</f>
        <v>42453</v>
      </c>
      <c r="B330" s="116">
        <f t="shared" si="15"/>
        <v>42430</v>
      </c>
      <c r="C330" s="117" t="str">
        <f>'Relatório GERAL'!B330</f>
        <v>qui</v>
      </c>
      <c r="D330" s="18" t="str">
        <f>IF(OR(C330="SÁB",C330="DOM"),"",IFERROR(IF(VLOOKUP(VLOOKUP(A330,'Relatório GERAL'!$A:$T,$E$1,0),'Dados de consulta'!$A$2:$D$38,4,0)=0,"",VLOOKUP(VLOOKUP(A330,'Relatório GERAL'!$A:$T,$E$1,0),'Dados de consulta'!$A$2:$D$38,4,0)),""))</f>
        <v/>
      </c>
      <c r="O330" s="27">
        <v>52140</v>
      </c>
    </row>
    <row r="331" spans="1:15" ht="15" x14ac:dyDescent="0.2">
      <c r="A331" s="116">
        <f>'Relatório GERAL'!A331</f>
        <v>42454</v>
      </c>
      <c r="B331" s="116">
        <f t="shared" si="15"/>
        <v>42430</v>
      </c>
      <c r="C331" s="117" t="str">
        <f>'Relatório GERAL'!B331</f>
        <v>sex</v>
      </c>
      <c r="D331" s="18" t="str">
        <f>IF(OR(C331="SÁB",C331="DOM"),"",IFERROR(IF(VLOOKUP(VLOOKUP(A331,'Relatório GERAL'!$A:$T,$E$1,0),'Dados de consulta'!$A$2:$D$38,4,0)=0,"",VLOOKUP(VLOOKUP(A331,'Relatório GERAL'!$A:$T,$E$1,0),'Dados de consulta'!$A$2:$D$38,4,0)),""))</f>
        <v/>
      </c>
      <c r="O331" s="27">
        <v>52171</v>
      </c>
    </row>
    <row r="332" spans="1:15" ht="15" x14ac:dyDescent="0.2">
      <c r="A332" s="116">
        <f>'Relatório GERAL'!A332</f>
        <v>42455</v>
      </c>
      <c r="B332" s="116">
        <f t="shared" si="15"/>
        <v>42430</v>
      </c>
      <c r="C332" s="117" t="str">
        <f>'Relatório GERAL'!B332</f>
        <v>sáb</v>
      </c>
      <c r="D332" s="18" t="str">
        <f>IF(OR(C332="SÁB",C332="DOM"),"",IFERROR(IF(VLOOKUP(VLOOKUP(A332,'Relatório GERAL'!$A:$T,$E$1,0),'Dados de consulta'!$A$2:$D$38,4,0)=0,"",VLOOKUP(VLOOKUP(A332,'Relatório GERAL'!$A:$T,$E$1,0),'Dados de consulta'!$A$2:$D$38,4,0)),""))</f>
        <v/>
      </c>
      <c r="O332" s="27">
        <v>52201</v>
      </c>
    </row>
    <row r="333" spans="1:15" ht="15" x14ac:dyDescent="0.2">
      <c r="A333" s="116">
        <f>'Relatório GERAL'!A333</f>
        <v>42456</v>
      </c>
      <c r="B333" s="116">
        <f t="shared" si="15"/>
        <v>42430</v>
      </c>
      <c r="C333" s="117" t="str">
        <f>'Relatório GERAL'!B333</f>
        <v>dom</v>
      </c>
      <c r="D333" s="18" t="str">
        <f>IF(OR(C333="SÁB",C333="DOM"),"",IFERROR(IF(VLOOKUP(VLOOKUP(A333,'Relatório GERAL'!$A:$T,$E$1,0),'Dados de consulta'!$A$2:$D$38,4,0)=0,"",VLOOKUP(VLOOKUP(A333,'Relatório GERAL'!$A:$T,$E$1,0),'Dados de consulta'!$A$2:$D$38,4,0)),""))</f>
        <v/>
      </c>
      <c r="O333" s="27">
        <v>52232</v>
      </c>
    </row>
    <row r="334" spans="1:15" ht="15" x14ac:dyDescent="0.2">
      <c r="A334" s="116">
        <f>'Relatório GERAL'!A334</f>
        <v>42457</v>
      </c>
      <c r="B334" s="116">
        <f t="shared" si="15"/>
        <v>42430</v>
      </c>
      <c r="C334" s="117" t="str">
        <f>'Relatório GERAL'!B334</f>
        <v>seg</v>
      </c>
      <c r="D334" s="18" t="str">
        <f>IF(OR(C334="SÁB",C334="DOM"),"",IFERROR(IF(VLOOKUP(VLOOKUP(A334,'Relatório GERAL'!$A:$T,$E$1,0),'Dados de consulta'!$A$2:$D$38,4,0)=0,"",VLOOKUP(VLOOKUP(A334,'Relatório GERAL'!$A:$T,$E$1,0),'Dados de consulta'!$A$2:$D$38,4,0)),""))</f>
        <v/>
      </c>
      <c r="O334" s="27">
        <v>52263</v>
      </c>
    </row>
    <row r="335" spans="1:15" ht="15" x14ac:dyDescent="0.2">
      <c r="A335" s="116">
        <f>'Relatório GERAL'!A335</f>
        <v>42458</v>
      </c>
      <c r="B335" s="116">
        <f t="shared" si="15"/>
        <v>42430</v>
      </c>
      <c r="C335" s="117" t="str">
        <f>'Relatório GERAL'!B335</f>
        <v>ter</v>
      </c>
      <c r="D335" s="18" t="str">
        <f>IF(OR(C335="SÁB",C335="DOM"),"",IFERROR(IF(VLOOKUP(VLOOKUP(A335,'Relatório GERAL'!$A:$T,$E$1,0),'Dados de consulta'!$A$2:$D$38,4,0)=0,"",VLOOKUP(VLOOKUP(A335,'Relatório GERAL'!$A:$T,$E$1,0),'Dados de consulta'!$A$2:$D$38,4,0)),""))</f>
        <v/>
      </c>
      <c r="O335" s="27">
        <v>52291</v>
      </c>
    </row>
    <row r="336" spans="1:15" ht="15" x14ac:dyDescent="0.2">
      <c r="A336" s="116">
        <f>'Relatório GERAL'!A336</f>
        <v>42459</v>
      </c>
      <c r="B336" s="116">
        <f t="shared" si="15"/>
        <v>42430</v>
      </c>
      <c r="C336" s="117" t="str">
        <f>'Relatório GERAL'!B336</f>
        <v>qua</v>
      </c>
      <c r="D336" s="18" t="str">
        <f>IF(OR(C336="SÁB",C336="DOM"),"",IFERROR(IF(VLOOKUP(VLOOKUP(A336,'Relatório GERAL'!$A:$T,$E$1,0),'Dados de consulta'!$A$2:$D$38,4,0)=0,"",VLOOKUP(VLOOKUP(A336,'Relatório GERAL'!$A:$T,$E$1,0),'Dados de consulta'!$A$2:$D$38,4,0)),""))</f>
        <v/>
      </c>
      <c r="O336" s="27">
        <v>52322</v>
      </c>
    </row>
    <row r="337" spans="1:15" ht="15" x14ac:dyDescent="0.2">
      <c r="A337" s="116">
        <f>'Relatório GERAL'!A337</f>
        <v>42460</v>
      </c>
      <c r="B337" s="116">
        <f t="shared" si="15"/>
        <v>42430</v>
      </c>
      <c r="C337" s="117" t="str">
        <f>'Relatório GERAL'!B337</f>
        <v>qui</v>
      </c>
      <c r="D337" s="18" t="str">
        <f>IF(OR(C337="SÁB",C337="DOM"),"",IFERROR(IF(VLOOKUP(VLOOKUP(A337,'Relatório GERAL'!$A:$T,$E$1,0),'Dados de consulta'!$A$2:$D$38,4,0)=0,"",VLOOKUP(VLOOKUP(A337,'Relatório GERAL'!$A:$T,$E$1,0),'Dados de consulta'!$A$2:$D$38,4,0)),""))</f>
        <v/>
      </c>
      <c r="O337" s="27">
        <v>52352</v>
      </c>
    </row>
    <row r="338" spans="1:15" ht="15" x14ac:dyDescent="0.2">
      <c r="A338" s="116">
        <f>'Relatório GERAL'!A338</f>
        <v>42461</v>
      </c>
      <c r="B338" s="116">
        <f t="shared" si="15"/>
        <v>42461</v>
      </c>
      <c r="C338" s="117" t="str">
        <f>'Relatório GERAL'!B338</f>
        <v>sex</v>
      </c>
      <c r="D338" s="18" t="str">
        <f>IF(OR(C338="SÁB",C338="DOM"),"",IFERROR(IF(VLOOKUP(VLOOKUP(A338,'Relatório GERAL'!$A:$T,$E$1,0),'Dados de consulta'!$A$2:$D$38,4,0)=0,"",VLOOKUP(VLOOKUP(A338,'Relatório GERAL'!$A:$T,$E$1,0),'Dados de consulta'!$A$2:$D$38,4,0)),""))</f>
        <v/>
      </c>
      <c r="O338" s="27">
        <v>52383</v>
      </c>
    </row>
    <row r="339" spans="1:15" ht="15" x14ac:dyDescent="0.2">
      <c r="A339" s="116">
        <f>'Relatório GERAL'!A339</f>
        <v>42462</v>
      </c>
      <c r="B339" s="116">
        <f t="shared" si="15"/>
        <v>42461</v>
      </c>
      <c r="C339" s="117" t="str">
        <f>'Relatório GERAL'!B339</f>
        <v>sáb</v>
      </c>
      <c r="D339" s="18" t="str">
        <f>IF(OR(C339="SÁB",C339="DOM"),"",IFERROR(IF(VLOOKUP(VLOOKUP(A339,'Relatório GERAL'!$A:$T,$E$1,0),'Dados de consulta'!$A$2:$D$38,4,0)=0,"",VLOOKUP(VLOOKUP(A339,'Relatório GERAL'!$A:$T,$E$1,0),'Dados de consulta'!$A$2:$D$38,4,0)),""))</f>
        <v/>
      </c>
      <c r="O339" s="27">
        <v>52413</v>
      </c>
    </row>
    <row r="340" spans="1:15" ht="15" x14ac:dyDescent="0.2">
      <c r="A340" s="116">
        <f>'Relatório GERAL'!A340</f>
        <v>42463</v>
      </c>
      <c r="B340" s="116">
        <f t="shared" si="15"/>
        <v>42461</v>
      </c>
      <c r="C340" s="117" t="str">
        <f>'Relatório GERAL'!B340</f>
        <v>dom</v>
      </c>
      <c r="D340" s="18" t="str">
        <f>IF(OR(C340="SÁB",C340="DOM"),"",IFERROR(IF(VLOOKUP(VLOOKUP(A340,'Relatório GERAL'!$A:$T,$E$1,0),'Dados de consulta'!$A$2:$D$38,4,0)=0,"",VLOOKUP(VLOOKUP(A340,'Relatório GERAL'!$A:$T,$E$1,0),'Dados de consulta'!$A$2:$D$38,4,0)),""))</f>
        <v/>
      </c>
      <c r="O340" s="27">
        <v>52444</v>
      </c>
    </row>
    <row r="341" spans="1:15" ht="15" x14ac:dyDescent="0.2">
      <c r="A341" s="116">
        <f>'Relatório GERAL'!A341</f>
        <v>42464</v>
      </c>
      <c r="B341" s="116">
        <f t="shared" si="15"/>
        <v>42461</v>
      </c>
      <c r="C341" s="117" t="str">
        <f>'Relatório GERAL'!B341</f>
        <v>seg</v>
      </c>
      <c r="D341" s="18" t="str">
        <f>IF(OR(C341="SÁB",C341="DOM"),"",IFERROR(IF(VLOOKUP(VLOOKUP(A341,'Relatório GERAL'!$A:$T,$E$1,0),'Dados de consulta'!$A$2:$D$38,4,0)=0,"",VLOOKUP(VLOOKUP(A341,'Relatório GERAL'!$A:$T,$E$1,0),'Dados de consulta'!$A$2:$D$38,4,0)),""))</f>
        <v/>
      </c>
      <c r="O341" s="27">
        <v>52475</v>
      </c>
    </row>
    <row r="342" spans="1:15" ht="15" x14ac:dyDescent="0.2">
      <c r="A342" s="116">
        <f>'Relatório GERAL'!A342</f>
        <v>42465</v>
      </c>
      <c r="B342" s="116">
        <f t="shared" si="15"/>
        <v>42461</v>
      </c>
      <c r="C342" s="117" t="str">
        <f>'Relatório GERAL'!B342</f>
        <v>ter</v>
      </c>
      <c r="D342" s="18" t="str">
        <f>IF(OR(C342="SÁB",C342="DOM"),"",IFERROR(IF(VLOOKUP(VLOOKUP(A342,'Relatório GERAL'!$A:$T,$E$1,0),'Dados de consulta'!$A$2:$D$38,4,0)=0,"",VLOOKUP(VLOOKUP(A342,'Relatório GERAL'!$A:$T,$E$1,0),'Dados de consulta'!$A$2:$D$38,4,0)),""))</f>
        <v/>
      </c>
      <c r="O342" s="27">
        <v>52505</v>
      </c>
    </row>
    <row r="343" spans="1:15" ht="15" x14ac:dyDescent="0.2">
      <c r="A343" s="116">
        <f>'Relatório GERAL'!A343</f>
        <v>42466</v>
      </c>
      <c r="B343" s="116">
        <f t="shared" si="15"/>
        <v>42461</v>
      </c>
      <c r="C343" s="117" t="str">
        <f>'Relatório GERAL'!B343</f>
        <v>qua</v>
      </c>
      <c r="D343" s="18" t="str">
        <f>IF(OR(C343="SÁB",C343="DOM"),"",IFERROR(IF(VLOOKUP(VLOOKUP(A343,'Relatório GERAL'!$A:$T,$E$1,0),'Dados de consulta'!$A$2:$D$38,4,0)=0,"",VLOOKUP(VLOOKUP(A343,'Relatório GERAL'!$A:$T,$E$1,0),'Dados de consulta'!$A$2:$D$38,4,0)),""))</f>
        <v/>
      </c>
      <c r="O343" s="27">
        <v>52536</v>
      </c>
    </row>
    <row r="344" spans="1:15" ht="15" x14ac:dyDescent="0.2">
      <c r="A344" s="116">
        <f>'Relatório GERAL'!A344</f>
        <v>42467</v>
      </c>
      <c r="B344" s="116">
        <f t="shared" si="15"/>
        <v>42461</v>
      </c>
      <c r="C344" s="117" t="str">
        <f>'Relatório GERAL'!B344</f>
        <v>qui</v>
      </c>
      <c r="D344" s="18" t="str">
        <f>IF(OR(C344="SÁB",C344="DOM"),"",IFERROR(IF(VLOOKUP(VLOOKUP(A344,'Relatório GERAL'!$A:$T,$E$1,0),'Dados de consulta'!$A$2:$D$38,4,0)=0,"",VLOOKUP(VLOOKUP(A344,'Relatório GERAL'!$A:$T,$E$1,0),'Dados de consulta'!$A$2:$D$38,4,0)),""))</f>
        <v/>
      </c>
      <c r="O344" s="27">
        <v>52566</v>
      </c>
    </row>
    <row r="345" spans="1:15" ht="15" x14ac:dyDescent="0.2">
      <c r="A345" s="116">
        <f>'Relatório GERAL'!A345</f>
        <v>42468</v>
      </c>
      <c r="B345" s="116">
        <f t="shared" si="15"/>
        <v>42461</v>
      </c>
      <c r="C345" s="117" t="str">
        <f>'Relatório GERAL'!B345</f>
        <v>sex</v>
      </c>
      <c r="D345" s="18" t="str">
        <f>IF(OR(C345="SÁB",C345="DOM"),"",IFERROR(IF(VLOOKUP(VLOOKUP(A345,'Relatório GERAL'!$A:$T,$E$1,0),'Dados de consulta'!$A$2:$D$38,4,0)=0,"",VLOOKUP(VLOOKUP(A345,'Relatório GERAL'!$A:$T,$E$1,0),'Dados de consulta'!$A$2:$D$38,4,0)),""))</f>
        <v/>
      </c>
      <c r="O345" s="27">
        <v>52597</v>
      </c>
    </row>
    <row r="346" spans="1:15" ht="15" x14ac:dyDescent="0.2">
      <c r="A346" s="116">
        <f>'Relatório GERAL'!A346</f>
        <v>42469</v>
      </c>
      <c r="B346" s="116">
        <f t="shared" si="15"/>
        <v>42461</v>
      </c>
      <c r="C346" s="117" t="str">
        <f>'Relatório GERAL'!B346</f>
        <v>sáb</v>
      </c>
      <c r="D346" s="18" t="str">
        <f>IF(OR(C346="SÁB",C346="DOM"),"",IFERROR(IF(VLOOKUP(VLOOKUP(A346,'Relatório GERAL'!$A:$T,$E$1,0),'Dados de consulta'!$A$2:$D$38,4,0)=0,"",VLOOKUP(VLOOKUP(A346,'Relatório GERAL'!$A:$T,$E$1,0),'Dados de consulta'!$A$2:$D$38,4,0)),""))</f>
        <v/>
      </c>
      <c r="O346" s="27">
        <v>52628</v>
      </c>
    </row>
    <row r="347" spans="1:15" ht="15" x14ac:dyDescent="0.2">
      <c r="A347" s="116">
        <f>'Relatório GERAL'!A347</f>
        <v>42470</v>
      </c>
      <c r="B347" s="116">
        <f t="shared" si="15"/>
        <v>42461</v>
      </c>
      <c r="C347" s="117" t="str">
        <f>'Relatório GERAL'!B347</f>
        <v>dom</v>
      </c>
      <c r="D347" s="18" t="str">
        <f>IF(OR(C347="SÁB",C347="DOM"),"",IFERROR(IF(VLOOKUP(VLOOKUP(A347,'Relatório GERAL'!$A:$T,$E$1,0),'Dados de consulta'!$A$2:$D$38,4,0)=0,"",VLOOKUP(VLOOKUP(A347,'Relatório GERAL'!$A:$T,$E$1,0),'Dados de consulta'!$A$2:$D$38,4,0)),""))</f>
        <v/>
      </c>
      <c r="O347" s="27">
        <v>52657</v>
      </c>
    </row>
    <row r="348" spans="1:15" ht="15" x14ac:dyDescent="0.2">
      <c r="A348" s="116">
        <f>'Relatório GERAL'!A348</f>
        <v>42471</v>
      </c>
      <c r="B348" s="116">
        <f t="shared" si="15"/>
        <v>42461</v>
      </c>
      <c r="C348" s="117" t="str">
        <f>'Relatório GERAL'!B348</f>
        <v>seg</v>
      </c>
      <c r="D348" s="18" t="str">
        <f>IF(OR(C348="SÁB",C348="DOM"),"",IFERROR(IF(VLOOKUP(VLOOKUP(A348,'Relatório GERAL'!$A:$T,$E$1,0),'Dados de consulta'!$A$2:$D$38,4,0)=0,"",VLOOKUP(VLOOKUP(A348,'Relatório GERAL'!$A:$T,$E$1,0),'Dados de consulta'!$A$2:$D$38,4,0)),""))</f>
        <v/>
      </c>
      <c r="O348" s="27">
        <v>52688</v>
      </c>
    </row>
    <row r="349" spans="1:15" ht="15" x14ac:dyDescent="0.2">
      <c r="A349" s="116">
        <f>'Relatório GERAL'!A349</f>
        <v>42472</v>
      </c>
      <c r="B349" s="116">
        <f t="shared" si="15"/>
        <v>42461</v>
      </c>
      <c r="C349" s="117" t="str">
        <f>'Relatório GERAL'!B349</f>
        <v>ter</v>
      </c>
      <c r="D349" s="18" t="str">
        <f>IF(OR(C349="SÁB",C349="DOM"),"",IFERROR(IF(VLOOKUP(VLOOKUP(A349,'Relatório GERAL'!$A:$T,$E$1,0),'Dados de consulta'!$A$2:$D$38,4,0)=0,"",VLOOKUP(VLOOKUP(A349,'Relatório GERAL'!$A:$T,$E$1,0),'Dados de consulta'!$A$2:$D$38,4,0)),""))</f>
        <v/>
      </c>
      <c r="O349" s="27">
        <v>52718</v>
      </c>
    </row>
    <row r="350" spans="1:15" ht="15" x14ac:dyDescent="0.2">
      <c r="A350" s="116">
        <f>'Relatório GERAL'!A350</f>
        <v>42473</v>
      </c>
      <c r="B350" s="116">
        <f t="shared" si="15"/>
        <v>42461</v>
      </c>
      <c r="C350" s="117" t="str">
        <f>'Relatório GERAL'!B350</f>
        <v>qua</v>
      </c>
      <c r="D350" s="18" t="str">
        <f>IF(OR(C350="SÁB",C350="DOM"),"",IFERROR(IF(VLOOKUP(VLOOKUP(A350,'Relatório GERAL'!$A:$T,$E$1,0),'Dados de consulta'!$A$2:$D$38,4,0)=0,"",VLOOKUP(VLOOKUP(A350,'Relatório GERAL'!$A:$T,$E$1,0),'Dados de consulta'!$A$2:$D$38,4,0)),""))</f>
        <v/>
      </c>
      <c r="O350" s="27">
        <v>52749</v>
      </c>
    </row>
    <row r="351" spans="1:15" ht="15" x14ac:dyDescent="0.2">
      <c r="A351" s="116">
        <f>'Relatório GERAL'!A351</f>
        <v>42474</v>
      </c>
      <c r="B351" s="116">
        <f t="shared" si="15"/>
        <v>42461</v>
      </c>
      <c r="C351" s="117" t="str">
        <f>'Relatório GERAL'!B351</f>
        <v>qui</v>
      </c>
      <c r="D351" s="18" t="str">
        <f>IF(OR(C351="SÁB",C351="DOM"),"",IFERROR(IF(VLOOKUP(VLOOKUP(A351,'Relatório GERAL'!$A:$T,$E$1,0),'Dados de consulta'!$A$2:$D$38,4,0)=0,"",VLOOKUP(VLOOKUP(A351,'Relatório GERAL'!$A:$T,$E$1,0),'Dados de consulta'!$A$2:$D$38,4,0)),""))</f>
        <v/>
      </c>
      <c r="O351" s="27">
        <v>52779</v>
      </c>
    </row>
    <row r="352" spans="1:15" ht="15" x14ac:dyDescent="0.2">
      <c r="A352" s="116">
        <f>'Relatório GERAL'!A352</f>
        <v>42475</v>
      </c>
      <c r="B352" s="116">
        <f t="shared" si="15"/>
        <v>42461</v>
      </c>
      <c r="C352" s="117" t="str">
        <f>'Relatório GERAL'!B352</f>
        <v>sex</v>
      </c>
      <c r="D352" s="18" t="str">
        <f>IF(OR(C352="SÁB",C352="DOM"),"",IFERROR(IF(VLOOKUP(VLOOKUP(A352,'Relatório GERAL'!$A:$T,$E$1,0),'Dados de consulta'!$A$2:$D$38,4,0)=0,"",VLOOKUP(VLOOKUP(A352,'Relatório GERAL'!$A:$T,$E$1,0),'Dados de consulta'!$A$2:$D$38,4,0)),""))</f>
        <v/>
      </c>
      <c r="O352" s="27">
        <v>52810</v>
      </c>
    </row>
    <row r="353" spans="1:15" ht="15" x14ac:dyDescent="0.2">
      <c r="A353" s="116">
        <f>'Relatório GERAL'!A353</f>
        <v>42476</v>
      </c>
      <c r="B353" s="116">
        <f t="shared" si="15"/>
        <v>42461</v>
      </c>
      <c r="C353" s="117" t="str">
        <f>'Relatório GERAL'!B353</f>
        <v>sáb</v>
      </c>
      <c r="D353" s="18" t="str">
        <f>IF(OR(C353="SÁB",C353="DOM"),"",IFERROR(IF(VLOOKUP(VLOOKUP(A353,'Relatório GERAL'!$A:$T,$E$1,0),'Dados de consulta'!$A$2:$D$38,4,0)=0,"",VLOOKUP(VLOOKUP(A353,'Relatório GERAL'!$A:$T,$E$1,0),'Dados de consulta'!$A$2:$D$38,4,0)),""))</f>
        <v/>
      </c>
      <c r="O353" s="27">
        <v>52841</v>
      </c>
    </row>
    <row r="354" spans="1:15" ht="15" x14ac:dyDescent="0.2">
      <c r="A354" s="116">
        <f>'Relatório GERAL'!A354</f>
        <v>42477</v>
      </c>
      <c r="B354" s="116">
        <f t="shared" si="15"/>
        <v>42461</v>
      </c>
      <c r="C354" s="117" t="str">
        <f>'Relatório GERAL'!B354</f>
        <v>dom</v>
      </c>
      <c r="D354" s="18" t="str">
        <f>IF(OR(C354="SÁB",C354="DOM"),"",IFERROR(IF(VLOOKUP(VLOOKUP(A354,'Relatório GERAL'!$A:$T,$E$1,0),'Dados de consulta'!$A$2:$D$38,4,0)=0,"",VLOOKUP(VLOOKUP(A354,'Relatório GERAL'!$A:$T,$E$1,0),'Dados de consulta'!$A$2:$D$38,4,0)),""))</f>
        <v/>
      </c>
      <c r="O354" s="27">
        <v>52871</v>
      </c>
    </row>
    <row r="355" spans="1:15" ht="15" x14ac:dyDescent="0.2">
      <c r="A355" s="116">
        <f>'Relatório GERAL'!A355</f>
        <v>42478</v>
      </c>
      <c r="B355" s="116">
        <f t="shared" si="15"/>
        <v>42461</v>
      </c>
      <c r="C355" s="117" t="str">
        <f>'Relatório GERAL'!B355</f>
        <v>seg</v>
      </c>
      <c r="D355" s="18" t="str">
        <f>IF(OR(C355="SÁB",C355="DOM"),"",IFERROR(IF(VLOOKUP(VLOOKUP(A355,'Relatório GERAL'!$A:$T,$E$1,0),'Dados de consulta'!$A$2:$D$38,4,0)=0,"",VLOOKUP(VLOOKUP(A355,'Relatório GERAL'!$A:$T,$E$1,0),'Dados de consulta'!$A$2:$D$38,4,0)),""))</f>
        <v/>
      </c>
      <c r="O355" s="27">
        <v>52902</v>
      </c>
    </row>
    <row r="356" spans="1:15" ht="15" x14ac:dyDescent="0.2">
      <c r="A356" s="116">
        <f>'Relatório GERAL'!A356</f>
        <v>42479</v>
      </c>
      <c r="B356" s="116">
        <f t="shared" si="15"/>
        <v>42461</v>
      </c>
      <c r="C356" s="117" t="str">
        <f>'Relatório GERAL'!B356</f>
        <v>ter</v>
      </c>
      <c r="D356" s="18" t="str">
        <f>IF(OR(C356="SÁB",C356="DOM"),"",IFERROR(IF(VLOOKUP(VLOOKUP(A356,'Relatório GERAL'!$A:$T,$E$1,0),'Dados de consulta'!$A$2:$D$38,4,0)=0,"",VLOOKUP(VLOOKUP(A356,'Relatório GERAL'!$A:$T,$E$1,0),'Dados de consulta'!$A$2:$D$38,4,0)),""))</f>
        <v/>
      </c>
      <c r="O356" s="27">
        <v>52932</v>
      </c>
    </row>
    <row r="357" spans="1:15" ht="15" x14ac:dyDescent="0.2">
      <c r="A357" s="116">
        <f>'Relatório GERAL'!A357</f>
        <v>42480</v>
      </c>
      <c r="B357" s="116">
        <f t="shared" si="15"/>
        <v>42461</v>
      </c>
      <c r="C357" s="117" t="str">
        <f>'Relatório GERAL'!B357</f>
        <v>qua</v>
      </c>
      <c r="D357" s="18" t="str">
        <f>IF(OR(C357="SÁB",C357="DOM"),"",IFERROR(IF(VLOOKUP(VLOOKUP(A357,'Relatório GERAL'!$A:$T,$E$1,0),'Dados de consulta'!$A$2:$D$38,4,0)=0,"",VLOOKUP(VLOOKUP(A357,'Relatório GERAL'!$A:$T,$E$1,0),'Dados de consulta'!$A$2:$D$38,4,0)),""))</f>
        <v/>
      </c>
      <c r="O357" s="27">
        <v>52963</v>
      </c>
    </row>
    <row r="358" spans="1:15" ht="15" x14ac:dyDescent="0.2">
      <c r="A358" s="116">
        <f>'Relatório GERAL'!A358</f>
        <v>42481</v>
      </c>
      <c r="B358" s="116">
        <f t="shared" si="15"/>
        <v>42461</v>
      </c>
      <c r="C358" s="117" t="str">
        <f>'Relatório GERAL'!B358</f>
        <v>qui</v>
      </c>
      <c r="D358" s="18" t="str">
        <f>IF(OR(C358="SÁB",C358="DOM"),"",IFERROR(IF(VLOOKUP(VLOOKUP(A358,'Relatório GERAL'!$A:$T,$E$1,0),'Dados de consulta'!$A$2:$D$38,4,0)=0,"",VLOOKUP(VLOOKUP(A358,'Relatório GERAL'!$A:$T,$E$1,0),'Dados de consulta'!$A$2:$D$38,4,0)),""))</f>
        <v/>
      </c>
      <c r="O358" s="27">
        <v>52994</v>
      </c>
    </row>
    <row r="359" spans="1:15" ht="15" x14ac:dyDescent="0.2">
      <c r="A359" s="116">
        <f>'Relatório GERAL'!A359</f>
        <v>42482</v>
      </c>
      <c r="B359" s="116">
        <f t="shared" si="15"/>
        <v>42461</v>
      </c>
      <c r="C359" s="117" t="str">
        <f>'Relatório GERAL'!B359</f>
        <v>sex</v>
      </c>
      <c r="D359" s="18" t="str">
        <f>IF(OR(C359="SÁB",C359="DOM"),"",IFERROR(IF(VLOOKUP(VLOOKUP(A359,'Relatório GERAL'!$A:$T,$E$1,0),'Dados de consulta'!$A$2:$D$38,4,0)=0,"",VLOOKUP(VLOOKUP(A359,'Relatório GERAL'!$A:$T,$E$1,0),'Dados de consulta'!$A$2:$D$38,4,0)),""))</f>
        <v/>
      </c>
      <c r="O359" s="27">
        <v>53022</v>
      </c>
    </row>
    <row r="360" spans="1:15" ht="15" x14ac:dyDescent="0.2">
      <c r="A360" s="116">
        <f>'Relatório GERAL'!A360</f>
        <v>42483</v>
      </c>
      <c r="B360" s="116">
        <f t="shared" si="15"/>
        <v>42461</v>
      </c>
      <c r="C360" s="117" t="str">
        <f>'Relatório GERAL'!B360</f>
        <v>sáb</v>
      </c>
      <c r="D360" s="18" t="str">
        <f>IF(OR(C360="SÁB",C360="DOM"),"",IFERROR(IF(VLOOKUP(VLOOKUP(A360,'Relatório GERAL'!$A:$T,$E$1,0),'Dados de consulta'!$A$2:$D$38,4,0)=0,"",VLOOKUP(VLOOKUP(A360,'Relatório GERAL'!$A:$T,$E$1,0),'Dados de consulta'!$A$2:$D$38,4,0)),""))</f>
        <v/>
      </c>
      <c r="O360" s="27">
        <v>53053</v>
      </c>
    </row>
    <row r="361" spans="1:15" ht="15" x14ac:dyDescent="0.2">
      <c r="A361" s="116">
        <f>'Relatório GERAL'!A361</f>
        <v>42484</v>
      </c>
      <c r="B361" s="116">
        <f t="shared" si="15"/>
        <v>42461</v>
      </c>
      <c r="C361" s="117" t="str">
        <f>'Relatório GERAL'!B361</f>
        <v>dom</v>
      </c>
      <c r="D361" s="18" t="str">
        <f>IF(OR(C361="SÁB",C361="DOM"),"",IFERROR(IF(VLOOKUP(VLOOKUP(A361,'Relatório GERAL'!$A:$T,$E$1,0),'Dados de consulta'!$A$2:$D$38,4,0)=0,"",VLOOKUP(VLOOKUP(A361,'Relatório GERAL'!$A:$T,$E$1,0),'Dados de consulta'!$A$2:$D$38,4,0)),""))</f>
        <v/>
      </c>
      <c r="O361" s="27">
        <v>53083</v>
      </c>
    </row>
    <row r="362" spans="1:15" ht="15" x14ac:dyDescent="0.2">
      <c r="A362" s="116">
        <f>'Relatório GERAL'!A362</f>
        <v>42485</v>
      </c>
      <c r="B362" s="116">
        <f t="shared" si="15"/>
        <v>42461</v>
      </c>
      <c r="C362" s="117" t="str">
        <f>'Relatório GERAL'!B362</f>
        <v>seg</v>
      </c>
      <c r="D362" s="18" t="str">
        <f>IF(OR(C362="SÁB",C362="DOM"),"",IFERROR(IF(VLOOKUP(VLOOKUP(A362,'Relatório GERAL'!$A:$T,$E$1,0),'Dados de consulta'!$A$2:$D$38,4,0)=0,"",VLOOKUP(VLOOKUP(A362,'Relatório GERAL'!$A:$T,$E$1,0),'Dados de consulta'!$A$2:$D$38,4,0)),""))</f>
        <v/>
      </c>
      <c r="O362" s="27">
        <v>53114</v>
      </c>
    </row>
    <row r="363" spans="1:15" ht="15" x14ac:dyDescent="0.2">
      <c r="A363" s="116">
        <f>'Relatório GERAL'!A363</f>
        <v>42486</v>
      </c>
      <c r="B363" s="116">
        <f t="shared" si="15"/>
        <v>42461</v>
      </c>
      <c r="C363" s="117" t="str">
        <f>'Relatório GERAL'!B363</f>
        <v>ter</v>
      </c>
      <c r="D363" s="18">
        <f>IF(OR(C363="SÁB",C363="DOM"),"",IFERROR(IF(VLOOKUP(VLOOKUP(A363,'Relatório GERAL'!$A:$T,$E$1,0),'Dados de consulta'!$A$2:$D$38,4,0)=0,"",VLOOKUP(VLOOKUP(A363,'Relatório GERAL'!$A:$T,$E$1,0),'Dados de consulta'!$A$2:$D$38,4,0)),""))</f>
        <v>4</v>
      </c>
      <c r="O363" s="27">
        <v>53144</v>
      </c>
    </row>
    <row r="364" spans="1:15" ht="15" x14ac:dyDescent="0.2">
      <c r="A364" s="116">
        <f>'Relatório GERAL'!A364</f>
        <v>42487</v>
      </c>
      <c r="B364" s="116">
        <f t="shared" si="15"/>
        <v>42461</v>
      </c>
      <c r="C364" s="117" t="str">
        <f>'Relatório GERAL'!B364</f>
        <v>qua</v>
      </c>
      <c r="D364" s="18" t="str">
        <f>IF(OR(C364="SÁB",C364="DOM"),"",IFERROR(IF(VLOOKUP(VLOOKUP(A364,'Relatório GERAL'!$A:$T,$E$1,0),'Dados de consulta'!$A$2:$D$38,4,0)=0,"",VLOOKUP(VLOOKUP(A364,'Relatório GERAL'!$A:$T,$E$1,0),'Dados de consulta'!$A$2:$D$38,4,0)),""))</f>
        <v/>
      </c>
      <c r="O364" s="27">
        <v>53175</v>
      </c>
    </row>
    <row r="365" spans="1:15" ht="15" x14ac:dyDescent="0.2">
      <c r="A365" s="116">
        <f>'Relatório GERAL'!A365</f>
        <v>42488</v>
      </c>
      <c r="B365" s="116">
        <f t="shared" si="15"/>
        <v>42461</v>
      </c>
      <c r="C365" s="117" t="str">
        <f>'Relatório GERAL'!B365</f>
        <v>qui</v>
      </c>
      <c r="D365" s="18" t="str">
        <f>IF(OR(C365="SÁB",C365="DOM"),"",IFERROR(IF(VLOOKUP(VLOOKUP(A365,'Relatório GERAL'!$A:$T,$E$1,0),'Dados de consulta'!$A$2:$D$38,4,0)=0,"",VLOOKUP(VLOOKUP(A365,'Relatório GERAL'!$A:$T,$E$1,0),'Dados de consulta'!$A$2:$D$38,4,0)),""))</f>
        <v/>
      </c>
      <c r="O365" s="27">
        <v>53206</v>
      </c>
    </row>
    <row r="366" spans="1:15" ht="15" x14ac:dyDescent="0.2">
      <c r="A366" s="116">
        <f>'Relatório GERAL'!A366</f>
        <v>42489</v>
      </c>
      <c r="B366" s="116">
        <f t="shared" si="15"/>
        <v>42461</v>
      </c>
      <c r="C366" s="117" t="str">
        <f>'Relatório GERAL'!B366</f>
        <v>sex</v>
      </c>
      <c r="D366" s="18" t="str">
        <f>IF(OR(C366="SÁB",C366="DOM"),"",IFERROR(IF(VLOOKUP(VLOOKUP(A366,'Relatório GERAL'!$A:$T,$E$1,0),'Dados de consulta'!$A$2:$D$38,4,0)=0,"",VLOOKUP(VLOOKUP(A366,'Relatório GERAL'!$A:$T,$E$1,0),'Dados de consulta'!$A$2:$D$38,4,0)),""))</f>
        <v/>
      </c>
      <c r="O366" s="27">
        <v>53236</v>
      </c>
    </row>
    <row r="367" spans="1:15" ht="15" x14ac:dyDescent="0.2">
      <c r="A367" s="116">
        <f>'Relatório GERAL'!A367</f>
        <v>42490</v>
      </c>
      <c r="B367" s="116">
        <f t="shared" si="15"/>
        <v>42461</v>
      </c>
      <c r="C367" s="117" t="str">
        <f>'Relatório GERAL'!B367</f>
        <v>sáb</v>
      </c>
      <c r="D367" s="18" t="str">
        <f>IF(OR(C367="SÁB",C367="DOM"),"",IFERROR(IF(VLOOKUP(VLOOKUP(A367,'Relatório GERAL'!$A:$T,$E$1,0),'Dados de consulta'!$A$2:$D$38,4,0)=0,"",VLOOKUP(VLOOKUP(A367,'Relatório GERAL'!$A:$T,$E$1,0),'Dados de consulta'!$A$2:$D$38,4,0)),""))</f>
        <v/>
      </c>
      <c r="O367" s="27">
        <v>53267</v>
      </c>
    </row>
    <row r="368" spans="1:15" ht="15" x14ac:dyDescent="0.2">
      <c r="A368" s="116">
        <f>'Relatório GERAL'!A368</f>
        <v>42491</v>
      </c>
      <c r="B368" s="116">
        <f t="shared" si="15"/>
        <v>42491</v>
      </c>
      <c r="C368" s="117" t="str">
        <f>'Relatório GERAL'!B368</f>
        <v>dom</v>
      </c>
      <c r="D368" s="18" t="str">
        <f>IF(OR(C368="SÁB",C368="DOM"),"",IFERROR(IF(VLOOKUP(VLOOKUP(A368,'Relatório GERAL'!$A:$T,$E$1,0),'Dados de consulta'!$A$2:$D$38,4,0)=0,"",VLOOKUP(VLOOKUP(A368,'Relatório GERAL'!$A:$T,$E$1,0),'Dados de consulta'!$A$2:$D$38,4,0)),""))</f>
        <v/>
      </c>
      <c r="O368" s="27">
        <v>53297</v>
      </c>
    </row>
    <row r="369" spans="1:15" ht="15" x14ac:dyDescent="0.2">
      <c r="A369" s="116">
        <f>'Relatório GERAL'!A369</f>
        <v>42492</v>
      </c>
      <c r="B369" s="116">
        <f t="shared" si="15"/>
        <v>42491</v>
      </c>
      <c r="C369" s="117" t="str">
        <f>'Relatório GERAL'!B369</f>
        <v>seg</v>
      </c>
      <c r="D369" s="18" t="str">
        <f>IF(OR(C369="SÁB",C369="DOM"),"",IFERROR(IF(VLOOKUP(VLOOKUP(A369,'Relatório GERAL'!$A:$T,$E$1,0),'Dados de consulta'!$A$2:$D$38,4,0)=0,"",VLOOKUP(VLOOKUP(A369,'Relatório GERAL'!$A:$T,$E$1,0),'Dados de consulta'!$A$2:$D$38,4,0)),""))</f>
        <v/>
      </c>
      <c r="O369" s="27">
        <v>53328</v>
      </c>
    </row>
    <row r="370" spans="1:15" ht="15" x14ac:dyDescent="0.2">
      <c r="A370" s="116">
        <f>'Relatório GERAL'!A370</f>
        <v>42493</v>
      </c>
      <c r="B370" s="116">
        <f t="shared" si="15"/>
        <v>42491</v>
      </c>
      <c r="C370" s="117" t="str">
        <f>'Relatório GERAL'!B370</f>
        <v>ter</v>
      </c>
      <c r="D370" s="18" t="str">
        <f>IF(OR(C370="SÁB",C370="DOM"),"",IFERROR(IF(VLOOKUP(VLOOKUP(A370,'Relatório GERAL'!$A:$T,$E$1,0),'Dados de consulta'!$A$2:$D$38,4,0)=0,"",VLOOKUP(VLOOKUP(A370,'Relatório GERAL'!$A:$T,$E$1,0),'Dados de consulta'!$A$2:$D$38,4,0)),""))</f>
        <v/>
      </c>
      <c r="O370" s="27">
        <v>53359</v>
      </c>
    </row>
    <row r="371" spans="1:15" ht="15" x14ac:dyDescent="0.2">
      <c r="A371" s="116">
        <f>'Relatório GERAL'!A371</f>
        <v>42494</v>
      </c>
      <c r="B371" s="116">
        <f t="shared" si="15"/>
        <v>42491</v>
      </c>
      <c r="C371" s="117" t="str">
        <f>'Relatório GERAL'!B371</f>
        <v>qua</v>
      </c>
      <c r="D371" s="18" t="str">
        <f>IF(OR(C371="SÁB",C371="DOM"),"",IFERROR(IF(VLOOKUP(VLOOKUP(A371,'Relatório GERAL'!$A:$T,$E$1,0),'Dados de consulta'!$A$2:$D$38,4,0)=0,"",VLOOKUP(VLOOKUP(A371,'Relatório GERAL'!$A:$T,$E$1,0),'Dados de consulta'!$A$2:$D$38,4,0)),""))</f>
        <v/>
      </c>
      <c r="O371" s="27">
        <v>53387</v>
      </c>
    </row>
    <row r="372" spans="1:15" ht="15" x14ac:dyDescent="0.2">
      <c r="A372" s="116">
        <f>'Relatório GERAL'!A372</f>
        <v>42495</v>
      </c>
      <c r="B372" s="116">
        <f t="shared" si="15"/>
        <v>42491</v>
      </c>
      <c r="C372" s="117" t="str">
        <f>'Relatório GERAL'!B372</f>
        <v>qui</v>
      </c>
      <c r="D372" s="18" t="str">
        <f>IF(OR(C372="SÁB",C372="DOM"),"",IFERROR(IF(VLOOKUP(VLOOKUP(A372,'Relatório GERAL'!$A:$T,$E$1,0),'Dados de consulta'!$A$2:$D$38,4,0)=0,"",VLOOKUP(VLOOKUP(A372,'Relatório GERAL'!$A:$T,$E$1,0),'Dados de consulta'!$A$2:$D$38,4,0)),""))</f>
        <v/>
      </c>
      <c r="O372" s="27">
        <v>53418</v>
      </c>
    </row>
    <row r="373" spans="1:15" ht="15" x14ac:dyDescent="0.2">
      <c r="A373" s="116">
        <f>'Relatório GERAL'!A373</f>
        <v>42496</v>
      </c>
      <c r="B373" s="116">
        <f t="shared" si="15"/>
        <v>42491</v>
      </c>
      <c r="C373" s="117" t="str">
        <f>'Relatório GERAL'!B373</f>
        <v>sex</v>
      </c>
      <c r="D373" s="18" t="str">
        <f>IF(OR(C373="SÁB",C373="DOM"),"",IFERROR(IF(VLOOKUP(VLOOKUP(A373,'Relatório GERAL'!$A:$T,$E$1,0),'Dados de consulta'!$A$2:$D$38,4,0)=0,"",VLOOKUP(VLOOKUP(A373,'Relatório GERAL'!$A:$T,$E$1,0),'Dados de consulta'!$A$2:$D$38,4,0)),""))</f>
        <v/>
      </c>
      <c r="O373" s="27">
        <v>53448</v>
      </c>
    </row>
    <row r="374" spans="1:15" ht="15" x14ac:dyDescent="0.2">
      <c r="A374" s="116">
        <f>'Relatório GERAL'!A374</f>
        <v>42497</v>
      </c>
      <c r="B374" s="116">
        <f t="shared" si="15"/>
        <v>42491</v>
      </c>
      <c r="C374" s="117" t="str">
        <f>'Relatório GERAL'!B374</f>
        <v>sáb</v>
      </c>
      <c r="D374" s="18" t="str">
        <f>IF(OR(C374="SÁB",C374="DOM"),"",IFERROR(IF(VLOOKUP(VLOOKUP(A374,'Relatório GERAL'!$A:$T,$E$1,0),'Dados de consulta'!$A$2:$D$38,4,0)=0,"",VLOOKUP(VLOOKUP(A374,'Relatório GERAL'!$A:$T,$E$1,0),'Dados de consulta'!$A$2:$D$38,4,0)),""))</f>
        <v/>
      </c>
      <c r="O374" s="27">
        <v>53479</v>
      </c>
    </row>
    <row r="375" spans="1:15" ht="15" x14ac:dyDescent="0.2">
      <c r="A375" s="116">
        <f>'Relatório GERAL'!A375</f>
        <v>42498</v>
      </c>
      <c r="B375" s="116">
        <f t="shared" ref="B375:B427" si="16">DATEVALUE(CONCATENATE("01/",TEXT(A375,"mm/aaaa")))</f>
        <v>42491</v>
      </c>
      <c r="C375" s="117" t="str">
        <f>'Relatório GERAL'!B375</f>
        <v>dom</v>
      </c>
      <c r="D375" s="18" t="str">
        <f>IF(OR(C375="SÁB",C375="DOM"),"",IFERROR(IF(VLOOKUP(VLOOKUP(A375,'Relatório GERAL'!$A:$T,$E$1,0),'Dados de consulta'!$A$2:$D$38,4,0)=0,"",VLOOKUP(VLOOKUP(A375,'Relatório GERAL'!$A:$T,$E$1,0),'Dados de consulta'!$A$2:$D$38,4,0)),""))</f>
        <v/>
      </c>
      <c r="O375" s="27">
        <v>53509</v>
      </c>
    </row>
    <row r="376" spans="1:15" ht="15" x14ac:dyDescent="0.2">
      <c r="A376" s="116">
        <f>'Relatório GERAL'!A376</f>
        <v>42499</v>
      </c>
      <c r="B376" s="116">
        <f t="shared" si="16"/>
        <v>42491</v>
      </c>
      <c r="C376" s="117" t="str">
        <f>'Relatório GERAL'!B376</f>
        <v>seg</v>
      </c>
      <c r="D376" s="18" t="str">
        <f>IF(OR(C376="SÁB",C376="DOM"),"",IFERROR(IF(VLOOKUP(VLOOKUP(A376,'Relatório GERAL'!$A:$T,$E$1,0),'Dados de consulta'!$A$2:$D$38,4,0)=0,"",VLOOKUP(VLOOKUP(A376,'Relatório GERAL'!$A:$T,$E$1,0),'Dados de consulta'!$A$2:$D$38,4,0)),""))</f>
        <v/>
      </c>
      <c r="O376" s="27">
        <v>53540</v>
      </c>
    </row>
    <row r="377" spans="1:15" ht="15" x14ac:dyDescent="0.2">
      <c r="A377" s="116">
        <f>'Relatório GERAL'!A377</f>
        <v>42500</v>
      </c>
      <c r="B377" s="116">
        <f t="shared" si="16"/>
        <v>42491</v>
      </c>
      <c r="C377" s="117" t="str">
        <f>'Relatório GERAL'!B377</f>
        <v>ter</v>
      </c>
      <c r="D377" s="18" t="str">
        <f>IF(OR(C377="SÁB",C377="DOM"),"",IFERROR(IF(VLOOKUP(VLOOKUP(A377,'Relatório GERAL'!$A:$T,$E$1,0),'Dados de consulta'!$A$2:$D$38,4,0)=0,"",VLOOKUP(VLOOKUP(A377,'Relatório GERAL'!$A:$T,$E$1,0),'Dados de consulta'!$A$2:$D$38,4,0)),""))</f>
        <v/>
      </c>
      <c r="O377" s="27">
        <v>53571</v>
      </c>
    </row>
    <row r="378" spans="1:15" ht="15" x14ac:dyDescent="0.2">
      <c r="A378" s="116">
        <f>'Relatório GERAL'!A378</f>
        <v>42501</v>
      </c>
      <c r="B378" s="116">
        <f t="shared" si="16"/>
        <v>42491</v>
      </c>
      <c r="C378" s="117" t="str">
        <f>'Relatório GERAL'!B378</f>
        <v>qua</v>
      </c>
      <c r="D378" s="18" t="str">
        <f>IF(OR(C378="SÁB",C378="DOM"),"",IFERROR(IF(VLOOKUP(VLOOKUP(A378,'Relatório GERAL'!$A:$T,$E$1,0),'Dados de consulta'!$A$2:$D$38,4,0)=0,"",VLOOKUP(VLOOKUP(A378,'Relatório GERAL'!$A:$T,$E$1,0),'Dados de consulta'!$A$2:$D$38,4,0)),""))</f>
        <v/>
      </c>
      <c r="O378" s="27">
        <v>53601</v>
      </c>
    </row>
    <row r="379" spans="1:15" ht="15" x14ac:dyDescent="0.2">
      <c r="A379" s="116">
        <f>'Relatório GERAL'!A379</f>
        <v>42502</v>
      </c>
      <c r="B379" s="116">
        <f t="shared" si="16"/>
        <v>42491</v>
      </c>
      <c r="C379" s="117" t="str">
        <f>'Relatório GERAL'!B379</f>
        <v>qui</v>
      </c>
      <c r="D379" s="18">
        <f>IF(OR(C379="SÁB",C379="DOM"),"",IFERROR(IF(VLOOKUP(VLOOKUP(A379,'Relatório GERAL'!$A:$T,$E$1,0),'Dados de consulta'!$A$2:$D$38,4,0)=0,"",VLOOKUP(VLOOKUP(A379,'Relatório GERAL'!$A:$T,$E$1,0),'Dados de consulta'!$A$2:$D$38,4,0)),""))</f>
        <v>4</v>
      </c>
      <c r="O379" s="27">
        <v>53632</v>
      </c>
    </row>
    <row r="380" spans="1:15" ht="15" x14ac:dyDescent="0.2">
      <c r="A380" s="116">
        <f>'Relatório GERAL'!A380</f>
        <v>42503</v>
      </c>
      <c r="B380" s="116">
        <f t="shared" si="16"/>
        <v>42491</v>
      </c>
      <c r="C380" s="117" t="str">
        <f>'Relatório GERAL'!B380</f>
        <v>sex</v>
      </c>
      <c r="D380" s="18" t="str">
        <f>IF(OR(C380="SÁB",C380="DOM"),"",IFERROR(IF(VLOOKUP(VLOOKUP(A380,'Relatório GERAL'!$A:$T,$E$1,0),'Dados de consulta'!$A$2:$D$38,4,0)=0,"",VLOOKUP(VLOOKUP(A380,'Relatório GERAL'!$A:$T,$E$1,0),'Dados de consulta'!$A$2:$D$38,4,0)),""))</f>
        <v/>
      </c>
      <c r="O380" s="27">
        <v>53662</v>
      </c>
    </row>
    <row r="381" spans="1:15" ht="15" x14ac:dyDescent="0.2">
      <c r="A381" s="116">
        <f>'Relatório GERAL'!A381</f>
        <v>42504</v>
      </c>
      <c r="B381" s="116">
        <f t="shared" si="16"/>
        <v>42491</v>
      </c>
      <c r="C381" s="117" t="str">
        <f>'Relatório GERAL'!B381</f>
        <v>sáb</v>
      </c>
      <c r="D381" s="18" t="str">
        <f>IF(OR(C381="SÁB",C381="DOM"),"",IFERROR(IF(VLOOKUP(VLOOKUP(A381,'Relatório GERAL'!$A:$T,$E$1,0),'Dados de consulta'!$A$2:$D$38,4,0)=0,"",VLOOKUP(VLOOKUP(A381,'Relatório GERAL'!$A:$T,$E$1,0),'Dados de consulta'!$A$2:$D$38,4,0)),""))</f>
        <v/>
      </c>
      <c r="O381" s="27">
        <v>53693</v>
      </c>
    </row>
    <row r="382" spans="1:15" ht="15" x14ac:dyDescent="0.2">
      <c r="A382" s="116">
        <f>'Relatório GERAL'!A382</f>
        <v>42505</v>
      </c>
      <c r="B382" s="116">
        <f t="shared" si="16"/>
        <v>42491</v>
      </c>
      <c r="C382" s="117" t="str">
        <f>'Relatório GERAL'!B382</f>
        <v>dom</v>
      </c>
      <c r="D382" s="18" t="str">
        <f>IF(OR(C382="SÁB",C382="DOM"),"",IFERROR(IF(VLOOKUP(VLOOKUP(A382,'Relatório GERAL'!$A:$T,$E$1,0),'Dados de consulta'!$A$2:$D$38,4,0)=0,"",VLOOKUP(VLOOKUP(A382,'Relatório GERAL'!$A:$T,$E$1,0),'Dados de consulta'!$A$2:$D$38,4,0)),""))</f>
        <v/>
      </c>
      <c r="O382" s="27">
        <v>53724</v>
      </c>
    </row>
    <row r="383" spans="1:15" ht="15" x14ac:dyDescent="0.2">
      <c r="A383" s="116">
        <f>'Relatório GERAL'!A383</f>
        <v>42506</v>
      </c>
      <c r="B383" s="116">
        <f t="shared" si="16"/>
        <v>42491</v>
      </c>
      <c r="C383" s="117" t="str">
        <f>'Relatório GERAL'!B383</f>
        <v>seg</v>
      </c>
      <c r="D383" s="18">
        <f>IF(OR(C383="SÁB",C383="DOM"),"",IFERROR(IF(VLOOKUP(VLOOKUP(A383,'Relatório GERAL'!$A:$T,$E$1,0),'Dados de consulta'!$A$2:$D$38,4,0)=0,"",VLOOKUP(VLOOKUP(A383,'Relatório GERAL'!$A:$T,$E$1,0),'Dados de consulta'!$A$2:$D$38,4,0)),""))</f>
        <v>4</v>
      </c>
      <c r="O383" s="27">
        <v>53752</v>
      </c>
    </row>
    <row r="384" spans="1:15" ht="15" x14ac:dyDescent="0.2">
      <c r="A384" s="116">
        <f>'Relatório GERAL'!A384</f>
        <v>42507</v>
      </c>
      <c r="B384" s="116">
        <f t="shared" si="16"/>
        <v>42491</v>
      </c>
      <c r="C384" s="117" t="str">
        <f>'Relatório GERAL'!B384</f>
        <v>ter</v>
      </c>
      <c r="D384" s="18">
        <f>IF(OR(C384="SÁB",C384="DOM"),"",IFERROR(IF(VLOOKUP(VLOOKUP(A384,'Relatório GERAL'!$A:$T,$E$1,0),'Dados de consulta'!$A$2:$D$38,4,0)=0,"",VLOOKUP(VLOOKUP(A384,'Relatório GERAL'!$A:$T,$E$1,0),'Dados de consulta'!$A$2:$D$38,4,0)),""))</f>
        <v>4</v>
      </c>
      <c r="O384" s="27">
        <v>53783</v>
      </c>
    </row>
    <row r="385" spans="1:15" ht="15" x14ac:dyDescent="0.2">
      <c r="A385" s="116">
        <f>'Relatório GERAL'!A385</f>
        <v>42508</v>
      </c>
      <c r="B385" s="116">
        <f t="shared" si="16"/>
        <v>42491</v>
      </c>
      <c r="C385" s="117" t="str">
        <f>'Relatório GERAL'!B385</f>
        <v>qua</v>
      </c>
      <c r="D385" s="18">
        <f>IF(OR(C385="SÁB",C385="DOM"),"",IFERROR(IF(VLOOKUP(VLOOKUP(A385,'Relatório GERAL'!$A:$T,$E$1,0),'Dados de consulta'!$A$2:$D$38,4,0)=0,"",VLOOKUP(VLOOKUP(A385,'Relatório GERAL'!$A:$T,$E$1,0),'Dados de consulta'!$A$2:$D$38,4,0)),""))</f>
        <v>4</v>
      </c>
      <c r="O385" s="27">
        <v>53813</v>
      </c>
    </row>
    <row r="386" spans="1:15" ht="15" x14ac:dyDescent="0.2">
      <c r="A386" s="116">
        <f>'Relatório GERAL'!A386</f>
        <v>42509</v>
      </c>
      <c r="B386" s="116">
        <f t="shared" si="16"/>
        <v>42491</v>
      </c>
      <c r="C386" s="117" t="str">
        <f>'Relatório GERAL'!B386</f>
        <v>qui</v>
      </c>
      <c r="D386" s="18">
        <f>IF(OR(C386="SÁB",C386="DOM"),"",IFERROR(IF(VLOOKUP(VLOOKUP(A386,'Relatório GERAL'!$A:$T,$E$1,0),'Dados de consulta'!$A$2:$D$38,4,0)=0,"",VLOOKUP(VLOOKUP(A386,'Relatório GERAL'!$A:$T,$E$1,0),'Dados de consulta'!$A$2:$D$38,4,0)),""))</f>
        <v>4</v>
      </c>
      <c r="O386" s="27">
        <v>53844</v>
      </c>
    </row>
    <row r="387" spans="1:15" ht="15" x14ac:dyDescent="0.2">
      <c r="A387" s="116">
        <f>'Relatório GERAL'!A387</f>
        <v>42510</v>
      </c>
      <c r="B387" s="116">
        <f t="shared" si="16"/>
        <v>42491</v>
      </c>
      <c r="C387" s="117" t="str">
        <f>'Relatório GERAL'!B387</f>
        <v>sex</v>
      </c>
      <c r="D387" s="18">
        <f>IF(OR(C387="SÁB",C387="DOM"),"",IFERROR(IF(VLOOKUP(VLOOKUP(A387,'Relatório GERAL'!$A:$T,$E$1,0),'Dados de consulta'!$A$2:$D$38,4,0)=0,"",VLOOKUP(VLOOKUP(A387,'Relatório GERAL'!$A:$T,$E$1,0),'Dados de consulta'!$A$2:$D$38,4,0)),""))</f>
        <v>4</v>
      </c>
      <c r="O387" s="27">
        <v>53874</v>
      </c>
    </row>
    <row r="388" spans="1:15" ht="15" x14ac:dyDescent="0.2">
      <c r="A388" s="116">
        <f>'Relatório GERAL'!A388</f>
        <v>42511</v>
      </c>
      <c r="B388" s="116">
        <f t="shared" si="16"/>
        <v>42491</v>
      </c>
      <c r="C388" s="117" t="str">
        <f>'Relatório GERAL'!B388</f>
        <v>sáb</v>
      </c>
      <c r="D388" s="18" t="str">
        <f>IF(OR(C388="SÁB",C388="DOM"),"",IFERROR(IF(VLOOKUP(VLOOKUP(A388,'Relatório GERAL'!$A:$T,$E$1,0),'Dados de consulta'!$A$2:$D$38,4,0)=0,"",VLOOKUP(VLOOKUP(A388,'Relatório GERAL'!$A:$T,$E$1,0),'Dados de consulta'!$A$2:$D$38,4,0)),""))</f>
        <v/>
      </c>
      <c r="O388" s="27">
        <v>53905</v>
      </c>
    </row>
    <row r="389" spans="1:15" ht="15" x14ac:dyDescent="0.2">
      <c r="A389" s="116">
        <f>'Relatório GERAL'!A389</f>
        <v>42512</v>
      </c>
      <c r="B389" s="116">
        <f t="shared" si="16"/>
        <v>42491</v>
      </c>
      <c r="C389" s="117" t="str">
        <f>'Relatório GERAL'!B389</f>
        <v>dom</v>
      </c>
      <c r="D389" s="18" t="str">
        <f>IF(OR(C389="SÁB",C389="DOM"),"",IFERROR(IF(VLOOKUP(VLOOKUP(A389,'Relatório GERAL'!$A:$T,$E$1,0),'Dados de consulta'!$A$2:$D$38,4,0)=0,"",VLOOKUP(VLOOKUP(A389,'Relatório GERAL'!$A:$T,$E$1,0),'Dados de consulta'!$A$2:$D$38,4,0)),""))</f>
        <v/>
      </c>
      <c r="O389" s="27">
        <v>53936</v>
      </c>
    </row>
    <row r="390" spans="1:15" ht="15" x14ac:dyDescent="0.2">
      <c r="A390" s="116">
        <f>'Relatório GERAL'!A390</f>
        <v>42513</v>
      </c>
      <c r="B390" s="116">
        <f t="shared" si="16"/>
        <v>42491</v>
      </c>
      <c r="C390" s="117" t="str">
        <f>'Relatório GERAL'!B390</f>
        <v>seg</v>
      </c>
      <c r="D390" s="18">
        <f>IF(OR(C390="SÁB",C390="DOM"),"",IFERROR(IF(VLOOKUP(VLOOKUP(A390,'Relatório GERAL'!$A:$T,$E$1,0),'Dados de consulta'!$A$2:$D$38,4,0)=0,"",VLOOKUP(VLOOKUP(A390,'Relatório GERAL'!$A:$T,$E$1,0),'Dados de consulta'!$A$2:$D$38,4,0)),""))</f>
        <v>4</v>
      </c>
      <c r="O390" s="27">
        <v>53966</v>
      </c>
    </row>
    <row r="391" spans="1:15" ht="15" x14ac:dyDescent="0.2">
      <c r="A391" s="116">
        <f>'Relatório GERAL'!A391</f>
        <v>42514</v>
      </c>
      <c r="B391" s="116">
        <f t="shared" si="16"/>
        <v>42491</v>
      </c>
      <c r="C391" s="117" t="str">
        <f>'Relatório GERAL'!B391</f>
        <v>ter</v>
      </c>
      <c r="D391" s="18">
        <f>IF(OR(C391="SÁB",C391="DOM"),"",IFERROR(IF(VLOOKUP(VLOOKUP(A391,'Relatório GERAL'!$A:$T,$E$1,0),'Dados de consulta'!$A$2:$D$38,4,0)=0,"",VLOOKUP(VLOOKUP(A391,'Relatório GERAL'!$A:$T,$E$1,0),'Dados de consulta'!$A$2:$D$38,4,0)),""))</f>
        <v>4</v>
      </c>
      <c r="O391" s="27">
        <v>53997</v>
      </c>
    </row>
    <row r="392" spans="1:15" ht="15" x14ac:dyDescent="0.2">
      <c r="A392" s="116">
        <f>'Relatório GERAL'!A392</f>
        <v>42515</v>
      </c>
      <c r="B392" s="116">
        <f t="shared" si="16"/>
        <v>42491</v>
      </c>
      <c r="C392" s="117" t="str">
        <f>'Relatório GERAL'!B392</f>
        <v>qua</v>
      </c>
      <c r="D392" s="18">
        <f>IF(OR(C392="SÁB",C392="DOM"),"",IFERROR(IF(VLOOKUP(VLOOKUP(A392,'Relatório GERAL'!$A:$T,$E$1,0),'Dados de consulta'!$A$2:$D$38,4,0)=0,"",VLOOKUP(VLOOKUP(A392,'Relatório GERAL'!$A:$T,$E$1,0),'Dados de consulta'!$A$2:$D$38,4,0)),""))</f>
        <v>4</v>
      </c>
      <c r="O392" s="27">
        <v>54027</v>
      </c>
    </row>
    <row r="393" spans="1:15" ht="15" x14ac:dyDescent="0.2">
      <c r="A393" s="116">
        <f>'Relatório GERAL'!A393</f>
        <v>42516</v>
      </c>
      <c r="B393" s="116">
        <f t="shared" si="16"/>
        <v>42491</v>
      </c>
      <c r="C393" s="117" t="str">
        <f>'Relatório GERAL'!B393</f>
        <v>qui</v>
      </c>
      <c r="D393" s="18" t="str">
        <f>IF(OR(C393="SÁB",C393="DOM"),"",IFERROR(IF(VLOOKUP(VLOOKUP(A393,'Relatório GERAL'!$A:$T,$E$1,0),'Dados de consulta'!$A$2:$D$38,4,0)=0,"",VLOOKUP(VLOOKUP(A393,'Relatório GERAL'!$A:$T,$E$1,0),'Dados de consulta'!$A$2:$D$38,4,0)),""))</f>
        <v/>
      </c>
      <c r="O393" s="27">
        <v>54058</v>
      </c>
    </row>
    <row r="394" spans="1:15" ht="15" x14ac:dyDescent="0.2">
      <c r="A394" s="116">
        <f>'Relatório GERAL'!A394</f>
        <v>42517</v>
      </c>
      <c r="B394" s="116">
        <f t="shared" si="16"/>
        <v>42491</v>
      </c>
      <c r="C394" s="117" t="str">
        <f>'Relatório GERAL'!B394</f>
        <v>sex</v>
      </c>
      <c r="D394" s="18">
        <f>IF(OR(C394="SÁB",C394="DOM"),"",IFERROR(IF(VLOOKUP(VLOOKUP(A394,'Relatório GERAL'!$A:$T,$E$1,0),'Dados de consulta'!$A$2:$D$38,4,0)=0,"",VLOOKUP(VLOOKUP(A394,'Relatório GERAL'!$A:$T,$E$1,0),'Dados de consulta'!$A$2:$D$38,4,0)),""))</f>
        <v>4</v>
      </c>
      <c r="O394" s="27">
        <v>54089</v>
      </c>
    </row>
    <row r="395" spans="1:15" ht="15" x14ac:dyDescent="0.2">
      <c r="A395" s="116">
        <f>'Relatório GERAL'!A395</f>
        <v>42518</v>
      </c>
      <c r="B395" s="116">
        <f t="shared" si="16"/>
        <v>42491</v>
      </c>
      <c r="C395" s="117" t="str">
        <f>'Relatório GERAL'!B395</f>
        <v>sáb</v>
      </c>
      <c r="D395" s="18" t="str">
        <f>IF(OR(C395="SÁB",C395="DOM"),"",IFERROR(IF(VLOOKUP(VLOOKUP(A395,'Relatório GERAL'!$A:$T,$E$1,0),'Dados de consulta'!$A$2:$D$38,4,0)=0,"",VLOOKUP(VLOOKUP(A395,'Relatório GERAL'!$A:$T,$E$1,0),'Dados de consulta'!$A$2:$D$38,4,0)),""))</f>
        <v/>
      </c>
      <c r="O395" s="27">
        <v>54118</v>
      </c>
    </row>
    <row r="396" spans="1:15" ht="15" x14ac:dyDescent="0.2">
      <c r="A396" s="116">
        <f>'Relatório GERAL'!A396</f>
        <v>42519</v>
      </c>
      <c r="B396" s="116">
        <f t="shared" si="16"/>
        <v>42491</v>
      </c>
      <c r="C396" s="117" t="str">
        <f>'Relatório GERAL'!B396</f>
        <v>dom</v>
      </c>
      <c r="D396" s="18" t="str">
        <f>IF(OR(C396="SÁB",C396="DOM"),"",IFERROR(IF(VLOOKUP(VLOOKUP(A396,'Relatório GERAL'!$A:$T,$E$1,0),'Dados de consulta'!$A$2:$D$38,4,0)=0,"",VLOOKUP(VLOOKUP(A396,'Relatório GERAL'!$A:$T,$E$1,0),'Dados de consulta'!$A$2:$D$38,4,0)),""))</f>
        <v/>
      </c>
      <c r="O396" s="27">
        <v>54149</v>
      </c>
    </row>
    <row r="397" spans="1:15" ht="15" x14ac:dyDescent="0.2">
      <c r="A397" s="116">
        <f>'Relatório GERAL'!A397</f>
        <v>42520</v>
      </c>
      <c r="B397" s="116">
        <f t="shared" si="16"/>
        <v>42491</v>
      </c>
      <c r="C397" s="117" t="str">
        <f>'Relatório GERAL'!B397</f>
        <v>seg</v>
      </c>
      <c r="D397" s="18">
        <f>IF(OR(C397="SÁB",C397="DOM"),"",IFERROR(IF(VLOOKUP(VLOOKUP(A397,'Relatório GERAL'!$A:$T,$E$1,0),'Dados de consulta'!$A$2:$D$38,4,0)=0,"",VLOOKUP(VLOOKUP(A397,'Relatório GERAL'!$A:$T,$E$1,0),'Dados de consulta'!$A$2:$D$38,4,0)),""))</f>
        <v>4</v>
      </c>
      <c r="O397" s="27">
        <v>54179</v>
      </c>
    </row>
    <row r="398" spans="1:15" ht="15" x14ac:dyDescent="0.2">
      <c r="A398" s="116">
        <f>'Relatório GERAL'!A398</f>
        <v>42521</v>
      </c>
      <c r="B398" s="116">
        <f t="shared" si="16"/>
        <v>42491</v>
      </c>
      <c r="C398" s="117" t="str">
        <f>'Relatório GERAL'!B398</f>
        <v>ter</v>
      </c>
      <c r="D398" s="18">
        <f>IF(OR(C398="SÁB",C398="DOM"),"",IFERROR(IF(VLOOKUP(VLOOKUP(A398,'Relatório GERAL'!$A:$T,$E$1,0),'Dados de consulta'!$A$2:$D$38,4,0)=0,"",VLOOKUP(VLOOKUP(A398,'Relatório GERAL'!$A:$T,$E$1,0),'Dados de consulta'!$A$2:$D$38,4,0)),""))</f>
        <v>4</v>
      </c>
      <c r="O398" s="27">
        <v>54210</v>
      </c>
    </row>
    <row r="399" spans="1:15" ht="15" x14ac:dyDescent="0.2">
      <c r="A399" s="116">
        <f>'Relatório GERAL'!A399</f>
        <v>42522</v>
      </c>
      <c r="B399" s="116">
        <f t="shared" si="16"/>
        <v>42522</v>
      </c>
      <c r="C399" s="117" t="str">
        <f>'Relatório GERAL'!B399</f>
        <v>qua</v>
      </c>
      <c r="D399" s="18">
        <f>IF(OR(C399="SÁB",C399="DOM"),"",IFERROR(IF(VLOOKUP(VLOOKUP(A399,'Relatório GERAL'!$A:$T,$E$1,0),'Dados de consulta'!$A$2:$D$38,4,0)=0,"",VLOOKUP(VLOOKUP(A399,'Relatório GERAL'!$A:$T,$E$1,0),'Dados de consulta'!$A$2:$D$38,4,0)),""))</f>
        <v>4</v>
      </c>
      <c r="O399" s="27">
        <v>54240</v>
      </c>
    </row>
    <row r="400" spans="1:15" ht="15" x14ac:dyDescent="0.2">
      <c r="A400" s="116">
        <f>'Relatório GERAL'!A400</f>
        <v>42523</v>
      </c>
      <c r="B400" s="116">
        <f t="shared" si="16"/>
        <v>42522</v>
      </c>
      <c r="C400" s="117" t="str">
        <f>'Relatório GERAL'!B400</f>
        <v>qui</v>
      </c>
      <c r="D400" s="18">
        <f>IF(OR(C400="SÁB",C400="DOM"),"",IFERROR(IF(VLOOKUP(VLOOKUP(A400,'Relatório GERAL'!$A:$T,$E$1,0),'Dados de consulta'!$A$2:$D$38,4,0)=0,"",VLOOKUP(VLOOKUP(A400,'Relatório GERAL'!$A:$T,$E$1,0),'Dados de consulta'!$A$2:$D$38,4,0)),""))</f>
        <v>4</v>
      </c>
      <c r="O400" s="27">
        <v>54271</v>
      </c>
    </row>
    <row r="401" spans="1:15" ht="15" x14ac:dyDescent="0.2">
      <c r="A401" s="116">
        <f>'Relatório GERAL'!A401</f>
        <v>42524</v>
      </c>
      <c r="B401" s="116">
        <f t="shared" si="16"/>
        <v>42522</v>
      </c>
      <c r="C401" s="117" t="str">
        <f>'Relatório GERAL'!B401</f>
        <v>sex</v>
      </c>
      <c r="D401" s="18">
        <f>IF(OR(C401="SÁB",C401="DOM"),"",IFERROR(IF(VLOOKUP(VLOOKUP(A401,'Relatório GERAL'!$A:$T,$E$1,0),'Dados de consulta'!$A$2:$D$38,4,0)=0,"",VLOOKUP(VLOOKUP(A401,'Relatório GERAL'!$A:$T,$E$1,0),'Dados de consulta'!$A$2:$D$38,4,0)),""))</f>
        <v>4</v>
      </c>
      <c r="O401" s="27">
        <v>54302</v>
      </c>
    </row>
    <row r="402" spans="1:15" ht="15" x14ac:dyDescent="0.2">
      <c r="A402" s="116">
        <f>'Relatório GERAL'!A402</f>
        <v>42525</v>
      </c>
      <c r="B402" s="116">
        <f t="shared" si="16"/>
        <v>42522</v>
      </c>
      <c r="C402" s="117" t="str">
        <f>'Relatório GERAL'!B402</f>
        <v>sáb</v>
      </c>
      <c r="D402" s="18" t="str">
        <f>IF(OR(C402="SÁB",C402="DOM"),"",IFERROR(IF(VLOOKUP(VLOOKUP(A402,'Relatório GERAL'!$A:$T,$E$1,0),'Dados de consulta'!$A$2:$D$38,4,0)=0,"",VLOOKUP(VLOOKUP(A402,'Relatório GERAL'!$A:$T,$E$1,0),'Dados de consulta'!$A$2:$D$38,4,0)),""))</f>
        <v/>
      </c>
      <c r="O402" s="27">
        <v>54332</v>
      </c>
    </row>
    <row r="403" spans="1:15" ht="15" x14ac:dyDescent="0.2">
      <c r="A403" s="116">
        <f>'Relatório GERAL'!A403</f>
        <v>42526</v>
      </c>
      <c r="B403" s="116">
        <f t="shared" si="16"/>
        <v>42522</v>
      </c>
      <c r="C403" s="117" t="str">
        <f>'Relatório GERAL'!B403</f>
        <v>dom</v>
      </c>
      <c r="D403" s="18" t="str">
        <f>IF(OR(C403="SÁB",C403="DOM"),"",IFERROR(IF(VLOOKUP(VLOOKUP(A403,'Relatório GERAL'!$A:$T,$E$1,0),'Dados de consulta'!$A$2:$D$38,4,0)=0,"",VLOOKUP(VLOOKUP(A403,'Relatório GERAL'!$A:$T,$E$1,0),'Dados de consulta'!$A$2:$D$38,4,0)),""))</f>
        <v/>
      </c>
      <c r="O403" s="27">
        <v>54363</v>
      </c>
    </row>
    <row r="404" spans="1:15" ht="15" x14ac:dyDescent="0.2">
      <c r="A404" s="116">
        <f>'Relatório GERAL'!A404</f>
        <v>42527</v>
      </c>
      <c r="B404" s="116">
        <f t="shared" si="16"/>
        <v>42522</v>
      </c>
      <c r="C404" s="117" t="str">
        <f>'Relatório GERAL'!B404</f>
        <v>seg</v>
      </c>
      <c r="D404" s="18">
        <f>IF(OR(C404="SÁB",C404="DOM"),"",IFERROR(IF(VLOOKUP(VLOOKUP(A404,'Relatório GERAL'!$A:$T,$E$1,0),'Dados de consulta'!$A$2:$D$38,4,0)=0,"",VLOOKUP(VLOOKUP(A404,'Relatório GERAL'!$A:$T,$E$1,0),'Dados de consulta'!$A$2:$D$38,4,0)),""))</f>
        <v>4</v>
      </c>
      <c r="O404" s="27">
        <v>54393</v>
      </c>
    </row>
    <row r="405" spans="1:15" ht="15" x14ac:dyDescent="0.2">
      <c r="A405" s="116">
        <f>'Relatório GERAL'!A405</f>
        <v>42528</v>
      </c>
      <c r="B405" s="116">
        <f t="shared" si="16"/>
        <v>42522</v>
      </c>
      <c r="C405" s="117" t="str">
        <f>'Relatório GERAL'!B405</f>
        <v>ter</v>
      </c>
      <c r="D405" s="18">
        <f>IF(OR(C405="SÁB",C405="DOM"),"",IFERROR(IF(VLOOKUP(VLOOKUP(A405,'Relatório GERAL'!$A:$T,$E$1,0),'Dados de consulta'!$A$2:$D$38,4,0)=0,"",VLOOKUP(VLOOKUP(A405,'Relatório GERAL'!$A:$T,$E$1,0),'Dados de consulta'!$A$2:$D$38,4,0)),""))</f>
        <v>4</v>
      </c>
      <c r="O405" s="27">
        <v>54424</v>
      </c>
    </row>
    <row r="406" spans="1:15" ht="15" x14ac:dyDescent="0.2">
      <c r="A406" s="116">
        <f>'Relatório GERAL'!A406</f>
        <v>42529</v>
      </c>
      <c r="B406" s="116">
        <f t="shared" si="16"/>
        <v>42522</v>
      </c>
      <c r="C406" s="117" t="str">
        <f>'Relatório GERAL'!B406</f>
        <v>qua</v>
      </c>
      <c r="D406" s="18">
        <f>IF(OR(C406="SÁB",C406="DOM"),"",IFERROR(IF(VLOOKUP(VLOOKUP(A406,'Relatório GERAL'!$A:$T,$E$1,0),'Dados de consulta'!$A$2:$D$38,4,0)=0,"",VLOOKUP(VLOOKUP(A406,'Relatório GERAL'!$A:$T,$E$1,0),'Dados de consulta'!$A$2:$D$38,4,0)),""))</f>
        <v>4</v>
      </c>
      <c r="O406" s="27">
        <v>54455</v>
      </c>
    </row>
    <row r="407" spans="1:15" ht="15" x14ac:dyDescent="0.2">
      <c r="A407" s="116">
        <f>'Relatório GERAL'!A407</f>
        <v>42530</v>
      </c>
      <c r="B407" s="116">
        <f t="shared" si="16"/>
        <v>42522</v>
      </c>
      <c r="C407" s="117" t="str">
        <f>'Relatório GERAL'!B407</f>
        <v>qui</v>
      </c>
      <c r="D407" s="18">
        <f>IF(OR(C407="SÁB",C407="DOM"),"",IFERROR(IF(VLOOKUP(VLOOKUP(A407,'Relatório GERAL'!$A:$T,$E$1,0),'Dados de consulta'!$A$2:$D$38,4,0)=0,"",VLOOKUP(VLOOKUP(A407,'Relatório GERAL'!$A:$T,$E$1,0),'Dados de consulta'!$A$2:$D$38,4,0)),""))</f>
        <v>4</v>
      </c>
      <c r="O407" s="27">
        <v>54483</v>
      </c>
    </row>
    <row r="408" spans="1:15" ht="15" x14ac:dyDescent="0.2">
      <c r="A408" s="116">
        <f>'Relatório GERAL'!A408</f>
        <v>42531</v>
      </c>
      <c r="B408" s="116">
        <f t="shared" si="16"/>
        <v>42522</v>
      </c>
      <c r="C408" s="117" t="str">
        <f>'Relatório GERAL'!B408</f>
        <v>sex</v>
      </c>
      <c r="D408" s="18">
        <f>IF(OR(C408="SÁB",C408="DOM"),"",IFERROR(IF(VLOOKUP(VLOOKUP(A408,'Relatório GERAL'!$A:$T,$E$1,0),'Dados de consulta'!$A$2:$D$38,4,0)=0,"",VLOOKUP(VLOOKUP(A408,'Relatório GERAL'!$A:$T,$E$1,0),'Dados de consulta'!$A$2:$D$38,4,0)),""))</f>
        <v>4</v>
      </c>
      <c r="O408" s="27">
        <v>54514</v>
      </c>
    </row>
    <row r="409" spans="1:15" ht="15" x14ac:dyDescent="0.2">
      <c r="A409" s="116">
        <f>'Relatório GERAL'!A409</f>
        <v>42532</v>
      </c>
      <c r="B409" s="116">
        <f t="shared" si="16"/>
        <v>42522</v>
      </c>
      <c r="C409" s="117" t="str">
        <f>'Relatório GERAL'!B409</f>
        <v>sáb</v>
      </c>
      <c r="D409" s="18" t="str">
        <f>IF(OR(C409="SÁB",C409="DOM"),"",IFERROR(IF(VLOOKUP(VLOOKUP(A409,'Relatório GERAL'!$A:$T,$E$1,0),'Dados de consulta'!$A$2:$D$38,4,0)=0,"",VLOOKUP(VLOOKUP(A409,'Relatório GERAL'!$A:$T,$E$1,0),'Dados de consulta'!$A$2:$D$38,4,0)),""))</f>
        <v/>
      </c>
      <c r="O409" s="27">
        <v>54544</v>
      </c>
    </row>
    <row r="410" spans="1:15" ht="15" x14ac:dyDescent="0.2">
      <c r="A410" s="116">
        <f>'Relatório GERAL'!A410</f>
        <v>42533</v>
      </c>
      <c r="B410" s="116">
        <f t="shared" si="16"/>
        <v>42522</v>
      </c>
      <c r="C410" s="117" t="str">
        <f>'Relatório GERAL'!B410</f>
        <v>dom</v>
      </c>
      <c r="D410" s="18" t="str">
        <f>IF(OR(C410="SÁB",C410="DOM"),"",IFERROR(IF(VLOOKUP(VLOOKUP(A410,'Relatório GERAL'!$A:$T,$E$1,0),'Dados de consulta'!$A$2:$D$38,4,0)=0,"",VLOOKUP(VLOOKUP(A410,'Relatório GERAL'!$A:$T,$E$1,0),'Dados de consulta'!$A$2:$D$38,4,0)),""))</f>
        <v/>
      </c>
      <c r="O410" s="27">
        <v>54575</v>
      </c>
    </row>
    <row r="411" spans="1:15" ht="15" x14ac:dyDescent="0.2">
      <c r="A411" s="116">
        <f>'Relatório GERAL'!A411</f>
        <v>42534</v>
      </c>
      <c r="B411" s="116">
        <f t="shared" si="16"/>
        <v>42522</v>
      </c>
      <c r="C411" s="117" t="str">
        <f>'Relatório GERAL'!B411</f>
        <v>seg</v>
      </c>
      <c r="D411" s="18">
        <f>IF(OR(C411="SÁB",C411="DOM"),"",IFERROR(IF(VLOOKUP(VLOOKUP(A411,'Relatório GERAL'!$A:$T,$E$1,0),'Dados de consulta'!$A$2:$D$38,4,0)=0,"",VLOOKUP(VLOOKUP(A411,'Relatório GERAL'!$A:$T,$E$1,0),'Dados de consulta'!$A$2:$D$38,4,0)),""))</f>
        <v>4</v>
      </c>
      <c r="O411" s="27">
        <v>54605</v>
      </c>
    </row>
    <row r="412" spans="1:15" ht="15" x14ac:dyDescent="0.2">
      <c r="A412" s="116">
        <f>'Relatório GERAL'!A412</f>
        <v>42535</v>
      </c>
      <c r="B412" s="116">
        <f t="shared" si="16"/>
        <v>42522</v>
      </c>
      <c r="C412" s="117" t="str">
        <f>'Relatório GERAL'!B412</f>
        <v>ter</v>
      </c>
      <c r="D412" s="18">
        <f>IF(OR(C412="SÁB",C412="DOM"),"",IFERROR(IF(VLOOKUP(VLOOKUP(A412,'Relatório GERAL'!$A:$T,$E$1,0),'Dados de consulta'!$A$2:$D$38,4,0)=0,"",VLOOKUP(VLOOKUP(A412,'Relatório GERAL'!$A:$T,$E$1,0),'Dados de consulta'!$A$2:$D$38,4,0)),""))</f>
        <v>4</v>
      </c>
      <c r="O412" s="27">
        <v>54636</v>
      </c>
    </row>
    <row r="413" spans="1:15" ht="15" x14ac:dyDescent="0.2">
      <c r="A413" s="116">
        <f>'Relatório GERAL'!A413</f>
        <v>42536</v>
      </c>
      <c r="B413" s="116">
        <f t="shared" si="16"/>
        <v>42522</v>
      </c>
      <c r="C413" s="117" t="str">
        <f>'Relatório GERAL'!B413</f>
        <v>qua</v>
      </c>
      <c r="D413" s="18">
        <f>IF(OR(C413="SÁB",C413="DOM"),"",IFERROR(IF(VLOOKUP(VLOOKUP(A413,'Relatório GERAL'!$A:$T,$E$1,0),'Dados de consulta'!$A$2:$D$38,4,0)=0,"",VLOOKUP(VLOOKUP(A413,'Relatório GERAL'!$A:$T,$E$1,0),'Dados de consulta'!$A$2:$D$38,4,0)),""))</f>
        <v>4</v>
      </c>
      <c r="O413" s="27">
        <v>54667</v>
      </c>
    </row>
    <row r="414" spans="1:15" ht="15" x14ac:dyDescent="0.2">
      <c r="A414" s="116">
        <f>'Relatório GERAL'!A414</f>
        <v>42537</v>
      </c>
      <c r="B414" s="116">
        <f t="shared" si="16"/>
        <v>42522</v>
      </c>
      <c r="C414" s="117" t="str">
        <f>'Relatório GERAL'!B414</f>
        <v>qui</v>
      </c>
      <c r="D414" s="18">
        <f>IF(OR(C414="SÁB",C414="DOM"),"",IFERROR(IF(VLOOKUP(VLOOKUP(A414,'Relatório GERAL'!$A:$T,$E$1,0),'Dados de consulta'!$A$2:$D$38,4,0)=0,"",VLOOKUP(VLOOKUP(A414,'Relatório GERAL'!$A:$T,$E$1,0),'Dados de consulta'!$A$2:$D$38,4,0)),""))</f>
        <v>4</v>
      </c>
      <c r="O414" s="27">
        <v>54697</v>
      </c>
    </row>
    <row r="415" spans="1:15" ht="15" x14ac:dyDescent="0.2">
      <c r="A415" s="116">
        <f>'Relatório GERAL'!A415</f>
        <v>42538</v>
      </c>
      <c r="B415" s="116">
        <f t="shared" si="16"/>
        <v>42522</v>
      </c>
      <c r="C415" s="117" t="str">
        <f>'Relatório GERAL'!B415</f>
        <v>sex</v>
      </c>
      <c r="D415" s="18">
        <f>IF(OR(C415="SÁB",C415="DOM"),"",IFERROR(IF(VLOOKUP(VLOOKUP(A415,'Relatório GERAL'!$A:$T,$E$1,0),'Dados de consulta'!$A$2:$D$38,4,0)=0,"",VLOOKUP(VLOOKUP(A415,'Relatório GERAL'!$A:$T,$E$1,0),'Dados de consulta'!$A$2:$D$38,4,0)),""))</f>
        <v>4</v>
      </c>
      <c r="O415" s="27">
        <v>54728</v>
      </c>
    </row>
    <row r="416" spans="1:15" ht="15" x14ac:dyDescent="0.2">
      <c r="A416" s="116">
        <f>'Relatório GERAL'!A416</f>
        <v>42539</v>
      </c>
      <c r="B416" s="116">
        <f t="shared" si="16"/>
        <v>42522</v>
      </c>
      <c r="C416" s="117" t="str">
        <f>'Relatório GERAL'!B416</f>
        <v>sáb</v>
      </c>
      <c r="D416" s="18" t="str">
        <f>IF(OR(C416="SÁB",C416="DOM"),"",IFERROR(IF(VLOOKUP(VLOOKUP(A416,'Relatório GERAL'!$A:$T,$E$1,0),'Dados de consulta'!$A$2:$D$38,4,0)=0,"",VLOOKUP(VLOOKUP(A416,'Relatório GERAL'!$A:$T,$E$1,0),'Dados de consulta'!$A$2:$D$38,4,0)),""))</f>
        <v/>
      </c>
      <c r="O416" s="27">
        <v>54758</v>
      </c>
    </row>
    <row r="417" spans="1:15" ht="15" x14ac:dyDescent="0.2">
      <c r="A417" s="116">
        <f>'Relatório GERAL'!A417</f>
        <v>42540</v>
      </c>
      <c r="B417" s="116">
        <f t="shared" si="16"/>
        <v>42522</v>
      </c>
      <c r="C417" s="117" t="str">
        <f>'Relatório GERAL'!B417</f>
        <v>dom</v>
      </c>
      <c r="D417" s="18" t="str">
        <f>IF(OR(C417="SÁB",C417="DOM"),"",IFERROR(IF(VLOOKUP(VLOOKUP(A417,'Relatório GERAL'!$A:$T,$E$1,0),'Dados de consulta'!$A$2:$D$38,4,0)=0,"",VLOOKUP(VLOOKUP(A417,'Relatório GERAL'!$A:$T,$E$1,0),'Dados de consulta'!$A$2:$D$38,4,0)),""))</f>
        <v/>
      </c>
      <c r="O417" s="27">
        <v>54789</v>
      </c>
    </row>
    <row r="418" spans="1:15" ht="15" x14ac:dyDescent="0.2">
      <c r="A418" s="116">
        <f>'Relatório GERAL'!A418</f>
        <v>42541</v>
      </c>
      <c r="B418" s="116">
        <f t="shared" si="16"/>
        <v>42522</v>
      </c>
      <c r="C418" s="117" t="str">
        <f>'Relatório GERAL'!B418</f>
        <v>seg</v>
      </c>
      <c r="D418" s="18">
        <f>IF(OR(C418="SÁB",C418="DOM"),"",IFERROR(IF(VLOOKUP(VLOOKUP(A418,'Relatório GERAL'!$A:$T,$E$1,0),'Dados de consulta'!$A$2:$D$38,4,0)=0,"",VLOOKUP(VLOOKUP(A418,'Relatório GERAL'!$A:$T,$E$1,0),'Dados de consulta'!$A$2:$D$38,4,0)),""))</f>
        <v>4</v>
      </c>
      <c r="O418" s="27">
        <v>54820</v>
      </c>
    </row>
    <row r="419" spans="1:15" ht="15" x14ac:dyDescent="0.2">
      <c r="A419" s="116">
        <f>'Relatório GERAL'!A419</f>
        <v>42542</v>
      </c>
      <c r="B419" s="116">
        <f t="shared" si="16"/>
        <v>42522</v>
      </c>
      <c r="C419" s="117" t="str">
        <f>'Relatório GERAL'!B419</f>
        <v>ter</v>
      </c>
      <c r="D419" s="18" t="str">
        <f>IF(OR(C419="SÁB",C419="DOM"),"",IFERROR(IF(VLOOKUP(VLOOKUP(A419,'Relatório GERAL'!$A:$T,$E$1,0),'Dados de consulta'!$A$2:$D$38,4,0)=0,"",VLOOKUP(VLOOKUP(A419,'Relatório GERAL'!$A:$T,$E$1,0),'Dados de consulta'!$A$2:$D$38,4,0)),""))</f>
        <v/>
      </c>
      <c r="O419" s="27">
        <v>54848</v>
      </c>
    </row>
    <row r="420" spans="1:15" ht="15" x14ac:dyDescent="0.2">
      <c r="A420" s="116">
        <f>'Relatório GERAL'!A420</f>
        <v>42543</v>
      </c>
      <c r="B420" s="116">
        <f t="shared" si="16"/>
        <v>42522</v>
      </c>
      <c r="C420" s="117" t="str">
        <f>'Relatório GERAL'!B420</f>
        <v>qua</v>
      </c>
      <c r="D420" s="18" t="str">
        <f>IF(OR(C420="SÁB",C420="DOM"),"",IFERROR(IF(VLOOKUP(VLOOKUP(A420,'Relatório GERAL'!$A:$T,$E$1,0),'Dados de consulta'!$A$2:$D$38,4,0)=0,"",VLOOKUP(VLOOKUP(A420,'Relatório GERAL'!$A:$T,$E$1,0),'Dados de consulta'!$A$2:$D$38,4,0)),""))</f>
        <v/>
      </c>
      <c r="O420" s="27">
        <v>54879</v>
      </c>
    </row>
    <row r="421" spans="1:15" ht="15" x14ac:dyDescent="0.2">
      <c r="A421" s="116">
        <f>'Relatório GERAL'!A421</f>
        <v>42544</v>
      </c>
      <c r="B421" s="116">
        <f t="shared" si="16"/>
        <v>42522</v>
      </c>
      <c r="C421" s="117" t="str">
        <f>'Relatório GERAL'!B421</f>
        <v>qui</v>
      </c>
      <c r="D421" s="18" t="str">
        <f>IF(OR(C421="SÁB",C421="DOM"),"",IFERROR(IF(VLOOKUP(VLOOKUP(A421,'Relatório GERAL'!$A:$T,$E$1,0),'Dados de consulta'!$A$2:$D$38,4,0)=0,"",VLOOKUP(VLOOKUP(A421,'Relatório GERAL'!$A:$T,$E$1,0),'Dados de consulta'!$A$2:$D$38,4,0)),""))</f>
        <v/>
      </c>
      <c r="O421" s="27">
        <v>54909</v>
      </c>
    </row>
    <row r="422" spans="1:15" ht="15" x14ac:dyDescent="0.2">
      <c r="A422" s="116">
        <f>'Relatório GERAL'!A422</f>
        <v>42545</v>
      </c>
      <c r="B422" s="116">
        <f t="shared" si="16"/>
        <v>42522</v>
      </c>
      <c r="C422" s="117" t="str">
        <f>'Relatório GERAL'!B422</f>
        <v>sex</v>
      </c>
      <c r="D422" s="18" t="str">
        <f>IF(OR(C422="SÁB",C422="DOM"),"",IFERROR(IF(VLOOKUP(VLOOKUP(A422,'Relatório GERAL'!$A:$T,$E$1,0),'Dados de consulta'!$A$2:$D$38,4,0)=0,"",VLOOKUP(VLOOKUP(A422,'Relatório GERAL'!$A:$T,$E$1,0),'Dados de consulta'!$A$2:$D$38,4,0)),""))</f>
        <v/>
      </c>
      <c r="O422" s="27">
        <v>54940</v>
      </c>
    </row>
    <row r="423" spans="1:15" ht="15" x14ac:dyDescent="0.2">
      <c r="A423" s="116">
        <f>'Relatório GERAL'!A423</f>
        <v>42546</v>
      </c>
      <c r="B423" s="116">
        <f t="shared" si="16"/>
        <v>42522</v>
      </c>
      <c r="C423" s="117" t="str">
        <f>'Relatório GERAL'!B423</f>
        <v>sáb</v>
      </c>
      <c r="D423" s="18" t="str">
        <f>IF(OR(C423="SÁB",C423="DOM"),"",IFERROR(IF(VLOOKUP(VLOOKUP(A423,'Relatório GERAL'!$A:$T,$E$1,0),'Dados de consulta'!$A$2:$D$38,4,0)=0,"",VLOOKUP(VLOOKUP(A423,'Relatório GERAL'!$A:$T,$E$1,0),'Dados de consulta'!$A$2:$D$38,4,0)),""))</f>
        <v/>
      </c>
      <c r="O423" s="27">
        <v>54970</v>
      </c>
    </row>
    <row r="424" spans="1:15" ht="15" x14ac:dyDescent="0.2">
      <c r="A424" s="116">
        <f>'Relatório GERAL'!A424</f>
        <v>42547</v>
      </c>
      <c r="B424" s="116">
        <f t="shared" si="16"/>
        <v>42522</v>
      </c>
      <c r="C424" s="117" t="str">
        <f>'Relatório GERAL'!B424</f>
        <v>dom</v>
      </c>
      <c r="D424" s="18" t="str">
        <f>IF(OR(C424="SÁB",C424="DOM"),"",IFERROR(IF(VLOOKUP(VLOOKUP(A424,'Relatório GERAL'!$A:$T,$E$1,0),'Dados de consulta'!$A$2:$D$38,4,0)=0,"",VLOOKUP(VLOOKUP(A424,'Relatório GERAL'!$A:$T,$E$1,0),'Dados de consulta'!$A$2:$D$38,4,0)),""))</f>
        <v/>
      </c>
      <c r="O424" s="27">
        <v>55001</v>
      </c>
    </row>
    <row r="425" spans="1:15" ht="15" x14ac:dyDescent="0.2">
      <c r="A425" s="116">
        <f>'Relatório GERAL'!A425</f>
        <v>42548</v>
      </c>
      <c r="B425" s="116">
        <f t="shared" si="16"/>
        <v>42522</v>
      </c>
      <c r="C425" s="117" t="str">
        <f>'Relatório GERAL'!B425</f>
        <v>seg</v>
      </c>
      <c r="D425" s="18" t="str">
        <f>IF(OR(C425="SÁB",C425="DOM"),"",IFERROR(IF(VLOOKUP(VLOOKUP(A425,'Relatório GERAL'!$A:$T,$E$1,0),'Dados de consulta'!$A$2:$D$38,4,0)=0,"",VLOOKUP(VLOOKUP(A425,'Relatório GERAL'!$A:$T,$E$1,0),'Dados de consulta'!$A$2:$D$38,4,0)),""))</f>
        <v/>
      </c>
      <c r="O425" s="27">
        <v>55032</v>
      </c>
    </row>
    <row r="426" spans="1:15" ht="15" x14ac:dyDescent="0.2">
      <c r="A426" s="116">
        <f>'Relatório GERAL'!A426</f>
        <v>42549</v>
      </c>
      <c r="B426" s="116">
        <f t="shared" si="16"/>
        <v>42522</v>
      </c>
      <c r="C426" s="117" t="str">
        <f>'Relatório GERAL'!B426</f>
        <v>ter</v>
      </c>
      <c r="D426" s="18" t="str">
        <f>IF(OR(C426="SÁB",C426="DOM"),"",IFERROR(IF(VLOOKUP(VLOOKUP(A426,'Relatório GERAL'!$A:$T,$E$1,0),'Dados de consulta'!$A$2:$D$38,4,0)=0,"",VLOOKUP(VLOOKUP(A426,'Relatório GERAL'!$A:$T,$E$1,0),'Dados de consulta'!$A$2:$D$38,4,0)),""))</f>
        <v/>
      </c>
      <c r="O426" s="27">
        <v>55062</v>
      </c>
    </row>
    <row r="427" spans="1:15" ht="15" x14ac:dyDescent="0.2">
      <c r="A427" s="116">
        <f>'Relatório GERAL'!A427</f>
        <v>42550</v>
      </c>
      <c r="B427" s="116">
        <f t="shared" si="16"/>
        <v>42522</v>
      </c>
      <c r="C427" s="117" t="str">
        <f>'Relatório GERAL'!B427</f>
        <v>qua</v>
      </c>
      <c r="D427" s="18" t="str">
        <f>IF(OR(C427="SÁB",C427="DOM"),"",IFERROR(IF(VLOOKUP(VLOOKUP(A427,'Relatório GERAL'!$A:$T,$E$1,0),'Dados de consulta'!$A$2:$D$38,4,0)=0,"",VLOOKUP(VLOOKUP(A427,'Relatório GERAL'!$A:$T,$E$1,0),'Dados de consulta'!$A$2:$D$38,4,0)),""))</f>
        <v/>
      </c>
      <c r="O427" s="27">
        <v>55093</v>
      </c>
    </row>
    <row r="428" spans="1:15" ht="15" x14ac:dyDescent="0.2">
      <c r="A428" s="116">
        <f>'Relatório GERAL'!A428</f>
        <v>42551</v>
      </c>
      <c r="B428" s="116">
        <f t="shared" ref="B428:B491" si="17">DATEVALUE(CONCATENATE("01/",TEXT(A428,"mm/aaaa")))</f>
        <v>42522</v>
      </c>
      <c r="C428" s="117" t="str">
        <f>'Relatório GERAL'!B428</f>
        <v>qui</v>
      </c>
      <c r="D428" s="18" t="str">
        <f>IF(OR(C428="SÁB",C428="DOM"),"",IFERROR(IF(VLOOKUP(VLOOKUP(A428,'Relatório GERAL'!$A:$T,$E$1,0),'Dados de consulta'!$A$2:$D$38,4,0)=0,"",VLOOKUP(VLOOKUP(A428,'Relatório GERAL'!$A:$T,$E$1,0),'Dados de consulta'!$A$2:$D$38,4,0)),""))</f>
        <v/>
      </c>
      <c r="O428" s="27">
        <v>55123</v>
      </c>
    </row>
    <row r="429" spans="1:15" ht="15" x14ac:dyDescent="0.2">
      <c r="A429" s="116">
        <f>'Relatório GERAL'!A429</f>
        <v>42552</v>
      </c>
      <c r="B429" s="116">
        <f t="shared" si="17"/>
        <v>42552</v>
      </c>
      <c r="C429" s="117" t="str">
        <f>'Relatório GERAL'!B429</f>
        <v>sex</v>
      </c>
      <c r="D429" s="18" t="str">
        <f>IF(OR(C429="SÁB",C429="DOM"),"",IFERROR(IF(VLOOKUP(VLOOKUP(A429,'Relatório GERAL'!$A:$T,$E$1,0),'Dados de consulta'!$A$2:$D$38,4,0)=0,"",VLOOKUP(VLOOKUP(A429,'Relatório GERAL'!$A:$T,$E$1,0),'Dados de consulta'!$A$2:$D$38,4,0)),""))</f>
        <v/>
      </c>
    </row>
    <row r="430" spans="1:15" ht="15" x14ac:dyDescent="0.2">
      <c r="A430" s="116">
        <f>'Relatório GERAL'!A430</f>
        <v>42553</v>
      </c>
      <c r="B430" s="116">
        <f t="shared" si="17"/>
        <v>42552</v>
      </c>
      <c r="C430" s="117" t="str">
        <f>'Relatório GERAL'!B430</f>
        <v>sáb</v>
      </c>
      <c r="D430" s="18" t="str">
        <f>IF(OR(C430="SÁB",C430="DOM"),"",IFERROR(IF(VLOOKUP(VLOOKUP(A430,'Relatório GERAL'!$A:$T,$E$1,0),'Dados de consulta'!$A$2:$D$38,4,0)=0,"",VLOOKUP(VLOOKUP(A430,'Relatório GERAL'!$A:$T,$E$1,0),'Dados de consulta'!$A$2:$D$38,4,0)),""))</f>
        <v/>
      </c>
    </row>
    <row r="431" spans="1:15" ht="15" x14ac:dyDescent="0.2">
      <c r="A431" s="116">
        <f>'Relatório GERAL'!A431</f>
        <v>42554</v>
      </c>
      <c r="B431" s="116">
        <f t="shared" si="17"/>
        <v>42552</v>
      </c>
      <c r="C431" s="117" t="str">
        <f>'Relatório GERAL'!B431</f>
        <v>dom</v>
      </c>
      <c r="D431" s="18" t="str">
        <f>IF(OR(C431="SÁB",C431="DOM"),"",IFERROR(IF(VLOOKUP(VLOOKUP(A431,'Relatório GERAL'!$A:$T,$E$1,0),'Dados de consulta'!$A$2:$D$38,4,0)=0,"",VLOOKUP(VLOOKUP(A431,'Relatório GERAL'!$A:$T,$E$1,0),'Dados de consulta'!$A$2:$D$38,4,0)),""))</f>
        <v/>
      </c>
    </row>
    <row r="432" spans="1:15" ht="15" x14ac:dyDescent="0.2">
      <c r="A432" s="116">
        <f>'Relatório GERAL'!A432</f>
        <v>42555</v>
      </c>
      <c r="B432" s="116">
        <f t="shared" si="17"/>
        <v>42552</v>
      </c>
      <c r="C432" s="117" t="str">
        <f>'Relatório GERAL'!B432</f>
        <v>seg</v>
      </c>
      <c r="D432" s="18" t="str">
        <f>IF(OR(C432="SÁB",C432="DOM"),"",IFERROR(IF(VLOOKUP(VLOOKUP(A432,'Relatório GERAL'!$A:$T,$E$1,0),'Dados de consulta'!$A$2:$D$38,4,0)=0,"",VLOOKUP(VLOOKUP(A432,'Relatório GERAL'!$A:$T,$E$1,0),'Dados de consulta'!$A$2:$D$38,4,0)),""))</f>
        <v/>
      </c>
    </row>
    <row r="433" spans="1:4" ht="15" x14ac:dyDescent="0.2">
      <c r="A433" s="116">
        <f>'Relatório GERAL'!A433</f>
        <v>42556</v>
      </c>
      <c r="B433" s="116">
        <f t="shared" si="17"/>
        <v>42552</v>
      </c>
      <c r="C433" s="117" t="str">
        <f>'Relatório GERAL'!B433</f>
        <v>ter</v>
      </c>
      <c r="D433" s="18" t="str">
        <f>IF(OR(C433="SÁB",C433="DOM"),"",IFERROR(IF(VLOOKUP(VLOOKUP(A433,'Relatório GERAL'!$A:$T,$E$1,0),'Dados de consulta'!$A$2:$D$38,4,0)=0,"",VLOOKUP(VLOOKUP(A433,'Relatório GERAL'!$A:$T,$E$1,0),'Dados de consulta'!$A$2:$D$38,4,0)),""))</f>
        <v/>
      </c>
    </row>
    <row r="434" spans="1:4" ht="15" x14ac:dyDescent="0.2">
      <c r="A434" s="116">
        <f>'Relatório GERAL'!A434</f>
        <v>42557</v>
      </c>
      <c r="B434" s="116">
        <f t="shared" si="17"/>
        <v>42552</v>
      </c>
      <c r="C434" s="117" t="str">
        <f>'Relatório GERAL'!B434</f>
        <v>qua</v>
      </c>
      <c r="D434" s="18" t="str">
        <f>IF(OR(C434="SÁB",C434="DOM"),"",IFERROR(IF(VLOOKUP(VLOOKUP(A434,'Relatório GERAL'!$A:$T,$E$1,0),'Dados de consulta'!$A$2:$D$38,4,0)=0,"",VLOOKUP(VLOOKUP(A434,'Relatório GERAL'!$A:$T,$E$1,0),'Dados de consulta'!$A$2:$D$38,4,0)),""))</f>
        <v/>
      </c>
    </row>
    <row r="435" spans="1:4" ht="15" x14ac:dyDescent="0.2">
      <c r="A435" s="116">
        <f>'Relatório GERAL'!A435</f>
        <v>42558</v>
      </c>
      <c r="B435" s="116">
        <f t="shared" si="17"/>
        <v>42552</v>
      </c>
      <c r="C435" s="117" t="str">
        <f>'Relatório GERAL'!B435</f>
        <v>qui</v>
      </c>
      <c r="D435" s="18" t="str">
        <f>IF(OR(C435="SÁB",C435="DOM"),"",IFERROR(IF(VLOOKUP(VLOOKUP(A435,'Relatório GERAL'!$A:$T,$E$1,0),'Dados de consulta'!$A$2:$D$38,4,0)=0,"",VLOOKUP(VLOOKUP(A435,'Relatório GERAL'!$A:$T,$E$1,0),'Dados de consulta'!$A$2:$D$38,4,0)),""))</f>
        <v/>
      </c>
    </row>
    <row r="436" spans="1:4" ht="15" x14ac:dyDescent="0.2">
      <c r="A436" s="116">
        <f>'Relatório GERAL'!A436</f>
        <v>42559</v>
      </c>
      <c r="B436" s="116">
        <f t="shared" si="17"/>
        <v>42552</v>
      </c>
      <c r="C436" s="117" t="str">
        <f>'Relatório GERAL'!B436</f>
        <v>sex</v>
      </c>
      <c r="D436" s="18" t="str">
        <f>IF(OR(C436="SÁB",C436="DOM"),"",IFERROR(IF(VLOOKUP(VLOOKUP(A436,'Relatório GERAL'!$A:$T,$E$1,0),'Dados de consulta'!$A$2:$D$38,4,0)=0,"",VLOOKUP(VLOOKUP(A436,'Relatório GERAL'!$A:$T,$E$1,0),'Dados de consulta'!$A$2:$D$38,4,0)),""))</f>
        <v/>
      </c>
    </row>
    <row r="437" spans="1:4" ht="15" x14ac:dyDescent="0.2">
      <c r="A437" s="116">
        <f>'Relatório GERAL'!A437</f>
        <v>42560</v>
      </c>
      <c r="B437" s="116">
        <f t="shared" si="17"/>
        <v>42552</v>
      </c>
      <c r="C437" s="117" t="str">
        <f>'Relatório GERAL'!B437</f>
        <v>sáb</v>
      </c>
      <c r="D437" s="18" t="str">
        <f>IF(OR(C437="SÁB",C437="DOM"),"",IFERROR(IF(VLOOKUP(VLOOKUP(A437,'Relatório GERAL'!$A:$T,$E$1,0),'Dados de consulta'!$A$2:$D$38,4,0)=0,"",VLOOKUP(VLOOKUP(A437,'Relatório GERAL'!$A:$T,$E$1,0),'Dados de consulta'!$A$2:$D$38,4,0)),""))</f>
        <v/>
      </c>
    </row>
    <row r="438" spans="1:4" ht="15" x14ac:dyDescent="0.2">
      <c r="A438" s="116">
        <f>'Relatório GERAL'!A438</f>
        <v>42561</v>
      </c>
      <c r="B438" s="116">
        <f t="shared" si="17"/>
        <v>42552</v>
      </c>
      <c r="C438" s="117" t="str">
        <f>'Relatório GERAL'!B438</f>
        <v>dom</v>
      </c>
      <c r="D438" s="18" t="str">
        <f>IF(OR(C438="SÁB",C438="DOM"),"",IFERROR(IF(VLOOKUP(VLOOKUP(A438,'Relatório GERAL'!$A:$T,$E$1,0),'Dados de consulta'!$A$2:$D$38,4,0)=0,"",VLOOKUP(VLOOKUP(A438,'Relatório GERAL'!$A:$T,$E$1,0),'Dados de consulta'!$A$2:$D$38,4,0)),""))</f>
        <v/>
      </c>
    </row>
    <row r="439" spans="1:4" ht="15" x14ac:dyDescent="0.2">
      <c r="A439" s="116">
        <f>'Relatório GERAL'!A439</f>
        <v>42562</v>
      </c>
      <c r="B439" s="116">
        <f t="shared" si="17"/>
        <v>42552</v>
      </c>
      <c r="C439" s="117" t="str">
        <f>'Relatório GERAL'!B439</f>
        <v>seg</v>
      </c>
      <c r="D439" s="18">
        <f>IF(OR(C439="SÁB",C439="DOM"),"",IFERROR(IF(VLOOKUP(VLOOKUP(A439,'Relatório GERAL'!$A:$T,$E$1,0),'Dados de consulta'!$A$2:$D$38,4,0)=0,"",VLOOKUP(VLOOKUP(A439,'Relatório GERAL'!$A:$T,$E$1,0),'Dados de consulta'!$A$2:$D$38,4,0)),""))</f>
        <v>2</v>
      </c>
    </row>
    <row r="440" spans="1:4" ht="15" x14ac:dyDescent="0.2">
      <c r="A440" s="116">
        <f>'Relatório GERAL'!A440</f>
        <v>42563</v>
      </c>
      <c r="B440" s="116">
        <f t="shared" si="17"/>
        <v>42552</v>
      </c>
      <c r="C440" s="117" t="str">
        <f>'Relatório GERAL'!B440</f>
        <v>ter</v>
      </c>
      <c r="D440" s="18">
        <f>IF(OR(C440="SÁB",C440="DOM"),"",IFERROR(IF(VLOOKUP(VLOOKUP(A440,'Relatório GERAL'!$A:$T,$E$1,0),'Dados de consulta'!$A$2:$D$38,4,0)=0,"",VLOOKUP(VLOOKUP(A440,'Relatório GERAL'!$A:$T,$E$1,0),'Dados de consulta'!$A$2:$D$38,4,0)),""))</f>
        <v>2</v>
      </c>
    </row>
    <row r="441" spans="1:4" ht="15" x14ac:dyDescent="0.2">
      <c r="A441" s="116">
        <f>'Relatório GERAL'!A441</f>
        <v>42564</v>
      </c>
      <c r="B441" s="116">
        <f t="shared" si="17"/>
        <v>42552</v>
      </c>
      <c r="C441" s="117" t="str">
        <f>'Relatório GERAL'!B441</f>
        <v>qua</v>
      </c>
      <c r="D441" s="18">
        <f>IF(OR(C441="SÁB",C441="DOM"),"",IFERROR(IF(VLOOKUP(VLOOKUP(A441,'Relatório GERAL'!$A:$T,$E$1,0),'Dados de consulta'!$A$2:$D$38,4,0)=0,"",VLOOKUP(VLOOKUP(A441,'Relatório GERAL'!$A:$T,$E$1,0),'Dados de consulta'!$A$2:$D$38,4,0)),""))</f>
        <v>2</v>
      </c>
    </row>
    <row r="442" spans="1:4" ht="15" x14ac:dyDescent="0.2">
      <c r="A442" s="116">
        <f>'Relatório GERAL'!A442</f>
        <v>42565</v>
      </c>
      <c r="B442" s="116">
        <f t="shared" si="17"/>
        <v>42552</v>
      </c>
      <c r="C442" s="117" t="str">
        <f>'Relatório GERAL'!B442</f>
        <v>qui</v>
      </c>
      <c r="D442" s="18">
        <f>IF(OR(C442="SÁB",C442="DOM"),"",IFERROR(IF(VLOOKUP(VLOOKUP(A442,'Relatório GERAL'!$A:$T,$E$1,0),'Dados de consulta'!$A$2:$D$38,4,0)=0,"",VLOOKUP(VLOOKUP(A442,'Relatório GERAL'!$A:$T,$E$1,0),'Dados de consulta'!$A$2:$D$38,4,0)),""))</f>
        <v>2</v>
      </c>
    </row>
    <row r="443" spans="1:4" ht="15" x14ac:dyDescent="0.2">
      <c r="A443" s="116">
        <f>'Relatório GERAL'!A443</f>
        <v>42566</v>
      </c>
      <c r="B443" s="116">
        <f t="shared" si="17"/>
        <v>42552</v>
      </c>
      <c r="C443" s="117" t="str">
        <f>'Relatório GERAL'!B443</f>
        <v>sex</v>
      </c>
      <c r="D443" s="18">
        <f>IF(OR(C443="SÁB",C443="DOM"),"",IFERROR(IF(VLOOKUP(VLOOKUP(A443,'Relatório GERAL'!$A:$T,$E$1,0),'Dados de consulta'!$A$2:$D$38,4,0)=0,"",VLOOKUP(VLOOKUP(A443,'Relatório GERAL'!$A:$T,$E$1,0),'Dados de consulta'!$A$2:$D$38,4,0)),""))</f>
        <v>2</v>
      </c>
    </row>
    <row r="444" spans="1:4" ht="15" x14ac:dyDescent="0.2">
      <c r="A444" s="116">
        <f>'Relatório GERAL'!A444</f>
        <v>42567</v>
      </c>
      <c r="B444" s="116">
        <f t="shared" si="17"/>
        <v>42552</v>
      </c>
      <c r="C444" s="117" t="str">
        <f>'Relatório GERAL'!B444</f>
        <v>sáb</v>
      </c>
      <c r="D444" s="18" t="str">
        <f>IF(OR(C444="SÁB",C444="DOM"),"",IFERROR(IF(VLOOKUP(VLOOKUP(A444,'Relatório GERAL'!$A:$T,$E$1,0),'Dados de consulta'!$A$2:$D$38,4,0)=0,"",VLOOKUP(VLOOKUP(A444,'Relatório GERAL'!$A:$T,$E$1,0),'Dados de consulta'!$A$2:$D$38,4,0)),""))</f>
        <v/>
      </c>
    </row>
    <row r="445" spans="1:4" ht="15" x14ac:dyDescent="0.2">
      <c r="A445" s="116">
        <f>'Relatório GERAL'!A445</f>
        <v>42568</v>
      </c>
      <c r="B445" s="116">
        <f t="shared" si="17"/>
        <v>42552</v>
      </c>
      <c r="C445" s="117" t="str">
        <f>'Relatório GERAL'!B445</f>
        <v>dom</v>
      </c>
      <c r="D445" s="18" t="str">
        <f>IF(OR(C445="SÁB",C445="DOM"),"",IFERROR(IF(VLOOKUP(VLOOKUP(A445,'Relatório GERAL'!$A:$T,$E$1,0),'Dados de consulta'!$A$2:$D$38,4,0)=0,"",VLOOKUP(VLOOKUP(A445,'Relatório GERAL'!$A:$T,$E$1,0),'Dados de consulta'!$A$2:$D$38,4,0)),""))</f>
        <v/>
      </c>
    </row>
    <row r="446" spans="1:4" ht="15" x14ac:dyDescent="0.2">
      <c r="A446" s="116">
        <f>'Relatório GERAL'!A446</f>
        <v>42569</v>
      </c>
      <c r="B446" s="116">
        <f t="shared" si="17"/>
        <v>42552</v>
      </c>
      <c r="C446" s="117" t="str">
        <f>'Relatório GERAL'!B446</f>
        <v>seg</v>
      </c>
      <c r="D446" s="18">
        <f>IF(OR(C446="SÁB",C446="DOM"),"",IFERROR(IF(VLOOKUP(VLOOKUP(A446,'Relatório GERAL'!$A:$T,$E$1,0),'Dados de consulta'!$A$2:$D$38,4,0)=0,"",VLOOKUP(VLOOKUP(A446,'Relatório GERAL'!$A:$T,$E$1,0),'Dados de consulta'!$A$2:$D$38,4,0)),""))</f>
        <v>2</v>
      </c>
    </row>
    <row r="447" spans="1:4" ht="15" x14ac:dyDescent="0.2">
      <c r="A447" s="116">
        <f>'Relatório GERAL'!A447</f>
        <v>42570</v>
      </c>
      <c r="B447" s="116">
        <f t="shared" si="17"/>
        <v>42552</v>
      </c>
      <c r="C447" s="117" t="str">
        <f>'Relatório GERAL'!B447</f>
        <v>ter</v>
      </c>
      <c r="D447" s="18">
        <f>IF(OR(C447="SÁB",C447="DOM"),"",IFERROR(IF(VLOOKUP(VLOOKUP(A447,'Relatório GERAL'!$A:$T,$E$1,0),'Dados de consulta'!$A$2:$D$38,4,0)=0,"",VLOOKUP(VLOOKUP(A447,'Relatório GERAL'!$A:$T,$E$1,0),'Dados de consulta'!$A$2:$D$38,4,0)),""))</f>
        <v>2</v>
      </c>
    </row>
    <row r="448" spans="1:4" ht="15" x14ac:dyDescent="0.2">
      <c r="A448" s="116">
        <f>'Relatório GERAL'!A448</f>
        <v>42571</v>
      </c>
      <c r="B448" s="116">
        <f t="shared" si="17"/>
        <v>42552</v>
      </c>
      <c r="C448" s="117" t="str">
        <f>'Relatório GERAL'!B448</f>
        <v>qua</v>
      </c>
      <c r="D448" s="18">
        <f>IF(OR(C448="SÁB",C448="DOM"),"",IFERROR(IF(VLOOKUP(VLOOKUP(A448,'Relatório GERAL'!$A:$T,$E$1,0),'Dados de consulta'!$A$2:$D$38,4,0)=0,"",VLOOKUP(VLOOKUP(A448,'Relatório GERAL'!$A:$T,$E$1,0),'Dados de consulta'!$A$2:$D$38,4,0)),""))</f>
        <v>2</v>
      </c>
    </row>
    <row r="449" spans="1:4" ht="15" x14ac:dyDescent="0.2">
      <c r="A449" s="116">
        <f>'Relatório GERAL'!A449</f>
        <v>42572</v>
      </c>
      <c r="B449" s="116">
        <f t="shared" si="17"/>
        <v>42552</v>
      </c>
      <c r="C449" s="117" t="str">
        <f>'Relatório GERAL'!B449</f>
        <v>qui</v>
      </c>
      <c r="D449" s="18" t="str">
        <f>IF(OR(C449="SÁB",C449="DOM"),"",IFERROR(IF(VLOOKUP(VLOOKUP(A449,'Relatório GERAL'!$A:$T,$E$1,0),'Dados de consulta'!$A$2:$D$38,4,0)=0,"",VLOOKUP(VLOOKUP(A449,'Relatório GERAL'!$A:$T,$E$1,0),'Dados de consulta'!$A$2:$D$38,4,0)),""))</f>
        <v/>
      </c>
    </row>
    <row r="450" spans="1:4" ht="15" x14ac:dyDescent="0.2">
      <c r="A450" s="116">
        <f>'Relatório GERAL'!A450</f>
        <v>42573</v>
      </c>
      <c r="B450" s="116">
        <f t="shared" si="17"/>
        <v>42552</v>
      </c>
      <c r="C450" s="117" t="str">
        <f>'Relatório GERAL'!B450</f>
        <v>sex</v>
      </c>
      <c r="D450" s="18" t="str">
        <f>IF(OR(C450="SÁB",C450="DOM"),"",IFERROR(IF(VLOOKUP(VLOOKUP(A450,'Relatório GERAL'!$A:$T,$E$1,0),'Dados de consulta'!$A$2:$D$38,4,0)=0,"",VLOOKUP(VLOOKUP(A450,'Relatório GERAL'!$A:$T,$E$1,0),'Dados de consulta'!$A$2:$D$38,4,0)),""))</f>
        <v/>
      </c>
    </row>
    <row r="451" spans="1:4" ht="15" x14ac:dyDescent="0.2">
      <c r="A451" s="116">
        <f>'Relatório GERAL'!A451</f>
        <v>42574</v>
      </c>
      <c r="B451" s="116">
        <f t="shared" si="17"/>
        <v>42552</v>
      </c>
      <c r="C451" s="117" t="str">
        <f>'Relatório GERAL'!B451</f>
        <v>sáb</v>
      </c>
      <c r="D451" s="18" t="str">
        <f>IF(OR(C451="SÁB",C451="DOM"),"",IFERROR(IF(VLOOKUP(VLOOKUP(A451,'Relatório GERAL'!$A:$T,$E$1,0),'Dados de consulta'!$A$2:$D$38,4,0)=0,"",VLOOKUP(VLOOKUP(A451,'Relatório GERAL'!$A:$T,$E$1,0),'Dados de consulta'!$A$2:$D$38,4,0)),""))</f>
        <v/>
      </c>
    </row>
    <row r="452" spans="1:4" ht="15" x14ac:dyDescent="0.2">
      <c r="A452" s="116">
        <f>'Relatório GERAL'!A452</f>
        <v>42575</v>
      </c>
      <c r="B452" s="116">
        <f t="shared" si="17"/>
        <v>42552</v>
      </c>
      <c r="C452" s="117" t="str">
        <f>'Relatório GERAL'!B452</f>
        <v>dom</v>
      </c>
      <c r="D452" s="18" t="str">
        <f>IF(OR(C452="SÁB",C452="DOM"),"",IFERROR(IF(VLOOKUP(VLOOKUP(A452,'Relatório GERAL'!$A:$T,$E$1,0),'Dados de consulta'!$A$2:$D$38,4,0)=0,"",VLOOKUP(VLOOKUP(A452,'Relatório GERAL'!$A:$T,$E$1,0),'Dados de consulta'!$A$2:$D$38,4,0)),""))</f>
        <v/>
      </c>
    </row>
    <row r="453" spans="1:4" ht="15" x14ac:dyDescent="0.2">
      <c r="A453" s="116">
        <f>'Relatório GERAL'!A453</f>
        <v>42576</v>
      </c>
      <c r="B453" s="116">
        <f t="shared" si="17"/>
        <v>42552</v>
      </c>
      <c r="C453" s="117" t="str">
        <f>'Relatório GERAL'!B453</f>
        <v>seg</v>
      </c>
      <c r="D453" s="18" t="str">
        <f>IF(OR(C453="SÁB",C453="DOM"),"",IFERROR(IF(VLOOKUP(VLOOKUP(A453,'Relatório GERAL'!$A:$T,$E$1,0),'Dados de consulta'!$A$2:$D$38,4,0)=0,"",VLOOKUP(VLOOKUP(A453,'Relatório GERAL'!$A:$T,$E$1,0),'Dados de consulta'!$A$2:$D$38,4,0)),""))</f>
        <v/>
      </c>
    </row>
    <row r="454" spans="1:4" ht="15" x14ac:dyDescent="0.2">
      <c r="A454" s="116">
        <f>'Relatório GERAL'!A454</f>
        <v>42577</v>
      </c>
      <c r="B454" s="116">
        <f t="shared" si="17"/>
        <v>42552</v>
      </c>
      <c r="C454" s="117" t="str">
        <f>'Relatório GERAL'!B454</f>
        <v>ter</v>
      </c>
      <c r="D454" s="18" t="str">
        <f>IF(OR(C454="SÁB",C454="DOM"),"",IFERROR(IF(VLOOKUP(VLOOKUP(A454,'Relatório GERAL'!$A:$T,$E$1,0),'Dados de consulta'!$A$2:$D$38,4,0)=0,"",VLOOKUP(VLOOKUP(A454,'Relatório GERAL'!$A:$T,$E$1,0),'Dados de consulta'!$A$2:$D$38,4,0)),""))</f>
        <v/>
      </c>
    </row>
    <row r="455" spans="1:4" ht="15" x14ac:dyDescent="0.2">
      <c r="A455" s="116">
        <f>'Relatório GERAL'!A455</f>
        <v>42578</v>
      </c>
      <c r="B455" s="116">
        <f t="shared" si="17"/>
        <v>42552</v>
      </c>
      <c r="C455" s="117" t="str">
        <f>'Relatório GERAL'!B455</f>
        <v>qua</v>
      </c>
      <c r="D455" s="18" t="str">
        <f>IF(OR(C455="SÁB",C455="DOM"),"",IFERROR(IF(VLOOKUP(VLOOKUP(A455,'Relatório GERAL'!$A:$T,$E$1,0),'Dados de consulta'!$A$2:$D$38,4,0)=0,"",VLOOKUP(VLOOKUP(A455,'Relatório GERAL'!$A:$T,$E$1,0),'Dados de consulta'!$A$2:$D$38,4,0)),""))</f>
        <v/>
      </c>
    </row>
    <row r="456" spans="1:4" ht="15" x14ac:dyDescent="0.2">
      <c r="A456" s="116">
        <f>'Relatório GERAL'!A456</f>
        <v>42579</v>
      </c>
      <c r="B456" s="116">
        <f t="shared" si="17"/>
        <v>42552</v>
      </c>
      <c r="C456" s="117" t="str">
        <f>'Relatório GERAL'!B456</f>
        <v>qui</v>
      </c>
      <c r="D456" s="18" t="str">
        <f>IF(OR(C456="SÁB",C456="DOM"),"",IFERROR(IF(VLOOKUP(VLOOKUP(A456,'Relatório GERAL'!$A:$T,$E$1,0),'Dados de consulta'!$A$2:$D$38,4,0)=0,"",VLOOKUP(VLOOKUP(A456,'Relatório GERAL'!$A:$T,$E$1,0),'Dados de consulta'!$A$2:$D$38,4,0)),""))</f>
        <v/>
      </c>
    </row>
    <row r="457" spans="1:4" ht="15" x14ac:dyDescent="0.2">
      <c r="A457" s="116">
        <f>'Relatório GERAL'!A457</f>
        <v>42580</v>
      </c>
      <c r="B457" s="116">
        <f t="shared" si="17"/>
        <v>42552</v>
      </c>
      <c r="C457" s="117" t="str">
        <f>'Relatório GERAL'!B457</f>
        <v>sex</v>
      </c>
      <c r="D457" s="18" t="str">
        <f>IF(OR(C457="SÁB",C457="DOM"),"",IFERROR(IF(VLOOKUP(VLOOKUP(A457,'Relatório GERAL'!$A:$T,$E$1,0),'Dados de consulta'!$A$2:$D$38,4,0)=0,"",VLOOKUP(VLOOKUP(A457,'Relatório GERAL'!$A:$T,$E$1,0),'Dados de consulta'!$A$2:$D$38,4,0)),""))</f>
        <v/>
      </c>
    </row>
    <row r="458" spans="1:4" ht="15" x14ac:dyDescent="0.2">
      <c r="A458" s="116">
        <f>'Relatório GERAL'!A458</f>
        <v>42581</v>
      </c>
      <c r="B458" s="116">
        <f t="shared" si="17"/>
        <v>42552</v>
      </c>
      <c r="C458" s="117" t="str">
        <f>'Relatório GERAL'!B458</f>
        <v>sáb</v>
      </c>
      <c r="D458" s="18" t="str">
        <f>IF(OR(C458="SÁB",C458="DOM"),"",IFERROR(IF(VLOOKUP(VLOOKUP(A458,'Relatório GERAL'!$A:$T,$E$1,0),'Dados de consulta'!$A$2:$D$38,4,0)=0,"",VLOOKUP(VLOOKUP(A458,'Relatório GERAL'!$A:$T,$E$1,0),'Dados de consulta'!$A$2:$D$38,4,0)),""))</f>
        <v/>
      </c>
    </row>
    <row r="459" spans="1:4" ht="15" x14ac:dyDescent="0.2">
      <c r="A459" s="116">
        <f>'Relatório GERAL'!A459</f>
        <v>42582</v>
      </c>
      <c r="B459" s="116">
        <f t="shared" si="17"/>
        <v>42552</v>
      </c>
      <c r="C459" s="117" t="str">
        <f>'Relatório GERAL'!B459</f>
        <v>dom</v>
      </c>
      <c r="D459" s="18" t="str">
        <f>IF(OR(C459="SÁB",C459="DOM"),"",IFERROR(IF(VLOOKUP(VLOOKUP(A459,'Relatório GERAL'!$A:$T,$E$1,0),'Dados de consulta'!$A$2:$D$38,4,0)=0,"",VLOOKUP(VLOOKUP(A459,'Relatório GERAL'!$A:$T,$E$1,0),'Dados de consulta'!$A$2:$D$38,4,0)),""))</f>
        <v/>
      </c>
    </row>
    <row r="460" spans="1:4" ht="15" x14ac:dyDescent="0.2">
      <c r="A460" s="116">
        <f>'Relatório GERAL'!A460</f>
        <v>42583</v>
      </c>
      <c r="B460" s="116">
        <f t="shared" si="17"/>
        <v>42583</v>
      </c>
      <c r="C460" s="117" t="str">
        <f>'Relatório GERAL'!B460</f>
        <v>seg</v>
      </c>
      <c r="D460" s="18" t="str">
        <f>IF(OR(C460="SÁB",C460="DOM"),"",IFERROR(IF(VLOOKUP(VLOOKUP(A460,'Relatório GERAL'!$A:$T,$E$1,0),'Dados de consulta'!$A$2:$D$38,4,0)=0,"",VLOOKUP(VLOOKUP(A460,'Relatório GERAL'!$A:$T,$E$1,0),'Dados de consulta'!$A$2:$D$38,4,0)),""))</f>
        <v/>
      </c>
    </row>
    <row r="461" spans="1:4" ht="15" x14ac:dyDescent="0.2">
      <c r="A461" s="116">
        <f>'Relatório GERAL'!A461</f>
        <v>42584</v>
      </c>
      <c r="B461" s="116">
        <f t="shared" si="17"/>
        <v>42583</v>
      </c>
      <c r="C461" s="117" t="str">
        <f>'Relatório GERAL'!B461</f>
        <v>ter</v>
      </c>
      <c r="D461" s="18" t="str">
        <f>IF(OR(C461="SÁB",C461="DOM"),"",IFERROR(IF(VLOOKUP(VLOOKUP(A461,'Relatório GERAL'!$A:$T,$E$1,0),'Dados de consulta'!$A$2:$D$38,4,0)=0,"",VLOOKUP(VLOOKUP(A461,'Relatório GERAL'!$A:$T,$E$1,0),'Dados de consulta'!$A$2:$D$38,4,0)),""))</f>
        <v/>
      </c>
    </row>
    <row r="462" spans="1:4" ht="15" x14ac:dyDescent="0.2">
      <c r="A462" s="116">
        <f>'Relatório GERAL'!A462</f>
        <v>42585</v>
      </c>
      <c r="B462" s="116">
        <f t="shared" si="17"/>
        <v>42583</v>
      </c>
      <c r="C462" s="117" t="str">
        <f>'Relatório GERAL'!B462</f>
        <v>qua</v>
      </c>
      <c r="D462" s="18" t="str">
        <f>IF(OR(C462="SÁB",C462="DOM"),"",IFERROR(IF(VLOOKUP(VLOOKUP(A462,'Relatório GERAL'!$A:$T,$E$1,0),'Dados de consulta'!$A$2:$D$38,4,0)=0,"",VLOOKUP(VLOOKUP(A462,'Relatório GERAL'!$A:$T,$E$1,0),'Dados de consulta'!$A$2:$D$38,4,0)),""))</f>
        <v/>
      </c>
    </row>
    <row r="463" spans="1:4" ht="15" x14ac:dyDescent="0.2">
      <c r="A463" s="116">
        <f>'Relatório GERAL'!A463</f>
        <v>42586</v>
      </c>
      <c r="B463" s="116">
        <f t="shared" si="17"/>
        <v>42583</v>
      </c>
      <c r="C463" s="117" t="str">
        <f>'Relatório GERAL'!B463</f>
        <v>qui</v>
      </c>
      <c r="D463" s="18" t="str">
        <f>IF(OR(C463="SÁB",C463="DOM"),"",IFERROR(IF(VLOOKUP(VLOOKUP(A463,'Relatório GERAL'!$A:$T,$E$1,0),'Dados de consulta'!$A$2:$D$38,4,0)=0,"",VLOOKUP(VLOOKUP(A463,'Relatório GERAL'!$A:$T,$E$1,0),'Dados de consulta'!$A$2:$D$38,4,0)),""))</f>
        <v/>
      </c>
    </row>
    <row r="464" spans="1:4" ht="15" x14ac:dyDescent="0.2">
      <c r="A464" s="116">
        <f>'Relatório GERAL'!A464</f>
        <v>42587</v>
      </c>
      <c r="B464" s="116">
        <f t="shared" si="17"/>
        <v>42583</v>
      </c>
      <c r="C464" s="117" t="str">
        <f>'Relatório GERAL'!B464</f>
        <v>sex</v>
      </c>
      <c r="D464" s="18" t="str">
        <f>IF(OR(C464="SÁB",C464="DOM"),"",IFERROR(IF(VLOOKUP(VLOOKUP(A464,'Relatório GERAL'!$A:$T,$E$1,0),'Dados de consulta'!$A$2:$D$38,4,0)=0,"",VLOOKUP(VLOOKUP(A464,'Relatório GERAL'!$A:$T,$E$1,0),'Dados de consulta'!$A$2:$D$38,4,0)),""))</f>
        <v/>
      </c>
    </row>
    <row r="465" spans="1:4" ht="15" x14ac:dyDescent="0.2">
      <c r="A465" s="116">
        <f>'Relatório GERAL'!A465</f>
        <v>42588</v>
      </c>
      <c r="B465" s="116">
        <f t="shared" si="17"/>
        <v>42583</v>
      </c>
      <c r="C465" s="117" t="str">
        <f>'Relatório GERAL'!B465</f>
        <v>sáb</v>
      </c>
      <c r="D465" s="18" t="str">
        <f>IF(OR(C465="SÁB",C465="DOM"),"",IFERROR(IF(VLOOKUP(VLOOKUP(A465,'Relatório GERAL'!$A:$T,$E$1,0),'Dados de consulta'!$A$2:$D$38,4,0)=0,"",VLOOKUP(VLOOKUP(A465,'Relatório GERAL'!$A:$T,$E$1,0),'Dados de consulta'!$A$2:$D$38,4,0)),""))</f>
        <v/>
      </c>
    </row>
    <row r="466" spans="1:4" ht="15" x14ac:dyDescent="0.2">
      <c r="A466" s="116">
        <f>'Relatório GERAL'!A466</f>
        <v>42589</v>
      </c>
      <c r="B466" s="116">
        <f t="shared" si="17"/>
        <v>42583</v>
      </c>
      <c r="C466" s="117" t="str">
        <f>'Relatório GERAL'!B466</f>
        <v>dom</v>
      </c>
      <c r="D466" s="18" t="str">
        <f>IF(OR(C466="SÁB",C466="DOM"),"",IFERROR(IF(VLOOKUP(VLOOKUP(A466,'Relatório GERAL'!$A:$T,$E$1,0),'Dados de consulta'!$A$2:$D$38,4,0)=0,"",VLOOKUP(VLOOKUP(A466,'Relatório GERAL'!$A:$T,$E$1,0),'Dados de consulta'!$A$2:$D$38,4,0)),""))</f>
        <v/>
      </c>
    </row>
    <row r="467" spans="1:4" ht="15" x14ac:dyDescent="0.2">
      <c r="A467" s="116">
        <f>'Relatório GERAL'!A467</f>
        <v>42590</v>
      </c>
      <c r="B467" s="116">
        <f t="shared" si="17"/>
        <v>42583</v>
      </c>
      <c r="C467" s="117" t="str">
        <f>'Relatório GERAL'!B467</f>
        <v>seg</v>
      </c>
      <c r="D467" s="18" t="str">
        <f>IF(OR(C467="SÁB",C467="DOM"),"",IFERROR(IF(VLOOKUP(VLOOKUP(A467,'Relatório GERAL'!$A:$T,$E$1,0),'Dados de consulta'!$A$2:$D$38,4,0)=0,"",VLOOKUP(VLOOKUP(A467,'Relatório GERAL'!$A:$T,$E$1,0),'Dados de consulta'!$A$2:$D$38,4,0)),""))</f>
        <v/>
      </c>
    </row>
    <row r="468" spans="1:4" ht="15" x14ac:dyDescent="0.2">
      <c r="A468" s="116">
        <f>'Relatório GERAL'!A468</f>
        <v>42591</v>
      </c>
      <c r="B468" s="116">
        <f t="shared" si="17"/>
        <v>42583</v>
      </c>
      <c r="C468" s="117" t="str">
        <f>'Relatório GERAL'!B468</f>
        <v>ter</v>
      </c>
      <c r="D468" s="18" t="str">
        <f>IF(OR(C468="SÁB",C468="DOM"),"",IFERROR(IF(VLOOKUP(VLOOKUP(A468,'Relatório GERAL'!$A:$T,$E$1,0),'Dados de consulta'!$A$2:$D$38,4,0)=0,"",VLOOKUP(VLOOKUP(A468,'Relatório GERAL'!$A:$T,$E$1,0),'Dados de consulta'!$A$2:$D$38,4,0)),""))</f>
        <v/>
      </c>
    </row>
    <row r="469" spans="1:4" ht="15" x14ac:dyDescent="0.2">
      <c r="A469" s="116">
        <f>'Relatório GERAL'!A469</f>
        <v>42592</v>
      </c>
      <c r="B469" s="116">
        <f t="shared" si="17"/>
        <v>42583</v>
      </c>
      <c r="C469" s="117" t="str">
        <f>'Relatório GERAL'!B469</f>
        <v>qua</v>
      </c>
      <c r="D469" s="18" t="str">
        <f>IF(OR(C469="SÁB",C469="DOM"),"",IFERROR(IF(VLOOKUP(VLOOKUP(A469,'Relatório GERAL'!$A:$T,$E$1,0),'Dados de consulta'!$A$2:$D$38,4,0)=0,"",VLOOKUP(VLOOKUP(A469,'Relatório GERAL'!$A:$T,$E$1,0),'Dados de consulta'!$A$2:$D$38,4,0)),""))</f>
        <v/>
      </c>
    </row>
    <row r="470" spans="1:4" ht="15" x14ac:dyDescent="0.2">
      <c r="A470" s="116">
        <f>'Relatório GERAL'!A470</f>
        <v>42593</v>
      </c>
      <c r="B470" s="116">
        <f t="shared" si="17"/>
        <v>42583</v>
      </c>
      <c r="C470" s="117" t="str">
        <f>'Relatório GERAL'!B470</f>
        <v>qui</v>
      </c>
      <c r="D470" s="18" t="str">
        <f>IF(OR(C470="SÁB",C470="DOM"),"",IFERROR(IF(VLOOKUP(VLOOKUP(A470,'Relatório GERAL'!$A:$T,$E$1,0),'Dados de consulta'!$A$2:$D$38,4,0)=0,"",VLOOKUP(VLOOKUP(A470,'Relatório GERAL'!$A:$T,$E$1,0),'Dados de consulta'!$A$2:$D$38,4,0)),""))</f>
        <v/>
      </c>
    </row>
    <row r="471" spans="1:4" ht="15" x14ac:dyDescent="0.2">
      <c r="A471" s="116">
        <f>'Relatório GERAL'!A471</f>
        <v>42594</v>
      </c>
      <c r="B471" s="116">
        <f t="shared" si="17"/>
        <v>42583</v>
      </c>
      <c r="C471" s="117" t="str">
        <f>'Relatório GERAL'!B471</f>
        <v>sex</v>
      </c>
      <c r="D471" s="18" t="str">
        <f>IF(OR(C471="SÁB",C471="DOM"),"",IFERROR(IF(VLOOKUP(VLOOKUP(A471,'Relatório GERAL'!$A:$T,$E$1,0),'Dados de consulta'!$A$2:$D$38,4,0)=0,"",VLOOKUP(VLOOKUP(A471,'Relatório GERAL'!$A:$T,$E$1,0),'Dados de consulta'!$A$2:$D$38,4,0)),""))</f>
        <v/>
      </c>
    </row>
    <row r="472" spans="1:4" ht="15" x14ac:dyDescent="0.2">
      <c r="A472" s="116">
        <f>'Relatório GERAL'!A472</f>
        <v>42595</v>
      </c>
      <c r="B472" s="116">
        <f t="shared" si="17"/>
        <v>42583</v>
      </c>
      <c r="C472" s="117" t="str">
        <f>'Relatório GERAL'!B472</f>
        <v>sáb</v>
      </c>
      <c r="D472" s="18" t="str">
        <f>IF(OR(C472="SÁB",C472="DOM"),"",IFERROR(IF(VLOOKUP(VLOOKUP(A472,'Relatório GERAL'!$A:$T,$E$1,0),'Dados de consulta'!$A$2:$D$38,4,0)=0,"",VLOOKUP(VLOOKUP(A472,'Relatório GERAL'!$A:$T,$E$1,0),'Dados de consulta'!$A$2:$D$38,4,0)),""))</f>
        <v/>
      </c>
    </row>
    <row r="473" spans="1:4" ht="15" x14ac:dyDescent="0.2">
      <c r="A473" s="116">
        <f>'Relatório GERAL'!A473</f>
        <v>42596</v>
      </c>
      <c r="B473" s="116">
        <f t="shared" si="17"/>
        <v>42583</v>
      </c>
      <c r="C473" s="117" t="str">
        <f>'Relatório GERAL'!B473</f>
        <v>dom</v>
      </c>
      <c r="D473" s="18" t="str">
        <f>IF(OR(C473="SÁB",C473="DOM"),"",IFERROR(IF(VLOOKUP(VLOOKUP(A473,'Relatório GERAL'!$A:$T,$E$1,0),'Dados de consulta'!$A$2:$D$38,4,0)=0,"",VLOOKUP(VLOOKUP(A473,'Relatório GERAL'!$A:$T,$E$1,0),'Dados de consulta'!$A$2:$D$38,4,0)),""))</f>
        <v/>
      </c>
    </row>
    <row r="474" spans="1:4" ht="15" x14ac:dyDescent="0.2">
      <c r="A474" s="116">
        <f>'Relatório GERAL'!A474</f>
        <v>42597</v>
      </c>
      <c r="B474" s="116">
        <f t="shared" si="17"/>
        <v>42583</v>
      </c>
      <c r="C474" s="117" t="str">
        <f>'Relatório GERAL'!B474</f>
        <v>seg</v>
      </c>
      <c r="D474" s="18" t="str">
        <f>IF(OR(C474="SÁB",C474="DOM"),"",IFERROR(IF(VLOOKUP(VLOOKUP(A474,'Relatório GERAL'!$A:$T,$E$1,0),'Dados de consulta'!$A$2:$D$38,4,0)=0,"",VLOOKUP(VLOOKUP(A474,'Relatório GERAL'!$A:$T,$E$1,0),'Dados de consulta'!$A$2:$D$38,4,0)),""))</f>
        <v/>
      </c>
    </row>
    <row r="475" spans="1:4" ht="15" x14ac:dyDescent="0.2">
      <c r="A475" s="116">
        <f>'Relatório GERAL'!A475</f>
        <v>42598</v>
      </c>
      <c r="B475" s="116">
        <f t="shared" si="17"/>
        <v>42583</v>
      </c>
      <c r="C475" s="117" t="str">
        <f>'Relatório GERAL'!B475</f>
        <v>ter</v>
      </c>
      <c r="D475" s="18" t="str">
        <f>IF(OR(C475="SÁB",C475="DOM"),"",IFERROR(IF(VLOOKUP(VLOOKUP(A475,'Relatório GERAL'!$A:$T,$E$1,0),'Dados de consulta'!$A$2:$D$38,4,0)=0,"",VLOOKUP(VLOOKUP(A475,'Relatório GERAL'!$A:$T,$E$1,0),'Dados de consulta'!$A$2:$D$38,4,0)),""))</f>
        <v/>
      </c>
    </row>
    <row r="476" spans="1:4" ht="15" x14ac:dyDescent="0.2">
      <c r="A476" s="116">
        <f>'Relatório GERAL'!A476</f>
        <v>42599</v>
      </c>
      <c r="B476" s="116">
        <f t="shared" si="17"/>
        <v>42583</v>
      </c>
      <c r="C476" s="117" t="str">
        <f>'Relatório GERAL'!B476</f>
        <v>qua</v>
      </c>
      <c r="D476" s="18" t="str">
        <f>IF(OR(C476="SÁB",C476="DOM"),"",IFERROR(IF(VLOOKUP(VLOOKUP(A476,'Relatório GERAL'!$A:$T,$E$1,0),'Dados de consulta'!$A$2:$D$38,4,0)=0,"",VLOOKUP(VLOOKUP(A476,'Relatório GERAL'!$A:$T,$E$1,0),'Dados de consulta'!$A$2:$D$38,4,0)),""))</f>
        <v/>
      </c>
    </row>
    <row r="477" spans="1:4" ht="15" x14ac:dyDescent="0.2">
      <c r="A477" s="116">
        <f>'Relatório GERAL'!A477</f>
        <v>42600</v>
      </c>
      <c r="B477" s="116">
        <f t="shared" si="17"/>
        <v>42583</v>
      </c>
      <c r="C477" s="117" t="str">
        <f>'Relatório GERAL'!B477</f>
        <v>qui</v>
      </c>
      <c r="D477" s="18" t="str">
        <f>IF(OR(C477="SÁB",C477="DOM"),"",IFERROR(IF(VLOOKUP(VLOOKUP(A477,'Relatório GERAL'!$A:$T,$E$1,0),'Dados de consulta'!$A$2:$D$38,4,0)=0,"",VLOOKUP(VLOOKUP(A477,'Relatório GERAL'!$A:$T,$E$1,0),'Dados de consulta'!$A$2:$D$38,4,0)),""))</f>
        <v/>
      </c>
    </row>
    <row r="478" spans="1:4" ht="15" x14ac:dyDescent="0.2">
      <c r="A478" s="116">
        <f>'Relatório GERAL'!A478</f>
        <v>42601</v>
      </c>
      <c r="B478" s="116">
        <f t="shared" si="17"/>
        <v>42583</v>
      </c>
      <c r="C478" s="117" t="str">
        <f>'Relatório GERAL'!B478</f>
        <v>sex</v>
      </c>
      <c r="D478" s="18" t="str">
        <f>IF(OR(C478="SÁB",C478="DOM"),"",IFERROR(IF(VLOOKUP(VLOOKUP(A478,'Relatório GERAL'!$A:$T,$E$1,0),'Dados de consulta'!$A$2:$D$38,4,0)=0,"",VLOOKUP(VLOOKUP(A478,'Relatório GERAL'!$A:$T,$E$1,0),'Dados de consulta'!$A$2:$D$38,4,0)),""))</f>
        <v/>
      </c>
    </row>
    <row r="479" spans="1:4" ht="15" x14ac:dyDescent="0.2">
      <c r="A479" s="116">
        <f>'Relatório GERAL'!A479</f>
        <v>42602</v>
      </c>
      <c r="B479" s="116">
        <f t="shared" si="17"/>
        <v>42583</v>
      </c>
      <c r="C479" s="117" t="str">
        <f>'Relatório GERAL'!B479</f>
        <v>sáb</v>
      </c>
      <c r="D479" s="18" t="str">
        <f>IF(OR(C479="SÁB",C479="DOM"),"",IFERROR(IF(VLOOKUP(VLOOKUP(A479,'Relatório GERAL'!$A:$T,$E$1,0),'Dados de consulta'!$A$2:$D$38,4,0)=0,"",VLOOKUP(VLOOKUP(A479,'Relatório GERAL'!$A:$T,$E$1,0),'Dados de consulta'!$A$2:$D$38,4,0)),""))</f>
        <v/>
      </c>
    </row>
    <row r="480" spans="1:4" ht="15" x14ac:dyDescent="0.2">
      <c r="A480" s="116">
        <f>'Relatório GERAL'!A480</f>
        <v>42603</v>
      </c>
      <c r="B480" s="116">
        <f t="shared" si="17"/>
        <v>42583</v>
      </c>
      <c r="C480" s="117" t="str">
        <f>'Relatório GERAL'!B480</f>
        <v>dom</v>
      </c>
      <c r="D480" s="18" t="str">
        <f>IF(OR(C480="SÁB",C480="DOM"),"",IFERROR(IF(VLOOKUP(VLOOKUP(A480,'Relatório GERAL'!$A:$T,$E$1,0),'Dados de consulta'!$A$2:$D$38,4,0)=0,"",VLOOKUP(VLOOKUP(A480,'Relatório GERAL'!$A:$T,$E$1,0),'Dados de consulta'!$A$2:$D$38,4,0)),""))</f>
        <v/>
      </c>
    </row>
    <row r="481" spans="1:4" ht="15" x14ac:dyDescent="0.2">
      <c r="A481" s="116">
        <f>'Relatório GERAL'!A481</f>
        <v>42604</v>
      </c>
      <c r="B481" s="116">
        <f t="shared" si="17"/>
        <v>42583</v>
      </c>
      <c r="C481" s="117" t="str">
        <f>'Relatório GERAL'!B481</f>
        <v>seg</v>
      </c>
      <c r="D481" s="18" t="str">
        <f>IF(OR(C481="SÁB",C481="DOM"),"",IFERROR(IF(VLOOKUP(VLOOKUP(A481,'Relatório GERAL'!$A:$T,$E$1,0),'Dados de consulta'!$A$2:$D$38,4,0)=0,"",VLOOKUP(VLOOKUP(A481,'Relatório GERAL'!$A:$T,$E$1,0),'Dados de consulta'!$A$2:$D$38,4,0)),""))</f>
        <v/>
      </c>
    </row>
    <row r="482" spans="1:4" ht="15" x14ac:dyDescent="0.2">
      <c r="A482" s="116">
        <f>'Relatório GERAL'!A482</f>
        <v>42605</v>
      </c>
      <c r="B482" s="116">
        <f t="shared" si="17"/>
        <v>42583</v>
      </c>
      <c r="C482" s="117" t="str">
        <f>'Relatório GERAL'!B482</f>
        <v>ter</v>
      </c>
      <c r="D482" s="18" t="str">
        <f>IF(OR(C482="SÁB",C482="DOM"),"",IFERROR(IF(VLOOKUP(VLOOKUP(A482,'Relatório GERAL'!$A:$T,$E$1,0),'Dados de consulta'!$A$2:$D$38,4,0)=0,"",VLOOKUP(VLOOKUP(A482,'Relatório GERAL'!$A:$T,$E$1,0),'Dados de consulta'!$A$2:$D$38,4,0)),""))</f>
        <v/>
      </c>
    </row>
    <row r="483" spans="1:4" ht="15" x14ac:dyDescent="0.2">
      <c r="A483" s="116">
        <f>'Relatório GERAL'!A483</f>
        <v>42606</v>
      </c>
      <c r="B483" s="116">
        <f t="shared" si="17"/>
        <v>42583</v>
      </c>
      <c r="C483" s="117" t="str">
        <f>'Relatório GERAL'!B483</f>
        <v>qua</v>
      </c>
      <c r="D483" s="18" t="str">
        <f>IF(OR(C483="SÁB",C483="DOM"),"",IFERROR(IF(VLOOKUP(VLOOKUP(A483,'Relatório GERAL'!$A:$T,$E$1,0),'Dados de consulta'!$A$2:$D$38,4,0)=0,"",VLOOKUP(VLOOKUP(A483,'Relatório GERAL'!$A:$T,$E$1,0),'Dados de consulta'!$A$2:$D$38,4,0)),""))</f>
        <v/>
      </c>
    </row>
    <row r="484" spans="1:4" ht="15" x14ac:dyDescent="0.2">
      <c r="A484" s="116">
        <f>'Relatório GERAL'!A484</f>
        <v>42607</v>
      </c>
      <c r="B484" s="116">
        <f t="shared" si="17"/>
        <v>42583</v>
      </c>
      <c r="C484" s="117" t="str">
        <f>'Relatório GERAL'!B484</f>
        <v>qui</v>
      </c>
      <c r="D484" s="18" t="str">
        <f>IF(OR(C484="SÁB",C484="DOM"),"",IFERROR(IF(VLOOKUP(VLOOKUP(A484,'Relatório GERAL'!$A:$T,$E$1,0),'Dados de consulta'!$A$2:$D$38,4,0)=0,"",VLOOKUP(VLOOKUP(A484,'Relatório GERAL'!$A:$T,$E$1,0),'Dados de consulta'!$A$2:$D$38,4,0)),""))</f>
        <v/>
      </c>
    </row>
    <row r="485" spans="1:4" ht="15" x14ac:dyDescent="0.2">
      <c r="A485" s="116">
        <f>'Relatório GERAL'!A485</f>
        <v>42608</v>
      </c>
      <c r="B485" s="116">
        <f t="shared" si="17"/>
        <v>42583</v>
      </c>
      <c r="C485" s="117" t="str">
        <f>'Relatório GERAL'!B485</f>
        <v>sex</v>
      </c>
      <c r="D485" s="18" t="str">
        <f>IF(OR(C485="SÁB",C485="DOM"),"",IFERROR(IF(VLOOKUP(VLOOKUP(A485,'Relatório GERAL'!$A:$T,$E$1,0),'Dados de consulta'!$A$2:$D$38,4,0)=0,"",VLOOKUP(VLOOKUP(A485,'Relatório GERAL'!$A:$T,$E$1,0),'Dados de consulta'!$A$2:$D$38,4,0)),""))</f>
        <v/>
      </c>
    </row>
    <row r="486" spans="1:4" ht="15" x14ac:dyDescent="0.2">
      <c r="A486" s="116">
        <f>'Relatório GERAL'!A486</f>
        <v>42609</v>
      </c>
      <c r="B486" s="116">
        <f t="shared" si="17"/>
        <v>42583</v>
      </c>
      <c r="C486" s="117" t="str">
        <f>'Relatório GERAL'!B486</f>
        <v>sáb</v>
      </c>
      <c r="D486" s="18" t="str">
        <f>IF(OR(C486="SÁB",C486="DOM"),"",IFERROR(IF(VLOOKUP(VLOOKUP(A486,'Relatório GERAL'!$A:$T,$E$1,0),'Dados de consulta'!$A$2:$D$38,4,0)=0,"",VLOOKUP(VLOOKUP(A486,'Relatório GERAL'!$A:$T,$E$1,0),'Dados de consulta'!$A$2:$D$38,4,0)),""))</f>
        <v/>
      </c>
    </row>
    <row r="487" spans="1:4" ht="15" x14ac:dyDescent="0.2">
      <c r="A487" s="116">
        <f>'Relatório GERAL'!A487</f>
        <v>42610</v>
      </c>
      <c r="B487" s="116">
        <f t="shared" si="17"/>
        <v>42583</v>
      </c>
      <c r="C487" s="117" t="str">
        <f>'Relatório GERAL'!B487</f>
        <v>dom</v>
      </c>
      <c r="D487" s="18" t="str">
        <f>IF(OR(C487="SÁB",C487="DOM"),"",IFERROR(IF(VLOOKUP(VLOOKUP(A487,'Relatório GERAL'!$A:$T,$E$1,0),'Dados de consulta'!$A$2:$D$38,4,0)=0,"",VLOOKUP(VLOOKUP(A487,'Relatório GERAL'!$A:$T,$E$1,0),'Dados de consulta'!$A$2:$D$38,4,0)),""))</f>
        <v/>
      </c>
    </row>
    <row r="488" spans="1:4" ht="15" x14ac:dyDescent="0.2">
      <c r="A488" s="116">
        <f>'Relatório GERAL'!A488</f>
        <v>42611</v>
      </c>
      <c r="B488" s="116">
        <f t="shared" si="17"/>
        <v>42583</v>
      </c>
      <c r="C488" s="117" t="str">
        <f>'Relatório GERAL'!B488</f>
        <v>seg</v>
      </c>
      <c r="D488" s="18" t="str">
        <f>IF(OR(C488="SÁB",C488="DOM"),"",IFERROR(IF(VLOOKUP(VLOOKUP(A488,'Relatório GERAL'!$A:$T,$E$1,0),'Dados de consulta'!$A$2:$D$38,4,0)=0,"",VLOOKUP(VLOOKUP(A488,'Relatório GERAL'!$A:$T,$E$1,0),'Dados de consulta'!$A$2:$D$38,4,0)),""))</f>
        <v/>
      </c>
    </row>
    <row r="489" spans="1:4" ht="15" x14ac:dyDescent="0.2">
      <c r="A489" s="116">
        <f>'Relatório GERAL'!A489</f>
        <v>42612</v>
      </c>
      <c r="B489" s="116">
        <f t="shared" si="17"/>
        <v>42583</v>
      </c>
      <c r="C489" s="117" t="str">
        <f>'Relatório GERAL'!B489</f>
        <v>ter</v>
      </c>
      <c r="D489" s="18" t="str">
        <f>IF(OR(C489="SÁB",C489="DOM"),"",IFERROR(IF(VLOOKUP(VLOOKUP(A489,'Relatório GERAL'!$A:$T,$E$1,0),'Dados de consulta'!$A$2:$D$38,4,0)=0,"",VLOOKUP(VLOOKUP(A489,'Relatório GERAL'!$A:$T,$E$1,0),'Dados de consulta'!$A$2:$D$38,4,0)),""))</f>
        <v/>
      </c>
    </row>
    <row r="490" spans="1:4" ht="15" x14ac:dyDescent="0.2">
      <c r="A490" s="116">
        <f>'Relatório GERAL'!A490</f>
        <v>42613</v>
      </c>
      <c r="B490" s="116">
        <f t="shared" si="17"/>
        <v>42583</v>
      </c>
      <c r="C490" s="117" t="str">
        <f>'Relatório GERAL'!B490</f>
        <v>qua</v>
      </c>
      <c r="D490" s="18" t="str">
        <f>IF(OR(C490="SÁB",C490="DOM"),"",IFERROR(IF(VLOOKUP(VLOOKUP(A490,'Relatório GERAL'!$A:$T,$E$1,0),'Dados de consulta'!$A$2:$D$38,4,0)=0,"",VLOOKUP(VLOOKUP(A490,'Relatório GERAL'!$A:$T,$E$1,0),'Dados de consulta'!$A$2:$D$38,4,0)),""))</f>
        <v/>
      </c>
    </row>
    <row r="491" spans="1:4" ht="15" x14ac:dyDescent="0.2">
      <c r="A491" s="116">
        <f>'Relatório GERAL'!A491</f>
        <v>42614</v>
      </c>
      <c r="B491" s="116">
        <f t="shared" si="17"/>
        <v>42614</v>
      </c>
      <c r="C491" s="117" t="str">
        <f>'Relatório GERAL'!B491</f>
        <v>qui</v>
      </c>
      <c r="D491" s="18" t="str">
        <f>IF(OR(C491="SÁB",C491="DOM"),"",IFERROR(IF(VLOOKUP(VLOOKUP(A491,'Relatório GERAL'!$A:$T,$E$1,0),'Dados de consulta'!$A$2:$D$38,4,0)=0,"",VLOOKUP(VLOOKUP(A491,'Relatório GERAL'!$A:$T,$E$1,0),'Dados de consulta'!$A$2:$D$38,4,0)),""))</f>
        <v/>
      </c>
    </row>
    <row r="492" spans="1:4" ht="15" x14ac:dyDescent="0.2">
      <c r="A492" s="116">
        <f>'Relatório GERAL'!A492</f>
        <v>42615</v>
      </c>
      <c r="B492" s="116">
        <f t="shared" ref="B492:B555" si="18">DATEVALUE(CONCATENATE("01/",TEXT(A492,"mm/aaaa")))</f>
        <v>42614</v>
      </c>
      <c r="C492" s="117" t="str">
        <f>'Relatório GERAL'!B492</f>
        <v>sex</v>
      </c>
      <c r="D492" s="18" t="str">
        <f>IF(OR(C492="SÁB",C492="DOM"),"",IFERROR(IF(VLOOKUP(VLOOKUP(A492,'Relatório GERAL'!$A:$T,$E$1,0),'Dados de consulta'!$A$2:$D$38,4,0)=0,"",VLOOKUP(VLOOKUP(A492,'Relatório GERAL'!$A:$T,$E$1,0),'Dados de consulta'!$A$2:$D$38,4,0)),""))</f>
        <v/>
      </c>
    </row>
    <row r="493" spans="1:4" ht="15" x14ac:dyDescent="0.2">
      <c r="A493" s="116">
        <f>'Relatório GERAL'!A493</f>
        <v>42616</v>
      </c>
      <c r="B493" s="116">
        <f t="shared" si="18"/>
        <v>42614</v>
      </c>
      <c r="C493" s="117" t="str">
        <f>'Relatório GERAL'!B493</f>
        <v>sáb</v>
      </c>
      <c r="D493" s="18" t="str">
        <f>IF(OR(C493="SÁB",C493="DOM"),"",IFERROR(IF(VLOOKUP(VLOOKUP(A493,'Relatório GERAL'!$A:$T,$E$1,0),'Dados de consulta'!$A$2:$D$38,4,0)=0,"",VLOOKUP(VLOOKUP(A493,'Relatório GERAL'!$A:$T,$E$1,0),'Dados de consulta'!$A$2:$D$38,4,0)),""))</f>
        <v/>
      </c>
    </row>
    <row r="494" spans="1:4" ht="15" x14ac:dyDescent="0.2">
      <c r="A494" s="116">
        <f>'Relatório GERAL'!A494</f>
        <v>42617</v>
      </c>
      <c r="B494" s="116">
        <f t="shared" si="18"/>
        <v>42614</v>
      </c>
      <c r="C494" s="117" t="str">
        <f>'Relatório GERAL'!B494</f>
        <v>dom</v>
      </c>
      <c r="D494" s="18" t="str">
        <f>IF(OR(C494="SÁB",C494="DOM"),"",IFERROR(IF(VLOOKUP(VLOOKUP(A494,'Relatório GERAL'!$A:$T,$E$1,0),'Dados de consulta'!$A$2:$D$38,4,0)=0,"",VLOOKUP(VLOOKUP(A494,'Relatório GERAL'!$A:$T,$E$1,0),'Dados de consulta'!$A$2:$D$38,4,0)),""))</f>
        <v/>
      </c>
    </row>
    <row r="495" spans="1:4" ht="15" x14ac:dyDescent="0.2">
      <c r="A495" s="116">
        <f>'Relatório GERAL'!A495</f>
        <v>42618</v>
      </c>
      <c r="B495" s="116">
        <f t="shared" si="18"/>
        <v>42614</v>
      </c>
      <c r="C495" s="117" t="str">
        <f>'Relatório GERAL'!B495</f>
        <v>seg</v>
      </c>
      <c r="D495" s="18" t="str">
        <f>IF(OR(C495="SÁB",C495="DOM"),"",IFERROR(IF(VLOOKUP(VLOOKUP(A495,'Relatório GERAL'!$A:$T,$E$1,0),'Dados de consulta'!$A$2:$D$38,4,0)=0,"",VLOOKUP(VLOOKUP(A495,'Relatório GERAL'!$A:$T,$E$1,0),'Dados de consulta'!$A$2:$D$38,4,0)),""))</f>
        <v/>
      </c>
    </row>
    <row r="496" spans="1:4" ht="15" x14ac:dyDescent="0.2">
      <c r="A496" s="116">
        <f>'Relatório GERAL'!A496</f>
        <v>42619</v>
      </c>
      <c r="B496" s="116">
        <f t="shared" si="18"/>
        <v>42614</v>
      </c>
      <c r="C496" s="117" t="str">
        <f>'Relatório GERAL'!B496</f>
        <v>ter</v>
      </c>
      <c r="D496" s="18" t="str">
        <f>IF(OR(C496="SÁB",C496="DOM"),"",IFERROR(IF(VLOOKUP(VLOOKUP(A496,'Relatório GERAL'!$A:$T,$E$1,0),'Dados de consulta'!$A$2:$D$38,4,0)=0,"",VLOOKUP(VLOOKUP(A496,'Relatório GERAL'!$A:$T,$E$1,0),'Dados de consulta'!$A$2:$D$38,4,0)),""))</f>
        <v/>
      </c>
    </row>
    <row r="497" spans="1:4" ht="15" x14ac:dyDescent="0.2">
      <c r="A497" s="116">
        <f>'Relatório GERAL'!A497</f>
        <v>42620</v>
      </c>
      <c r="B497" s="116">
        <f t="shared" si="18"/>
        <v>42614</v>
      </c>
      <c r="C497" s="117" t="str">
        <f>'Relatório GERAL'!B497</f>
        <v>qua</v>
      </c>
      <c r="D497" s="18" t="str">
        <f>IF(OR(C497="SÁB",C497="DOM"),"",IFERROR(IF(VLOOKUP(VLOOKUP(A497,'Relatório GERAL'!$A:$T,$E$1,0),'Dados de consulta'!$A$2:$D$38,4,0)=0,"",VLOOKUP(VLOOKUP(A497,'Relatório GERAL'!$A:$T,$E$1,0),'Dados de consulta'!$A$2:$D$38,4,0)),""))</f>
        <v/>
      </c>
    </row>
    <row r="498" spans="1:4" ht="15" x14ac:dyDescent="0.2">
      <c r="A498" s="116">
        <f>'Relatório GERAL'!A498</f>
        <v>42621</v>
      </c>
      <c r="B498" s="116">
        <f t="shared" si="18"/>
        <v>42614</v>
      </c>
      <c r="C498" s="117" t="str">
        <f>'Relatório GERAL'!B498</f>
        <v>qui</v>
      </c>
      <c r="D498" s="18" t="str">
        <f>IF(OR(C498="SÁB",C498="DOM"),"",IFERROR(IF(VLOOKUP(VLOOKUP(A498,'Relatório GERAL'!$A:$T,$E$1,0),'Dados de consulta'!$A$2:$D$38,4,0)=0,"",VLOOKUP(VLOOKUP(A498,'Relatório GERAL'!$A:$T,$E$1,0),'Dados de consulta'!$A$2:$D$38,4,0)),""))</f>
        <v/>
      </c>
    </row>
    <row r="499" spans="1:4" ht="15" x14ac:dyDescent="0.2">
      <c r="A499" s="116">
        <f>'Relatório GERAL'!A499</f>
        <v>42622</v>
      </c>
      <c r="B499" s="116">
        <f t="shared" si="18"/>
        <v>42614</v>
      </c>
      <c r="C499" s="117" t="str">
        <f>'Relatório GERAL'!B499</f>
        <v>sex</v>
      </c>
      <c r="D499" s="18" t="str">
        <f>IF(OR(C499="SÁB",C499="DOM"),"",IFERROR(IF(VLOOKUP(VLOOKUP(A499,'Relatório GERAL'!$A:$T,$E$1,0),'Dados de consulta'!$A$2:$D$38,4,0)=0,"",VLOOKUP(VLOOKUP(A499,'Relatório GERAL'!$A:$T,$E$1,0),'Dados de consulta'!$A$2:$D$38,4,0)),""))</f>
        <v/>
      </c>
    </row>
    <row r="500" spans="1:4" ht="15" x14ac:dyDescent="0.2">
      <c r="A500" s="116">
        <f>'Relatório GERAL'!A500</f>
        <v>42623</v>
      </c>
      <c r="B500" s="116">
        <f t="shared" si="18"/>
        <v>42614</v>
      </c>
      <c r="C500" s="117" t="str">
        <f>'Relatório GERAL'!B500</f>
        <v>sáb</v>
      </c>
      <c r="D500" s="18" t="str">
        <f>IF(OR(C500="SÁB",C500="DOM"),"",IFERROR(IF(VLOOKUP(VLOOKUP(A500,'Relatório GERAL'!$A:$T,$E$1,0),'Dados de consulta'!$A$2:$D$38,4,0)=0,"",VLOOKUP(VLOOKUP(A500,'Relatório GERAL'!$A:$T,$E$1,0),'Dados de consulta'!$A$2:$D$38,4,0)),""))</f>
        <v/>
      </c>
    </row>
    <row r="501" spans="1:4" ht="15" x14ac:dyDescent="0.2">
      <c r="A501" s="116">
        <f>'Relatório GERAL'!A501</f>
        <v>42624</v>
      </c>
      <c r="B501" s="116">
        <f t="shared" si="18"/>
        <v>42614</v>
      </c>
      <c r="C501" s="117" t="str">
        <f>'Relatório GERAL'!B501</f>
        <v>dom</v>
      </c>
      <c r="D501" s="18" t="str">
        <f>IF(OR(C501="SÁB",C501="DOM"),"",IFERROR(IF(VLOOKUP(VLOOKUP(A501,'Relatório GERAL'!$A:$T,$E$1,0),'Dados de consulta'!$A$2:$D$38,4,0)=0,"",VLOOKUP(VLOOKUP(A501,'Relatório GERAL'!$A:$T,$E$1,0),'Dados de consulta'!$A$2:$D$38,4,0)),""))</f>
        <v/>
      </c>
    </row>
    <row r="502" spans="1:4" ht="15" x14ac:dyDescent="0.2">
      <c r="A502" s="116">
        <f>'Relatório GERAL'!A502</f>
        <v>42625</v>
      </c>
      <c r="B502" s="116">
        <f t="shared" si="18"/>
        <v>42614</v>
      </c>
      <c r="C502" s="117" t="str">
        <f>'Relatório GERAL'!B502</f>
        <v>seg</v>
      </c>
      <c r="D502" s="18" t="str">
        <f>IF(OR(C502="SÁB",C502="DOM"),"",IFERROR(IF(VLOOKUP(VLOOKUP(A502,'Relatório GERAL'!$A:$T,$E$1,0),'Dados de consulta'!$A$2:$D$38,4,0)=0,"",VLOOKUP(VLOOKUP(A502,'Relatório GERAL'!$A:$T,$E$1,0),'Dados de consulta'!$A$2:$D$38,4,0)),""))</f>
        <v/>
      </c>
    </row>
    <row r="503" spans="1:4" ht="15" x14ac:dyDescent="0.2">
      <c r="A503" s="116">
        <f>'Relatório GERAL'!A503</f>
        <v>42626</v>
      </c>
      <c r="B503" s="116">
        <f t="shared" si="18"/>
        <v>42614</v>
      </c>
      <c r="C503" s="117" t="str">
        <f>'Relatório GERAL'!B503</f>
        <v>ter</v>
      </c>
      <c r="D503" s="18" t="str">
        <f>IF(OR(C503="SÁB",C503="DOM"),"",IFERROR(IF(VLOOKUP(VLOOKUP(A503,'Relatório GERAL'!$A:$T,$E$1,0),'Dados de consulta'!$A$2:$D$38,4,0)=0,"",VLOOKUP(VLOOKUP(A503,'Relatório GERAL'!$A:$T,$E$1,0),'Dados de consulta'!$A$2:$D$38,4,0)),""))</f>
        <v/>
      </c>
    </row>
    <row r="504" spans="1:4" ht="15" x14ac:dyDescent="0.2">
      <c r="A504" s="116">
        <f>'Relatório GERAL'!A504</f>
        <v>42627</v>
      </c>
      <c r="B504" s="116">
        <f t="shared" si="18"/>
        <v>42614</v>
      </c>
      <c r="C504" s="117" t="str">
        <f>'Relatório GERAL'!B504</f>
        <v>qua</v>
      </c>
      <c r="D504" s="18" t="str">
        <f>IF(OR(C504="SÁB",C504="DOM"),"",IFERROR(IF(VLOOKUP(VLOOKUP(A504,'Relatório GERAL'!$A:$T,$E$1,0),'Dados de consulta'!$A$2:$D$38,4,0)=0,"",VLOOKUP(VLOOKUP(A504,'Relatório GERAL'!$A:$T,$E$1,0),'Dados de consulta'!$A$2:$D$38,4,0)),""))</f>
        <v/>
      </c>
    </row>
    <row r="505" spans="1:4" ht="15" x14ac:dyDescent="0.2">
      <c r="A505" s="116">
        <f>'Relatório GERAL'!A505</f>
        <v>42628</v>
      </c>
      <c r="B505" s="116">
        <f t="shared" si="18"/>
        <v>42614</v>
      </c>
      <c r="C505" s="117" t="str">
        <f>'Relatório GERAL'!B505</f>
        <v>qui</v>
      </c>
      <c r="D505" s="18" t="str">
        <f>IF(OR(C505="SÁB",C505="DOM"),"",IFERROR(IF(VLOOKUP(VLOOKUP(A505,'Relatório GERAL'!$A:$T,$E$1,0),'Dados de consulta'!$A$2:$D$38,4,0)=0,"",VLOOKUP(VLOOKUP(A505,'Relatório GERAL'!$A:$T,$E$1,0),'Dados de consulta'!$A$2:$D$38,4,0)),""))</f>
        <v/>
      </c>
    </row>
    <row r="506" spans="1:4" ht="15" x14ac:dyDescent="0.2">
      <c r="A506" s="116">
        <f>'Relatório GERAL'!A506</f>
        <v>42629</v>
      </c>
      <c r="B506" s="116">
        <f t="shared" si="18"/>
        <v>42614</v>
      </c>
      <c r="C506" s="117" t="str">
        <f>'Relatório GERAL'!B506</f>
        <v>sex</v>
      </c>
      <c r="D506" s="18" t="str">
        <f>IF(OR(C506="SÁB",C506="DOM"),"",IFERROR(IF(VLOOKUP(VLOOKUP(A506,'Relatório GERAL'!$A:$T,$E$1,0),'Dados de consulta'!$A$2:$D$38,4,0)=0,"",VLOOKUP(VLOOKUP(A506,'Relatório GERAL'!$A:$T,$E$1,0),'Dados de consulta'!$A$2:$D$38,4,0)),""))</f>
        <v/>
      </c>
    </row>
    <row r="507" spans="1:4" ht="15" x14ac:dyDescent="0.2">
      <c r="A507" s="116">
        <f>'Relatório GERAL'!A507</f>
        <v>42630</v>
      </c>
      <c r="B507" s="116">
        <f t="shared" si="18"/>
        <v>42614</v>
      </c>
      <c r="C507" s="117" t="str">
        <f>'Relatório GERAL'!B507</f>
        <v>sáb</v>
      </c>
      <c r="D507" s="18" t="str">
        <f>IF(OR(C507="SÁB",C507="DOM"),"",IFERROR(IF(VLOOKUP(VLOOKUP(A507,'Relatório GERAL'!$A:$T,$E$1,0),'Dados de consulta'!$A$2:$D$38,4,0)=0,"",VLOOKUP(VLOOKUP(A507,'Relatório GERAL'!$A:$T,$E$1,0),'Dados de consulta'!$A$2:$D$38,4,0)),""))</f>
        <v/>
      </c>
    </row>
    <row r="508" spans="1:4" ht="15" x14ac:dyDescent="0.2">
      <c r="A508" s="116">
        <f>'Relatório GERAL'!A508</f>
        <v>42631</v>
      </c>
      <c r="B508" s="116">
        <f t="shared" si="18"/>
        <v>42614</v>
      </c>
      <c r="C508" s="117" t="str">
        <f>'Relatório GERAL'!B508</f>
        <v>dom</v>
      </c>
      <c r="D508" s="18" t="str">
        <f>IF(OR(C508="SÁB",C508="DOM"),"",IFERROR(IF(VLOOKUP(VLOOKUP(A508,'Relatório GERAL'!$A:$T,$E$1,0),'Dados de consulta'!$A$2:$D$38,4,0)=0,"",VLOOKUP(VLOOKUP(A508,'Relatório GERAL'!$A:$T,$E$1,0),'Dados de consulta'!$A$2:$D$38,4,0)),""))</f>
        <v/>
      </c>
    </row>
    <row r="509" spans="1:4" ht="15" x14ac:dyDescent="0.2">
      <c r="A509" s="116">
        <f>'Relatório GERAL'!A509</f>
        <v>42632</v>
      </c>
      <c r="B509" s="116">
        <f t="shared" si="18"/>
        <v>42614</v>
      </c>
      <c r="C509" s="117" t="str">
        <f>'Relatório GERAL'!B509</f>
        <v>seg</v>
      </c>
      <c r="D509" s="18" t="str">
        <f>IF(OR(C509="SÁB",C509="DOM"),"",IFERROR(IF(VLOOKUP(VLOOKUP(A509,'Relatório GERAL'!$A:$T,$E$1,0),'Dados de consulta'!$A$2:$D$38,4,0)=0,"",VLOOKUP(VLOOKUP(A509,'Relatório GERAL'!$A:$T,$E$1,0),'Dados de consulta'!$A$2:$D$38,4,0)),""))</f>
        <v/>
      </c>
    </row>
    <row r="510" spans="1:4" ht="15" x14ac:dyDescent="0.2">
      <c r="A510" s="116">
        <f>'Relatório GERAL'!A510</f>
        <v>42633</v>
      </c>
      <c r="B510" s="116">
        <f t="shared" si="18"/>
        <v>42614</v>
      </c>
      <c r="C510" s="117" t="str">
        <f>'Relatório GERAL'!B510</f>
        <v>ter</v>
      </c>
      <c r="D510" s="18" t="str">
        <f>IF(OR(C510="SÁB",C510="DOM"),"",IFERROR(IF(VLOOKUP(VLOOKUP(A510,'Relatório GERAL'!$A:$T,$E$1,0),'Dados de consulta'!$A$2:$D$38,4,0)=0,"",VLOOKUP(VLOOKUP(A510,'Relatório GERAL'!$A:$T,$E$1,0),'Dados de consulta'!$A$2:$D$38,4,0)),""))</f>
        <v/>
      </c>
    </row>
    <row r="511" spans="1:4" ht="15" x14ac:dyDescent="0.2">
      <c r="A511" s="116">
        <f>'Relatório GERAL'!A511</f>
        <v>42634</v>
      </c>
      <c r="B511" s="116">
        <f t="shared" si="18"/>
        <v>42614</v>
      </c>
      <c r="C511" s="117" t="str">
        <f>'Relatório GERAL'!B511</f>
        <v>qua</v>
      </c>
      <c r="D511" s="18" t="str">
        <f>IF(OR(C511="SÁB",C511="DOM"),"",IFERROR(IF(VLOOKUP(VLOOKUP(A511,'Relatório GERAL'!$A:$T,$E$1,0),'Dados de consulta'!$A$2:$D$38,4,0)=0,"",VLOOKUP(VLOOKUP(A511,'Relatório GERAL'!$A:$T,$E$1,0),'Dados de consulta'!$A$2:$D$38,4,0)),""))</f>
        <v/>
      </c>
    </row>
    <row r="512" spans="1:4" ht="15" x14ac:dyDescent="0.2">
      <c r="A512" s="116">
        <f>'Relatório GERAL'!A512</f>
        <v>42635</v>
      </c>
      <c r="B512" s="116">
        <f t="shared" si="18"/>
        <v>42614</v>
      </c>
      <c r="C512" s="117" t="str">
        <f>'Relatório GERAL'!B512</f>
        <v>qui</v>
      </c>
      <c r="D512" s="18" t="str">
        <f>IF(OR(C512="SÁB",C512="DOM"),"",IFERROR(IF(VLOOKUP(VLOOKUP(A512,'Relatório GERAL'!$A:$T,$E$1,0),'Dados de consulta'!$A$2:$D$38,4,0)=0,"",VLOOKUP(VLOOKUP(A512,'Relatório GERAL'!$A:$T,$E$1,0),'Dados de consulta'!$A$2:$D$38,4,0)),""))</f>
        <v/>
      </c>
    </row>
    <row r="513" spans="1:4" ht="15" x14ac:dyDescent="0.2">
      <c r="A513" s="116">
        <f>'Relatório GERAL'!A513</f>
        <v>42636</v>
      </c>
      <c r="B513" s="116">
        <f t="shared" si="18"/>
        <v>42614</v>
      </c>
      <c r="C513" s="117" t="str">
        <f>'Relatório GERAL'!B513</f>
        <v>sex</v>
      </c>
      <c r="D513" s="18" t="str">
        <f>IF(OR(C513="SÁB",C513="DOM"),"",IFERROR(IF(VLOOKUP(VLOOKUP(A513,'Relatório GERAL'!$A:$T,$E$1,0),'Dados de consulta'!$A$2:$D$38,4,0)=0,"",VLOOKUP(VLOOKUP(A513,'Relatório GERAL'!$A:$T,$E$1,0),'Dados de consulta'!$A$2:$D$38,4,0)),""))</f>
        <v/>
      </c>
    </row>
    <row r="514" spans="1:4" ht="15" x14ac:dyDescent="0.2">
      <c r="A514" s="116">
        <f>'Relatório GERAL'!A514</f>
        <v>42637</v>
      </c>
      <c r="B514" s="116">
        <f t="shared" si="18"/>
        <v>42614</v>
      </c>
      <c r="C514" s="117" t="str">
        <f>'Relatório GERAL'!B514</f>
        <v>sáb</v>
      </c>
      <c r="D514" s="18" t="str">
        <f>IF(OR(C514="SÁB",C514="DOM"),"",IFERROR(IF(VLOOKUP(VLOOKUP(A514,'Relatório GERAL'!$A:$T,$E$1,0),'Dados de consulta'!$A$2:$D$38,4,0)=0,"",VLOOKUP(VLOOKUP(A514,'Relatório GERAL'!$A:$T,$E$1,0),'Dados de consulta'!$A$2:$D$38,4,0)),""))</f>
        <v/>
      </c>
    </row>
    <row r="515" spans="1:4" ht="15" x14ac:dyDescent="0.2">
      <c r="A515" s="116">
        <f>'Relatório GERAL'!A515</f>
        <v>42638</v>
      </c>
      <c r="B515" s="116">
        <f t="shared" si="18"/>
        <v>42614</v>
      </c>
      <c r="C515" s="117" t="str">
        <f>'Relatório GERAL'!B515</f>
        <v>dom</v>
      </c>
      <c r="D515" s="18" t="str">
        <f>IF(OR(C515="SÁB",C515="DOM"),"",IFERROR(IF(VLOOKUP(VLOOKUP(A515,'Relatório GERAL'!$A:$T,$E$1,0),'Dados de consulta'!$A$2:$D$38,4,0)=0,"",VLOOKUP(VLOOKUP(A515,'Relatório GERAL'!$A:$T,$E$1,0),'Dados de consulta'!$A$2:$D$38,4,0)),""))</f>
        <v/>
      </c>
    </row>
    <row r="516" spans="1:4" ht="15" x14ac:dyDescent="0.2">
      <c r="A516" s="116">
        <f>'Relatório GERAL'!A516</f>
        <v>42639</v>
      </c>
      <c r="B516" s="116">
        <f t="shared" si="18"/>
        <v>42614</v>
      </c>
      <c r="C516" s="117" t="str">
        <f>'Relatório GERAL'!B516</f>
        <v>seg</v>
      </c>
      <c r="D516" s="18" t="str">
        <f>IF(OR(C516="SÁB",C516="DOM"),"",IFERROR(IF(VLOOKUP(VLOOKUP(A516,'Relatório GERAL'!$A:$T,$E$1,0),'Dados de consulta'!$A$2:$D$38,4,0)=0,"",VLOOKUP(VLOOKUP(A516,'Relatório GERAL'!$A:$T,$E$1,0),'Dados de consulta'!$A$2:$D$38,4,0)),""))</f>
        <v/>
      </c>
    </row>
    <row r="517" spans="1:4" ht="15" x14ac:dyDescent="0.2">
      <c r="A517" s="116">
        <f>'Relatório GERAL'!A517</f>
        <v>42640</v>
      </c>
      <c r="B517" s="116">
        <f t="shared" si="18"/>
        <v>42614</v>
      </c>
      <c r="C517" s="117" t="str">
        <f>'Relatório GERAL'!B517</f>
        <v>ter</v>
      </c>
      <c r="D517" s="18" t="str">
        <f>IF(OR(C517="SÁB",C517="DOM"),"",IFERROR(IF(VLOOKUP(VLOOKUP(A517,'Relatório GERAL'!$A:$T,$E$1,0),'Dados de consulta'!$A$2:$D$38,4,0)=0,"",VLOOKUP(VLOOKUP(A517,'Relatório GERAL'!$A:$T,$E$1,0),'Dados de consulta'!$A$2:$D$38,4,0)),""))</f>
        <v/>
      </c>
    </row>
    <row r="518" spans="1:4" ht="15" x14ac:dyDescent="0.2">
      <c r="A518" s="116">
        <f>'Relatório GERAL'!A518</f>
        <v>42641</v>
      </c>
      <c r="B518" s="116">
        <f t="shared" si="18"/>
        <v>42614</v>
      </c>
      <c r="C518" s="117" t="str">
        <f>'Relatório GERAL'!B518</f>
        <v>qua</v>
      </c>
      <c r="D518" s="18" t="str">
        <f>IF(OR(C518="SÁB",C518="DOM"),"",IFERROR(IF(VLOOKUP(VLOOKUP(A518,'Relatório GERAL'!$A:$T,$E$1,0),'Dados de consulta'!$A$2:$D$38,4,0)=0,"",VLOOKUP(VLOOKUP(A518,'Relatório GERAL'!$A:$T,$E$1,0),'Dados de consulta'!$A$2:$D$38,4,0)),""))</f>
        <v/>
      </c>
    </row>
    <row r="519" spans="1:4" ht="15" x14ac:dyDescent="0.2">
      <c r="A519" s="116">
        <f>'Relatório GERAL'!A519</f>
        <v>42642</v>
      </c>
      <c r="B519" s="116">
        <f t="shared" si="18"/>
        <v>42614</v>
      </c>
      <c r="C519" s="117" t="str">
        <f>'Relatório GERAL'!B519</f>
        <v>qui</v>
      </c>
      <c r="D519" s="18" t="str">
        <f>IF(OR(C519="SÁB",C519="DOM"),"",IFERROR(IF(VLOOKUP(VLOOKUP(A519,'Relatório GERAL'!$A:$T,$E$1,0),'Dados de consulta'!$A$2:$D$38,4,0)=0,"",VLOOKUP(VLOOKUP(A519,'Relatório GERAL'!$A:$T,$E$1,0),'Dados de consulta'!$A$2:$D$38,4,0)),""))</f>
        <v/>
      </c>
    </row>
    <row r="520" spans="1:4" ht="15" x14ac:dyDescent="0.2">
      <c r="A520" s="116">
        <f>'Relatório GERAL'!A520</f>
        <v>42643</v>
      </c>
      <c r="B520" s="116">
        <f t="shared" si="18"/>
        <v>42614</v>
      </c>
      <c r="C520" s="117" t="str">
        <f>'Relatório GERAL'!B520</f>
        <v>sex</v>
      </c>
      <c r="D520" s="18" t="str">
        <f>IF(OR(C520="SÁB",C520="DOM"),"",IFERROR(IF(VLOOKUP(VLOOKUP(A520,'Relatório GERAL'!$A:$T,$E$1,0),'Dados de consulta'!$A$2:$D$38,4,0)=0,"",VLOOKUP(VLOOKUP(A520,'Relatório GERAL'!$A:$T,$E$1,0),'Dados de consulta'!$A$2:$D$38,4,0)),""))</f>
        <v/>
      </c>
    </row>
    <row r="521" spans="1:4" ht="15" x14ac:dyDescent="0.2">
      <c r="A521" s="116">
        <f>'Relatório GERAL'!A521</f>
        <v>42644</v>
      </c>
      <c r="B521" s="116">
        <f t="shared" si="18"/>
        <v>42644</v>
      </c>
      <c r="C521" s="117" t="str">
        <f>'Relatório GERAL'!B521</f>
        <v>sáb</v>
      </c>
      <c r="D521" s="18" t="str">
        <f>IF(OR(C521="SÁB",C521="DOM"),"",IFERROR(IF(VLOOKUP(VLOOKUP(A521,'Relatório GERAL'!$A:$T,$E$1,0),'Dados de consulta'!$A$2:$D$38,4,0)=0,"",VLOOKUP(VLOOKUP(A521,'Relatório GERAL'!$A:$T,$E$1,0),'Dados de consulta'!$A$2:$D$38,4,0)),""))</f>
        <v/>
      </c>
    </row>
    <row r="522" spans="1:4" ht="15" x14ac:dyDescent="0.2">
      <c r="A522" s="116">
        <f>'Relatório GERAL'!A522</f>
        <v>42645</v>
      </c>
      <c r="B522" s="116">
        <f t="shared" si="18"/>
        <v>42644</v>
      </c>
      <c r="C522" s="117" t="str">
        <f>'Relatório GERAL'!B522</f>
        <v>dom</v>
      </c>
      <c r="D522" s="18" t="str">
        <f>IF(OR(C522="SÁB",C522="DOM"),"",IFERROR(IF(VLOOKUP(VLOOKUP(A522,'Relatório GERAL'!$A:$T,$E$1,0),'Dados de consulta'!$A$2:$D$38,4,0)=0,"",VLOOKUP(VLOOKUP(A522,'Relatório GERAL'!$A:$T,$E$1,0),'Dados de consulta'!$A$2:$D$38,4,0)),""))</f>
        <v/>
      </c>
    </row>
    <row r="523" spans="1:4" ht="15" x14ac:dyDescent="0.2">
      <c r="A523" s="116">
        <f>'Relatório GERAL'!A523</f>
        <v>42646</v>
      </c>
      <c r="B523" s="116">
        <f t="shared" si="18"/>
        <v>42644</v>
      </c>
      <c r="C523" s="117" t="str">
        <f>'Relatório GERAL'!B523</f>
        <v>seg</v>
      </c>
      <c r="D523" s="18" t="str">
        <f>IF(OR(C523="SÁB",C523="DOM"),"",IFERROR(IF(VLOOKUP(VLOOKUP(A523,'Relatório GERAL'!$A:$T,$E$1,0),'Dados de consulta'!$A$2:$D$38,4,0)=0,"",VLOOKUP(VLOOKUP(A523,'Relatório GERAL'!$A:$T,$E$1,0),'Dados de consulta'!$A$2:$D$38,4,0)),""))</f>
        <v/>
      </c>
    </row>
    <row r="524" spans="1:4" ht="15" x14ac:dyDescent="0.2">
      <c r="A524" s="116">
        <f>'Relatório GERAL'!A524</f>
        <v>42647</v>
      </c>
      <c r="B524" s="116">
        <f t="shared" si="18"/>
        <v>42644</v>
      </c>
      <c r="C524" s="117" t="str">
        <f>'Relatório GERAL'!B524</f>
        <v>ter</v>
      </c>
      <c r="D524" s="18" t="str">
        <f>IF(OR(C524="SÁB",C524="DOM"),"",IFERROR(IF(VLOOKUP(VLOOKUP(A524,'Relatório GERAL'!$A:$T,$E$1,0),'Dados de consulta'!$A$2:$D$38,4,0)=0,"",VLOOKUP(VLOOKUP(A524,'Relatório GERAL'!$A:$T,$E$1,0),'Dados de consulta'!$A$2:$D$38,4,0)),""))</f>
        <v/>
      </c>
    </row>
    <row r="525" spans="1:4" ht="15" x14ac:dyDescent="0.2">
      <c r="A525" s="116">
        <f>'Relatório GERAL'!A525</f>
        <v>42648</v>
      </c>
      <c r="B525" s="116">
        <f t="shared" si="18"/>
        <v>42644</v>
      </c>
      <c r="C525" s="117" t="str">
        <f>'Relatório GERAL'!B525</f>
        <v>qua</v>
      </c>
      <c r="D525" s="18" t="str">
        <f>IF(OR(C525="SÁB",C525="DOM"),"",IFERROR(IF(VLOOKUP(VLOOKUP(A525,'Relatório GERAL'!$A:$T,$E$1,0),'Dados de consulta'!$A$2:$D$38,4,0)=0,"",VLOOKUP(VLOOKUP(A525,'Relatório GERAL'!$A:$T,$E$1,0),'Dados de consulta'!$A$2:$D$38,4,0)),""))</f>
        <v/>
      </c>
    </row>
    <row r="526" spans="1:4" ht="15" x14ac:dyDescent="0.2">
      <c r="A526" s="116">
        <f>'Relatório GERAL'!A526</f>
        <v>42649</v>
      </c>
      <c r="B526" s="116">
        <f t="shared" si="18"/>
        <v>42644</v>
      </c>
      <c r="C526" s="117" t="str">
        <f>'Relatório GERAL'!B526</f>
        <v>qui</v>
      </c>
      <c r="D526" s="18" t="str">
        <f>IF(OR(C526="SÁB",C526="DOM"),"",IFERROR(IF(VLOOKUP(VLOOKUP(A526,'Relatório GERAL'!$A:$T,$E$1,0),'Dados de consulta'!$A$2:$D$38,4,0)=0,"",VLOOKUP(VLOOKUP(A526,'Relatório GERAL'!$A:$T,$E$1,0),'Dados de consulta'!$A$2:$D$38,4,0)),""))</f>
        <v/>
      </c>
    </row>
    <row r="527" spans="1:4" ht="15" x14ac:dyDescent="0.2">
      <c r="A527" s="116">
        <f>'Relatório GERAL'!A527</f>
        <v>42650</v>
      </c>
      <c r="B527" s="116">
        <f t="shared" si="18"/>
        <v>42644</v>
      </c>
      <c r="C527" s="117" t="str">
        <f>'Relatório GERAL'!B527</f>
        <v>sex</v>
      </c>
      <c r="D527" s="18" t="str">
        <f>IF(OR(C527="SÁB",C527="DOM"),"",IFERROR(IF(VLOOKUP(VLOOKUP(A527,'Relatório GERAL'!$A:$T,$E$1,0),'Dados de consulta'!$A$2:$D$38,4,0)=0,"",VLOOKUP(VLOOKUP(A527,'Relatório GERAL'!$A:$T,$E$1,0),'Dados de consulta'!$A$2:$D$38,4,0)),""))</f>
        <v/>
      </c>
    </row>
    <row r="528" spans="1:4" ht="15" x14ac:dyDescent="0.2">
      <c r="A528" s="116">
        <f>'Relatório GERAL'!A528</f>
        <v>42651</v>
      </c>
      <c r="B528" s="116">
        <f t="shared" si="18"/>
        <v>42644</v>
      </c>
      <c r="C528" s="117" t="str">
        <f>'Relatório GERAL'!B528</f>
        <v>sáb</v>
      </c>
      <c r="D528" s="18" t="str">
        <f>IF(OR(C528="SÁB",C528="DOM"),"",IFERROR(IF(VLOOKUP(VLOOKUP(A528,'Relatório GERAL'!$A:$T,$E$1,0),'Dados de consulta'!$A$2:$D$38,4,0)=0,"",VLOOKUP(VLOOKUP(A528,'Relatório GERAL'!$A:$T,$E$1,0),'Dados de consulta'!$A$2:$D$38,4,0)),""))</f>
        <v/>
      </c>
    </row>
    <row r="529" spans="1:4" ht="15" x14ac:dyDescent="0.2">
      <c r="A529" s="116">
        <f>'Relatório GERAL'!A529</f>
        <v>42652</v>
      </c>
      <c r="B529" s="116">
        <f t="shared" si="18"/>
        <v>42644</v>
      </c>
      <c r="C529" s="117" t="str">
        <f>'Relatório GERAL'!B529</f>
        <v>dom</v>
      </c>
      <c r="D529" s="18" t="str">
        <f>IF(OR(C529="SÁB",C529="DOM"),"",IFERROR(IF(VLOOKUP(VLOOKUP(A529,'Relatório GERAL'!$A:$T,$E$1,0),'Dados de consulta'!$A$2:$D$38,4,0)=0,"",VLOOKUP(VLOOKUP(A529,'Relatório GERAL'!$A:$T,$E$1,0),'Dados de consulta'!$A$2:$D$38,4,0)),""))</f>
        <v/>
      </c>
    </row>
    <row r="530" spans="1:4" ht="15" x14ac:dyDescent="0.2">
      <c r="A530" s="116">
        <f>'Relatório GERAL'!A530</f>
        <v>42653</v>
      </c>
      <c r="B530" s="116">
        <f t="shared" si="18"/>
        <v>42644</v>
      </c>
      <c r="C530" s="117" t="str">
        <f>'Relatório GERAL'!B530</f>
        <v>seg</v>
      </c>
      <c r="D530" s="18" t="str">
        <f>IF(OR(C530="SÁB",C530="DOM"),"",IFERROR(IF(VLOOKUP(VLOOKUP(A530,'Relatório GERAL'!$A:$T,$E$1,0),'Dados de consulta'!$A$2:$D$38,4,0)=0,"",VLOOKUP(VLOOKUP(A530,'Relatório GERAL'!$A:$T,$E$1,0),'Dados de consulta'!$A$2:$D$38,4,0)),""))</f>
        <v/>
      </c>
    </row>
    <row r="531" spans="1:4" ht="15" x14ac:dyDescent="0.2">
      <c r="A531" s="116">
        <f>'Relatório GERAL'!A531</f>
        <v>42654</v>
      </c>
      <c r="B531" s="116">
        <f t="shared" si="18"/>
        <v>42644</v>
      </c>
      <c r="C531" s="117" t="str">
        <f>'Relatório GERAL'!B531</f>
        <v>ter</v>
      </c>
      <c r="D531" s="18" t="str">
        <f>IF(OR(C531="SÁB",C531="DOM"),"",IFERROR(IF(VLOOKUP(VLOOKUP(A531,'Relatório GERAL'!$A:$T,$E$1,0),'Dados de consulta'!$A$2:$D$38,4,0)=0,"",VLOOKUP(VLOOKUP(A531,'Relatório GERAL'!$A:$T,$E$1,0),'Dados de consulta'!$A$2:$D$38,4,0)),""))</f>
        <v/>
      </c>
    </row>
    <row r="532" spans="1:4" ht="15" x14ac:dyDescent="0.2">
      <c r="A532" s="116">
        <f>'Relatório GERAL'!A532</f>
        <v>42655</v>
      </c>
      <c r="B532" s="116">
        <f t="shared" si="18"/>
        <v>42644</v>
      </c>
      <c r="C532" s="117" t="str">
        <f>'Relatório GERAL'!B532</f>
        <v>qua</v>
      </c>
      <c r="D532" s="18" t="str">
        <f>IF(OR(C532="SÁB",C532="DOM"),"",IFERROR(IF(VLOOKUP(VLOOKUP(A532,'Relatório GERAL'!$A:$T,$E$1,0),'Dados de consulta'!$A$2:$D$38,4,0)=0,"",VLOOKUP(VLOOKUP(A532,'Relatório GERAL'!$A:$T,$E$1,0),'Dados de consulta'!$A$2:$D$38,4,0)),""))</f>
        <v/>
      </c>
    </row>
    <row r="533" spans="1:4" ht="15" x14ac:dyDescent="0.2">
      <c r="A533" s="116">
        <f>'Relatório GERAL'!A533</f>
        <v>42656</v>
      </c>
      <c r="B533" s="116">
        <f t="shared" si="18"/>
        <v>42644</v>
      </c>
      <c r="C533" s="117" t="str">
        <f>'Relatório GERAL'!B533</f>
        <v>qui</v>
      </c>
      <c r="D533" s="18" t="str">
        <f>IF(OR(C533="SÁB",C533="DOM"),"",IFERROR(IF(VLOOKUP(VLOOKUP(A533,'Relatório GERAL'!$A:$T,$E$1,0),'Dados de consulta'!$A$2:$D$38,4,0)=0,"",VLOOKUP(VLOOKUP(A533,'Relatório GERAL'!$A:$T,$E$1,0),'Dados de consulta'!$A$2:$D$38,4,0)),""))</f>
        <v/>
      </c>
    </row>
    <row r="534" spans="1:4" ht="15" x14ac:dyDescent="0.2">
      <c r="A534" s="116">
        <f>'Relatório GERAL'!A534</f>
        <v>42657</v>
      </c>
      <c r="B534" s="116">
        <f t="shared" si="18"/>
        <v>42644</v>
      </c>
      <c r="C534" s="117" t="str">
        <f>'Relatório GERAL'!B534</f>
        <v>sex</v>
      </c>
      <c r="D534" s="18" t="str">
        <f>IF(OR(C534="SÁB",C534="DOM"),"",IFERROR(IF(VLOOKUP(VLOOKUP(A534,'Relatório GERAL'!$A:$T,$E$1,0),'Dados de consulta'!$A$2:$D$38,4,0)=0,"",VLOOKUP(VLOOKUP(A534,'Relatório GERAL'!$A:$T,$E$1,0),'Dados de consulta'!$A$2:$D$38,4,0)),""))</f>
        <v/>
      </c>
    </row>
    <row r="535" spans="1:4" ht="15" x14ac:dyDescent="0.2">
      <c r="A535" s="116">
        <f>'Relatório GERAL'!A535</f>
        <v>42658</v>
      </c>
      <c r="B535" s="116">
        <f t="shared" si="18"/>
        <v>42644</v>
      </c>
      <c r="C535" s="117" t="str">
        <f>'Relatório GERAL'!B535</f>
        <v>sáb</v>
      </c>
      <c r="D535" s="18" t="str">
        <f>IF(OR(C535="SÁB",C535="DOM"),"",IFERROR(IF(VLOOKUP(VLOOKUP(A535,'Relatório GERAL'!$A:$T,$E$1,0),'Dados de consulta'!$A$2:$D$38,4,0)=0,"",VLOOKUP(VLOOKUP(A535,'Relatório GERAL'!$A:$T,$E$1,0),'Dados de consulta'!$A$2:$D$38,4,0)),""))</f>
        <v/>
      </c>
    </row>
    <row r="536" spans="1:4" ht="15" x14ac:dyDescent="0.2">
      <c r="A536" s="116">
        <f>'Relatório GERAL'!A536</f>
        <v>42659</v>
      </c>
      <c r="B536" s="116">
        <f t="shared" si="18"/>
        <v>42644</v>
      </c>
      <c r="C536" s="117" t="str">
        <f>'Relatório GERAL'!B536</f>
        <v>dom</v>
      </c>
      <c r="D536" s="18" t="str">
        <f>IF(OR(C536="SÁB",C536="DOM"),"",IFERROR(IF(VLOOKUP(VLOOKUP(A536,'Relatório GERAL'!$A:$T,$E$1,0),'Dados de consulta'!$A$2:$D$38,4,0)=0,"",VLOOKUP(VLOOKUP(A536,'Relatório GERAL'!$A:$T,$E$1,0),'Dados de consulta'!$A$2:$D$38,4,0)),""))</f>
        <v/>
      </c>
    </row>
    <row r="537" spans="1:4" ht="15" x14ac:dyDescent="0.2">
      <c r="A537" s="116">
        <f>'Relatório GERAL'!A537</f>
        <v>42660</v>
      </c>
      <c r="B537" s="116">
        <f t="shared" si="18"/>
        <v>42644</v>
      </c>
      <c r="C537" s="117" t="str">
        <f>'Relatório GERAL'!B537</f>
        <v>seg</v>
      </c>
      <c r="D537" s="18" t="str">
        <f>IF(OR(C537="SÁB",C537="DOM"),"",IFERROR(IF(VLOOKUP(VLOOKUP(A537,'Relatório GERAL'!$A:$T,$E$1,0),'Dados de consulta'!$A$2:$D$38,4,0)=0,"",VLOOKUP(VLOOKUP(A537,'Relatório GERAL'!$A:$T,$E$1,0),'Dados de consulta'!$A$2:$D$38,4,0)),""))</f>
        <v/>
      </c>
    </row>
    <row r="538" spans="1:4" ht="15" x14ac:dyDescent="0.2">
      <c r="A538" s="116">
        <f>'Relatório GERAL'!A538</f>
        <v>42661</v>
      </c>
      <c r="B538" s="116">
        <f t="shared" si="18"/>
        <v>42644</v>
      </c>
      <c r="C538" s="117" t="str">
        <f>'Relatório GERAL'!B538</f>
        <v>ter</v>
      </c>
      <c r="D538" s="18" t="str">
        <f>IF(OR(C538="SÁB",C538="DOM"),"",IFERROR(IF(VLOOKUP(VLOOKUP(A538,'Relatório GERAL'!$A:$T,$E$1,0),'Dados de consulta'!$A$2:$D$38,4,0)=0,"",VLOOKUP(VLOOKUP(A538,'Relatório GERAL'!$A:$T,$E$1,0),'Dados de consulta'!$A$2:$D$38,4,0)),""))</f>
        <v/>
      </c>
    </row>
    <row r="539" spans="1:4" ht="15" x14ac:dyDescent="0.2">
      <c r="A539" s="116">
        <f>'Relatório GERAL'!A539</f>
        <v>42662</v>
      </c>
      <c r="B539" s="116">
        <f t="shared" si="18"/>
        <v>42644</v>
      </c>
      <c r="C539" s="117" t="str">
        <f>'Relatório GERAL'!B539</f>
        <v>qua</v>
      </c>
      <c r="D539" s="18" t="str">
        <f>IF(OR(C539="SÁB",C539="DOM"),"",IFERROR(IF(VLOOKUP(VLOOKUP(A539,'Relatório GERAL'!$A:$T,$E$1,0),'Dados de consulta'!$A$2:$D$38,4,0)=0,"",VLOOKUP(VLOOKUP(A539,'Relatório GERAL'!$A:$T,$E$1,0),'Dados de consulta'!$A$2:$D$38,4,0)),""))</f>
        <v/>
      </c>
    </row>
    <row r="540" spans="1:4" ht="15" x14ac:dyDescent="0.2">
      <c r="A540" s="116">
        <f>'Relatório GERAL'!A540</f>
        <v>42663</v>
      </c>
      <c r="B540" s="116">
        <f t="shared" si="18"/>
        <v>42644</v>
      </c>
      <c r="C540" s="117" t="str">
        <f>'Relatório GERAL'!B540</f>
        <v>qui</v>
      </c>
      <c r="D540" s="18" t="str">
        <f>IF(OR(C540="SÁB",C540="DOM"),"",IFERROR(IF(VLOOKUP(VLOOKUP(A540,'Relatório GERAL'!$A:$T,$E$1,0),'Dados de consulta'!$A$2:$D$38,4,0)=0,"",VLOOKUP(VLOOKUP(A540,'Relatório GERAL'!$A:$T,$E$1,0),'Dados de consulta'!$A$2:$D$38,4,0)),""))</f>
        <v/>
      </c>
    </row>
    <row r="541" spans="1:4" ht="15" x14ac:dyDescent="0.2">
      <c r="A541" s="116">
        <f>'Relatório GERAL'!A541</f>
        <v>42664</v>
      </c>
      <c r="B541" s="116">
        <f t="shared" si="18"/>
        <v>42644</v>
      </c>
      <c r="C541" s="117" t="str">
        <f>'Relatório GERAL'!B541</f>
        <v>sex</v>
      </c>
      <c r="D541" s="18" t="str">
        <f>IF(OR(C541="SÁB",C541="DOM"),"",IFERROR(IF(VLOOKUP(VLOOKUP(A541,'Relatório GERAL'!$A:$T,$E$1,0),'Dados de consulta'!$A$2:$D$38,4,0)=0,"",VLOOKUP(VLOOKUP(A541,'Relatório GERAL'!$A:$T,$E$1,0),'Dados de consulta'!$A$2:$D$38,4,0)),""))</f>
        <v/>
      </c>
    </row>
    <row r="542" spans="1:4" ht="15" x14ac:dyDescent="0.2">
      <c r="A542" s="116">
        <f>'Relatório GERAL'!A542</f>
        <v>42665</v>
      </c>
      <c r="B542" s="116">
        <f t="shared" si="18"/>
        <v>42644</v>
      </c>
      <c r="C542" s="117" t="str">
        <f>'Relatório GERAL'!B542</f>
        <v>sáb</v>
      </c>
      <c r="D542" s="18" t="str">
        <f>IF(OR(C542="SÁB",C542="DOM"),"",IFERROR(IF(VLOOKUP(VLOOKUP(A542,'Relatório GERAL'!$A:$T,$E$1,0),'Dados de consulta'!$A$2:$D$38,4,0)=0,"",VLOOKUP(VLOOKUP(A542,'Relatório GERAL'!$A:$T,$E$1,0),'Dados de consulta'!$A$2:$D$38,4,0)),""))</f>
        <v/>
      </c>
    </row>
    <row r="543" spans="1:4" ht="15" x14ac:dyDescent="0.2">
      <c r="A543" s="116">
        <f>'Relatório GERAL'!A543</f>
        <v>42666</v>
      </c>
      <c r="B543" s="116">
        <f t="shared" si="18"/>
        <v>42644</v>
      </c>
      <c r="C543" s="117" t="str">
        <f>'Relatório GERAL'!B543</f>
        <v>dom</v>
      </c>
      <c r="D543" s="18" t="str">
        <f>IF(OR(C543="SÁB",C543="DOM"),"",IFERROR(IF(VLOOKUP(VLOOKUP(A543,'Relatório GERAL'!$A:$T,$E$1,0),'Dados de consulta'!$A$2:$D$38,4,0)=0,"",VLOOKUP(VLOOKUP(A543,'Relatório GERAL'!$A:$T,$E$1,0),'Dados de consulta'!$A$2:$D$38,4,0)),""))</f>
        <v/>
      </c>
    </row>
    <row r="544" spans="1:4" ht="15" x14ac:dyDescent="0.2">
      <c r="A544" s="116">
        <f>'Relatório GERAL'!A544</f>
        <v>42667</v>
      </c>
      <c r="B544" s="116">
        <f t="shared" si="18"/>
        <v>42644</v>
      </c>
      <c r="C544" s="117" t="str">
        <f>'Relatório GERAL'!B544</f>
        <v>seg</v>
      </c>
      <c r="D544" s="18" t="str">
        <f>IF(OR(C544="SÁB",C544="DOM"),"",IFERROR(IF(VLOOKUP(VLOOKUP(A544,'Relatório GERAL'!$A:$T,$E$1,0),'Dados de consulta'!$A$2:$D$38,4,0)=0,"",VLOOKUP(VLOOKUP(A544,'Relatório GERAL'!$A:$T,$E$1,0),'Dados de consulta'!$A$2:$D$38,4,0)),""))</f>
        <v/>
      </c>
    </row>
    <row r="545" spans="1:4" ht="15" x14ac:dyDescent="0.2">
      <c r="A545" s="116">
        <f>'Relatório GERAL'!A545</f>
        <v>42668</v>
      </c>
      <c r="B545" s="116">
        <f t="shared" si="18"/>
        <v>42644</v>
      </c>
      <c r="C545" s="117" t="str">
        <f>'Relatório GERAL'!B545</f>
        <v>ter</v>
      </c>
      <c r="D545" s="18" t="str">
        <f>IF(OR(C545="SÁB",C545="DOM"),"",IFERROR(IF(VLOOKUP(VLOOKUP(A545,'Relatório GERAL'!$A:$T,$E$1,0),'Dados de consulta'!$A$2:$D$38,4,0)=0,"",VLOOKUP(VLOOKUP(A545,'Relatório GERAL'!$A:$T,$E$1,0),'Dados de consulta'!$A$2:$D$38,4,0)),""))</f>
        <v/>
      </c>
    </row>
    <row r="546" spans="1:4" ht="15" x14ac:dyDescent="0.2">
      <c r="A546" s="116">
        <f>'Relatório GERAL'!A546</f>
        <v>42669</v>
      </c>
      <c r="B546" s="116">
        <f t="shared" si="18"/>
        <v>42644</v>
      </c>
      <c r="C546" s="117" t="str">
        <f>'Relatório GERAL'!B546</f>
        <v>qua</v>
      </c>
      <c r="D546" s="18" t="str">
        <f>IF(OR(C546="SÁB",C546="DOM"),"",IFERROR(IF(VLOOKUP(VLOOKUP(A546,'Relatório GERAL'!$A:$T,$E$1,0),'Dados de consulta'!$A$2:$D$38,4,0)=0,"",VLOOKUP(VLOOKUP(A546,'Relatório GERAL'!$A:$T,$E$1,0),'Dados de consulta'!$A$2:$D$38,4,0)),""))</f>
        <v/>
      </c>
    </row>
    <row r="547" spans="1:4" ht="15" x14ac:dyDescent="0.2">
      <c r="A547" s="116">
        <f>'Relatório GERAL'!A547</f>
        <v>42670</v>
      </c>
      <c r="B547" s="116">
        <f t="shared" si="18"/>
        <v>42644</v>
      </c>
      <c r="C547" s="117" t="str">
        <f>'Relatório GERAL'!B547</f>
        <v>qui</v>
      </c>
      <c r="D547" s="18" t="str">
        <f>IF(OR(C547="SÁB",C547="DOM"),"",IFERROR(IF(VLOOKUP(VLOOKUP(A547,'Relatório GERAL'!$A:$T,$E$1,0),'Dados de consulta'!$A$2:$D$38,4,0)=0,"",VLOOKUP(VLOOKUP(A547,'Relatório GERAL'!$A:$T,$E$1,0),'Dados de consulta'!$A$2:$D$38,4,0)),""))</f>
        <v/>
      </c>
    </row>
    <row r="548" spans="1:4" ht="15" x14ac:dyDescent="0.2">
      <c r="A548" s="116">
        <f>'Relatório GERAL'!A548</f>
        <v>42671</v>
      </c>
      <c r="B548" s="116">
        <f t="shared" si="18"/>
        <v>42644</v>
      </c>
      <c r="C548" s="117" t="str">
        <f>'Relatório GERAL'!B548</f>
        <v>sex</v>
      </c>
      <c r="D548" s="18" t="str">
        <f>IF(OR(C548="SÁB",C548="DOM"),"",IFERROR(IF(VLOOKUP(VLOOKUP(A548,'Relatório GERAL'!$A:$T,$E$1,0),'Dados de consulta'!$A$2:$D$38,4,0)=0,"",VLOOKUP(VLOOKUP(A548,'Relatório GERAL'!$A:$T,$E$1,0),'Dados de consulta'!$A$2:$D$38,4,0)),""))</f>
        <v/>
      </c>
    </row>
    <row r="549" spans="1:4" ht="15" x14ac:dyDescent="0.2">
      <c r="A549" s="116">
        <f>'Relatório GERAL'!A549</f>
        <v>42672</v>
      </c>
      <c r="B549" s="116">
        <f t="shared" si="18"/>
        <v>42644</v>
      </c>
      <c r="C549" s="117" t="str">
        <f>'Relatório GERAL'!B549</f>
        <v>sáb</v>
      </c>
      <c r="D549" s="18" t="str">
        <f>IF(OR(C549="SÁB",C549="DOM"),"",IFERROR(IF(VLOOKUP(VLOOKUP(A549,'Relatório GERAL'!$A:$T,$E$1,0),'Dados de consulta'!$A$2:$D$38,4,0)=0,"",VLOOKUP(VLOOKUP(A549,'Relatório GERAL'!$A:$T,$E$1,0),'Dados de consulta'!$A$2:$D$38,4,0)),""))</f>
        <v/>
      </c>
    </row>
    <row r="550" spans="1:4" ht="15" x14ac:dyDescent="0.2">
      <c r="A550" s="116">
        <f>'Relatório GERAL'!A550</f>
        <v>42673</v>
      </c>
      <c r="B550" s="116">
        <f t="shared" si="18"/>
        <v>42644</v>
      </c>
      <c r="C550" s="117" t="str">
        <f>'Relatório GERAL'!B550</f>
        <v>dom</v>
      </c>
      <c r="D550" s="18" t="str">
        <f>IF(OR(C550="SÁB",C550="DOM"),"",IFERROR(IF(VLOOKUP(VLOOKUP(A550,'Relatório GERAL'!$A:$T,$E$1,0),'Dados de consulta'!$A$2:$D$38,4,0)=0,"",VLOOKUP(VLOOKUP(A550,'Relatório GERAL'!$A:$T,$E$1,0),'Dados de consulta'!$A$2:$D$38,4,0)),""))</f>
        <v/>
      </c>
    </row>
    <row r="551" spans="1:4" ht="15" x14ac:dyDescent="0.2">
      <c r="A551" s="116">
        <f>'Relatório GERAL'!A551</f>
        <v>42674</v>
      </c>
      <c r="B551" s="116">
        <f t="shared" si="18"/>
        <v>42644</v>
      </c>
      <c r="C551" s="117" t="str">
        <f>'Relatório GERAL'!B551</f>
        <v>seg</v>
      </c>
      <c r="D551" s="18" t="str">
        <f>IF(OR(C551="SÁB",C551="DOM"),"",IFERROR(IF(VLOOKUP(VLOOKUP(A551,'Relatório GERAL'!$A:$T,$E$1,0),'Dados de consulta'!$A$2:$D$38,4,0)=0,"",VLOOKUP(VLOOKUP(A551,'Relatório GERAL'!$A:$T,$E$1,0),'Dados de consulta'!$A$2:$D$38,4,0)),""))</f>
        <v/>
      </c>
    </row>
    <row r="552" spans="1:4" ht="15" x14ac:dyDescent="0.2">
      <c r="A552" s="116">
        <f>'Relatório GERAL'!A552</f>
        <v>42675</v>
      </c>
      <c r="B552" s="116">
        <f t="shared" si="18"/>
        <v>42675</v>
      </c>
      <c r="C552" s="117" t="str">
        <f>'Relatório GERAL'!B552</f>
        <v>ter</v>
      </c>
      <c r="D552" s="18" t="str">
        <f>IF(OR(C552="SÁB",C552="DOM"),"",IFERROR(IF(VLOOKUP(VLOOKUP(A552,'Relatório GERAL'!$A:$T,$E$1,0),'Dados de consulta'!$A$2:$D$38,4,0)=0,"",VLOOKUP(VLOOKUP(A552,'Relatório GERAL'!$A:$T,$E$1,0),'Dados de consulta'!$A$2:$D$38,4,0)),""))</f>
        <v/>
      </c>
    </row>
    <row r="553" spans="1:4" ht="15" x14ac:dyDescent="0.2">
      <c r="A553" s="116">
        <f>'Relatório GERAL'!A553</f>
        <v>42676</v>
      </c>
      <c r="B553" s="116">
        <f t="shared" si="18"/>
        <v>42675</v>
      </c>
      <c r="C553" s="117" t="str">
        <f>'Relatório GERAL'!B553</f>
        <v>qua</v>
      </c>
      <c r="D553" s="18" t="str">
        <f>IF(OR(C553="SÁB",C553="DOM"),"",IFERROR(IF(VLOOKUP(VLOOKUP(A553,'Relatório GERAL'!$A:$T,$E$1,0),'Dados de consulta'!$A$2:$D$38,4,0)=0,"",VLOOKUP(VLOOKUP(A553,'Relatório GERAL'!$A:$T,$E$1,0),'Dados de consulta'!$A$2:$D$38,4,0)),""))</f>
        <v/>
      </c>
    </row>
    <row r="554" spans="1:4" ht="15" x14ac:dyDescent="0.2">
      <c r="A554" s="116">
        <f>'Relatório GERAL'!A554</f>
        <v>42677</v>
      </c>
      <c r="B554" s="116">
        <f t="shared" si="18"/>
        <v>42675</v>
      </c>
      <c r="C554" s="117" t="str">
        <f>'Relatório GERAL'!B554</f>
        <v>qui</v>
      </c>
      <c r="D554" s="18" t="str">
        <f>IF(OR(C554="SÁB",C554="DOM"),"",IFERROR(IF(VLOOKUP(VLOOKUP(A554,'Relatório GERAL'!$A:$T,$E$1,0),'Dados de consulta'!$A$2:$D$38,4,0)=0,"",VLOOKUP(VLOOKUP(A554,'Relatório GERAL'!$A:$T,$E$1,0),'Dados de consulta'!$A$2:$D$38,4,0)),""))</f>
        <v/>
      </c>
    </row>
    <row r="555" spans="1:4" ht="15" x14ac:dyDescent="0.2">
      <c r="A555" s="116">
        <f>'Relatório GERAL'!A555</f>
        <v>42678</v>
      </c>
      <c r="B555" s="116">
        <f t="shared" si="18"/>
        <v>42675</v>
      </c>
      <c r="C555" s="117" t="str">
        <f>'Relatório GERAL'!B555</f>
        <v>sex</v>
      </c>
      <c r="D555" s="18" t="str">
        <f>IF(OR(C555="SÁB",C555="DOM"),"",IFERROR(IF(VLOOKUP(VLOOKUP(A555,'Relatório GERAL'!$A:$T,$E$1,0),'Dados de consulta'!$A$2:$D$38,4,0)=0,"",VLOOKUP(VLOOKUP(A555,'Relatório GERAL'!$A:$T,$E$1,0),'Dados de consulta'!$A$2:$D$38,4,0)),""))</f>
        <v/>
      </c>
    </row>
    <row r="556" spans="1:4" ht="15" x14ac:dyDescent="0.2">
      <c r="A556" s="116">
        <f>'Relatório GERAL'!A556</f>
        <v>42679</v>
      </c>
      <c r="B556" s="116">
        <f t="shared" ref="B556:B619" si="19">DATEVALUE(CONCATENATE("01/",TEXT(A556,"mm/aaaa")))</f>
        <v>42675</v>
      </c>
      <c r="C556" s="117" t="str">
        <f>'Relatório GERAL'!B556</f>
        <v>sáb</v>
      </c>
      <c r="D556" s="18" t="str">
        <f>IF(OR(C556="SÁB",C556="DOM"),"",IFERROR(IF(VLOOKUP(VLOOKUP(A556,'Relatório GERAL'!$A:$T,$E$1,0),'Dados de consulta'!$A$2:$D$38,4,0)=0,"",VLOOKUP(VLOOKUP(A556,'Relatório GERAL'!$A:$T,$E$1,0),'Dados de consulta'!$A$2:$D$38,4,0)),""))</f>
        <v/>
      </c>
    </row>
    <row r="557" spans="1:4" ht="15" x14ac:dyDescent="0.2">
      <c r="A557" s="116">
        <f>'Relatório GERAL'!A557</f>
        <v>42680</v>
      </c>
      <c r="B557" s="116">
        <f t="shared" si="19"/>
        <v>42675</v>
      </c>
      <c r="C557" s="117" t="str">
        <f>'Relatório GERAL'!B557</f>
        <v>dom</v>
      </c>
      <c r="D557" s="18" t="str">
        <f>IF(OR(C557="SÁB",C557="DOM"),"",IFERROR(IF(VLOOKUP(VLOOKUP(A557,'Relatório GERAL'!$A:$T,$E$1,0),'Dados de consulta'!$A$2:$D$38,4,0)=0,"",VLOOKUP(VLOOKUP(A557,'Relatório GERAL'!$A:$T,$E$1,0),'Dados de consulta'!$A$2:$D$38,4,0)),""))</f>
        <v/>
      </c>
    </row>
    <row r="558" spans="1:4" ht="15" x14ac:dyDescent="0.2">
      <c r="A558" s="116">
        <f>'Relatório GERAL'!A558</f>
        <v>42681</v>
      </c>
      <c r="B558" s="116">
        <f t="shared" si="19"/>
        <v>42675</v>
      </c>
      <c r="C558" s="117" t="str">
        <f>'Relatório GERAL'!B558</f>
        <v>seg</v>
      </c>
      <c r="D558" s="18" t="str">
        <f>IF(OR(C558="SÁB",C558="DOM"),"",IFERROR(IF(VLOOKUP(VLOOKUP(A558,'Relatório GERAL'!$A:$T,$E$1,0),'Dados de consulta'!$A$2:$D$38,4,0)=0,"",VLOOKUP(VLOOKUP(A558,'Relatório GERAL'!$A:$T,$E$1,0),'Dados de consulta'!$A$2:$D$38,4,0)),""))</f>
        <v/>
      </c>
    </row>
    <row r="559" spans="1:4" ht="15" x14ac:dyDescent="0.2">
      <c r="A559" s="116">
        <f>'Relatório GERAL'!A559</f>
        <v>42682</v>
      </c>
      <c r="B559" s="116">
        <f t="shared" si="19"/>
        <v>42675</v>
      </c>
      <c r="C559" s="117" t="str">
        <f>'Relatório GERAL'!B559</f>
        <v>ter</v>
      </c>
      <c r="D559" s="18" t="str">
        <f>IF(OR(C559="SÁB",C559="DOM"),"",IFERROR(IF(VLOOKUP(VLOOKUP(A559,'Relatório GERAL'!$A:$T,$E$1,0),'Dados de consulta'!$A$2:$D$38,4,0)=0,"",VLOOKUP(VLOOKUP(A559,'Relatório GERAL'!$A:$T,$E$1,0),'Dados de consulta'!$A$2:$D$38,4,0)),""))</f>
        <v/>
      </c>
    </row>
    <row r="560" spans="1:4" ht="15" x14ac:dyDescent="0.2">
      <c r="A560" s="116">
        <f>'Relatório GERAL'!A560</f>
        <v>42683</v>
      </c>
      <c r="B560" s="116">
        <f t="shared" si="19"/>
        <v>42675</v>
      </c>
      <c r="C560" s="117" t="str">
        <f>'Relatório GERAL'!B560</f>
        <v>qua</v>
      </c>
      <c r="D560" s="18" t="str">
        <f>IF(OR(C560="SÁB",C560="DOM"),"",IFERROR(IF(VLOOKUP(VLOOKUP(A560,'Relatório GERAL'!$A:$T,$E$1,0),'Dados de consulta'!$A$2:$D$38,4,0)=0,"",VLOOKUP(VLOOKUP(A560,'Relatório GERAL'!$A:$T,$E$1,0),'Dados de consulta'!$A$2:$D$38,4,0)),""))</f>
        <v/>
      </c>
    </row>
    <row r="561" spans="1:4" ht="15" x14ac:dyDescent="0.2">
      <c r="A561" s="116">
        <f>'Relatório GERAL'!A561</f>
        <v>42684</v>
      </c>
      <c r="B561" s="116">
        <f t="shared" si="19"/>
        <v>42675</v>
      </c>
      <c r="C561" s="117" t="str">
        <f>'Relatório GERAL'!B561</f>
        <v>qui</v>
      </c>
      <c r="D561" s="18" t="str">
        <f>IF(OR(C561="SÁB",C561="DOM"),"",IFERROR(IF(VLOOKUP(VLOOKUP(A561,'Relatório GERAL'!$A:$T,$E$1,0),'Dados de consulta'!$A$2:$D$38,4,0)=0,"",VLOOKUP(VLOOKUP(A561,'Relatório GERAL'!$A:$T,$E$1,0),'Dados de consulta'!$A$2:$D$38,4,0)),""))</f>
        <v/>
      </c>
    </row>
    <row r="562" spans="1:4" ht="15" x14ac:dyDescent="0.2">
      <c r="A562" s="116">
        <f>'Relatório GERAL'!A562</f>
        <v>42685</v>
      </c>
      <c r="B562" s="116">
        <f t="shared" si="19"/>
        <v>42675</v>
      </c>
      <c r="C562" s="117" t="str">
        <f>'Relatório GERAL'!B562</f>
        <v>sex</v>
      </c>
      <c r="D562" s="18" t="str">
        <f>IF(OR(C562="SÁB",C562="DOM"),"",IFERROR(IF(VLOOKUP(VLOOKUP(A562,'Relatório GERAL'!$A:$T,$E$1,0),'Dados de consulta'!$A$2:$D$38,4,0)=0,"",VLOOKUP(VLOOKUP(A562,'Relatório GERAL'!$A:$T,$E$1,0),'Dados de consulta'!$A$2:$D$38,4,0)),""))</f>
        <v/>
      </c>
    </row>
    <row r="563" spans="1:4" ht="15" x14ac:dyDescent="0.2">
      <c r="A563" s="116">
        <f>'Relatório GERAL'!A563</f>
        <v>42686</v>
      </c>
      <c r="B563" s="116">
        <f t="shared" si="19"/>
        <v>42675</v>
      </c>
      <c r="C563" s="117" t="str">
        <f>'Relatório GERAL'!B563</f>
        <v>sáb</v>
      </c>
      <c r="D563" s="18" t="str">
        <f>IF(OR(C563="SÁB",C563="DOM"),"",IFERROR(IF(VLOOKUP(VLOOKUP(A563,'Relatório GERAL'!$A:$T,$E$1,0),'Dados de consulta'!$A$2:$D$38,4,0)=0,"",VLOOKUP(VLOOKUP(A563,'Relatório GERAL'!$A:$T,$E$1,0),'Dados de consulta'!$A$2:$D$38,4,0)),""))</f>
        <v/>
      </c>
    </row>
    <row r="564" spans="1:4" ht="15" x14ac:dyDescent="0.2">
      <c r="A564" s="116">
        <f>'Relatório GERAL'!A564</f>
        <v>42687</v>
      </c>
      <c r="B564" s="116">
        <f t="shared" si="19"/>
        <v>42675</v>
      </c>
      <c r="C564" s="117" t="str">
        <f>'Relatório GERAL'!B564</f>
        <v>dom</v>
      </c>
      <c r="D564" s="18" t="str">
        <f>IF(OR(C564="SÁB",C564="DOM"),"",IFERROR(IF(VLOOKUP(VLOOKUP(A564,'Relatório GERAL'!$A:$T,$E$1,0),'Dados de consulta'!$A$2:$D$38,4,0)=0,"",VLOOKUP(VLOOKUP(A564,'Relatório GERAL'!$A:$T,$E$1,0),'Dados de consulta'!$A$2:$D$38,4,0)),""))</f>
        <v/>
      </c>
    </row>
    <row r="565" spans="1:4" ht="15" x14ac:dyDescent="0.2">
      <c r="A565" s="116">
        <f>'Relatório GERAL'!A565</f>
        <v>42688</v>
      </c>
      <c r="B565" s="116">
        <f t="shared" si="19"/>
        <v>42675</v>
      </c>
      <c r="C565" s="117" t="str">
        <f>'Relatório GERAL'!B565</f>
        <v>seg</v>
      </c>
      <c r="D565" s="18" t="str">
        <f>IF(OR(C565="SÁB",C565="DOM"),"",IFERROR(IF(VLOOKUP(VLOOKUP(A565,'Relatório GERAL'!$A:$T,$E$1,0),'Dados de consulta'!$A$2:$D$38,4,0)=0,"",VLOOKUP(VLOOKUP(A565,'Relatório GERAL'!$A:$T,$E$1,0),'Dados de consulta'!$A$2:$D$38,4,0)),""))</f>
        <v/>
      </c>
    </row>
    <row r="566" spans="1:4" ht="15" x14ac:dyDescent="0.2">
      <c r="A566" s="116">
        <f>'Relatório GERAL'!A566</f>
        <v>42689</v>
      </c>
      <c r="B566" s="116">
        <f t="shared" si="19"/>
        <v>42675</v>
      </c>
      <c r="C566" s="117" t="str">
        <f>'Relatório GERAL'!B566</f>
        <v>ter</v>
      </c>
      <c r="D566" s="18" t="str">
        <f>IF(OR(C566="SÁB",C566="DOM"),"",IFERROR(IF(VLOOKUP(VLOOKUP(A566,'Relatório GERAL'!$A:$T,$E$1,0),'Dados de consulta'!$A$2:$D$38,4,0)=0,"",VLOOKUP(VLOOKUP(A566,'Relatório GERAL'!$A:$T,$E$1,0),'Dados de consulta'!$A$2:$D$38,4,0)),""))</f>
        <v/>
      </c>
    </row>
    <row r="567" spans="1:4" ht="15" x14ac:dyDescent="0.2">
      <c r="A567" s="116">
        <f>'Relatório GERAL'!A567</f>
        <v>42690</v>
      </c>
      <c r="B567" s="116">
        <f t="shared" si="19"/>
        <v>42675</v>
      </c>
      <c r="C567" s="117" t="str">
        <f>'Relatório GERAL'!B567</f>
        <v>qua</v>
      </c>
      <c r="D567" s="18" t="str">
        <f>IF(OR(C567="SÁB",C567="DOM"),"",IFERROR(IF(VLOOKUP(VLOOKUP(A567,'Relatório GERAL'!$A:$T,$E$1,0),'Dados de consulta'!$A$2:$D$38,4,0)=0,"",VLOOKUP(VLOOKUP(A567,'Relatório GERAL'!$A:$T,$E$1,0),'Dados de consulta'!$A$2:$D$38,4,0)),""))</f>
        <v/>
      </c>
    </row>
    <row r="568" spans="1:4" ht="15" x14ac:dyDescent="0.2">
      <c r="A568" s="116">
        <f>'Relatório GERAL'!A568</f>
        <v>42691</v>
      </c>
      <c r="B568" s="116">
        <f t="shared" si="19"/>
        <v>42675</v>
      </c>
      <c r="C568" s="117" t="str">
        <f>'Relatório GERAL'!B568</f>
        <v>qui</v>
      </c>
      <c r="D568" s="18" t="str">
        <f>IF(OR(C568="SÁB",C568="DOM"),"",IFERROR(IF(VLOOKUP(VLOOKUP(A568,'Relatório GERAL'!$A:$T,$E$1,0),'Dados de consulta'!$A$2:$D$38,4,0)=0,"",VLOOKUP(VLOOKUP(A568,'Relatório GERAL'!$A:$T,$E$1,0),'Dados de consulta'!$A$2:$D$38,4,0)),""))</f>
        <v/>
      </c>
    </row>
    <row r="569" spans="1:4" ht="15" x14ac:dyDescent="0.2">
      <c r="A569" s="116">
        <f>'Relatório GERAL'!A569</f>
        <v>42692</v>
      </c>
      <c r="B569" s="116">
        <f t="shared" si="19"/>
        <v>42675</v>
      </c>
      <c r="C569" s="117" t="str">
        <f>'Relatório GERAL'!B569</f>
        <v>sex</v>
      </c>
      <c r="D569" s="18" t="str">
        <f>IF(OR(C569="SÁB",C569="DOM"),"",IFERROR(IF(VLOOKUP(VLOOKUP(A569,'Relatório GERAL'!$A:$T,$E$1,0),'Dados de consulta'!$A$2:$D$38,4,0)=0,"",VLOOKUP(VLOOKUP(A569,'Relatório GERAL'!$A:$T,$E$1,0),'Dados de consulta'!$A$2:$D$38,4,0)),""))</f>
        <v/>
      </c>
    </row>
    <row r="570" spans="1:4" ht="15" x14ac:dyDescent="0.2">
      <c r="A570" s="116">
        <f>'Relatório GERAL'!A570</f>
        <v>42693</v>
      </c>
      <c r="B570" s="116">
        <f t="shared" si="19"/>
        <v>42675</v>
      </c>
      <c r="C570" s="117" t="str">
        <f>'Relatório GERAL'!B570</f>
        <v>sáb</v>
      </c>
      <c r="D570" s="18" t="str">
        <f>IF(OR(C570="SÁB",C570="DOM"),"",IFERROR(IF(VLOOKUP(VLOOKUP(A570,'Relatório GERAL'!$A:$T,$E$1,0),'Dados de consulta'!$A$2:$D$38,4,0)=0,"",VLOOKUP(VLOOKUP(A570,'Relatório GERAL'!$A:$T,$E$1,0),'Dados de consulta'!$A$2:$D$38,4,0)),""))</f>
        <v/>
      </c>
    </row>
    <row r="571" spans="1:4" ht="15" x14ac:dyDescent="0.2">
      <c r="A571" s="116">
        <f>'Relatório GERAL'!A571</f>
        <v>42694</v>
      </c>
      <c r="B571" s="116">
        <f t="shared" si="19"/>
        <v>42675</v>
      </c>
      <c r="C571" s="117" t="str">
        <f>'Relatório GERAL'!B571</f>
        <v>dom</v>
      </c>
      <c r="D571" s="18" t="str">
        <f>IF(OR(C571="SÁB",C571="DOM"),"",IFERROR(IF(VLOOKUP(VLOOKUP(A571,'Relatório GERAL'!$A:$T,$E$1,0),'Dados de consulta'!$A$2:$D$38,4,0)=0,"",VLOOKUP(VLOOKUP(A571,'Relatório GERAL'!$A:$T,$E$1,0),'Dados de consulta'!$A$2:$D$38,4,0)),""))</f>
        <v/>
      </c>
    </row>
    <row r="572" spans="1:4" ht="15" x14ac:dyDescent="0.2">
      <c r="A572" s="116">
        <f>'Relatório GERAL'!A572</f>
        <v>42695</v>
      </c>
      <c r="B572" s="116">
        <f t="shared" si="19"/>
        <v>42675</v>
      </c>
      <c r="C572" s="117" t="str">
        <f>'Relatório GERAL'!B572</f>
        <v>seg</v>
      </c>
      <c r="D572" s="18" t="str">
        <f>IF(OR(C572="SÁB",C572="DOM"),"",IFERROR(IF(VLOOKUP(VLOOKUP(A572,'Relatório GERAL'!$A:$T,$E$1,0),'Dados de consulta'!$A$2:$D$38,4,0)=0,"",VLOOKUP(VLOOKUP(A572,'Relatório GERAL'!$A:$T,$E$1,0),'Dados de consulta'!$A$2:$D$38,4,0)),""))</f>
        <v/>
      </c>
    </row>
    <row r="573" spans="1:4" ht="15" x14ac:dyDescent="0.2">
      <c r="A573" s="116">
        <f>'Relatório GERAL'!A573</f>
        <v>42696</v>
      </c>
      <c r="B573" s="116">
        <f t="shared" si="19"/>
        <v>42675</v>
      </c>
      <c r="C573" s="117" t="str">
        <f>'Relatório GERAL'!B573</f>
        <v>ter</v>
      </c>
      <c r="D573" s="18" t="str">
        <f>IF(OR(C573="SÁB",C573="DOM"),"",IFERROR(IF(VLOOKUP(VLOOKUP(A573,'Relatório GERAL'!$A:$T,$E$1,0),'Dados de consulta'!$A$2:$D$38,4,0)=0,"",VLOOKUP(VLOOKUP(A573,'Relatório GERAL'!$A:$T,$E$1,0),'Dados de consulta'!$A$2:$D$38,4,0)),""))</f>
        <v/>
      </c>
    </row>
    <row r="574" spans="1:4" ht="15" x14ac:dyDescent="0.2">
      <c r="A574" s="116">
        <f>'Relatório GERAL'!A574</f>
        <v>42697</v>
      </c>
      <c r="B574" s="116">
        <f t="shared" si="19"/>
        <v>42675</v>
      </c>
      <c r="C574" s="117" t="str">
        <f>'Relatório GERAL'!B574</f>
        <v>qua</v>
      </c>
      <c r="D574" s="18" t="str">
        <f>IF(OR(C574="SÁB",C574="DOM"),"",IFERROR(IF(VLOOKUP(VLOOKUP(A574,'Relatório GERAL'!$A:$T,$E$1,0),'Dados de consulta'!$A$2:$D$38,4,0)=0,"",VLOOKUP(VLOOKUP(A574,'Relatório GERAL'!$A:$T,$E$1,0),'Dados de consulta'!$A$2:$D$38,4,0)),""))</f>
        <v/>
      </c>
    </row>
    <row r="575" spans="1:4" ht="15" x14ac:dyDescent="0.2">
      <c r="A575" s="116">
        <f>'Relatório GERAL'!A575</f>
        <v>42698</v>
      </c>
      <c r="B575" s="116">
        <f t="shared" si="19"/>
        <v>42675</v>
      </c>
      <c r="C575" s="117" t="str">
        <f>'Relatório GERAL'!B575</f>
        <v>qui</v>
      </c>
      <c r="D575" s="18" t="str">
        <f>IF(OR(C575="SÁB",C575="DOM"),"",IFERROR(IF(VLOOKUP(VLOOKUP(A575,'Relatório GERAL'!$A:$T,$E$1,0),'Dados de consulta'!$A$2:$D$38,4,0)=0,"",VLOOKUP(VLOOKUP(A575,'Relatório GERAL'!$A:$T,$E$1,0),'Dados de consulta'!$A$2:$D$38,4,0)),""))</f>
        <v/>
      </c>
    </row>
    <row r="576" spans="1:4" ht="15" x14ac:dyDescent="0.2">
      <c r="A576" s="116">
        <f>'Relatório GERAL'!A576</f>
        <v>42699</v>
      </c>
      <c r="B576" s="116">
        <f t="shared" si="19"/>
        <v>42675</v>
      </c>
      <c r="C576" s="117" t="str">
        <f>'Relatório GERAL'!B576</f>
        <v>sex</v>
      </c>
      <c r="D576" s="18" t="str">
        <f>IF(OR(C576="SÁB",C576="DOM"),"",IFERROR(IF(VLOOKUP(VLOOKUP(A576,'Relatório GERAL'!$A:$T,$E$1,0),'Dados de consulta'!$A$2:$D$38,4,0)=0,"",VLOOKUP(VLOOKUP(A576,'Relatório GERAL'!$A:$T,$E$1,0),'Dados de consulta'!$A$2:$D$38,4,0)),""))</f>
        <v/>
      </c>
    </row>
    <row r="577" spans="1:4" ht="15" x14ac:dyDescent="0.2">
      <c r="A577" s="116">
        <f>'Relatório GERAL'!A577</f>
        <v>42700</v>
      </c>
      <c r="B577" s="116">
        <f t="shared" si="19"/>
        <v>42675</v>
      </c>
      <c r="C577" s="117" t="str">
        <f>'Relatório GERAL'!B577</f>
        <v>sáb</v>
      </c>
      <c r="D577" s="18" t="str">
        <f>IF(OR(C577="SÁB",C577="DOM"),"",IFERROR(IF(VLOOKUP(VLOOKUP(A577,'Relatório GERAL'!$A:$T,$E$1,0),'Dados de consulta'!$A$2:$D$38,4,0)=0,"",VLOOKUP(VLOOKUP(A577,'Relatório GERAL'!$A:$T,$E$1,0),'Dados de consulta'!$A$2:$D$38,4,0)),""))</f>
        <v/>
      </c>
    </row>
    <row r="578" spans="1:4" ht="15" x14ac:dyDescent="0.2">
      <c r="A578" s="116">
        <f>'Relatório GERAL'!A578</f>
        <v>42701</v>
      </c>
      <c r="B578" s="116">
        <f t="shared" si="19"/>
        <v>42675</v>
      </c>
      <c r="C578" s="117" t="str">
        <f>'Relatório GERAL'!B578</f>
        <v>dom</v>
      </c>
      <c r="D578" s="18" t="str">
        <f>IF(OR(C578="SÁB",C578="DOM"),"",IFERROR(IF(VLOOKUP(VLOOKUP(A578,'Relatório GERAL'!$A:$T,$E$1,0),'Dados de consulta'!$A$2:$D$38,4,0)=0,"",VLOOKUP(VLOOKUP(A578,'Relatório GERAL'!$A:$T,$E$1,0),'Dados de consulta'!$A$2:$D$38,4,0)),""))</f>
        <v/>
      </c>
    </row>
    <row r="579" spans="1:4" ht="15" x14ac:dyDescent="0.2">
      <c r="A579" s="116">
        <f>'Relatório GERAL'!A579</f>
        <v>42702</v>
      </c>
      <c r="B579" s="116">
        <f t="shared" si="19"/>
        <v>42675</v>
      </c>
      <c r="C579" s="117" t="str">
        <f>'Relatório GERAL'!B579</f>
        <v>seg</v>
      </c>
      <c r="D579" s="18" t="str">
        <f>IF(OR(C579="SÁB",C579="DOM"),"",IFERROR(IF(VLOOKUP(VLOOKUP(A579,'Relatório GERAL'!$A:$T,$E$1,0),'Dados de consulta'!$A$2:$D$38,4,0)=0,"",VLOOKUP(VLOOKUP(A579,'Relatório GERAL'!$A:$T,$E$1,0),'Dados de consulta'!$A$2:$D$38,4,0)),""))</f>
        <v/>
      </c>
    </row>
    <row r="580" spans="1:4" ht="15" x14ac:dyDescent="0.2">
      <c r="A580" s="116">
        <f>'Relatório GERAL'!A580</f>
        <v>42703</v>
      </c>
      <c r="B580" s="116">
        <f t="shared" si="19"/>
        <v>42675</v>
      </c>
      <c r="C580" s="117" t="str">
        <f>'Relatório GERAL'!B580</f>
        <v>ter</v>
      </c>
      <c r="D580" s="18" t="str">
        <f>IF(OR(C580="SÁB",C580="DOM"),"",IFERROR(IF(VLOOKUP(VLOOKUP(A580,'Relatório GERAL'!$A:$T,$E$1,0),'Dados de consulta'!$A$2:$D$38,4,0)=0,"",VLOOKUP(VLOOKUP(A580,'Relatório GERAL'!$A:$T,$E$1,0),'Dados de consulta'!$A$2:$D$38,4,0)),""))</f>
        <v/>
      </c>
    </row>
    <row r="581" spans="1:4" ht="15" x14ac:dyDescent="0.2">
      <c r="A581" s="116">
        <f>'Relatório GERAL'!A581</f>
        <v>42704</v>
      </c>
      <c r="B581" s="116">
        <f t="shared" si="19"/>
        <v>42675</v>
      </c>
      <c r="C581" s="117" t="str">
        <f>'Relatório GERAL'!B581</f>
        <v>qua</v>
      </c>
      <c r="D581" s="18" t="str">
        <f>IF(OR(C581="SÁB",C581="DOM"),"",IFERROR(IF(VLOOKUP(VLOOKUP(A581,'Relatório GERAL'!$A:$T,$E$1,0),'Dados de consulta'!$A$2:$D$38,4,0)=0,"",VLOOKUP(VLOOKUP(A581,'Relatório GERAL'!$A:$T,$E$1,0),'Dados de consulta'!$A$2:$D$38,4,0)),""))</f>
        <v/>
      </c>
    </row>
    <row r="582" spans="1:4" ht="15" x14ac:dyDescent="0.2">
      <c r="A582" s="116">
        <f>'Relatório GERAL'!A582</f>
        <v>42705</v>
      </c>
      <c r="B582" s="116">
        <f t="shared" si="19"/>
        <v>42705</v>
      </c>
      <c r="C582" s="117" t="str">
        <f>'Relatório GERAL'!B582</f>
        <v>qui</v>
      </c>
      <c r="D582" s="18" t="str">
        <f>IF(OR(C582="SÁB",C582="DOM"),"",IFERROR(IF(VLOOKUP(VLOOKUP(A582,'Relatório GERAL'!$A:$T,$E$1,0),'Dados de consulta'!$A$2:$D$38,4,0)=0,"",VLOOKUP(VLOOKUP(A582,'Relatório GERAL'!$A:$T,$E$1,0),'Dados de consulta'!$A$2:$D$38,4,0)),""))</f>
        <v/>
      </c>
    </row>
    <row r="583" spans="1:4" ht="15" x14ac:dyDescent="0.2">
      <c r="A583" s="116">
        <f>'Relatório GERAL'!A583</f>
        <v>42706</v>
      </c>
      <c r="B583" s="116">
        <f t="shared" si="19"/>
        <v>42705</v>
      </c>
      <c r="C583" s="117" t="str">
        <f>'Relatório GERAL'!B583</f>
        <v>sex</v>
      </c>
      <c r="D583" s="18" t="str">
        <f>IF(OR(C583="SÁB",C583="DOM"),"",IFERROR(IF(VLOOKUP(VLOOKUP(A583,'Relatório GERAL'!$A:$T,$E$1,0),'Dados de consulta'!$A$2:$D$38,4,0)=0,"",VLOOKUP(VLOOKUP(A583,'Relatório GERAL'!$A:$T,$E$1,0),'Dados de consulta'!$A$2:$D$38,4,0)),""))</f>
        <v/>
      </c>
    </row>
    <row r="584" spans="1:4" ht="15" x14ac:dyDescent="0.2">
      <c r="A584" s="116">
        <f>'Relatório GERAL'!A584</f>
        <v>42707</v>
      </c>
      <c r="B584" s="116">
        <f t="shared" si="19"/>
        <v>42705</v>
      </c>
      <c r="C584" s="117" t="str">
        <f>'Relatório GERAL'!B584</f>
        <v>sáb</v>
      </c>
      <c r="D584" s="18" t="str">
        <f>IF(OR(C584="SÁB",C584="DOM"),"",IFERROR(IF(VLOOKUP(VLOOKUP(A584,'Relatório GERAL'!$A:$T,$E$1,0),'Dados de consulta'!$A$2:$D$38,4,0)=0,"",VLOOKUP(VLOOKUP(A584,'Relatório GERAL'!$A:$T,$E$1,0),'Dados de consulta'!$A$2:$D$38,4,0)),""))</f>
        <v/>
      </c>
    </row>
    <row r="585" spans="1:4" ht="15" x14ac:dyDescent="0.2">
      <c r="A585" s="116">
        <f>'Relatório GERAL'!A585</f>
        <v>42708</v>
      </c>
      <c r="B585" s="116">
        <f t="shared" si="19"/>
        <v>42705</v>
      </c>
      <c r="C585" s="117" t="str">
        <f>'Relatório GERAL'!B585</f>
        <v>dom</v>
      </c>
      <c r="D585" s="18" t="str">
        <f>IF(OR(C585="SÁB",C585="DOM"),"",IFERROR(IF(VLOOKUP(VLOOKUP(A585,'Relatório GERAL'!$A:$T,$E$1,0),'Dados de consulta'!$A$2:$D$38,4,0)=0,"",VLOOKUP(VLOOKUP(A585,'Relatório GERAL'!$A:$T,$E$1,0),'Dados de consulta'!$A$2:$D$38,4,0)),""))</f>
        <v/>
      </c>
    </row>
    <row r="586" spans="1:4" ht="15" x14ac:dyDescent="0.2">
      <c r="A586" s="116">
        <f>'Relatório GERAL'!A586</f>
        <v>42709</v>
      </c>
      <c r="B586" s="116">
        <f t="shared" si="19"/>
        <v>42705</v>
      </c>
      <c r="C586" s="117" t="str">
        <f>'Relatório GERAL'!B586</f>
        <v>seg</v>
      </c>
      <c r="D586" s="18" t="str">
        <f>IF(OR(C586="SÁB",C586="DOM"),"",IFERROR(IF(VLOOKUP(VLOOKUP(A586,'Relatório GERAL'!$A:$T,$E$1,0),'Dados de consulta'!$A$2:$D$38,4,0)=0,"",VLOOKUP(VLOOKUP(A586,'Relatório GERAL'!$A:$T,$E$1,0),'Dados de consulta'!$A$2:$D$38,4,0)),""))</f>
        <v/>
      </c>
    </row>
    <row r="587" spans="1:4" ht="15" x14ac:dyDescent="0.2">
      <c r="A587" s="116">
        <f>'Relatório GERAL'!A587</f>
        <v>42710</v>
      </c>
      <c r="B587" s="116">
        <f t="shared" si="19"/>
        <v>42705</v>
      </c>
      <c r="C587" s="117" t="str">
        <f>'Relatório GERAL'!B587</f>
        <v>ter</v>
      </c>
      <c r="D587" s="18" t="str">
        <f>IF(OR(C587="SÁB",C587="DOM"),"",IFERROR(IF(VLOOKUP(VLOOKUP(A587,'Relatório GERAL'!$A:$T,$E$1,0),'Dados de consulta'!$A$2:$D$38,4,0)=0,"",VLOOKUP(VLOOKUP(A587,'Relatório GERAL'!$A:$T,$E$1,0),'Dados de consulta'!$A$2:$D$38,4,0)),""))</f>
        <v/>
      </c>
    </row>
    <row r="588" spans="1:4" ht="15" x14ac:dyDescent="0.2">
      <c r="A588" s="116">
        <f>'Relatório GERAL'!A588</f>
        <v>42711</v>
      </c>
      <c r="B588" s="116">
        <f t="shared" si="19"/>
        <v>42705</v>
      </c>
      <c r="C588" s="117" t="str">
        <f>'Relatório GERAL'!B588</f>
        <v>qua</v>
      </c>
      <c r="D588" s="18" t="str">
        <f>IF(OR(C588="SÁB",C588="DOM"),"",IFERROR(IF(VLOOKUP(VLOOKUP(A588,'Relatório GERAL'!$A:$T,$E$1,0),'Dados de consulta'!$A$2:$D$38,4,0)=0,"",VLOOKUP(VLOOKUP(A588,'Relatório GERAL'!$A:$T,$E$1,0),'Dados de consulta'!$A$2:$D$38,4,0)),""))</f>
        <v/>
      </c>
    </row>
    <row r="589" spans="1:4" ht="15" x14ac:dyDescent="0.2">
      <c r="A589" s="116">
        <f>'Relatório GERAL'!A589</f>
        <v>42712</v>
      </c>
      <c r="B589" s="116">
        <f t="shared" si="19"/>
        <v>42705</v>
      </c>
      <c r="C589" s="117" t="str">
        <f>'Relatório GERAL'!B589</f>
        <v>qui</v>
      </c>
      <c r="D589" s="18" t="str">
        <f>IF(OR(C589="SÁB",C589="DOM"),"",IFERROR(IF(VLOOKUP(VLOOKUP(A589,'Relatório GERAL'!$A:$T,$E$1,0),'Dados de consulta'!$A$2:$D$38,4,0)=0,"",VLOOKUP(VLOOKUP(A589,'Relatório GERAL'!$A:$T,$E$1,0),'Dados de consulta'!$A$2:$D$38,4,0)),""))</f>
        <v/>
      </c>
    </row>
    <row r="590" spans="1:4" ht="15" x14ac:dyDescent="0.2">
      <c r="A590" s="116">
        <f>'Relatório GERAL'!A590</f>
        <v>42713</v>
      </c>
      <c r="B590" s="116">
        <f t="shared" si="19"/>
        <v>42705</v>
      </c>
      <c r="C590" s="117" t="str">
        <f>'Relatório GERAL'!B590</f>
        <v>sex</v>
      </c>
      <c r="D590" s="18" t="str">
        <f>IF(OR(C590="SÁB",C590="DOM"),"",IFERROR(IF(VLOOKUP(VLOOKUP(A590,'Relatório GERAL'!$A:$T,$E$1,0),'Dados de consulta'!$A$2:$D$38,4,0)=0,"",VLOOKUP(VLOOKUP(A590,'Relatório GERAL'!$A:$T,$E$1,0),'Dados de consulta'!$A$2:$D$38,4,0)),""))</f>
        <v/>
      </c>
    </row>
    <row r="591" spans="1:4" ht="15" x14ac:dyDescent="0.2">
      <c r="A591" s="116">
        <f>'Relatório GERAL'!A591</f>
        <v>42714</v>
      </c>
      <c r="B591" s="116">
        <f t="shared" si="19"/>
        <v>42705</v>
      </c>
      <c r="C591" s="117" t="str">
        <f>'Relatório GERAL'!B591</f>
        <v>sáb</v>
      </c>
      <c r="D591" s="18" t="str">
        <f>IF(OR(C591="SÁB",C591="DOM"),"",IFERROR(IF(VLOOKUP(VLOOKUP(A591,'Relatório GERAL'!$A:$T,$E$1,0),'Dados de consulta'!$A$2:$D$38,4,0)=0,"",VLOOKUP(VLOOKUP(A591,'Relatório GERAL'!$A:$T,$E$1,0),'Dados de consulta'!$A$2:$D$38,4,0)),""))</f>
        <v/>
      </c>
    </row>
    <row r="592" spans="1:4" ht="15" x14ac:dyDescent="0.2">
      <c r="A592" s="116">
        <f>'Relatório GERAL'!A592</f>
        <v>42715</v>
      </c>
      <c r="B592" s="116">
        <f t="shared" si="19"/>
        <v>42705</v>
      </c>
      <c r="C592" s="117" t="str">
        <f>'Relatório GERAL'!B592</f>
        <v>dom</v>
      </c>
      <c r="D592" s="18" t="str">
        <f>IF(OR(C592="SÁB",C592="DOM"),"",IFERROR(IF(VLOOKUP(VLOOKUP(A592,'Relatório GERAL'!$A:$T,$E$1,0),'Dados de consulta'!$A$2:$D$38,4,0)=0,"",VLOOKUP(VLOOKUP(A592,'Relatório GERAL'!$A:$T,$E$1,0),'Dados de consulta'!$A$2:$D$38,4,0)),""))</f>
        <v/>
      </c>
    </row>
    <row r="593" spans="1:4" ht="15" x14ac:dyDescent="0.2">
      <c r="A593" s="116">
        <f>'Relatório GERAL'!A593</f>
        <v>42716</v>
      </c>
      <c r="B593" s="116">
        <f t="shared" si="19"/>
        <v>42705</v>
      </c>
      <c r="C593" s="117" t="str">
        <f>'Relatório GERAL'!B593</f>
        <v>seg</v>
      </c>
      <c r="D593" s="18" t="str">
        <f>IF(OR(C593="SÁB",C593="DOM"),"",IFERROR(IF(VLOOKUP(VLOOKUP(A593,'Relatório GERAL'!$A:$T,$E$1,0),'Dados de consulta'!$A$2:$D$38,4,0)=0,"",VLOOKUP(VLOOKUP(A593,'Relatório GERAL'!$A:$T,$E$1,0),'Dados de consulta'!$A$2:$D$38,4,0)),""))</f>
        <v/>
      </c>
    </row>
    <row r="594" spans="1:4" ht="15" x14ac:dyDescent="0.2">
      <c r="A594" s="116">
        <f>'Relatório GERAL'!A594</f>
        <v>42717</v>
      </c>
      <c r="B594" s="116">
        <f t="shared" si="19"/>
        <v>42705</v>
      </c>
      <c r="C594" s="117" t="str">
        <f>'Relatório GERAL'!B594</f>
        <v>ter</v>
      </c>
      <c r="D594" s="18" t="str">
        <f>IF(OR(C594="SÁB",C594="DOM"),"",IFERROR(IF(VLOOKUP(VLOOKUP(A594,'Relatório GERAL'!$A:$T,$E$1,0),'Dados de consulta'!$A$2:$D$38,4,0)=0,"",VLOOKUP(VLOOKUP(A594,'Relatório GERAL'!$A:$T,$E$1,0),'Dados de consulta'!$A$2:$D$38,4,0)),""))</f>
        <v/>
      </c>
    </row>
    <row r="595" spans="1:4" ht="15" x14ac:dyDescent="0.2">
      <c r="A595" s="116">
        <f>'Relatório GERAL'!A595</f>
        <v>42718</v>
      </c>
      <c r="B595" s="116">
        <f t="shared" si="19"/>
        <v>42705</v>
      </c>
      <c r="C595" s="117" t="str">
        <f>'Relatório GERAL'!B595</f>
        <v>qua</v>
      </c>
      <c r="D595" s="18" t="str">
        <f>IF(OR(C595="SÁB",C595="DOM"),"",IFERROR(IF(VLOOKUP(VLOOKUP(A595,'Relatório GERAL'!$A:$T,$E$1,0),'Dados de consulta'!$A$2:$D$38,4,0)=0,"",VLOOKUP(VLOOKUP(A595,'Relatório GERAL'!$A:$T,$E$1,0),'Dados de consulta'!$A$2:$D$38,4,0)),""))</f>
        <v/>
      </c>
    </row>
    <row r="596" spans="1:4" ht="15" x14ac:dyDescent="0.2">
      <c r="A596" s="116">
        <f>'Relatório GERAL'!A596</f>
        <v>42719</v>
      </c>
      <c r="B596" s="116">
        <f t="shared" si="19"/>
        <v>42705</v>
      </c>
      <c r="C596" s="117" t="str">
        <f>'Relatório GERAL'!B596</f>
        <v>qui</v>
      </c>
      <c r="D596" s="18" t="str">
        <f>IF(OR(C596="SÁB",C596="DOM"),"",IFERROR(IF(VLOOKUP(VLOOKUP(A596,'Relatório GERAL'!$A:$T,$E$1,0),'Dados de consulta'!$A$2:$D$38,4,0)=0,"",VLOOKUP(VLOOKUP(A596,'Relatório GERAL'!$A:$T,$E$1,0),'Dados de consulta'!$A$2:$D$38,4,0)),""))</f>
        <v/>
      </c>
    </row>
    <row r="597" spans="1:4" ht="15" x14ac:dyDescent="0.2">
      <c r="A597" s="116">
        <f>'Relatório GERAL'!A597</f>
        <v>42720</v>
      </c>
      <c r="B597" s="116">
        <f t="shared" si="19"/>
        <v>42705</v>
      </c>
      <c r="C597" s="117" t="str">
        <f>'Relatório GERAL'!B597</f>
        <v>sex</v>
      </c>
      <c r="D597" s="18" t="str">
        <f>IF(OR(C597="SÁB",C597="DOM"),"",IFERROR(IF(VLOOKUP(VLOOKUP(A597,'Relatório GERAL'!$A:$T,$E$1,0),'Dados de consulta'!$A$2:$D$38,4,0)=0,"",VLOOKUP(VLOOKUP(A597,'Relatório GERAL'!$A:$T,$E$1,0),'Dados de consulta'!$A$2:$D$38,4,0)),""))</f>
        <v/>
      </c>
    </row>
    <row r="598" spans="1:4" ht="15" x14ac:dyDescent="0.2">
      <c r="A598" s="116">
        <f>'Relatório GERAL'!A598</f>
        <v>42721</v>
      </c>
      <c r="B598" s="116">
        <f t="shared" si="19"/>
        <v>42705</v>
      </c>
      <c r="C598" s="117" t="str">
        <f>'Relatório GERAL'!B598</f>
        <v>sáb</v>
      </c>
      <c r="D598" s="18" t="str">
        <f>IF(OR(C598="SÁB",C598="DOM"),"",IFERROR(IF(VLOOKUP(VLOOKUP(A598,'Relatório GERAL'!$A:$T,$E$1,0),'Dados de consulta'!$A$2:$D$38,4,0)=0,"",VLOOKUP(VLOOKUP(A598,'Relatório GERAL'!$A:$T,$E$1,0),'Dados de consulta'!$A$2:$D$38,4,0)),""))</f>
        <v/>
      </c>
    </row>
    <row r="599" spans="1:4" ht="15" x14ac:dyDescent="0.2">
      <c r="A599" s="116">
        <f>'Relatório GERAL'!A599</f>
        <v>42722</v>
      </c>
      <c r="B599" s="116">
        <f t="shared" si="19"/>
        <v>42705</v>
      </c>
      <c r="C599" s="117" t="str">
        <f>'Relatório GERAL'!B599</f>
        <v>dom</v>
      </c>
      <c r="D599" s="18" t="str">
        <f>IF(OR(C599="SÁB",C599="DOM"),"",IFERROR(IF(VLOOKUP(VLOOKUP(A599,'Relatório GERAL'!$A:$T,$E$1,0),'Dados de consulta'!$A$2:$D$38,4,0)=0,"",VLOOKUP(VLOOKUP(A599,'Relatório GERAL'!$A:$T,$E$1,0),'Dados de consulta'!$A$2:$D$38,4,0)),""))</f>
        <v/>
      </c>
    </row>
    <row r="600" spans="1:4" ht="15" x14ac:dyDescent="0.2">
      <c r="A600" s="116">
        <f>'Relatório GERAL'!A600</f>
        <v>42723</v>
      </c>
      <c r="B600" s="116">
        <f t="shared" si="19"/>
        <v>42705</v>
      </c>
      <c r="C600" s="117" t="str">
        <f>'Relatório GERAL'!B600</f>
        <v>seg</v>
      </c>
      <c r="D600" s="18" t="str">
        <f>IF(OR(C600="SÁB",C600="DOM"),"",IFERROR(IF(VLOOKUP(VLOOKUP(A600,'Relatório GERAL'!$A:$T,$E$1,0),'Dados de consulta'!$A$2:$D$38,4,0)=0,"",VLOOKUP(VLOOKUP(A600,'Relatório GERAL'!$A:$T,$E$1,0),'Dados de consulta'!$A$2:$D$38,4,0)),""))</f>
        <v/>
      </c>
    </row>
    <row r="601" spans="1:4" ht="15" x14ac:dyDescent="0.2">
      <c r="A601" s="116">
        <f>'Relatório GERAL'!A601</f>
        <v>42724</v>
      </c>
      <c r="B601" s="116">
        <f t="shared" si="19"/>
        <v>42705</v>
      </c>
      <c r="C601" s="117" t="str">
        <f>'Relatório GERAL'!B601</f>
        <v>ter</v>
      </c>
      <c r="D601" s="18" t="str">
        <f>IF(OR(C601="SÁB",C601="DOM"),"",IFERROR(IF(VLOOKUP(VLOOKUP(A601,'Relatório GERAL'!$A:$T,$E$1,0),'Dados de consulta'!$A$2:$D$38,4,0)=0,"",VLOOKUP(VLOOKUP(A601,'Relatório GERAL'!$A:$T,$E$1,0),'Dados de consulta'!$A$2:$D$38,4,0)),""))</f>
        <v/>
      </c>
    </row>
    <row r="602" spans="1:4" ht="15" x14ac:dyDescent="0.2">
      <c r="A602" s="116">
        <f>'Relatório GERAL'!A602</f>
        <v>42725</v>
      </c>
      <c r="B602" s="116">
        <f t="shared" si="19"/>
        <v>42705</v>
      </c>
      <c r="C602" s="117" t="str">
        <f>'Relatório GERAL'!B602</f>
        <v>qua</v>
      </c>
      <c r="D602" s="18" t="str">
        <f>IF(OR(C602="SÁB",C602="DOM"),"",IFERROR(IF(VLOOKUP(VLOOKUP(A602,'Relatório GERAL'!$A:$T,$E$1,0),'Dados de consulta'!$A$2:$D$38,4,0)=0,"",VLOOKUP(VLOOKUP(A602,'Relatório GERAL'!$A:$T,$E$1,0),'Dados de consulta'!$A$2:$D$38,4,0)),""))</f>
        <v/>
      </c>
    </row>
    <row r="603" spans="1:4" ht="15" x14ac:dyDescent="0.2">
      <c r="A603" s="116">
        <f>'Relatório GERAL'!A603</f>
        <v>42726</v>
      </c>
      <c r="B603" s="116">
        <f t="shared" si="19"/>
        <v>42705</v>
      </c>
      <c r="C603" s="117" t="str">
        <f>'Relatório GERAL'!B603</f>
        <v>qui</v>
      </c>
      <c r="D603" s="18" t="str">
        <f>IF(OR(C603="SÁB",C603="DOM"),"",IFERROR(IF(VLOOKUP(VLOOKUP(A603,'Relatório GERAL'!$A:$T,$E$1,0),'Dados de consulta'!$A$2:$D$38,4,0)=0,"",VLOOKUP(VLOOKUP(A603,'Relatório GERAL'!$A:$T,$E$1,0),'Dados de consulta'!$A$2:$D$38,4,0)),""))</f>
        <v/>
      </c>
    </row>
    <row r="604" spans="1:4" ht="15" x14ac:dyDescent="0.2">
      <c r="A604" s="116">
        <f>'Relatório GERAL'!A604</f>
        <v>42727</v>
      </c>
      <c r="B604" s="116">
        <f t="shared" si="19"/>
        <v>42705</v>
      </c>
      <c r="C604" s="117" t="str">
        <f>'Relatório GERAL'!B604</f>
        <v>sex</v>
      </c>
      <c r="D604" s="18" t="str">
        <f>IF(OR(C604="SÁB",C604="DOM"),"",IFERROR(IF(VLOOKUP(VLOOKUP(A604,'Relatório GERAL'!$A:$T,$E$1,0),'Dados de consulta'!$A$2:$D$38,4,0)=0,"",VLOOKUP(VLOOKUP(A604,'Relatório GERAL'!$A:$T,$E$1,0),'Dados de consulta'!$A$2:$D$38,4,0)),""))</f>
        <v/>
      </c>
    </row>
    <row r="605" spans="1:4" ht="15" x14ac:dyDescent="0.2">
      <c r="A605" s="116">
        <f>'Relatório GERAL'!A605</f>
        <v>42728</v>
      </c>
      <c r="B605" s="116">
        <f t="shared" si="19"/>
        <v>42705</v>
      </c>
      <c r="C605" s="117" t="str">
        <f>'Relatório GERAL'!B605</f>
        <v>sáb</v>
      </c>
      <c r="D605" s="18" t="str">
        <f>IF(OR(C605="SÁB",C605="DOM"),"",IFERROR(IF(VLOOKUP(VLOOKUP(A605,'Relatório GERAL'!$A:$T,$E$1,0),'Dados de consulta'!$A$2:$D$38,4,0)=0,"",VLOOKUP(VLOOKUP(A605,'Relatório GERAL'!$A:$T,$E$1,0),'Dados de consulta'!$A$2:$D$38,4,0)),""))</f>
        <v/>
      </c>
    </row>
    <row r="606" spans="1:4" ht="15" x14ac:dyDescent="0.2">
      <c r="A606" s="116">
        <f>'Relatório GERAL'!A606</f>
        <v>42729</v>
      </c>
      <c r="B606" s="116">
        <f t="shared" si="19"/>
        <v>42705</v>
      </c>
      <c r="C606" s="117" t="str">
        <f>'Relatório GERAL'!B606</f>
        <v>dom</v>
      </c>
      <c r="D606" s="18" t="str">
        <f>IF(OR(C606="SÁB",C606="DOM"),"",IFERROR(IF(VLOOKUP(VLOOKUP(A606,'Relatório GERAL'!$A:$T,$E$1,0),'Dados de consulta'!$A$2:$D$38,4,0)=0,"",VLOOKUP(VLOOKUP(A606,'Relatório GERAL'!$A:$T,$E$1,0),'Dados de consulta'!$A$2:$D$38,4,0)),""))</f>
        <v/>
      </c>
    </row>
    <row r="607" spans="1:4" ht="15" x14ac:dyDescent="0.2">
      <c r="A607" s="116">
        <f>'Relatório GERAL'!A607</f>
        <v>42730</v>
      </c>
      <c r="B607" s="116">
        <f t="shared" si="19"/>
        <v>42705</v>
      </c>
      <c r="C607" s="117" t="str">
        <f>'Relatório GERAL'!B607</f>
        <v>seg</v>
      </c>
      <c r="D607" s="18" t="str">
        <f>IF(OR(C607="SÁB",C607="DOM"),"",IFERROR(IF(VLOOKUP(VLOOKUP(A607,'Relatório GERAL'!$A:$T,$E$1,0),'Dados de consulta'!$A$2:$D$38,4,0)=0,"",VLOOKUP(VLOOKUP(A607,'Relatório GERAL'!$A:$T,$E$1,0),'Dados de consulta'!$A$2:$D$38,4,0)),""))</f>
        <v/>
      </c>
    </row>
    <row r="608" spans="1:4" ht="15" x14ac:dyDescent="0.2">
      <c r="A608" s="116">
        <f>'Relatório GERAL'!A608</f>
        <v>42731</v>
      </c>
      <c r="B608" s="116">
        <f t="shared" si="19"/>
        <v>42705</v>
      </c>
      <c r="C608" s="117" t="str">
        <f>'Relatório GERAL'!B608</f>
        <v>ter</v>
      </c>
      <c r="D608" s="18" t="str">
        <f>IF(OR(C608="SÁB",C608="DOM"),"",IFERROR(IF(VLOOKUP(VLOOKUP(A608,'Relatório GERAL'!$A:$T,$E$1,0),'Dados de consulta'!$A$2:$D$38,4,0)=0,"",VLOOKUP(VLOOKUP(A608,'Relatório GERAL'!$A:$T,$E$1,0),'Dados de consulta'!$A$2:$D$38,4,0)),""))</f>
        <v/>
      </c>
    </row>
    <row r="609" spans="1:4" ht="15" x14ac:dyDescent="0.2">
      <c r="A609" s="116">
        <f>'Relatório GERAL'!A609</f>
        <v>42732</v>
      </c>
      <c r="B609" s="116">
        <f t="shared" si="19"/>
        <v>42705</v>
      </c>
      <c r="C609" s="117" t="str">
        <f>'Relatório GERAL'!B609</f>
        <v>qua</v>
      </c>
      <c r="D609" s="18" t="str">
        <f>IF(OR(C609="SÁB",C609="DOM"),"",IFERROR(IF(VLOOKUP(VLOOKUP(A609,'Relatório GERAL'!$A:$T,$E$1,0),'Dados de consulta'!$A$2:$D$38,4,0)=0,"",VLOOKUP(VLOOKUP(A609,'Relatório GERAL'!$A:$T,$E$1,0),'Dados de consulta'!$A$2:$D$38,4,0)),""))</f>
        <v/>
      </c>
    </row>
    <row r="610" spans="1:4" ht="15" x14ac:dyDescent="0.2">
      <c r="A610" s="116">
        <f>'Relatório GERAL'!A610</f>
        <v>42733</v>
      </c>
      <c r="B610" s="116">
        <f t="shared" si="19"/>
        <v>42705</v>
      </c>
      <c r="C610" s="117" t="str">
        <f>'Relatório GERAL'!B610</f>
        <v>qui</v>
      </c>
      <c r="D610" s="18" t="str">
        <f>IF(OR(C610="SÁB",C610="DOM"),"",IFERROR(IF(VLOOKUP(VLOOKUP(A610,'Relatório GERAL'!$A:$T,$E$1,0),'Dados de consulta'!$A$2:$D$38,4,0)=0,"",VLOOKUP(VLOOKUP(A610,'Relatório GERAL'!$A:$T,$E$1,0),'Dados de consulta'!$A$2:$D$38,4,0)),""))</f>
        <v/>
      </c>
    </row>
    <row r="611" spans="1:4" ht="15" x14ac:dyDescent="0.2">
      <c r="A611" s="116">
        <f>'Relatório GERAL'!A611</f>
        <v>42734</v>
      </c>
      <c r="B611" s="116">
        <f t="shared" si="19"/>
        <v>42705</v>
      </c>
      <c r="C611" s="117" t="str">
        <f>'Relatório GERAL'!B611</f>
        <v>sex</v>
      </c>
      <c r="D611" s="18" t="str">
        <f>IF(OR(C611="SÁB",C611="DOM"),"",IFERROR(IF(VLOOKUP(VLOOKUP(A611,'Relatório GERAL'!$A:$T,$E$1,0),'Dados de consulta'!$A$2:$D$38,4,0)=0,"",VLOOKUP(VLOOKUP(A611,'Relatório GERAL'!$A:$T,$E$1,0),'Dados de consulta'!$A$2:$D$38,4,0)),""))</f>
        <v/>
      </c>
    </row>
    <row r="612" spans="1:4" ht="15" x14ac:dyDescent="0.2">
      <c r="A612" s="116">
        <f>'Relatório GERAL'!A612</f>
        <v>42735</v>
      </c>
      <c r="B612" s="116">
        <f t="shared" si="19"/>
        <v>42705</v>
      </c>
      <c r="C612" s="117" t="str">
        <f>'Relatório GERAL'!B612</f>
        <v>sáb</v>
      </c>
      <c r="D612" s="18" t="str">
        <f>IF(OR(C612="SÁB",C612="DOM"),"",IFERROR(IF(VLOOKUP(VLOOKUP(A612,'Relatório GERAL'!$A:$T,$E$1,0),'Dados de consulta'!$A$2:$D$38,4,0)=0,"",VLOOKUP(VLOOKUP(A612,'Relatório GERAL'!$A:$T,$E$1,0),'Dados de consulta'!$A$2:$D$38,4,0)),""))</f>
        <v/>
      </c>
    </row>
    <row r="613" spans="1:4" ht="15" x14ac:dyDescent="0.2">
      <c r="A613" s="116">
        <f>'Relatório GERAL'!A613</f>
        <v>42736</v>
      </c>
      <c r="B613" s="116">
        <f t="shared" si="19"/>
        <v>42736</v>
      </c>
      <c r="C613" s="117" t="str">
        <f>'Relatório GERAL'!B613</f>
        <v>dom</v>
      </c>
      <c r="D613" s="18" t="str">
        <f>IF(OR(C613="SÁB",C613="DOM"),"",IFERROR(IF(VLOOKUP(VLOOKUP(A613,'Relatório GERAL'!$A:$T,$E$1,0),'Dados de consulta'!$A$2:$D$38,4,0)=0,"",VLOOKUP(VLOOKUP(A613,'Relatório GERAL'!$A:$T,$E$1,0),'Dados de consulta'!$A$2:$D$38,4,0)),""))</f>
        <v/>
      </c>
    </row>
    <row r="614" spans="1:4" ht="15" x14ac:dyDescent="0.2">
      <c r="A614" s="116">
        <f>'Relatório GERAL'!A614</f>
        <v>42737</v>
      </c>
      <c r="B614" s="116">
        <f t="shared" si="19"/>
        <v>42736</v>
      </c>
      <c r="C614" s="117" t="str">
        <f>'Relatório GERAL'!B614</f>
        <v>seg</v>
      </c>
      <c r="D614" s="18" t="str">
        <f>IF(OR(C614="SÁB",C614="DOM"),"",IFERROR(IF(VLOOKUP(VLOOKUP(A614,'Relatório GERAL'!$A:$T,$E$1,0),'Dados de consulta'!$A$2:$D$38,4,0)=0,"",VLOOKUP(VLOOKUP(A614,'Relatório GERAL'!$A:$T,$E$1,0),'Dados de consulta'!$A$2:$D$38,4,0)),""))</f>
        <v/>
      </c>
    </row>
    <row r="615" spans="1:4" ht="15" x14ac:dyDescent="0.2">
      <c r="A615" s="116">
        <f>'Relatório GERAL'!A615</f>
        <v>42738</v>
      </c>
      <c r="B615" s="116">
        <f t="shared" si="19"/>
        <v>42736</v>
      </c>
      <c r="C615" s="117" t="str">
        <f>'Relatório GERAL'!B615</f>
        <v>ter</v>
      </c>
      <c r="D615" s="18" t="str">
        <f>IF(OR(C615="SÁB",C615="DOM"),"",IFERROR(IF(VLOOKUP(VLOOKUP(A615,'Relatório GERAL'!$A:$T,$E$1,0),'Dados de consulta'!$A$2:$D$38,4,0)=0,"",VLOOKUP(VLOOKUP(A615,'Relatório GERAL'!$A:$T,$E$1,0),'Dados de consulta'!$A$2:$D$38,4,0)),""))</f>
        <v/>
      </c>
    </row>
    <row r="616" spans="1:4" ht="15" x14ac:dyDescent="0.2">
      <c r="A616" s="116">
        <f>'Relatório GERAL'!A616</f>
        <v>42739</v>
      </c>
      <c r="B616" s="116">
        <f t="shared" si="19"/>
        <v>42736</v>
      </c>
      <c r="C616" s="117" t="str">
        <f>'Relatório GERAL'!B616</f>
        <v>qua</v>
      </c>
      <c r="D616" s="18" t="str">
        <f>IF(OR(C616="SÁB",C616="DOM"),"",IFERROR(IF(VLOOKUP(VLOOKUP(A616,'Relatório GERAL'!$A:$T,$E$1,0),'Dados de consulta'!$A$2:$D$38,4,0)=0,"",VLOOKUP(VLOOKUP(A616,'Relatório GERAL'!$A:$T,$E$1,0),'Dados de consulta'!$A$2:$D$38,4,0)),""))</f>
        <v/>
      </c>
    </row>
    <row r="617" spans="1:4" ht="15" x14ac:dyDescent="0.2">
      <c r="A617" s="116">
        <f>'Relatório GERAL'!A617</f>
        <v>42740</v>
      </c>
      <c r="B617" s="116">
        <f t="shared" si="19"/>
        <v>42736</v>
      </c>
      <c r="C617" s="117" t="str">
        <f>'Relatório GERAL'!B617</f>
        <v>qui</v>
      </c>
      <c r="D617" s="18" t="str">
        <f>IF(OR(C617="SÁB",C617="DOM"),"",IFERROR(IF(VLOOKUP(VLOOKUP(A617,'Relatório GERAL'!$A:$T,$E$1,0),'Dados de consulta'!$A$2:$D$38,4,0)=0,"",VLOOKUP(VLOOKUP(A617,'Relatório GERAL'!$A:$T,$E$1,0),'Dados de consulta'!$A$2:$D$38,4,0)),""))</f>
        <v/>
      </c>
    </row>
    <row r="618" spans="1:4" ht="15" x14ac:dyDescent="0.2">
      <c r="A618" s="116">
        <f>'Relatório GERAL'!A618</f>
        <v>42741</v>
      </c>
      <c r="B618" s="116">
        <f t="shared" si="19"/>
        <v>42736</v>
      </c>
      <c r="C618" s="117" t="str">
        <f>'Relatório GERAL'!B618</f>
        <v>sex</v>
      </c>
      <c r="D618" s="18" t="str">
        <f>IF(OR(C618="SÁB",C618="DOM"),"",IFERROR(IF(VLOOKUP(VLOOKUP(A618,'Relatório GERAL'!$A:$T,$E$1,0),'Dados de consulta'!$A$2:$D$38,4,0)=0,"",VLOOKUP(VLOOKUP(A618,'Relatório GERAL'!$A:$T,$E$1,0),'Dados de consulta'!$A$2:$D$38,4,0)),""))</f>
        <v/>
      </c>
    </row>
    <row r="619" spans="1:4" ht="15" x14ac:dyDescent="0.2">
      <c r="A619" s="116">
        <f>'Relatório GERAL'!A619</f>
        <v>42742</v>
      </c>
      <c r="B619" s="116">
        <f t="shared" si="19"/>
        <v>42736</v>
      </c>
      <c r="C619" s="117" t="str">
        <f>'Relatório GERAL'!B619</f>
        <v>sáb</v>
      </c>
      <c r="D619" s="18" t="str">
        <f>IF(OR(C619="SÁB",C619="DOM"),"",IFERROR(IF(VLOOKUP(VLOOKUP(A619,'Relatório GERAL'!$A:$T,$E$1,0),'Dados de consulta'!$A$2:$D$38,4,0)=0,"",VLOOKUP(VLOOKUP(A619,'Relatório GERAL'!$A:$T,$E$1,0),'Dados de consulta'!$A$2:$D$38,4,0)),""))</f>
        <v/>
      </c>
    </row>
    <row r="620" spans="1:4" ht="15" x14ac:dyDescent="0.2">
      <c r="A620" s="116">
        <f>'Relatório GERAL'!A620</f>
        <v>42743</v>
      </c>
      <c r="B620" s="116">
        <f t="shared" ref="B620:B683" si="20">DATEVALUE(CONCATENATE("01/",TEXT(A620,"mm/aaaa")))</f>
        <v>42736</v>
      </c>
      <c r="C620" s="117" t="str">
        <f>'Relatório GERAL'!B620</f>
        <v>dom</v>
      </c>
      <c r="D620" s="18" t="str">
        <f>IF(OR(C620="SÁB",C620="DOM"),"",IFERROR(IF(VLOOKUP(VLOOKUP(A620,'Relatório GERAL'!$A:$T,$E$1,0),'Dados de consulta'!$A$2:$D$38,4,0)=0,"",VLOOKUP(VLOOKUP(A620,'Relatório GERAL'!$A:$T,$E$1,0),'Dados de consulta'!$A$2:$D$38,4,0)),""))</f>
        <v/>
      </c>
    </row>
    <row r="621" spans="1:4" ht="15" x14ac:dyDescent="0.2">
      <c r="A621" s="116">
        <f>'Relatório GERAL'!A621</f>
        <v>42744</v>
      </c>
      <c r="B621" s="116">
        <f t="shared" si="20"/>
        <v>42736</v>
      </c>
      <c r="C621" s="117" t="str">
        <f>'Relatório GERAL'!B621</f>
        <v>seg</v>
      </c>
      <c r="D621" s="18" t="str">
        <f>IF(OR(C621="SÁB",C621="DOM"),"",IFERROR(IF(VLOOKUP(VLOOKUP(A621,'Relatório GERAL'!$A:$T,$E$1,0),'Dados de consulta'!$A$2:$D$38,4,0)=0,"",VLOOKUP(VLOOKUP(A621,'Relatório GERAL'!$A:$T,$E$1,0),'Dados de consulta'!$A$2:$D$38,4,0)),""))</f>
        <v/>
      </c>
    </row>
    <row r="622" spans="1:4" ht="15" x14ac:dyDescent="0.2">
      <c r="A622" s="116">
        <f>'Relatório GERAL'!A622</f>
        <v>42745</v>
      </c>
      <c r="B622" s="116">
        <f t="shared" si="20"/>
        <v>42736</v>
      </c>
      <c r="C622" s="117" t="str">
        <f>'Relatório GERAL'!B622</f>
        <v>ter</v>
      </c>
      <c r="D622" s="18" t="str">
        <f>IF(OR(C622="SÁB",C622="DOM"),"",IFERROR(IF(VLOOKUP(VLOOKUP(A622,'Relatório GERAL'!$A:$T,$E$1,0),'Dados de consulta'!$A$2:$D$38,4,0)=0,"",VLOOKUP(VLOOKUP(A622,'Relatório GERAL'!$A:$T,$E$1,0),'Dados de consulta'!$A$2:$D$38,4,0)),""))</f>
        <v/>
      </c>
    </row>
    <row r="623" spans="1:4" ht="15" x14ac:dyDescent="0.2">
      <c r="A623" s="116">
        <f>'Relatório GERAL'!A623</f>
        <v>42746</v>
      </c>
      <c r="B623" s="116">
        <f t="shared" si="20"/>
        <v>42736</v>
      </c>
      <c r="C623" s="117" t="str">
        <f>'Relatório GERAL'!B623</f>
        <v>qua</v>
      </c>
      <c r="D623" s="18" t="str">
        <f>IF(OR(C623="SÁB",C623="DOM"),"",IFERROR(IF(VLOOKUP(VLOOKUP(A623,'Relatório GERAL'!$A:$T,$E$1,0),'Dados de consulta'!$A$2:$D$38,4,0)=0,"",VLOOKUP(VLOOKUP(A623,'Relatório GERAL'!$A:$T,$E$1,0),'Dados de consulta'!$A$2:$D$38,4,0)),""))</f>
        <v/>
      </c>
    </row>
    <row r="624" spans="1:4" ht="15" x14ac:dyDescent="0.2">
      <c r="A624" s="116">
        <f>'Relatório GERAL'!A624</f>
        <v>42747</v>
      </c>
      <c r="B624" s="116">
        <f t="shared" si="20"/>
        <v>42736</v>
      </c>
      <c r="C624" s="117" t="str">
        <f>'Relatório GERAL'!B624</f>
        <v>qui</v>
      </c>
      <c r="D624" s="18" t="str">
        <f>IF(OR(C624="SÁB",C624="DOM"),"",IFERROR(IF(VLOOKUP(VLOOKUP(A624,'Relatório GERAL'!$A:$T,$E$1,0),'Dados de consulta'!$A$2:$D$38,4,0)=0,"",VLOOKUP(VLOOKUP(A624,'Relatório GERAL'!$A:$T,$E$1,0),'Dados de consulta'!$A$2:$D$38,4,0)),""))</f>
        <v/>
      </c>
    </row>
    <row r="625" spans="1:4" ht="15" x14ac:dyDescent="0.2">
      <c r="A625" s="116">
        <f>'Relatório GERAL'!A625</f>
        <v>42748</v>
      </c>
      <c r="B625" s="116">
        <f t="shared" si="20"/>
        <v>42736</v>
      </c>
      <c r="C625" s="117" t="str">
        <f>'Relatório GERAL'!B625</f>
        <v>sex</v>
      </c>
      <c r="D625" s="18" t="str">
        <f>IF(OR(C625="SÁB",C625="DOM"),"",IFERROR(IF(VLOOKUP(VLOOKUP(A625,'Relatório GERAL'!$A:$T,$E$1,0),'Dados de consulta'!$A$2:$D$38,4,0)=0,"",VLOOKUP(VLOOKUP(A625,'Relatório GERAL'!$A:$T,$E$1,0),'Dados de consulta'!$A$2:$D$38,4,0)),""))</f>
        <v/>
      </c>
    </row>
    <row r="626" spans="1:4" ht="15" x14ac:dyDescent="0.2">
      <c r="A626" s="116">
        <f>'Relatório GERAL'!A626</f>
        <v>42749</v>
      </c>
      <c r="B626" s="116">
        <f t="shared" si="20"/>
        <v>42736</v>
      </c>
      <c r="C626" s="117" t="str">
        <f>'Relatório GERAL'!B626</f>
        <v>sáb</v>
      </c>
      <c r="D626" s="18" t="str">
        <f>IF(OR(C626="SÁB",C626="DOM"),"",IFERROR(IF(VLOOKUP(VLOOKUP(A626,'Relatório GERAL'!$A:$T,$E$1,0),'Dados de consulta'!$A$2:$D$38,4,0)=0,"",VLOOKUP(VLOOKUP(A626,'Relatório GERAL'!$A:$T,$E$1,0),'Dados de consulta'!$A$2:$D$38,4,0)),""))</f>
        <v/>
      </c>
    </row>
    <row r="627" spans="1:4" ht="15" x14ac:dyDescent="0.2">
      <c r="A627" s="116">
        <f>'Relatório GERAL'!A627</f>
        <v>42750</v>
      </c>
      <c r="B627" s="116">
        <f t="shared" si="20"/>
        <v>42736</v>
      </c>
      <c r="C627" s="117" t="str">
        <f>'Relatório GERAL'!B627</f>
        <v>dom</v>
      </c>
      <c r="D627" s="18" t="str">
        <f>IF(OR(C627="SÁB",C627="DOM"),"",IFERROR(IF(VLOOKUP(VLOOKUP(A627,'Relatório GERAL'!$A:$T,$E$1,0),'Dados de consulta'!$A$2:$D$38,4,0)=0,"",VLOOKUP(VLOOKUP(A627,'Relatório GERAL'!$A:$T,$E$1,0),'Dados de consulta'!$A$2:$D$38,4,0)),""))</f>
        <v/>
      </c>
    </row>
    <row r="628" spans="1:4" ht="15" x14ac:dyDescent="0.2">
      <c r="A628" s="116">
        <f>'Relatório GERAL'!A628</f>
        <v>42751</v>
      </c>
      <c r="B628" s="116">
        <f t="shared" si="20"/>
        <v>42736</v>
      </c>
      <c r="C628" s="117" t="str">
        <f>'Relatório GERAL'!B628</f>
        <v>seg</v>
      </c>
      <c r="D628" s="18" t="str">
        <f>IF(OR(C628="SÁB",C628="DOM"),"",IFERROR(IF(VLOOKUP(VLOOKUP(A628,'Relatório GERAL'!$A:$T,$E$1,0),'Dados de consulta'!$A$2:$D$38,4,0)=0,"",VLOOKUP(VLOOKUP(A628,'Relatório GERAL'!$A:$T,$E$1,0),'Dados de consulta'!$A$2:$D$38,4,0)),""))</f>
        <v/>
      </c>
    </row>
    <row r="629" spans="1:4" ht="15" x14ac:dyDescent="0.2">
      <c r="A629" s="116">
        <f>'Relatório GERAL'!A629</f>
        <v>42752</v>
      </c>
      <c r="B629" s="116">
        <f t="shared" si="20"/>
        <v>42736</v>
      </c>
      <c r="C629" s="117" t="str">
        <f>'Relatório GERAL'!B629</f>
        <v>ter</v>
      </c>
      <c r="D629" s="18" t="str">
        <f>IF(OR(C629="SÁB",C629="DOM"),"",IFERROR(IF(VLOOKUP(VLOOKUP(A629,'Relatório GERAL'!$A:$T,$E$1,0),'Dados de consulta'!$A$2:$D$38,4,0)=0,"",VLOOKUP(VLOOKUP(A629,'Relatório GERAL'!$A:$T,$E$1,0),'Dados de consulta'!$A$2:$D$38,4,0)),""))</f>
        <v/>
      </c>
    </row>
    <row r="630" spans="1:4" ht="15" x14ac:dyDescent="0.2">
      <c r="A630" s="116">
        <f>'Relatório GERAL'!A630</f>
        <v>42753</v>
      </c>
      <c r="B630" s="116">
        <f t="shared" si="20"/>
        <v>42736</v>
      </c>
      <c r="C630" s="117" t="str">
        <f>'Relatório GERAL'!B630</f>
        <v>qua</v>
      </c>
      <c r="D630" s="18" t="str">
        <f>IF(OR(C630="SÁB",C630="DOM"),"",IFERROR(IF(VLOOKUP(VLOOKUP(A630,'Relatório GERAL'!$A:$T,$E$1,0),'Dados de consulta'!$A$2:$D$38,4,0)=0,"",VLOOKUP(VLOOKUP(A630,'Relatório GERAL'!$A:$T,$E$1,0),'Dados de consulta'!$A$2:$D$38,4,0)),""))</f>
        <v/>
      </c>
    </row>
    <row r="631" spans="1:4" ht="15" x14ac:dyDescent="0.2">
      <c r="A631" s="116">
        <f>'Relatório GERAL'!A631</f>
        <v>42754</v>
      </c>
      <c r="B631" s="116">
        <f t="shared" si="20"/>
        <v>42736</v>
      </c>
      <c r="C631" s="117" t="str">
        <f>'Relatório GERAL'!B631</f>
        <v>qui</v>
      </c>
      <c r="D631" s="18" t="str">
        <f>IF(OR(C631="SÁB",C631="DOM"),"",IFERROR(IF(VLOOKUP(VLOOKUP(A631,'Relatório GERAL'!$A:$T,$E$1,0),'Dados de consulta'!$A$2:$D$38,4,0)=0,"",VLOOKUP(VLOOKUP(A631,'Relatório GERAL'!$A:$T,$E$1,0),'Dados de consulta'!$A$2:$D$38,4,0)),""))</f>
        <v/>
      </c>
    </row>
    <row r="632" spans="1:4" ht="15" x14ac:dyDescent="0.2">
      <c r="A632" s="116">
        <f>'Relatório GERAL'!A632</f>
        <v>42755</v>
      </c>
      <c r="B632" s="116">
        <f t="shared" si="20"/>
        <v>42736</v>
      </c>
      <c r="C632" s="117" t="str">
        <f>'Relatório GERAL'!B632</f>
        <v>sex</v>
      </c>
      <c r="D632" s="18" t="str">
        <f>IF(OR(C632="SÁB",C632="DOM"),"",IFERROR(IF(VLOOKUP(VLOOKUP(A632,'Relatório GERAL'!$A:$T,$E$1,0),'Dados de consulta'!$A$2:$D$38,4,0)=0,"",VLOOKUP(VLOOKUP(A632,'Relatório GERAL'!$A:$T,$E$1,0),'Dados de consulta'!$A$2:$D$38,4,0)),""))</f>
        <v/>
      </c>
    </row>
    <row r="633" spans="1:4" ht="15" x14ac:dyDescent="0.2">
      <c r="A633" s="116">
        <f>'Relatório GERAL'!A633</f>
        <v>42756</v>
      </c>
      <c r="B633" s="116">
        <f t="shared" si="20"/>
        <v>42736</v>
      </c>
      <c r="C633" s="117" t="str">
        <f>'Relatório GERAL'!B633</f>
        <v>sáb</v>
      </c>
      <c r="D633" s="18" t="str">
        <f>IF(OR(C633="SÁB",C633="DOM"),"",IFERROR(IF(VLOOKUP(VLOOKUP(A633,'Relatório GERAL'!$A:$T,$E$1,0),'Dados de consulta'!$A$2:$D$38,4,0)=0,"",VLOOKUP(VLOOKUP(A633,'Relatório GERAL'!$A:$T,$E$1,0),'Dados de consulta'!$A$2:$D$38,4,0)),""))</f>
        <v/>
      </c>
    </row>
    <row r="634" spans="1:4" ht="15" x14ac:dyDescent="0.2">
      <c r="A634" s="116">
        <f>'Relatório GERAL'!A634</f>
        <v>42757</v>
      </c>
      <c r="B634" s="116">
        <f t="shared" si="20"/>
        <v>42736</v>
      </c>
      <c r="C634" s="117" t="str">
        <f>'Relatório GERAL'!B634</f>
        <v>dom</v>
      </c>
      <c r="D634" s="18" t="str">
        <f>IF(OR(C634="SÁB",C634="DOM"),"",IFERROR(IF(VLOOKUP(VLOOKUP(A634,'Relatório GERAL'!$A:$T,$E$1,0),'Dados de consulta'!$A$2:$D$38,4,0)=0,"",VLOOKUP(VLOOKUP(A634,'Relatório GERAL'!$A:$T,$E$1,0),'Dados de consulta'!$A$2:$D$38,4,0)),""))</f>
        <v/>
      </c>
    </row>
    <row r="635" spans="1:4" ht="15" x14ac:dyDescent="0.2">
      <c r="A635" s="116">
        <f>'Relatório GERAL'!A635</f>
        <v>42758</v>
      </c>
      <c r="B635" s="116">
        <f t="shared" si="20"/>
        <v>42736</v>
      </c>
      <c r="C635" s="117" t="str">
        <f>'Relatório GERAL'!B635</f>
        <v>seg</v>
      </c>
      <c r="D635" s="18" t="str">
        <f>IF(OR(C635="SÁB",C635="DOM"),"",IFERROR(IF(VLOOKUP(VLOOKUP(A635,'Relatório GERAL'!$A:$T,$E$1,0),'Dados de consulta'!$A$2:$D$38,4,0)=0,"",VLOOKUP(VLOOKUP(A635,'Relatório GERAL'!$A:$T,$E$1,0),'Dados de consulta'!$A$2:$D$38,4,0)),""))</f>
        <v/>
      </c>
    </row>
    <row r="636" spans="1:4" ht="15" x14ac:dyDescent="0.2">
      <c r="A636" s="116">
        <f>'Relatório GERAL'!A636</f>
        <v>42759</v>
      </c>
      <c r="B636" s="116">
        <f t="shared" si="20"/>
        <v>42736</v>
      </c>
      <c r="C636" s="117" t="str">
        <f>'Relatório GERAL'!B636</f>
        <v>ter</v>
      </c>
      <c r="D636" s="18" t="str">
        <f>IF(OR(C636="SÁB",C636="DOM"),"",IFERROR(IF(VLOOKUP(VLOOKUP(A636,'Relatório GERAL'!$A:$T,$E$1,0),'Dados de consulta'!$A$2:$D$38,4,0)=0,"",VLOOKUP(VLOOKUP(A636,'Relatório GERAL'!$A:$T,$E$1,0),'Dados de consulta'!$A$2:$D$38,4,0)),""))</f>
        <v/>
      </c>
    </row>
    <row r="637" spans="1:4" ht="15" x14ac:dyDescent="0.2">
      <c r="A637" s="116">
        <f>'Relatório GERAL'!A637</f>
        <v>42760</v>
      </c>
      <c r="B637" s="116">
        <f t="shared" si="20"/>
        <v>42736</v>
      </c>
      <c r="C637" s="117" t="str">
        <f>'Relatório GERAL'!B637</f>
        <v>qua</v>
      </c>
      <c r="D637" s="18" t="str">
        <f>IF(OR(C637="SÁB",C637="DOM"),"",IFERROR(IF(VLOOKUP(VLOOKUP(A637,'Relatório GERAL'!$A:$T,$E$1,0),'Dados de consulta'!$A$2:$D$38,4,0)=0,"",VLOOKUP(VLOOKUP(A637,'Relatório GERAL'!$A:$T,$E$1,0),'Dados de consulta'!$A$2:$D$38,4,0)),""))</f>
        <v/>
      </c>
    </row>
    <row r="638" spans="1:4" ht="15" x14ac:dyDescent="0.2">
      <c r="A638" s="116">
        <f>'Relatório GERAL'!A638</f>
        <v>42761</v>
      </c>
      <c r="B638" s="116">
        <f t="shared" si="20"/>
        <v>42736</v>
      </c>
      <c r="C638" s="117" t="str">
        <f>'Relatório GERAL'!B638</f>
        <v>qui</v>
      </c>
      <c r="D638" s="18" t="str">
        <f>IF(OR(C638="SÁB",C638="DOM"),"",IFERROR(IF(VLOOKUP(VLOOKUP(A638,'Relatório GERAL'!$A:$T,$E$1,0),'Dados de consulta'!$A$2:$D$38,4,0)=0,"",VLOOKUP(VLOOKUP(A638,'Relatório GERAL'!$A:$T,$E$1,0),'Dados de consulta'!$A$2:$D$38,4,0)),""))</f>
        <v/>
      </c>
    </row>
    <row r="639" spans="1:4" ht="15" x14ac:dyDescent="0.2">
      <c r="A639" s="116">
        <f>'Relatório GERAL'!A639</f>
        <v>42762</v>
      </c>
      <c r="B639" s="116">
        <f t="shared" si="20"/>
        <v>42736</v>
      </c>
      <c r="C639" s="117" t="str">
        <f>'Relatório GERAL'!B639</f>
        <v>sex</v>
      </c>
      <c r="D639" s="18" t="str">
        <f>IF(OR(C639="SÁB",C639="DOM"),"",IFERROR(IF(VLOOKUP(VLOOKUP(A639,'Relatório GERAL'!$A:$T,$E$1,0),'Dados de consulta'!$A$2:$D$38,4,0)=0,"",VLOOKUP(VLOOKUP(A639,'Relatório GERAL'!$A:$T,$E$1,0),'Dados de consulta'!$A$2:$D$38,4,0)),""))</f>
        <v/>
      </c>
    </row>
    <row r="640" spans="1:4" ht="15" x14ac:dyDescent="0.2">
      <c r="A640" s="116">
        <f>'Relatório GERAL'!A640</f>
        <v>42763</v>
      </c>
      <c r="B640" s="116">
        <f t="shared" si="20"/>
        <v>42736</v>
      </c>
      <c r="C640" s="117" t="str">
        <f>'Relatório GERAL'!B640</f>
        <v>sáb</v>
      </c>
      <c r="D640" s="18" t="str">
        <f>IF(OR(C640="SÁB",C640="DOM"),"",IFERROR(IF(VLOOKUP(VLOOKUP(A640,'Relatório GERAL'!$A:$T,$E$1,0),'Dados de consulta'!$A$2:$D$38,4,0)=0,"",VLOOKUP(VLOOKUP(A640,'Relatório GERAL'!$A:$T,$E$1,0),'Dados de consulta'!$A$2:$D$38,4,0)),""))</f>
        <v/>
      </c>
    </row>
    <row r="641" spans="1:4" ht="15" x14ac:dyDescent="0.2">
      <c r="A641" s="116">
        <f>'Relatório GERAL'!A641</f>
        <v>42764</v>
      </c>
      <c r="B641" s="116">
        <f t="shared" si="20"/>
        <v>42736</v>
      </c>
      <c r="C641" s="117" t="str">
        <f>'Relatório GERAL'!B641</f>
        <v>dom</v>
      </c>
      <c r="D641" s="18" t="str">
        <f>IF(OR(C641="SÁB",C641="DOM"),"",IFERROR(IF(VLOOKUP(VLOOKUP(A641,'Relatório GERAL'!$A:$T,$E$1,0),'Dados de consulta'!$A$2:$D$38,4,0)=0,"",VLOOKUP(VLOOKUP(A641,'Relatório GERAL'!$A:$T,$E$1,0),'Dados de consulta'!$A$2:$D$38,4,0)),""))</f>
        <v/>
      </c>
    </row>
    <row r="642" spans="1:4" ht="15" x14ac:dyDescent="0.2">
      <c r="A642" s="116">
        <f>'Relatório GERAL'!A642</f>
        <v>42765</v>
      </c>
      <c r="B642" s="116">
        <f t="shared" si="20"/>
        <v>42736</v>
      </c>
      <c r="C642" s="117" t="str">
        <f>'Relatório GERAL'!B642</f>
        <v>seg</v>
      </c>
      <c r="D642" s="18" t="str">
        <f>IF(OR(C642="SÁB",C642="DOM"),"",IFERROR(IF(VLOOKUP(VLOOKUP(A642,'Relatório GERAL'!$A:$T,$E$1,0),'Dados de consulta'!$A$2:$D$38,4,0)=0,"",VLOOKUP(VLOOKUP(A642,'Relatório GERAL'!$A:$T,$E$1,0),'Dados de consulta'!$A$2:$D$38,4,0)),""))</f>
        <v/>
      </c>
    </row>
    <row r="643" spans="1:4" ht="15" x14ac:dyDescent="0.2">
      <c r="A643" s="116">
        <f>'Relatório GERAL'!A643</f>
        <v>42766</v>
      </c>
      <c r="B643" s="116">
        <f t="shared" si="20"/>
        <v>42736</v>
      </c>
      <c r="C643" s="117" t="str">
        <f>'Relatório GERAL'!B643</f>
        <v>ter</v>
      </c>
      <c r="D643" s="18" t="str">
        <f>IF(OR(C643="SÁB",C643="DOM"),"",IFERROR(IF(VLOOKUP(VLOOKUP(A643,'Relatório GERAL'!$A:$T,$E$1,0),'Dados de consulta'!$A$2:$D$38,4,0)=0,"",VLOOKUP(VLOOKUP(A643,'Relatório GERAL'!$A:$T,$E$1,0),'Dados de consulta'!$A$2:$D$38,4,0)),""))</f>
        <v/>
      </c>
    </row>
    <row r="644" spans="1:4" ht="15" x14ac:dyDescent="0.2">
      <c r="A644" s="116">
        <f>'Relatório GERAL'!A644</f>
        <v>42767</v>
      </c>
      <c r="B644" s="116">
        <f t="shared" si="20"/>
        <v>42767</v>
      </c>
      <c r="C644" s="117" t="str">
        <f>'Relatório GERAL'!B644</f>
        <v>qua</v>
      </c>
      <c r="D644" s="18" t="str">
        <f>IF(OR(C644="SÁB",C644="DOM"),"",IFERROR(IF(VLOOKUP(VLOOKUP(A644,'Relatório GERAL'!$A:$T,$E$1,0),'Dados de consulta'!$A$2:$D$38,4,0)=0,"",VLOOKUP(VLOOKUP(A644,'Relatório GERAL'!$A:$T,$E$1,0),'Dados de consulta'!$A$2:$D$38,4,0)),""))</f>
        <v/>
      </c>
    </row>
    <row r="645" spans="1:4" ht="15" x14ac:dyDescent="0.2">
      <c r="A645" s="116">
        <f>'Relatório GERAL'!A645</f>
        <v>42768</v>
      </c>
      <c r="B645" s="116">
        <f t="shared" si="20"/>
        <v>42767</v>
      </c>
      <c r="C645" s="117" t="str">
        <f>'Relatório GERAL'!B645</f>
        <v>qui</v>
      </c>
      <c r="D645" s="18" t="str">
        <f>IF(OR(C645="SÁB",C645="DOM"),"",IFERROR(IF(VLOOKUP(VLOOKUP(A645,'Relatório GERAL'!$A:$T,$E$1,0),'Dados de consulta'!$A$2:$D$38,4,0)=0,"",VLOOKUP(VLOOKUP(A645,'Relatório GERAL'!$A:$T,$E$1,0),'Dados de consulta'!$A$2:$D$38,4,0)),""))</f>
        <v/>
      </c>
    </row>
    <row r="646" spans="1:4" ht="15" x14ac:dyDescent="0.2">
      <c r="A646" s="116">
        <f>'Relatório GERAL'!A646</f>
        <v>42769</v>
      </c>
      <c r="B646" s="116">
        <f t="shared" si="20"/>
        <v>42767</v>
      </c>
      <c r="C646" s="117" t="str">
        <f>'Relatório GERAL'!B646</f>
        <v>sex</v>
      </c>
      <c r="D646" s="18" t="str">
        <f>IF(OR(C646="SÁB",C646="DOM"),"",IFERROR(IF(VLOOKUP(VLOOKUP(A646,'Relatório GERAL'!$A:$T,$E$1,0),'Dados de consulta'!$A$2:$D$38,4,0)=0,"",VLOOKUP(VLOOKUP(A646,'Relatório GERAL'!$A:$T,$E$1,0),'Dados de consulta'!$A$2:$D$38,4,0)),""))</f>
        <v/>
      </c>
    </row>
    <row r="647" spans="1:4" ht="15" x14ac:dyDescent="0.2">
      <c r="A647" s="116">
        <f>'Relatório GERAL'!A647</f>
        <v>42770</v>
      </c>
      <c r="B647" s="116">
        <f t="shared" si="20"/>
        <v>42767</v>
      </c>
      <c r="C647" s="117" t="str">
        <f>'Relatório GERAL'!B647</f>
        <v>sáb</v>
      </c>
      <c r="D647" s="18" t="str">
        <f>IF(OR(C647="SÁB",C647="DOM"),"",IFERROR(IF(VLOOKUP(VLOOKUP(A647,'Relatório GERAL'!$A:$T,$E$1,0),'Dados de consulta'!$A$2:$D$38,4,0)=0,"",VLOOKUP(VLOOKUP(A647,'Relatório GERAL'!$A:$T,$E$1,0),'Dados de consulta'!$A$2:$D$38,4,0)),""))</f>
        <v/>
      </c>
    </row>
    <row r="648" spans="1:4" ht="15" x14ac:dyDescent="0.2">
      <c r="A648" s="116">
        <f>'Relatório GERAL'!A648</f>
        <v>42771</v>
      </c>
      <c r="B648" s="116">
        <f t="shared" si="20"/>
        <v>42767</v>
      </c>
      <c r="C648" s="117" t="str">
        <f>'Relatório GERAL'!B648</f>
        <v>dom</v>
      </c>
      <c r="D648" s="18" t="str">
        <f>IF(OR(C648="SÁB",C648="DOM"),"",IFERROR(IF(VLOOKUP(VLOOKUP(A648,'Relatório GERAL'!$A:$T,$E$1,0),'Dados de consulta'!$A$2:$D$38,4,0)=0,"",VLOOKUP(VLOOKUP(A648,'Relatório GERAL'!$A:$T,$E$1,0),'Dados de consulta'!$A$2:$D$38,4,0)),""))</f>
        <v/>
      </c>
    </row>
    <row r="649" spans="1:4" ht="15" x14ac:dyDescent="0.2">
      <c r="A649" s="116">
        <f>'Relatório GERAL'!A649</f>
        <v>42772</v>
      </c>
      <c r="B649" s="116">
        <f t="shared" si="20"/>
        <v>42767</v>
      </c>
      <c r="C649" s="117" t="str">
        <f>'Relatório GERAL'!B649</f>
        <v>seg</v>
      </c>
      <c r="D649" s="18" t="str">
        <f>IF(OR(C649="SÁB",C649="DOM"),"",IFERROR(IF(VLOOKUP(VLOOKUP(A649,'Relatório GERAL'!$A:$T,$E$1,0),'Dados de consulta'!$A$2:$D$38,4,0)=0,"",VLOOKUP(VLOOKUP(A649,'Relatório GERAL'!$A:$T,$E$1,0),'Dados de consulta'!$A$2:$D$38,4,0)),""))</f>
        <v/>
      </c>
    </row>
    <row r="650" spans="1:4" ht="15" x14ac:dyDescent="0.2">
      <c r="A650" s="116">
        <f>'Relatório GERAL'!A650</f>
        <v>42773</v>
      </c>
      <c r="B650" s="116">
        <f t="shared" si="20"/>
        <v>42767</v>
      </c>
      <c r="C650" s="117" t="str">
        <f>'Relatório GERAL'!B650</f>
        <v>ter</v>
      </c>
      <c r="D650" s="18" t="str">
        <f>IF(OR(C650="SÁB",C650="DOM"),"",IFERROR(IF(VLOOKUP(VLOOKUP(A650,'Relatório GERAL'!$A:$T,$E$1,0),'Dados de consulta'!$A$2:$D$38,4,0)=0,"",VLOOKUP(VLOOKUP(A650,'Relatório GERAL'!$A:$T,$E$1,0),'Dados de consulta'!$A$2:$D$38,4,0)),""))</f>
        <v/>
      </c>
    </row>
    <row r="651" spans="1:4" ht="15" x14ac:dyDescent="0.2">
      <c r="A651" s="116">
        <f>'Relatório GERAL'!A651</f>
        <v>42774</v>
      </c>
      <c r="B651" s="116">
        <f t="shared" si="20"/>
        <v>42767</v>
      </c>
      <c r="C651" s="117" t="str">
        <f>'Relatório GERAL'!B651</f>
        <v>qua</v>
      </c>
      <c r="D651" s="18" t="str">
        <f>IF(OR(C651="SÁB",C651="DOM"),"",IFERROR(IF(VLOOKUP(VLOOKUP(A651,'Relatório GERAL'!$A:$T,$E$1,0),'Dados de consulta'!$A$2:$D$38,4,0)=0,"",VLOOKUP(VLOOKUP(A651,'Relatório GERAL'!$A:$T,$E$1,0),'Dados de consulta'!$A$2:$D$38,4,0)),""))</f>
        <v/>
      </c>
    </row>
    <row r="652" spans="1:4" ht="15" x14ac:dyDescent="0.2">
      <c r="A652" s="116">
        <f>'Relatório GERAL'!A652</f>
        <v>42775</v>
      </c>
      <c r="B652" s="116">
        <f t="shared" si="20"/>
        <v>42767</v>
      </c>
      <c r="C652" s="117" t="str">
        <f>'Relatório GERAL'!B652</f>
        <v>qui</v>
      </c>
      <c r="D652" s="18" t="str">
        <f>IF(OR(C652="SÁB",C652="DOM"),"",IFERROR(IF(VLOOKUP(VLOOKUP(A652,'Relatório GERAL'!$A:$T,$E$1,0),'Dados de consulta'!$A$2:$D$38,4,0)=0,"",VLOOKUP(VLOOKUP(A652,'Relatório GERAL'!$A:$T,$E$1,0),'Dados de consulta'!$A$2:$D$38,4,0)),""))</f>
        <v/>
      </c>
    </row>
    <row r="653" spans="1:4" ht="15" x14ac:dyDescent="0.2">
      <c r="A653" s="116">
        <f>'Relatório GERAL'!A653</f>
        <v>42776</v>
      </c>
      <c r="B653" s="116">
        <f t="shared" si="20"/>
        <v>42767</v>
      </c>
      <c r="C653" s="117" t="str">
        <f>'Relatório GERAL'!B653</f>
        <v>sex</v>
      </c>
      <c r="D653" s="18" t="str">
        <f>IF(OR(C653="SÁB",C653="DOM"),"",IFERROR(IF(VLOOKUP(VLOOKUP(A653,'Relatório GERAL'!$A:$T,$E$1,0),'Dados de consulta'!$A$2:$D$38,4,0)=0,"",VLOOKUP(VLOOKUP(A653,'Relatório GERAL'!$A:$T,$E$1,0),'Dados de consulta'!$A$2:$D$38,4,0)),""))</f>
        <v/>
      </c>
    </row>
    <row r="654" spans="1:4" ht="15" x14ac:dyDescent="0.2">
      <c r="A654" s="116">
        <f>'Relatório GERAL'!A654</f>
        <v>42777</v>
      </c>
      <c r="B654" s="116">
        <f t="shared" si="20"/>
        <v>42767</v>
      </c>
      <c r="C654" s="117" t="str">
        <f>'Relatório GERAL'!B654</f>
        <v>sáb</v>
      </c>
      <c r="D654" s="18" t="str">
        <f>IF(OR(C654="SÁB",C654="DOM"),"",IFERROR(IF(VLOOKUP(VLOOKUP(A654,'Relatório GERAL'!$A:$T,$E$1,0),'Dados de consulta'!$A$2:$D$38,4,0)=0,"",VLOOKUP(VLOOKUP(A654,'Relatório GERAL'!$A:$T,$E$1,0),'Dados de consulta'!$A$2:$D$38,4,0)),""))</f>
        <v/>
      </c>
    </row>
    <row r="655" spans="1:4" ht="15" x14ac:dyDescent="0.2">
      <c r="A655" s="116">
        <f>'Relatório GERAL'!A655</f>
        <v>42778</v>
      </c>
      <c r="B655" s="116">
        <f t="shared" si="20"/>
        <v>42767</v>
      </c>
      <c r="C655" s="117" t="str">
        <f>'Relatório GERAL'!B655</f>
        <v>dom</v>
      </c>
      <c r="D655" s="18" t="str">
        <f>IF(OR(C655="SÁB",C655="DOM"),"",IFERROR(IF(VLOOKUP(VLOOKUP(A655,'Relatório GERAL'!$A:$T,$E$1,0),'Dados de consulta'!$A$2:$D$38,4,0)=0,"",VLOOKUP(VLOOKUP(A655,'Relatório GERAL'!$A:$T,$E$1,0),'Dados de consulta'!$A$2:$D$38,4,0)),""))</f>
        <v/>
      </c>
    </row>
    <row r="656" spans="1:4" ht="15" x14ac:dyDescent="0.2">
      <c r="A656" s="116">
        <f>'Relatório GERAL'!A656</f>
        <v>42779</v>
      </c>
      <c r="B656" s="116">
        <f t="shared" si="20"/>
        <v>42767</v>
      </c>
      <c r="C656" s="117" t="str">
        <f>'Relatório GERAL'!B656</f>
        <v>seg</v>
      </c>
      <c r="D656" s="18" t="str">
        <f>IF(OR(C656="SÁB",C656="DOM"),"",IFERROR(IF(VLOOKUP(VLOOKUP(A656,'Relatório GERAL'!$A:$T,$E$1,0),'Dados de consulta'!$A$2:$D$38,4,0)=0,"",VLOOKUP(VLOOKUP(A656,'Relatório GERAL'!$A:$T,$E$1,0),'Dados de consulta'!$A$2:$D$38,4,0)),""))</f>
        <v/>
      </c>
    </row>
    <row r="657" spans="1:4" ht="15" x14ac:dyDescent="0.2">
      <c r="A657" s="116">
        <f>'Relatório GERAL'!A657</f>
        <v>42780</v>
      </c>
      <c r="B657" s="116">
        <f t="shared" si="20"/>
        <v>42767</v>
      </c>
      <c r="C657" s="117" t="str">
        <f>'Relatório GERAL'!B657</f>
        <v>ter</v>
      </c>
      <c r="D657" s="18" t="str">
        <f>IF(OR(C657="SÁB",C657="DOM"),"",IFERROR(IF(VLOOKUP(VLOOKUP(A657,'Relatório GERAL'!$A:$T,$E$1,0),'Dados de consulta'!$A$2:$D$38,4,0)=0,"",VLOOKUP(VLOOKUP(A657,'Relatório GERAL'!$A:$T,$E$1,0),'Dados de consulta'!$A$2:$D$38,4,0)),""))</f>
        <v/>
      </c>
    </row>
    <row r="658" spans="1:4" ht="15" x14ac:dyDescent="0.2">
      <c r="A658" s="116">
        <f>'Relatório GERAL'!A658</f>
        <v>42781</v>
      </c>
      <c r="B658" s="116">
        <f t="shared" si="20"/>
        <v>42767</v>
      </c>
      <c r="C658" s="117" t="str">
        <f>'Relatório GERAL'!B658</f>
        <v>qua</v>
      </c>
      <c r="D658" s="18" t="str">
        <f>IF(OR(C658="SÁB",C658="DOM"),"",IFERROR(IF(VLOOKUP(VLOOKUP(A658,'Relatório GERAL'!$A:$T,$E$1,0),'Dados de consulta'!$A$2:$D$38,4,0)=0,"",VLOOKUP(VLOOKUP(A658,'Relatório GERAL'!$A:$T,$E$1,0),'Dados de consulta'!$A$2:$D$38,4,0)),""))</f>
        <v/>
      </c>
    </row>
    <row r="659" spans="1:4" ht="15" x14ac:dyDescent="0.2">
      <c r="A659" s="116">
        <f>'Relatório GERAL'!A659</f>
        <v>42782</v>
      </c>
      <c r="B659" s="116">
        <f t="shared" si="20"/>
        <v>42767</v>
      </c>
      <c r="C659" s="117" t="str">
        <f>'Relatório GERAL'!B659</f>
        <v>qui</v>
      </c>
      <c r="D659" s="18" t="str">
        <f>IF(OR(C659="SÁB",C659="DOM"),"",IFERROR(IF(VLOOKUP(VLOOKUP(A659,'Relatório GERAL'!$A:$T,$E$1,0),'Dados de consulta'!$A$2:$D$38,4,0)=0,"",VLOOKUP(VLOOKUP(A659,'Relatório GERAL'!$A:$T,$E$1,0),'Dados de consulta'!$A$2:$D$38,4,0)),""))</f>
        <v/>
      </c>
    </row>
    <row r="660" spans="1:4" ht="15" x14ac:dyDescent="0.2">
      <c r="A660" s="116">
        <f>'Relatório GERAL'!A660</f>
        <v>42783</v>
      </c>
      <c r="B660" s="116">
        <f t="shared" si="20"/>
        <v>42767</v>
      </c>
      <c r="C660" s="117" t="str">
        <f>'Relatório GERAL'!B660</f>
        <v>sex</v>
      </c>
      <c r="D660" s="18" t="str">
        <f>IF(OR(C660="SÁB",C660="DOM"),"",IFERROR(IF(VLOOKUP(VLOOKUP(A660,'Relatório GERAL'!$A:$T,$E$1,0),'Dados de consulta'!$A$2:$D$38,4,0)=0,"",VLOOKUP(VLOOKUP(A660,'Relatório GERAL'!$A:$T,$E$1,0),'Dados de consulta'!$A$2:$D$38,4,0)),""))</f>
        <v/>
      </c>
    </row>
    <row r="661" spans="1:4" ht="15" x14ac:dyDescent="0.2">
      <c r="A661" s="116">
        <f>'Relatório GERAL'!A661</f>
        <v>42784</v>
      </c>
      <c r="B661" s="116">
        <f t="shared" si="20"/>
        <v>42767</v>
      </c>
      <c r="C661" s="117" t="str">
        <f>'Relatório GERAL'!B661</f>
        <v>sáb</v>
      </c>
      <c r="D661" s="18" t="str">
        <f>IF(OR(C661="SÁB",C661="DOM"),"",IFERROR(IF(VLOOKUP(VLOOKUP(A661,'Relatório GERAL'!$A:$T,$E$1,0),'Dados de consulta'!$A$2:$D$38,4,0)=0,"",VLOOKUP(VLOOKUP(A661,'Relatório GERAL'!$A:$T,$E$1,0),'Dados de consulta'!$A$2:$D$38,4,0)),""))</f>
        <v/>
      </c>
    </row>
    <row r="662" spans="1:4" ht="15" x14ac:dyDescent="0.2">
      <c r="A662" s="116">
        <f>'Relatório GERAL'!A662</f>
        <v>42785</v>
      </c>
      <c r="B662" s="116">
        <f t="shared" si="20"/>
        <v>42767</v>
      </c>
      <c r="C662" s="117" t="str">
        <f>'Relatório GERAL'!B662</f>
        <v>dom</v>
      </c>
      <c r="D662" s="18" t="str">
        <f>IF(OR(C662="SÁB",C662="DOM"),"",IFERROR(IF(VLOOKUP(VLOOKUP(A662,'Relatório GERAL'!$A:$T,$E$1,0),'Dados de consulta'!$A$2:$D$38,4,0)=0,"",VLOOKUP(VLOOKUP(A662,'Relatório GERAL'!$A:$T,$E$1,0),'Dados de consulta'!$A$2:$D$38,4,0)),""))</f>
        <v/>
      </c>
    </row>
    <row r="663" spans="1:4" ht="15" x14ac:dyDescent="0.2">
      <c r="A663" s="116">
        <f>'Relatório GERAL'!A663</f>
        <v>42786</v>
      </c>
      <c r="B663" s="116">
        <f t="shared" si="20"/>
        <v>42767</v>
      </c>
      <c r="C663" s="117" t="str">
        <f>'Relatório GERAL'!B663</f>
        <v>seg</v>
      </c>
      <c r="D663" s="18" t="str">
        <f>IF(OR(C663="SÁB",C663="DOM"),"",IFERROR(IF(VLOOKUP(VLOOKUP(A663,'Relatório GERAL'!$A:$T,$E$1,0),'Dados de consulta'!$A$2:$D$38,4,0)=0,"",VLOOKUP(VLOOKUP(A663,'Relatório GERAL'!$A:$T,$E$1,0),'Dados de consulta'!$A$2:$D$38,4,0)),""))</f>
        <v/>
      </c>
    </row>
    <row r="664" spans="1:4" ht="15" x14ac:dyDescent="0.2">
      <c r="A664" s="116">
        <f>'Relatório GERAL'!A664</f>
        <v>42787</v>
      </c>
      <c r="B664" s="116">
        <f t="shared" si="20"/>
        <v>42767</v>
      </c>
      <c r="C664" s="117" t="str">
        <f>'Relatório GERAL'!B664</f>
        <v>ter</v>
      </c>
      <c r="D664" s="18" t="str">
        <f>IF(OR(C664="SÁB",C664="DOM"),"",IFERROR(IF(VLOOKUP(VLOOKUP(A664,'Relatório GERAL'!$A:$T,$E$1,0),'Dados de consulta'!$A$2:$D$38,4,0)=0,"",VLOOKUP(VLOOKUP(A664,'Relatório GERAL'!$A:$T,$E$1,0),'Dados de consulta'!$A$2:$D$38,4,0)),""))</f>
        <v/>
      </c>
    </row>
    <row r="665" spans="1:4" ht="15" x14ac:dyDescent="0.2">
      <c r="A665" s="116">
        <f>'Relatório GERAL'!A665</f>
        <v>42788</v>
      </c>
      <c r="B665" s="116">
        <f t="shared" si="20"/>
        <v>42767</v>
      </c>
      <c r="C665" s="117" t="str">
        <f>'Relatório GERAL'!B665</f>
        <v>qua</v>
      </c>
      <c r="D665" s="18" t="str">
        <f>IF(OR(C665="SÁB",C665="DOM"),"",IFERROR(IF(VLOOKUP(VLOOKUP(A665,'Relatório GERAL'!$A:$T,$E$1,0),'Dados de consulta'!$A$2:$D$38,4,0)=0,"",VLOOKUP(VLOOKUP(A665,'Relatório GERAL'!$A:$T,$E$1,0),'Dados de consulta'!$A$2:$D$38,4,0)),""))</f>
        <v/>
      </c>
    </row>
    <row r="666" spans="1:4" ht="15" x14ac:dyDescent="0.2">
      <c r="A666" s="116">
        <f>'Relatório GERAL'!A666</f>
        <v>42789</v>
      </c>
      <c r="B666" s="116">
        <f t="shared" si="20"/>
        <v>42767</v>
      </c>
      <c r="C666" s="117" t="str">
        <f>'Relatório GERAL'!B666</f>
        <v>qui</v>
      </c>
      <c r="D666" s="18" t="str">
        <f>IF(OR(C666="SÁB",C666="DOM"),"",IFERROR(IF(VLOOKUP(VLOOKUP(A666,'Relatório GERAL'!$A:$T,$E$1,0),'Dados de consulta'!$A$2:$D$38,4,0)=0,"",VLOOKUP(VLOOKUP(A666,'Relatório GERAL'!$A:$T,$E$1,0),'Dados de consulta'!$A$2:$D$38,4,0)),""))</f>
        <v/>
      </c>
    </row>
    <row r="667" spans="1:4" ht="15" x14ac:dyDescent="0.2">
      <c r="A667" s="116">
        <f>'Relatório GERAL'!A667</f>
        <v>42790</v>
      </c>
      <c r="B667" s="116">
        <f t="shared" si="20"/>
        <v>42767</v>
      </c>
      <c r="C667" s="117" t="str">
        <f>'Relatório GERAL'!B667</f>
        <v>sex</v>
      </c>
      <c r="D667" s="18" t="str">
        <f>IF(OR(C667="SÁB",C667="DOM"),"",IFERROR(IF(VLOOKUP(VLOOKUP(A667,'Relatório GERAL'!$A:$T,$E$1,0),'Dados de consulta'!$A$2:$D$38,4,0)=0,"",VLOOKUP(VLOOKUP(A667,'Relatório GERAL'!$A:$T,$E$1,0),'Dados de consulta'!$A$2:$D$38,4,0)),""))</f>
        <v/>
      </c>
    </row>
    <row r="668" spans="1:4" ht="15" x14ac:dyDescent="0.2">
      <c r="A668" s="116">
        <f>'Relatório GERAL'!A668</f>
        <v>42791</v>
      </c>
      <c r="B668" s="116">
        <f t="shared" si="20"/>
        <v>42767</v>
      </c>
      <c r="C668" s="117" t="str">
        <f>'Relatório GERAL'!B668</f>
        <v>sáb</v>
      </c>
      <c r="D668" s="18" t="str">
        <f>IF(OR(C668="SÁB",C668="DOM"),"",IFERROR(IF(VLOOKUP(VLOOKUP(A668,'Relatório GERAL'!$A:$T,$E$1,0),'Dados de consulta'!$A$2:$D$38,4,0)=0,"",VLOOKUP(VLOOKUP(A668,'Relatório GERAL'!$A:$T,$E$1,0),'Dados de consulta'!$A$2:$D$38,4,0)),""))</f>
        <v/>
      </c>
    </row>
    <row r="669" spans="1:4" ht="15" x14ac:dyDescent="0.2">
      <c r="A669" s="116">
        <f>'Relatório GERAL'!A669</f>
        <v>42792</v>
      </c>
      <c r="B669" s="116">
        <f t="shared" si="20"/>
        <v>42767</v>
      </c>
      <c r="C669" s="117" t="str">
        <f>'Relatório GERAL'!B669</f>
        <v>dom</v>
      </c>
      <c r="D669" s="18" t="str">
        <f>IF(OR(C669="SÁB",C669="DOM"),"",IFERROR(IF(VLOOKUP(VLOOKUP(A669,'Relatório GERAL'!$A:$T,$E$1,0),'Dados de consulta'!$A$2:$D$38,4,0)=0,"",VLOOKUP(VLOOKUP(A669,'Relatório GERAL'!$A:$T,$E$1,0),'Dados de consulta'!$A$2:$D$38,4,0)),""))</f>
        <v/>
      </c>
    </row>
    <row r="670" spans="1:4" ht="15" x14ac:dyDescent="0.2">
      <c r="A670" s="116">
        <f>'Relatório GERAL'!A670</f>
        <v>42793</v>
      </c>
      <c r="B670" s="116">
        <f t="shared" si="20"/>
        <v>42767</v>
      </c>
      <c r="C670" s="117" t="str">
        <f>'Relatório GERAL'!B670</f>
        <v>seg</v>
      </c>
      <c r="D670" s="18" t="str">
        <f>IF(OR(C670="SÁB",C670="DOM"),"",IFERROR(IF(VLOOKUP(VLOOKUP(A670,'Relatório GERAL'!$A:$T,$E$1,0),'Dados de consulta'!$A$2:$D$38,4,0)=0,"",VLOOKUP(VLOOKUP(A670,'Relatório GERAL'!$A:$T,$E$1,0),'Dados de consulta'!$A$2:$D$38,4,0)),""))</f>
        <v/>
      </c>
    </row>
    <row r="671" spans="1:4" ht="15" x14ac:dyDescent="0.2">
      <c r="A671" s="116">
        <f>'Relatório GERAL'!A671</f>
        <v>42794</v>
      </c>
      <c r="B671" s="116">
        <f t="shared" si="20"/>
        <v>42767</v>
      </c>
      <c r="C671" s="117" t="str">
        <f>'Relatório GERAL'!B671</f>
        <v>ter</v>
      </c>
      <c r="D671" s="18" t="str">
        <f>IF(OR(C671="SÁB",C671="DOM"),"",IFERROR(IF(VLOOKUP(VLOOKUP(A671,'Relatório GERAL'!$A:$T,$E$1,0),'Dados de consulta'!$A$2:$D$38,4,0)=0,"",VLOOKUP(VLOOKUP(A671,'Relatório GERAL'!$A:$T,$E$1,0),'Dados de consulta'!$A$2:$D$38,4,0)),""))</f>
        <v/>
      </c>
    </row>
    <row r="672" spans="1:4" ht="15" x14ac:dyDescent="0.2">
      <c r="A672" s="116">
        <f>'Relatório GERAL'!A672</f>
        <v>42795</v>
      </c>
      <c r="B672" s="116">
        <f t="shared" si="20"/>
        <v>42795</v>
      </c>
      <c r="C672" s="117" t="str">
        <f>'Relatório GERAL'!B672</f>
        <v>qua</v>
      </c>
      <c r="D672" s="18" t="str">
        <f>IF(OR(C672="SÁB",C672="DOM"),"",IFERROR(IF(VLOOKUP(VLOOKUP(A672,'Relatório GERAL'!$A:$T,$E$1,0),'Dados de consulta'!$A$2:$D$38,4,0)=0,"",VLOOKUP(VLOOKUP(A672,'Relatório GERAL'!$A:$T,$E$1,0),'Dados de consulta'!$A$2:$D$38,4,0)),""))</f>
        <v/>
      </c>
    </row>
    <row r="673" spans="1:4" ht="15" x14ac:dyDescent="0.2">
      <c r="A673" s="116">
        <f>'Relatório GERAL'!A673</f>
        <v>42796</v>
      </c>
      <c r="B673" s="116">
        <f t="shared" si="20"/>
        <v>42795</v>
      </c>
      <c r="C673" s="117" t="str">
        <f>'Relatório GERAL'!B673</f>
        <v>qui</v>
      </c>
      <c r="D673" s="18" t="str">
        <f>IF(OR(C673="SÁB",C673="DOM"),"",IFERROR(IF(VLOOKUP(VLOOKUP(A673,'Relatório GERAL'!$A:$T,$E$1,0),'Dados de consulta'!$A$2:$D$38,4,0)=0,"",VLOOKUP(VLOOKUP(A673,'Relatório GERAL'!$A:$T,$E$1,0),'Dados de consulta'!$A$2:$D$38,4,0)),""))</f>
        <v/>
      </c>
    </row>
    <row r="674" spans="1:4" ht="15" x14ac:dyDescent="0.2">
      <c r="A674" s="116">
        <f>'Relatório GERAL'!A674</f>
        <v>42797</v>
      </c>
      <c r="B674" s="116">
        <f t="shared" si="20"/>
        <v>42795</v>
      </c>
      <c r="C674" s="117" t="str">
        <f>'Relatório GERAL'!B674</f>
        <v>sex</v>
      </c>
      <c r="D674" s="18" t="str">
        <f>IF(OR(C674="SÁB",C674="DOM"),"",IFERROR(IF(VLOOKUP(VLOOKUP(A674,'Relatório GERAL'!$A:$T,$E$1,0),'Dados de consulta'!$A$2:$D$38,4,0)=0,"",VLOOKUP(VLOOKUP(A674,'Relatório GERAL'!$A:$T,$E$1,0),'Dados de consulta'!$A$2:$D$38,4,0)),""))</f>
        <v/>
      </c>
    </row>
    <row r="675" spans="1:4" ht="15" x14ac:dyDescent="0.2">
      <c r="A675" s="116">
        <f>'Relatório GERAL'!A675</f>
        <v>42798</v>
      </c>
      <c r="B675" s="116">
        <f t="shared" si="20"/>
        <v>42795</v>
      </c>
      <c r="C675" s="117" t="str">
        <f>'Relatório GERAL'!B675</f>
        <v>sáb</v>
      </c>
      <c r="D675" s="18" t="str">
        <f>IF(OR(C675="SÁB",C675="DOM"),"",IFERROR(IF(VLOOKUP(VLOOKUP(A675,'Relatório GERAL'!$A:$T,$E$1,0),'Dados de consulta'!$A$2:$D$38,4,0)=0,"",VLOOKUP(VLOOKUP(A675,'Relatório GERAL'!$A:$T,$E$1,0),'Dados de consulta'!$A$2:$D$38,4,0)),""))</f>
        <v/>
      </c>
    </row>
    <row r="676" spans="1:4" ht="15" x14ac:dyDescent="0.2">
      <c r="A676" s="116">
        <f>'Relatório GERAL'!A676</f>
        <v>42799</v>
      </c>
      <c r="B676" s="116">
        <f t="shared" si="20"/>
        <v>42795</v>
      </c>
      <c r="C676" s="117" t="str">
        <f>'Relatório GERAL'!B676</f>
        <v>dom</v>
      </c>
      <c r="D676" s="18" t="str">
        <f>IF(OR(C676="SÁB",C676="DOM"),"",IFERROR(IF(VLOOKUP(VLOOKUP(A676,'Relatório GERAL'!$A:$T,$E$1,0),'Dados de consulta'!$A$2:$D$38,4,0)=0,"",VLOOKUP(VLOOKUP(A676,'Relatório GERAL'!$A:$T,$E$1,0),'Dados de consulta'!$A$2:$D$38,4,0)),""))</f>
        <v/>
      </c>
    </row>
    <row r="677" spans="1:4" ht="15" x14ac:dyDescent="0.2">
      <c r="A677" s="116">
        <f>'Relatório GERAL'!A677</f>
        <v>42800</v>
      </c>
      <c r="B677" s="116">
        <f t="shared" si="20"/>
        <v>42795</v>
      </c>
      <c r="C677" s="117" t="str">
        <f>'Relatório GERAL'!B677</f>
        <v>seg</v>
      </c>
      <c r="D677" s="18" t="str">
        <f>IF(OR(C677="SÁB",C677="DOM"),"",IFERROR(IF(VLOOKUP(VLOOKUP(A677,'Relatório GERAL'!$A:$T,$E$1,0),'Dados de consulta'!$A$2:$D$38,4,0)=0,"",VLOOKUP(VLOOKUP(A677,'Relatório GERAL'!$A:$T,$E$1,0),'Dados de consulta'!$A$2:$D$38,4,0)),""))</f>
        <v/>
      </c>
    </row>
    <row r="678" spans="1:4" ht="15" x14ac:dyDescent="0.2">
      <c r="A678" s="116">
        <f>'Relatório GERAL'!A678</f>
        <v>42801</v>
      </c>
      <c r="B678" s="116">
        <f t="shared" si="20"/>
        <v>42795</v>
      </c>
      <c r="C678" s="117" t="str">
        <f>'Relatório GERAL'!B678</f>
        <v>ter</v>
      </c>
      <c r="D678" s="18" t="str">
        <f>IF(OR(C678="SÁB",C678="DOM"),"",IFERROR(IF(VLOOKUP(VLOOKUP(A678,'Relatório GERAL'!$A:$T,$E$1,0),'Dados de consulta'!$A$2:$D$38,4,0)=0,"",VLOOKUP(VLOOKUP(A678,'Relatório GERAL'!$A:$T,$E$1,0),'Dados de consulta'!$A$2:$D$38,4,0)),""))</f>
        <v/>
      </c>
    </row>
    <row r="679" spans="1:4" ht="15" x14ac:dyDescent="0.2">
      <c r="A679" s="116">
        <f>'Relatório GERAL'!A679</f>
        <v>42802</v>
      </c>
      <c r="B679" s="116">
        <f t="shared" si="20"/>
        <v>42795</v>
      </c>
      <c r="C679" s="117" t="str">
        <f>'Relatório GERAL'!B679</f>
        <v>qua</v>
      </c>
      <c r="D679" s="18" t="str">
        <f>IF(OR(C679="SÁB",C679="DOM"),"",IFERROR(IF(VLOOKUP(VLOOKUP(A679,'Relatório GERAL'!$A:$T,$E$1,0),'Dados de consulta'!$A$2:$D$38,4,0)=0,"",VLOOKUP(VLOOKUP(A679,'Relatório GERAL'!$A:$T,$E$1,0),'Dados de consulta'!$A$2:$D$38,4,0)),""))</f>
        <v/>
      </c>
    </row>
    <row r="680" spans="1:4" ht="15" x14ac:dyDescent="0.2">
      <c r="A680" s="116">
        <f>'Relatório GERAL'!A680</f>
        <v>42803</v>
      </c>
      <c r="B680" s="116">
        <f t="shared" si="20"/>
        <v>42795</v>
      </c>
      <c r="C680" s="117" t="str">
        <f>'Relatório GERAL'!B680</f>
        <v>qui</v>
      </c>
      <c r="D680" s="18" t="str">
        <f>IF(OR(C680="SÁB",C680="DOM"),"",IFERROR(IF(VLOOKUP(VLOOKUP(A680,'Relatório GERAL'!$A:$T,$E$1,0),'Dados de consulta'!$A$2:$D$38,4,0)=0,"",VLOOKUP(VLOOKUP(A680,'Relatório GERAL'!$A:$T,$E$1,0),'Dados de consulta'!$A$2:$D$38,4,0)),""))</f>
        <v/>
      </c>
    </row>
    <row r="681" spans="1:4" ht="15" x14ac:dyDescent="0.2">
      <c r="A681" s="116">
        <f>'Relatório GERAL'!A681</f>
        <v>42804</v>
      </c>
      <c r="B681" s="116">
        <f t="shared" si="20"/>
        <v>42795</v>
      </c>
      <c r="C681" s="117" t="str">
        <f>'Relatório GERAL'!B681</f>
        <v>sex</v>
      </c>
      <c r="D681" s="18" t="str">
        <f>IF(OR(C681="SÁB",C681="DOM"),"",IFERROR(IF(VLOOKUP(VLOOKUP(A681,'Relatório GERAL'!$A:$T,$E$1,0),'Dados de consulta'!$A$2:$D$38,4,0)=0,"",VLOOKUP(VLOOKUP(A681,'Relatório GERAL'!$A:$T,$E$1,0),'Dados de consulta'!$A$2:$D$38,4,0)),""))</f>
        <v/>
      </c>
    </row>
    <row r="682" spans="1:4" ht="15" x14ac:dyDescent="0.2">
      <c r="A682" s="116">
        <f>'Relatório GERAL'!A682</f>
        <v>42805</v>
      </c>
      <c r="B682" s="116">
        <f t="shared" si="20"/>
        <v>42795</v>
      </c>
      <c r="C682" s="117" t="str">
        <f>'Relatório GERAL'!B682</f>
        <v>sáb</v>
      </c>
      <c r="D682" s="18" t="str">
        <f>IF(OR(C682="SÁB",C682="DOM"),"",IFERROR(IF(VLOOKUP(VLOOKUP(A682,'Relatório GERAL'!$A:$T,$E$1,0),'Dados de consulta'!$A$2:$D$38,4,0)=0,"",VLOOKUP(VLOOKUP(A682,'Relatório GERAL'!$A:$T,$E$1,0),'Dados de consulta'!$A$2:$D$38,4,0)),""))</f>
        <v/>
      </c>
    </row>
    <row r="683" spans="1:4" ht="15" x14ac:dyDescent="0.2">
      <c r="A683" s="116">
        <f>'Relatório GERAL'!A683</f>
        <v>42806</v>
      </c>
      <c r="B683" s="116">
        <f t="shared" si="20"/>
        <v>42795</v>
      </c>
      <c r="C683" s="117" t="str">
        <f>'Relatório GERAL'!B683</f>
        <v>dom</v>
      </c>
      <c r="D683" s="18" t="str">
        <f>IF(OR(C683="SÁB",C683="DOM"),"",IFERROR(IF(VLOOKUP(VLOOKUP(A683,'Relatório GERAL'!$A:$T,$E$1,0),'Dados de consulta'!$A$2:$D$38,4,0)=0,"",VLOOKUP(VLOOKUP(A683,'Relatório GERAL'!$A:$T,$E$1,0),'Dados de consulta'!$A$2:$D$38,4,0)),""))</f>
        <v/>
      </c>
    </row>
    <row r="684" spans="1:4" ht="15" x14ac:dyDescent="0.2">
      <c r="A684" s="116">
        <f>'Relatório GERAL'!A684</f>
        <v>42807</v>
      </c>
      <c r="B684" s="116">
        <f t="shared" ref="B684:B747" si="21">DATEVALUE(CONCATENATE("01/",TEXT(A684,"mm/aaaa")))</f>
        <v>42795</v>
      </c>
      <c r="C684" s="117" t="str">
        <f>'Relatório GERAL'!B684</f>
        <v>seg</v>
      </c>
      <c r="D684" s="18" t="str">
        <f>IF(OR(C684="SÁB",C684="DOM"),"",IFERROR(IF(VLOOKUP(VLOOKUP(A684,'Relatório GERAL'!$A:$T,$E$1,0),'Dados de consulta'!$A$2:$D$38,4,0)=0,"",VLOOKUP(VLOOKUP(A684,'Relatório GERAL'!$A:$T,$E$1,0),'Dados de consulta'!$A$2:$D$38,4,0)),""))</f>
        <v/>
      </c>
    </row>
    <row r="685" spans="1:4" ht="15" x14ac:dyDescent="0.2">
      <c r="A685" s="116">
        <f>'Relatório GERAL'!A685</f>
        <v>42808</v>
      </c>
      <c r="B685" s="116">
        <f t="shared" si="21"/>
        <v>42795</v>
      </c>
      <c r="C685" s="117" t="str">
        <f>'Relatório GERAL'!B685</f>
        <v>ter</v>
      </c>
      <c r="D685" s="18" t="str">
        <f>IF(OR(C685="SÁB",C685="DOM"),"",IFERROR(IF(VLOOKUP(VLOOKUP(A685,'Relatório GERAL'!$A:$T,$E$1,0),'Dados de consulta'!$A$2:$D$38,4,0)=0,"",VLOOKUP(VLOOKUP(A685,'Relatório GERAL'!$A:$T,$E$1,0),'Dados de consulta'!$A$2:$D$38,4,0)),""))</f>
        <v/>
      </c>
    </row>
    <row r="686" spans="1:4" ht="15" x14ac:dyDescent="0.2">
      <c r="A686" s="116">
        <f>'Relatório GERAL'!A686</f>
        <v>42809</v>
      </c>
      <c r="B686" s="116">
        <f t="shared" si="21"/>
        <v>42795</v>
      </c>
      <c r="C686" s="117" t="str">
        <f>'Relatório GERAL'!B686</f>
        <v>qua</v>
      </c>
      <c r="D686" s="18" t="str">
        <f>IF(OR(C686="SÁB",C686="DOM"),"",IFERROR(IF(VLOOKUP(VLOOKUP(A686,'Relatório GERAL'!$A:$T,$E$1,0),'Dados de consulta'!$A$2:$D$38,4,0)=0,"",VLOOKUP(VLOOKUP(A686,'Relatório GERAL'!$A:$T,$E$1,0),'Dados de consulta'!$A$2:$D$38,4,0)),""))</f>
        <v/>
      </c>
    </row>
    <row r="687" spans="1:4" ht="15" x14ac:dyDescent="0.2">
      <c r="A687" s="116">
        <f>'Relatório GERAL'!A687</f>
        <v>42810</v>
      </c>
      <c r="B687" s="116">
        <f t="shared" si="21"/>
        <v>42795</v>
      </c>
      <c r="C687" s="117" t="str">
        <f>'Relatório GERAL'!B687</f>
        <v>qui</v>
      </c>
      <c r="D687" s="18" t="str">
        <f>IF(OR(C687="SÁB",C687="DOM"),"",IFERROR(IF(VLOOKUP(VLOOKUP(A687,'Relatório GERAL'!$A:$T,$E$1,0),'Dados de consulta'!$A$2:$D$38,4,0)=0,"",VLOOKUP(VLOOKUP(A687,'Relatório GERAL'!$A:$T,$E$1,0),'Dados de consulta'!$A$2:$D$38,4,0)),""))</f>
        <v/>
      </c>
    </row>
    <row r="688" spans="1:4" ht="15" x14ac:dyDescent="0.2">
      <c r="A688" s="116">
        <f>'Relatório GERAL'!A688</f>
        <v>42811</v>
      </c>
      <c r="B688" s="116">
        <f t="shared" si="21"/>
        <v>42795</v>
      </c>
      <c r="C688" s="117" t="str">
        <f>'Relatório GERAL'!B688</f>
        <v>sex</v>
      </c>
      <c r="D688" s="18" t="str">
        <f>IF(OR(C688="SÁB",C688="DOM"),"",IFERROR(IF(VLOOKUP(VLOOKUP(A688,'Relatório GERAL'!$A:$T,$E$1,0),'Dados de consulta'!$A$2:$D$38,4,0)=0,"",VLOOKUP(VLOOKUP(A688,'Relatório GERAL'!$A:$T,$E$1,0),'Dados de consulta'!$A$2:$D$38,4,0)),""))</f>
        <v/>
      </c>
    </row>
    <row r="689" spans="1:4" ht="15" x14ac:dyDescent="0.2">
      <c r="A689" s="116">
        <f>'Relatório GERAL'!A689</f>
        <v>42812</v>
      </c>
      <c r="B689" s="116">
        <f t="shared" si="21"/>
        <v>42795</v>
      </c>
      <c r="C689" s="117" t="str">
        <f>'Relatório GERAL'!B689</f>
        <v>sáb</v>
      </c>
      <c r="D689" s="18" t="str">
        <f>IF(OR(C689="SÁB",C689="DOM"),"",IFERROR(IF(VLOOKUP(VLOOKUP(A689,'Relatório GERAL'!$A:$T,$E$1,0),'Dados de consulta'!$A$2:$D$38,4,0)=0,"",VLOOKUP(VLOOKUP(A689,'Relatório GERAL'!$A:$T,$E$1,0),'Dados de consulta'!$A$2:$D$38,4,0)),""))</f>
        <v/>
      </c>
    </row>
    <row r="690" spans="1:4" ht="15" x14ac:dyDescent="0.2">
      <c r="A690" s="116">
        <f>'Relatório GERAL'!A690</f>
        <v>42813</v>
      </c>
      <c r="B690" s="116">
        <f t="shared" si="21"/>
        <v>42795</v>
      </c>
      <c r="C690" s="117" t="str">
        <f>'Relatório GERAL'!B690</f>
        <v>dom</v>
      </c>
      <c r="D690" s="18" t="str">
        <f>IF(OR(C690="SÁB",C690="DOM"),"",IFERROR(IF(VLOOKUP(VLOOKUP(A690,'Relatório GERAL'!$A:$T,$E$1,0),'Dados de consulta'!$A$2:$D$38,4,0)=0,"",VLOOKUP(VLOOKUP(A690,'Relatório GERAL'!$A:$T,$E$1,0),'Dados de consulta'!$A$2:$D$38,4,0)),""))</f>
        <v/>
      </c>
    </row>
    <row r="691" spans="1:4" ht="15" x14ac:dyDescent="0.2">
      <c r="A691" s="116">
        <f>'Relatório GERAL'!A691</f>
        <v>42814</v>
      </c>
      <c r="B691" s="116">
        <f t="shared" si="21"/>
        <v>42795</v>
      </c>
      <c r="C691" s="117" t="str">
        <f>'Relatório GERAL'!B691</f>
        <v>seg</v>
      </c>
      <c r="D691" s="18" t="str">
        <f>IF(OR(C691="SÁB",C691="DOM"),"",IFERROR(IF(VLOOKUP(VLOOKUP(A691,'Relatório GERAL'!$A:$T,$E$1,0),'Dados de consulta'!$A$2:$D$38,4,0)=0,"",VLOOKUP(VLOOKUP(A691,'Relatório GERAL'!$A:$T,$E$1,0),'Dados de consulta'!$A$2:$D$38,4,0)),""))</f>
        <v/>
      </c>
    </row>
    <row r="692" spans="1:4" ht="15" x14ac:dyDescent="0.2">
      <c r="A692" s="116">
        <f>'Relatório GERAL'!A692</f>
        <v>42815</v>
      </c>
      <c r="B692" s="116">
        <f t="shared" si="21"/>
        <v>42795</v>
      </c>
      <c r="C692" s="117" t="str">
        <f>'Relatório GERAL'!B692</f>
        <v>ter</v>
      </c>
      <c r="D692" s="18" t="str">
        <f>IF(OR(C692="SÁB",C692="DOM"),"",IFERROR(IF(VLOOKUP(VLOOKUP(A692,'Relatório GERAL'!$A:$T,$E$1,0),'Dados de consulta'!$A$2:$D$38,4,0)=0,"",VLOOKUP(VLOOKUP(A692,'Relatório GERAL'!$A:$T,$E$1,0),'Dados de consulta'!$A$2:$D$38,4,0)),""))</f>
        <v/>
      </c>
    </row>
    <row r="693" spans="1:4" ht="15" x14ac:dyDescent="0.2">
      <c r="A693" s="116">
        <f>'Relatório GERAL'!A693</f>
        <v>42816</v>
      </c>
      <c r="B693" s="116">
        <f t="shared" si="21"/>
        <v>42795</v>
      </c>
      <c r="C693" s="117" t="str">
        <f>'Relatório GERAL'!B693</f>
        <v>qua</v>
      </c>
      <c r="D693" s="18" t="str">
        <f>IF(OR(C693="SÁB",C693="DOM"),"",IFERROR(IF(VLOOKUP(VLOOKUP(A693,'Relatório GERAL'!$A:$T,$E$1,0),'Dados de consulta'!$A$2:$D$38,4,0)=0,"",VLOOKUP(VLOOKUP(A693,'Relatório GERAL'!$A:$T,$E$1,0),'Dados de consulta'!$A$2:$D$38,4,0)),""))</f>
        <v/>
      </c>
    </row>
    <row r="694" spans="1:4" ht="15" x14ac:dyDescent="0.2">
      <c r="A694" s="116">
        <f>'Relatório GERAL'!A694</f>
        <v>42817</v>
      </c>
      <c r="B694" s="116">
        <f t="shared" si="21"/>
        <v>42795</v>
      </c>
      <c r="C694" s="117" t="str">
        <f>'Relatório GERAL'!B694</f>
        <v>qui</v>
      </c>
      <c r="D694" s="18" t="str">
        <f>IF(OR(C694="SÁB",C694="DOM"),"",IFERROR(IF(VLOOKUP(VLOOKUP(A694,'Relatório GERAL'!$A:$T,$E$1,0),'Dados de consulta'!$A$2:$D$38,4,0)=0,"",VLOOKUP(VLOOKUP(A694,'Relatório GERAL'!$A:$T,$E$1,0),'Dados de consulta'!$A$2:$D$38,4,0)),""))</f>
        <v/>
      </c>
    </row>
    <row r="695" spans="1:4" ht="15" x14ac:dyDescent="0.2">
      <c r="A695" s="116">
        <f>'Relatório GERAL'!A695</f>
        <v>42818</v>
      </c>
      <c r="B695" s="116">
        <f t="shared" si="21"/>
        <v>42795</v>
      </c>
      <c r="C695" s="117" t="str">
        <f>'Relatório GERAL'!B695</f>
        <v>sex</v>
      </c>
      <c r="D695" s="18" t="str">
        <f>IF(OR(C695="SÁB",C695="DOM"),"",IFERROR(IF(VLOOKUP(VLOOKUP(A695,'Relatório GERAL'!$A:$T,$E$1,0),'Dados de consulta'!$A$2:$D$38,4,0)=0,"",VLOOKUP(VLOOKUP(A695,'Relatório GERAL'!$A:$T,$E$1,0),'Dados de consulta'!$A$2:$D$38,4,0)),""))</f>
        <v/>
      </c>
    </row>
    <row r="696" spans="1:4" ht="15" x14ac:dyDescent="0.2">
      <c r="A696" s="116">
        <f>'Relatório GERAL'!A696</f>
        <v>42819</v>
      </c>
      <c r="B696" s="116">
        <f t="shared" si="21"/>
        <v>42795</v>
      </c>
      <c r="C696" s="117" t="str">
        <f>'Relatório GERAL'!B696</f>
        <v>sáb</v>
      </c>
      <c r="D696" s="18" t="str">
        <f>IF(OR(C696="SÁB",C696="DOM"),"",IFERROR(IF(VLOOKUP(VLOOKUP(A696,'Relatório GERAL'!$A:$T,$E$1,0),'Dados de consulta'!$A$2:$D$38,4,0)=0,"",VLOOKUP(VLOOKUP(A696,'Relatório GERAL'!$A:$T,$E$1,0),'Dados de consulta'!$A$2:$D$38,4,0)),""))</f>
        <v/>
      </c>
    </row>
    <row r="697" spans="1:4" ht="15" x14ac:dyDescent="0.2">
      <c r="A697" s="116">
        <f>'Relatório GERAL'!A697</f>
        <v>42820</v>
      </c>
      <c r="B697" s="116">
        <f t="shared" si="21"/>
        <v>42795</v>
      </c>
      <c r="C697" s="117" t="str">
        <f>'Relatório GERAL'!B697</f>
        <v>dom</v>
      </c>
      <c r="D697" s="18" t="str">
        <f>IF(OR(C697="SÁB",C697="DOM"),"",IFERROR(IF(VLOOKUP(VLOOKUP(A697,'Relatório GERAL'!$A:$T,$E$1,0),'Dados de consulta'!$A$2:$D$38,4,0)=0,"",VLOOKUP(VLOOKUP(A697,'Relatório GERAL'!$A:$T,$E$1,0),'Dados de consulta'!$A$2:$D$38,4,0)),""))</f>
        <v/>
      </c>
    </row>
    <row r="698" spans="1:4" ht="15" x14ac:dyDescent="0.2">
      <c r="A698" s="116">
        <f>'Relatório GERAL'!A698</f>
        <v>42821</v>
      </c>
      <c r="B698" s="116">
        <f t="shared" si="21"/>
        <v>42795</v>
      </c>
      <c r="C698" s="117" t="str">
        <f>'Relatório GERAL'!B698</f>
        <v>seg</v>
      </c>
      <c r="D698" s="18" t="str">
        <f>IF(OR(C698="SÁB",C698="DOM"),"",IFERROR(IF(VLOOKUP(VLOOKUP(A698,'Relatório GERAL'!$A:$T,$E$1,0),'Dados de consulta'!$A$2:$D$38,4,0)=0,"",VLOOKUP(VLOOKUP(A698,'Relatório GERAL'!$A:$T,$E$1,0),'Dados de consulta'!$A$2:$D$38,4,0)),""))</f>
        <v/>
      </c>
    </row>
    <row r="699" spans="1:4" ht="15" x14ac:dyDescent="0.2">
      <c r="A699" s="116">
        <f>'Relatório GERAL'!A699</f>
        <v>42822</v>
      </c>
      <c r="B699" s="116">
        <f t="shared" si="21"/>
        <v>42795</v>
      </c>
      <c r="C699" s="117" t="str">
        <f>'Relatório GERAL'!B699</f>
        <v>ter</v>
      </c>
      <c r="D699" s="18" t="str">
        <f>IF(OR(C699="SÁB",C699="DOM"),"",IFERROR(IF(VLOOKUP(VLOOKUP(A699,'Relatório GERAL'!$A:$T,$E$1,0),'Dados de consulta'!$A$2:$D$38,4,0)=0,"",VLOOKUP(VLOOKUP(A699,'Relatório GERAL'!$A:$T,$E$1,0),'Dados de consulta'!$A$2:$D$38,4,0)),""))</f>
        <v/>
      </c>
    </row>
    <row r="700" spans="1:4" ht="15" x14ac:dyDescent="0.2">
      <c r="A700" s="116">
        <f>'Relatório GERAL'!A700</f>
        <v>42823</v>
      </c>
      <c r="B700" s="116">
        <f t="shared" si="21"/>
        <v>42795</v>
      </c>
      <c r="C700" s="117" t="str">
        <f>'Relatório GERAL'!B700</f>
        <v>qua</v>
      </c>
      <c r="D700" s="18" t="str">
        <f>IF(OR(C700="SÁB",C700="DOM"),"",IFERROR(IF(VLOOKUP(VLOOKUP(A700,'Relatório GERAL'!$A:$T,$E$1,0),'Dados de consulta'!$A$2:$D$38,4,0)=0,"",VLOOKUP(VLOOKUP(A700,'Relatório GERAL'!$A:$T,$E$1,0),'Dados de consulta'!$A$2:$D$38,4,0)),""))</f>
        <v/>
      </c>
    </row>
    <row r="701" spans="1:4" ht="15" x14ac:dyDescent="0.2">
      <c r="A701" s="116">
        <f>'Relatório GERAL'!A701</f>
        <v>42824</v>
      </c>
      <c r="B701" s="116">
        <f t="shared" si="21"/>
        <v>42795</v>
      </c>
      <c r="C701" s="117" t="str">
        <f>'Relatório GERAL'!B701</f>
        <v>qui</v>
      </c>
      <c r="D701" s="18" t="str">
        <f>IF(OR(C701="SÁB",C701="DOM"),"",IFERROR(IF(VLOOKUP(VLOOKUP(A701,'Relatório GERAL'!$A:$T,$E$1,0),'Dados de consulta'!$A$2:$D$38,4,0)=0,"",VLOOKUP(VLOOKUP(A701,'Relatório GERAL'!$A:$T,$E$1,0),'Dados de consulta'!$A$2:$D$38,4,0)),""))</f>
        <v/>
      </c>
    </row>
    <row r="702" spans="1:4" ht="15" x14ac:dyDescent="0.2">
      <c r="A702" s="116">
        <f>'Relatório GERAL'!A702</f>
        <v>0</v>
      </c>
      <c r="B702" s="116">
        <f t="shared" si="21"/>
        <v>1</v>
      </c>
      <c r="C702" s="117">
        <f>'Relatório GERAL'!B702</f>
        <v>0</v>
      </c>
      <c r="D702" s="18" t="str">
        <f>IF(OR(C702="SÁB",C702="DOM"),"",IFERROR(IF(VLOOKUP(VLOOKUP(A702,'Relatório GERAL'!$A:$T,$E$1,0),'Dados de consulta'!$A$2:$D$38,4,0)=0,"",VLOOKUP(VLOOKUP(A702,'Relatório GERAL'!$A:$T,$E$1,0),'Dados de consulta'!$A$2:$D$38,4,0)),""))</f>
        <v/>
      </c>
    </row>
    <row r="703" spans="1:4" ht="15" x14ac:dyDescent="0.2">
      <c r="A703" s="116">
        <f>'Relatório GERAL'!A703</f>
        <v>0</v>
      </c>
      <c r="B703" s="116">
        <f t="shared" si="21"/>
        <v>1</v>
      </c>
      <c r="C703" s="117">
        <f>'Relatório GERAL'!B703</f>
        <v>0</v>
      </c>
      <c r="D703" s="18" t="str">
        <f>IF(OR(C703="SÁB",C703="DOM"),"",IFERROR(IF(VLOOKUP(VLOOKUP(A703,'Relatório GERAL'!$A:$T,$E$1,0),'Dados de consulta'!$A$2:$D$38,4,0)=0,"",VLOOKUP(VLOOKUP(A703,'Relatório GERAL'!$A:$T,$E$1,0),'Dados de consulta'!$A$2:$D$38,4,0)),""))</f>
        <v/>
      </c>
    </row>
    <row r="704" spans="1:4" ht="15" x14ac:dyDescent="0.2">
      <c r="A704" s="116">
        <f>'Relatório GERAL'!A704</f>
        <v>0</v>
      </c>
      <c r="B704" s="116">
        <f t="shared" si="21"/>
        <v>1</v>
      </c>
      <c r="C704" s="117">
        <f>'Relatório GERAL'!B704</f>
        <v>0</v>
      </c>
      <c r="D704" s="18" t="str">
        <f>IF(OR(C704="SÁB",C704="DOM"),"",IFERROR(IF(VLOOKUP(VLOOKUP(A704,'Relatório GERAL'!$A:$T,$E$1,0),'Dados de consulta'!$A$2:$D$38,4,0)=0,"",VLOOKUP(VLOOKUP(A704,'Relatório GERAL'!$A:$T,$E$1,0),'Dados de consulta'!$A$2:$D$38,4,0)),""))</f>
        <v/>
      </c>
    </row>
    <row r="705" spans="1:4" ht="15" x14ac:dyDescent="0.2">
      <c r="A705" s="116">
        <f>'Relatório GERAL'!A705</f>
        <v>0</v>
      </c>
      <c r="B705" s="116">
        <f t="shared" si="21"/>
        <v>1</v>
      </c>
      <c r="C705" s="117">
        <f>'Relatório GERAL'!B705</f>
        <v>0</v>
      </c>
      <c r="D705" s="18" t="str">
        <f>IF(OR(C705="SÁB",C705="DOM"),"",IFERROR(IF(VLOOKUP(VLOOKUP(A705,'Relatório GERAL'!$A:$T,$E$1,0),'Dados de consulta'!$A$2:$D$38,4,0)=0,"",VLOOKUP(VLOOKUP(A705,'Relatório GERAL'!$A:$T,$E$1,0),'Dados de consulta'!$A$2:$D$38,4,0)),""))</f>
        <v/>
      </c>
    </row>
    <row r="706" spans="1:4" ht="15" x14ac:dyDescent="0.2">
      <c r="A706" s="116">
        <f>'Relatório GERAL'!A706</f>
        <v>0</v>
      </c>
      <c r="B706" s="116">
        <f t="shared" si="21"/>
        <v>1</v>
      </c>
      <c r="C706" s="117">
        <f>'Relatório GERAL'!B706</f>
        <v>0</v>
      </c>
      <c r="D706" s="18" t="str">
        <f>IF(OR(C706="SÁB",C706="DOM"),"",IFERROR(IF(VLOOKUP(VLOOKUP(A706,'Relatório GERAL'!$A:$T,$E$1,0),'Dados de consulta'!$A$2:$D$38,4,0)=0,"",VLOOKUP(VLOOKUP(A706,'Relatório GERAL'!$A:$T,$E$1,0),'Dados de consulta'!$A$2:$D$38,4,0)),""))</f>
        <v/>
      </c>
    </row>
    <row r="707" spans="1:4" ht="15" x14ac:dyDescent="0.2">
      <c r="A707" s="116">
        <f>'Relatório GERAL'!A707</f>
        <v>0</v>
      </c>
      <c r="B707" s="116">
        <f t="shared" si="21"/>
        <v>1</v>
      </c>
      <c r="C707" s="117">
        <f>'Relatório GERAL'!B707</f>
        <v>0</v>
      </c>
      <c r="D707" s="18" t="str">
        <f>IF(OR(C707="SÁB",C707="DOM"),"",IFERROR(IF(VLOOKUP(VLOOKUP(A707,'Relatório GERAL'!$A:$T,$E$1,0),'Dados de consulta'!$A$2:$D$38,4,0)=0,"",VLOOKUP(VLOOKUP(A707,'Relatório GERAL'!$A:$T,$E$1,0),'Dados de consulta'!$A$2:$D$38,4,0)),""))</f>
        <v/>
      </c>
    </row>
    <row r="708" spans="1:4" ht="15" x14ac:dyDescent="0.2">
      <c r="A708" s="116">
        <f>'Relatório GERAL'!A708</f>
        <v>0</v>
      </c>
      <c r="B708" s="116">
        <f t="shared" si="21"/>
        <v>1</v>
      </c>
      <c r="C708" s="117">
        <f>'Relatório GERAL'!B708</f>
        <v>0</v>
      </c>
      <c r="D708" s="18" t="str">
        <f>IF(OR(C708="SÁB",C708="DOM"),"",IFERROR(IF(VLOOKUP(VLOOKUP(A708,'Relatório GERAL'!$A:$T,$E$1,0),'Dados de consulta'!$A$2:$D$38,4,0)=0,"",VLOOKUP(VLOOKUP(A708,'Relatório GERAL'!$A:$T,$E$1,0),'Dados de consulta'!$A$2:$D$38,4,0)),""))</f>
        <v/>
      </c>
    </row>
    <row r="709" spans="1:4" ht="15" x14ac:dyDescent="0.2">
      <c r="A709" s="116">
        <f>'Relatório GERAL'!A709</f>
        <v>0</v>
      </c>
      <c r="B709" s="116">
        <f t="shared" si="21"/>
        <v>1</v>
      </c>
      <c r="C709" s="117">
        <f>'Relatório GERAL'!B709</f>
        <v>0</v>
      </c>
      <c r="D709" s="18" t="str">
        <f>IF(OR(C709="SÁB",C709="DOM"),"",IFERROR(IF(VLOOKUP(VLOOKUP(A709,'Relatório GERAL'!$A:$T,$E$1,0),'Dados de consulta'!$A$2:$D$38,4,0)=0,"",VLOOKUP(VLOOKUP(A709,'Relatório GERAL'!$A:$T,$E$1,0),'Dados de consulta'!$A$2:$D$38,4,0)),""))</f>
        <v/>
      </c>
    </row>
    <row r="710" spans="1:4" ht="15" x14ac:dyDescent="0.2">
      <c r="A710" s="116">
        <f>'Relatório GERAL'!A710</f>
        <v>0</v>
      </c>
      <c r="B710" s="116">
        <f t="shared" si="21"/>
        <v>1</v>
      </c>
      <c r="C710" s="117">
        <f>'Relatório GERAL'!B710</f>
        <v>0</v>
      </c>
      <c r="D710" s="18" t="str">
        <f>IF(OR(C710="SÁB",C710="DOM"),"",IFERROR(IF(VLOOKUP(VLOOKUP(A710,'Relatório GERAL'!$A:$T,$E$1,0),'Dados de consulta'!$A$2:$D$38,4,0)=0,"",VLOOKUP(VLOOKUP(A710,'Relatório GERAL'!$A:$T,$E$1,0),'Dados de consulta'!$A$2:$D$38,4,0)),""))</f>
        <v/>
      </c>
    </row>
    <row r="711" spans="1:4" ht="15" x14ac:dyDescent="0.2">
      <c r="A711" s="116">
        <f>'Relatório GERAL'!A711</f>
        <v>0</v>
      </c>
      <c r="B711" s="116">
        <f t="shared" si="21"/>
        <v>1</v>
      </c>
      <c r="C711" s="117">
        <f>'Relatório GERAL'!B711</f>
        <v>0</v>
      </c>
      <c r="D711" s="18" t="str">
        <f>IF(OR(C711="SÁB",C711="DOM"),"",IFERROR(IF(VLOOKUP(VLOOKUP(A711,'Relatório GERAL'!$A:$T,$E$1,0),'Dados de consulta'!$A$2:$D$38,4,0)=0,"",VLOOKUP(VLOOKUP(A711,'Relatório GERAL'!$A:$T,$E$1,0),'Dados de consulta'!$A$2:$D$38,4,0)),""))</f>
        <v/>
      </c>
    </row>
    <row r="712" spans="1:4" ht="15" x14ac:dyDescent="0.2">
      <c r="A712" s="116">
        <f>'Relatório GERAL'!A712</f>
        <v>0</v>
      </c>
      <c r="B712" s="116">
        <f t="shared" si="21"/>
        <v>1</v>
      </c>
      <c r="C712" s="117">
        <f>'Relatório GERAL'!B712</f>
        <v>0</v>
      </c>
      <c r="D712" s="18" t="str">
        <f>IF(OR(C712="SÁB",C712="DOM"),"",IFERROR(IF(VLOOKUP(VLOOKUP(A712,'Relatório GERAL'!$A:$T,$E$1,0),'Dados de consulta'!$A$2:$D$38,4,0)=0,"",VLOOKUP(VLOOKUP(A712,'Relatório GERAL'!$A:$T,$E$1,0),'Dados de consulta'!$A$2:$D$38,4,0)),""))</f>
        <v/>
      </c>
    </row>
    <row r="713" spans="1:4" ht="15" x14ac:dyDescent="0.2">
      <c r="A713" s="116">
        <f>'Relatório GERAL'!A713</f>
        <v>0</v>
      </c>
      <c r="B713" s="116">
        <f t="shared" si="21"/>
        <v>1</v>
      </c>
      <c r="C713" s="117">
        <f>'Relatório GERAL'!B713</f>
        <v>0</v>
      </c>
      <c r="D713" s="18" t="str">
        <f>IF(OR(C713="SÁB",C713="DOM"),"",IFERROR(IF(VLOOKUP(VLOOKUP(A713,'Relatório GERAL'!$A:$T,$E$1,0),'Dados de consulta'!$A$2:$D$38,4,0)=0,"",VLOOKUP(VLOOKUP(A713,'Relatório GERAL'!$A:$T,$E$1,0),'Dados de consulta'!$A$2:$D$38,4,0)),""))</f>
        <v/>
      </c>
    </row>
    <row r="714" spans="1:4" ht="15" x14ac:dyDescent="0.2">
      <c r="A714" s="116">
        <f>'Relatório GERAL'!A714</f>
        <v>0</v>
      </c>
      <c r="B714" s="116">
        <f t="shared" si="21"/>
        <v>1</v>
      </c>
      <c r="C714" s="117">
        <f>'Relatório GERAL'!B714</f>
        <v>0</v>
      </c>
      <c r="D714" s="18" t="str">
        <f>IF(OR(C714="SÁB",C714="DOM"),"",IFERROR(IF(VLOOKUP(VLOOKUP(A714,'Relatório GERAL'!$A:$T,$E$1,0),'Dados de consulta'!$A$2:$D$38,4,0)=0,"",VLOOKUP(VLOOKUP(A714,'Relatório GERAL'!$A:$T,$E$1,0),'Dados de consulta'!$A$2:$D$38,4,0)),""))</f>
        <v/>
      </c>
    </row>
    <row r="715" spans="1:4" ht="15" x14ac:dyDescent="0.2">
      <c r="A715" s="116">
        <f>'Relatório GERAL'!A715</f>
        <v>0</v>
      </c>
      <c r="B715" s="116">
        <f t="shared" si="21"/>
        <v>1</v>
      </c>
      <c r="C715" s="117">
        <f>'Relatório GERAL'!B715</f>
        <v>0</v>
      </c>
      <c r="D715" s="18" t="str">
        <f>IF(OR(C715="SÁB",C715="DOM"),"",IFERROR(IF(VLOOKUP(VLOOKUP(A715,'Relatório GERAL'!$A:$T,$E$1,0),'Dados de consulta'!$A$2:$D$38,4,0)=0,"",VLOOKUP(VLOOKUP(A715,'Relatório GERAL'!$A:$T,$E$1,0),'Dados de consulta'!$A$2:$D$38,4,0)),""))</f>
        <v/>
      </c>
    </row>
    <row r="716" spans="1:4" ht="15" x14ac:dyDescent="0.2">
      <c r="A716" s="116">
        <f>'Relatório GERAL'!A716</f>
        <v>0</v>
      </c>
      <c r="B716" s="116">
        <f t="shared" si="21"/>
        <v>1</v>
      </c>
      <c r="C716" s="117">
        <f>'Relatório GERAL'!B716</f>
        <v>0</v>
      </c>
      <c r="D716" s="18" t="str">
        <f>IF(OR(C716="SÁB",C716="DOM"),"",IFERROR(IF(VLOOKUP(VLOOKUP(A716,'Relatório GERAL'!$A:$T,$E$1,0),'Dados de consulta'!$A$2:$D$38,4,0)=0,"",VLOOKUP(VLOOKUP(A716,'Relatório GERAL'!$A:$T,$E$1,0),'Dados de consulta'!$A$2:$D$38,4,0)),""))</f>
        <v/>
      </c>
    </row>
    <row r="717" spans="1:4" ht="15" x14ac:dyDescent="0.2">
      <c r="A717" s="116">
        <f>'Relatório GERAL'!A717</f>
        <v>0</v>
      </c>
      <c r="B717" s="116">
        <f t="shared" si="21"/>
        <v>1</v>
      </c>
      <c r="C717" s="117">
        <f>'Relatório GERAL'!B717</f>
        <v>0</v>
      </c>
      <c r="D717" s="18" t="str">
        <f>IF(OR(C717="SÁB",C717="DOM"),"",IFERROR(IF(VLOOKUP(VLOOKUP(A717,'Relatório GERAL'!$A:$T,$E$1,0),'Dados de consulta'!$A$2:$D$38,4,0)=0,"",VLOOKUP(VLOOKUP(A717,'Relatório GERAL'!$A:$T,$E$1,0),'Dados de consulta'!$A$2:$D$38,4,0)),""))</f>
        <v/>
      </c>
    </row>
    <row r="718" spans="1:4" ht="15" x14ac:dyDescent="0.2">
      <c r="A718" s="116">
        <f>'Relatório GERAL'!A718</f>
        <v>0</v>
      </c>
      <c r="B718" s="116">
        <f t="shared" si="21"/>
        <v>1</v>
      </c>
      <c r="C718" s="117">
        <f>'Relatório GERAL'!B718</f>
        <v>0</v>
      </c>
      <c r="D718" s="18" t="str">
        <f>IF(OR(C718="SÁB",C718="DOM"),"",IFERROR(IF(VLOOKUP(VLOOKUP(A718,'Relatório GERAL'!$A:$T,$E$1,0),'Dados de consulta'!$A$2:$D$38,4,0)=0,"",VLOOKUP(VLOOKUP(A718,'Relatório GERAL'!$A:$T,$E$1,0),'Dados de consulta'!$A$2:$D$38,4,0)),""))</f>
        <v/>
      </c>
    </row>
    <row r="719" spans="1:4" ht="15" x14ac:dyDescent="0.2">
      <c r="A719" s="116">
        <f>'Relatório GERAL'!A719</f>
        <v>0</v>
      </c>
      <c r="B719" s="116">
        <f t="shared" si="21"/>
        <v>1</v>
      </c>
      <c r="C719" s="117">
        <f>'Relatório GERAL'!B719</f>
        <v>0</v>
      </c>
      <c r="D719" s="18" t="str">
        <f>IF(OR(C719="SÁB",C719="DOM"),"",IFERROR(IF(VLOOKUP(VLOOKUP(A719,'Relatório GERAL'!$A:$T,$E$1,0),'Dados de consulta'!$A$2:$D$38,4,0)=0,"",VLOOKUP(VLOOKUP(A719,'Relatório GERAL'!$A:$T,$E$1,0),'Dados de consulta'!$A$2:$D$38,4,0)),""))</f>
        <v/>
      </c>
    </row>
    <row r="720" spans="1:4" ht="15" x14ac:dyDescent="0.2">
      <c r="A720" s="116">
        <f>'Relatório GERAL'!A720</f>
        <v>0</v>
      </c>
      <c r="B720" s="116">
        <f t="shared" si="21"/>
        <v>1</v>
      </c>
      <c r="C720" s="117">
        <f>'Relatório GERAL'!B720</f>
        <v>0</v>
      </c>
      <c r="D720" s="18" t="str">
        <f>IF(OR(C720="SÁB",C720="DOM"),"",IFERROR(IF(VLOOKUP(VLOOKUP(A720,'Relatório GERAL'!$A:$T,$E$1,0),'Dados de consulta'!$A$2:$D$38,4,0)=0,"",VLOOKUP(VLOOKUP(A720,'Relatório GERAL'!$A:$T,$E$1,0),'Dados de consulta'!$A$2:$D$38,4,0)),""))</f>
        <v/>
      </c>
    </row>
    <row r="721" spans="1:4" ht="15" x14ac:dyDescent="0.2">
      <c r="A721" s="116">
        <f>'Relatório GERAL'!A721</f>
        <v>0</v>
      </c>
      <c r="B721" s="116">
        <f t="shared" si="21"/>
        <v>1</v>
      </c>
      <c r="C721" s="117">
        <f>'Relatório GERAL'!B721</f>
        <v>0</v>
      </c>
      <c r="D721" s="18" t="str">
        <f>IF(OR(C721="SÁB",C721="DOM"),"",IFERROR(IF(VLOOKUP(VLOOKUP(A721,'Relatório GERAL'!$A:$T,$E$1,0),'Dados de consulta'!$A$2:$D$38,4,0)=0,"",VLOOKUP(VLOOKUP(A721,'Relatório GERAL'!$A:$T,$E$1,0),'Dados de consulta'!$A$2:$D$38,4,0)),""))</f>
        <v/>
      </c>
    </row>
    <row r="722" spans="1:4" ht="15" x14ac:dyDescent="0.2">
      <c r="A722" s="116">
        <f>'Relatório GERAL'!A722</f>
        <v>0</v>
      </c>
      <c r="B722" s="116">
        <f t="shared" si="21"/>
        <v>1</v>
      </c>
      <c r="C722" s="117">
        <f>'Relatório GERAL'!B722</f>
        <v>0</v>
      </c>
      <c r="D722" s="18" t="str">
        <f>IF(OR(C722="SÁB",C722="DOM"),"",IFERROR(IF(VLOOKUP(VLOOKUP(A722,'Relatório GERAL'!$A:$T,$E$1,0),'Dados de consulta'!$A$2:$D$38,4,0)=0,"",VLOOKUP(VLOOKUP(A722,'Relatório GERAL'!$A:$T,$E$1,0),'Dados de consulta'!$A$2:$D$38,4,0)),""))</f>
        <v/>
      </c>
    </row>
    <row r="723" spans="1:4" ht="15" x14ac:dyDescent="0.2">
      <c r="A723" s="116">
        <f>'Relatório GERAL'!A723</f>
        <v>0</v>
      </c>
      <c r="B723" s="116">
        <f t="shared" si="21"/>
        <v>1</v>
      </c>
      <c r="C723" s="117">
        <f>'Relatório GERAL'!B723</f>
        <v>0</v>
      </c>
      <c r="D723" s="18" t="str">
        <f>IF(OR(C723="SÁB",C723="DOM"),"",IFERROR(IF(VLOOKUP(VLOOKUP(A723,'Relatório GERAL'!$A:$T,$E$1,0),'Dados de consulta'!$A$2:$D$38,4,0)=0,"",VLOOKUP(VLOOKUP(A723,'Relatório GERAL'!$A:$T,$E$1,0),'Dados de consulta'!$A$2:$D$38,4,0)),""))</f>
        <v/>
      </c>
    </row>
    <row r="724" spans="1:4" ht="15" x14ac:dyDescent="0.2">
      <c r="A724" s="116">
        <f>'Relatório GERAL'!A724</f>
        <v>0</v>
      </c>
      <c r="B724" s="116">
        <f t="shared" si="21"/>
        <v>1</v>
      </c>
      <c r="C724" s="117">
        <f>'Relatório GERAL'!B724</f>
        <v>0</v>
      </c>
      <c r="D724" s="18" t="str">
        <f>IF(OR(C724="SÁB",C724="DOM"),"",IFERROR(IF(VLOOKUP(VLOOKUP(A724,'Relatório GERAL'!$A:$T,$E$1,0),'Dados de consulta'!$A$2:$D$38,4,0)=0,"",VLOOKUP(VLOOKUP(A724,'Relatório GERAL'!$A:$T,$E$1,0),'Dados de consulta'!$A$2:$D$38,4,0)),""))</f>
        <v/>
      </c>
    </row>
    <row r="725" spans="1:4" ht="15" x14ac:dyDescent="0.2">
      <c r="A725" s="116">
        <f>'Relatório GERAL'!A725</f>
        <v>0</v>
      </c>
      <c r="B725" s="116">
        <f t="shared" si="21"/>
        <v>1</v>
      </c>
      <c r="C725" s="117">
        <f>'Relatório GERAL'!B725</f>
        <v>0</v>
      </c>
      <c r="D725" s="18" t="str">
        <f>IF(OR(C725="SÁB",C725="DOM"),"",IFERROR(IF(VLOOKUP(VLOOKUP(A725,'Relatório GERAL'!$A:$T,$E$1,0),'Dados de consulta'!$A$2:$D$38,4,0)=0,"",VLOOKUP(VLOOKUP(A725,'Relatório GERAL'!$A:$T,$E$1,0),'Dados de consulta'!$A$2:$D$38,4,0)),""))</f>
        <v/>
      </c>
    </row>
    <row r="726" spans="1:4" ht="15" x14ac:dyDescent="0.2">
      <c r="A726" s="116">
        <f>'Relatório GERAL'!A726</f>
        <v>0</v>
      </c>
      <c r="B726" s="116">
        <f t="shared" si="21"/>
        <v>1</v>
      </c>
      <c r="C726" s="117">
        <f>'Relatório GERAL'!B726</f>
        <v>0</v>
      </c>
      <c r="D726" s="18" t="str">
        <f>IF(OR(C726="SÁB",C726="DOM"),"",IFERROR(IF(VLOOKUP(VLOOKUP(A726,'Relatório GERAL'!$A:$T,$E$1,0),'Dados de consulta'!$A$2:$D$38,4,0)=0,"",VLOOKUP(VLOOKUP(A726,'Relatório GERAL'!$A:$T,$E$1,0),'Dados de consulta'!$A$2:$D$38,4,0)),""))</f>
        <v/>
      </c>
    </row>
    <row r="727" spans="1:4" ht="15" x14ac:dyDescent="0.2">
      <c r="A727" s="116">
        <f>'Relatório GERAL'!A727</f>
        <v>0</v>
      </c>
      <c r="B727" s="116">
        <f t="shared" si="21"/>
        <v>1</v>
      </c>
      <c r="C727" s="117">
        <f>'Relatório GERAL'!B727</f>
        <v>0</v>
      </c>
      <c r="D727" s="18" t="str">
        <f>IF(OR(C727="SÁB",C727="DOM"),"",IFERROR(IF(VLOOKUP(VLOOKUP(A727,'Relatório GERAL'!$A:$T,$E$1,0),'Dados de consulta'!$A$2:$D$38,4,0)=0,"",VLOOKUP(VLOOKUP(A727,'Relatório GERAL'!$A:$T,$E$1,0),'Dados de consulta'!$A$2:$D$38,4,0)),""))</f>
        <v/>
      </c>
    </row>
    <row r="728" spans="1:4" ht="15" x14ac:dyDescent="0.2">
      <c r="A728" s="116">
        <f>'Relatório GERAL'!A728</f>
        <v>0</v>
      </c>
      <c r="B728" s="116">
        <f t="shared" si="21"/>
        <v>1</v>
      </c>
      <c r="C728" s="117">
        <f>'Relatório GERAL'!B728</f>
        <v>0</v>
      </c>
      <c r="D728" s="18" t="str">
        <f>IF(OR(C728="SÁB",C728="DOM"),"",IFERROR(IF(VLOOKUP(VLOOKUP(A728,'Relatório GERAL'!$A:$T,$E$1,0),'Dados de consulta'!$A$2:$D$38,4,0)=0,"",VLOOKUP(VLOOKUP(A728,'Relatório GERAL'!$A:$T,$E$1,0),'Dados de consulta'!$A$2:$D$38,4,0)),""))</f>
        <v/>
      </c>
    </row>
    <row r="729" spans="1:4" ht="15" x14ac:dyDescent="0.2">
      <c r="A729" s="116">
        <f>'Relatório GERAL'!A729</f>
        <v>0</v>
      </c>
      <c r="B729" s="116">
        <f t="shared" si="21"/>
        <v>1</v>
      </c>
      <c r="C729" s="117">
        <f>'Relatório GERAL'!B729</f>
        <v>0</v>
      </c>
      <c r="D729" s="18" t="str">
        <f>IF(OR(C729="SÁB",C729="DOM"),"",IFERROR(IF(VLOOKUP(VLOOKUP(A729,'Relatório GERAL'!$A:$T,$E$1,0),'Dados de consulta'!$A$2:$D$38,4,0)=0,"",VLOOKUP(VLOOKUP(A729,'Relatório GERAL'!$A:$T,$E$1,0),'Dados de consulta'!$A$2:$D$38,4,0)),""))</f>
        <v/>
      </c>
    </row>
    <row r="730" spans="1:4" ht="15" x14ac:dyDescent="0.2">
      <c r="A730" s="116">
        <f>'Relatório GERAL'!A730</f>
        <v>0</v>
      </c>
      <c r="B730" s="116">
        <f t="shared" si="21"/>
        <v>1</v>
      </c>
      <c r="C730" s="117">
        <f>'Relatório GERAL'!B730</f>
        <v>0</v>
      </c>
      <c r="D730" s="18" t="str">
        <f>IF(OR(C730="SÁB",C730="DOM"),"",IFERROR(IF(VLOOKUP(VLOOKUP(A730,'Relatório GERAL'!$A:$T,$E$1,0),'Dados de consulta'!$A$2:$D$38,4,0)=0,"",VLOOKUP(VLOOKUP(A730,'Relatório GERAL'!$A:$T,$E$1,0),'Dados de consulta'!$A$2:$D$38,4,0)),""))</f>
        <v/>
      </c>
    </row>
    <row r="731" spans="1:4" ht="15" x14ac:dyDescent="0.2">
      <c r="A731" s="116">
        <f>'Relatório GERAL'!A731</f>
        <v>0</v>
      </c>
      <c r="B731" s="116">
        <f t="shared" si="21"/>
        <v>1</v>
      </c>
      <c r="C731" s="117">
        <f>'Relatório GERAL'!B731</f>
        <v>0</v>
      </c>
      <c r="D731" s="18" t="str">
        <f>IF(OR(C731="SÁB",C731="DOM"),"",IFERROR(IF(VLOOKUP(VLOOKUP(A731,'Relatório GERAL'!$A:$T,$E$1,0),'Dados de consulta'!$A$2:$D$38,4,0)=0,"",VLOOKUP(VLOOKUP(A731,'Relatório GERAL'!$A:$T,$E$1,0),'Dados de consulta'!$A$2:$D$38,4,0)),""))</f>
        <v/>
      </c>
    </row>
    <row r="732" spans="1:4" ht="15" x14ac:dyDescent="0.2">
      <c r="A732" s="116">
        <f>'Relatório GERAL'!A732</f>
        <v>0</v>
      </c>
      <c r="B732" s="116">
        <f t="shared" si="21"/>
        <v>1</v>
      </c>
      <c r="C732" s="117">
        <f>'Relatório GERAL'!B732</f>
        <v>0</v>
      </c>
      <c r="D732" s="18" t="str">
        <f>IF(OR(C732="SÁB",C732="DOM"),"",IFERROR(IF(VLOOKUP(VLOOKUP(A732,'Relatório GERAL'!$A:$T,$E$1,0),'Dados de consulta'!$A$2:$D$38,4,0)=0,"",VLOOKUP(VLOOKUP(A732,'Relatório GERAL'!$A:$T,$E$1,0),'Dados de consulta'!$A$2:$D$38,4,0)),""))</f>
        <v/>
      </c>
    </row>
    <row r="733" spans="1:4" ht="15" x14ac:dyDescent="0.2">
      <c r="A733" s="116">
        <f>'Relatório GERAL'!A733</f>
        <v>0</v>
      </c>
      <c r="B733" s="116">
        <f t="shared" si="21"/>
        <v>1</v>
      </c>
      <c r="C733" s="117">
        <f>'Relatório GERAL'!B733</f>
        <v>0</v>
      </c>
      <c r="D733" s="18" t="str">
        <f>IF(OR(C733="SÁB",C733="DOM"),"",IFERROR(IF(VLOOKUP(VLOOKUP(A733,'Relatório GERAL'!$A:$T,$E$1,0),'Dados de consulta'!$A$2:$D$38,4,0)=0,"",VLOOKUP(VLOOKUP(A733,'Relatório GERAL'!$A:$T,$E$1,0),'Dados de consulta'!$A$2:$D$38,4,0)),""))</f>
        <v/>
      </c>
    </row>
    <row r="734" spans="1:4" ht="15" x14ac:dyDescent="0.2">
      <c r="A734" s="116">
        <f>'Relatório GERAL'!A734</f>
        <v>0</v>
      </c>
      <c r="B734" s="116">
        <f t="shared" si="21"/>
        <v>1</v>
      </c>
      <c r="C734" s="117">
        <f>'Relatório GERAL'!B734</f>
        <v>0</v>
      </c>
      <c r="D734" s="18" t="str">
        <f>IF(OR(C734="SÁB",C734="DOM"),"",IFERROR(IF(VLOOKUP(VLOOKUP(A734,'Relatório GERAL'!$A:$T,$E$1,0),'Dados de consulta'!$A$2:$D$38,4,0)=0,"",VLOOKUP(VLOOKUP(A734,'Relatório GERAL'!$A:$T,$E$1,0),'Dados de consulta'!$A$2:$D$38,4,0)),""))</f>
        <v/>
      </c>
    </row>
    <row r="735" spans="1:4" ht="15" x14ac:dyDescent="0.2">
      <c r="A735" s="116">
        <f>'Relatório GERAL'!A735</f>
        <v>0</v>
      </c>
      <c r="B735" s="116">
        <f t="shared" si="21"/>
        <v>1</v>
      </c>
      <c r="C735" s="117">
        <f>'Relatório GERAL'!B735</f>
        <v>0</v>
      </c>
      <c r="D735" s="18" t="str">
        <f>IF(OR(C735="SÁB",C735="DOM"),"",IFERROR(IF(VLOOKUP(VLOOKUP(A735,'Relatório GERAL'!$A:$T,$E$1,0),'Dados de consulta'!$A$2:$D$38,4,0)=0,"",VLOOKUP(VLOOKUP(A735,'Relatório GERAL'!$A:$T,$E$1,0),'Dados de consulta'!$A$2:$D$38,4,0)),""))</f>
        <v/>
      </c>
    </row>
    <row r="736" spans="1:4" ht="15" x14ac:dyDescent="0.2">
      <c r="A736" s="116">
        <f>'Relatório GERAL'!A736</f>
        <v>0</v>
      </c>
      <c r="B736" s="116">
        <f t="shared" si="21"/>
        <v>1</v>
      </c>
      <c r="C736" s="117">
        <f>'Relatório GERAL'!B736</f>
        <v>0</v>
      </c>
      <c r="D736" s="18" t="str">
        <f>IF(OR(C736="SÁB",C736="DOM"),"",IFERROR(IF(VLOOKUP(VLOOKUP(A736,'Relatório GERAL'!$A:$T,$E$1,0),'Dados de consulta'!$A$2:$D$38,4,0)=0,"",VLOOKUP(VLOOKUP(A736,'Relatório GERAL'!$A:$T,$E$1,0),'Dados de consulta'!$A$2:$D$38,4,0)),""))</f>
        <v/>
      </c>
    </row>
    <row r="737" spans="1:4" ht="15" x14ac:dyDescent="0.2">
      <c r="A737" s="116">
        <f>'Relatório GERAL'!A737</f>
        <v>0</v>
      </c>
      <c r="B737" s="116">
        <f t="shared" si="21"/>
        <v>1</v>
      </c>
      <c r="C737" s="117">
        <f>'Relatório GERAL'!B737</f>
        <v>0</v>
      </c>
      <c r="D737" s="18" t="str">
        <f>IF(OR(C737="SÁB",C737="DOM"),"",IFERROR(IF(VLOOKUP(VLOOKUP(A737,'Relatório GERAL'!$A:$T,$E$1,0),'Dados de consulta'!$A$2:$D$38,4,0)=0,"",VLOOKUP(VLOOKUP(A737,'Relatório GERAL'!$A:$T,$E$1,0),'Dados de consulta'!$A$2:$D$38,4,0)),""))</f>
        <v/>
      </c>
    </row>
    <row r="738" spans="1:4" ht="15" x14ac:dyDescent="0.2">
      <c r="A738" s="116">
        <f>'Relatório GERAL'!A738</f>
        <v>0</v>
      </c>
      <c r="B738" s="116">
        <f t="shared" si="21"/>
        <v>1</v>
      </c>
      <c r="C738" s="117">
        <f>'Relatório GERAL'!B738</f>
        <v>0</v>
      </c>
      <c r="D738" s="18" t="str">
        <f>IF(OR(C738="SÁB",C738="DOM"),"",IFERROR(IF(VLOOKUP(VLOOKUP(A738,'Relatório GERAL'!$A:$T,$E$1,0),'Dados de consulta'!$A$2:$D$38,4,0)=0,"",VLOOKUP(VLOOKUP(A738,'Relatório GERAL'!$A:$T,$E$1,0),'Dados de consulta'!$A$2:$D$38,4,0)),""))</f>
        <v/>
      </c>
    </row>
    <row r="739" spans="1:4" ht="15" x14ac:dyDescent="0.2">
      <c r="A739" s="116">
        <f>'Relatório GERAL'!A739</f>
        <v>0</v>
      </c>
      <c r="B739" s="116">
        <f t="shared" si="21"/>
        <v>1</v>
      </c>
      <c r="C739" s="117">
        <f>'Relatório GERAL'!B739</f>
        <v>0</v>
      </c>
      <c r="D739" s="18" t="str">
        <f>IF(OR(C739="SÁB",C739="DOM"),"",IFERROR(IF(VLOOKUP(VLOOKUP(A739,'Relatório GERAL'!$A:$T,$E$1,0),'Dados de consulta'!$A$2:$D$38,4,0)=0,"",VLOOKUP(VLOOKUP(A739,'Relatório GERAL'!$A:$T,$E$1,0),'Dados de consulta'!$A$2:$D$38,4,0)),""))</f>
        <v/>
      </c>
    </row>
    <row r="740" spans="1:4" ht="15" x14ac:dyDescent="0.2">
      <c r="A740" s="116">
        <f>'Relatório GERAL'!A740</f>
        <v>0</v>
      </c>
      <c r="B740" s="116">
        <f t="shared" si="21"/>
        <v>1</v>
      </c>
      <c r="C740" s="117">
        <f>'Relatório GERAL'!B740</f>
        <v>0</v>
      </c>
      <c r="D740" s="18" t="str">
        <f>IF(OR(C740="SÁB",C740="DOM"),"",IFERROR(IF(VLOOKUP(VLOOKUP(A740,'Relatório GERAL'!$A:$T,$E$1,0),'Dados de consulta'!$A$2:$D$38,4,0)=0,"",VLOOKUP(VLOOKUP(A740,'Relatório GERAL'!$A:$T,$E$1,0),'Dados de consulta'!$A$2:$D$38,4,0)),""))</f>
        <v/>
      </c>
    </row>
    <row r="741" spans="1:4" ht="15" x14ac:dyDescent="0.2">
      <c r="A741" s="116">
        <f>'Relatório GERAL'!A741</f>
        <v>0</v>
      </c>
      <c r="B741" s="116">
        <f t="shared" si="21"/>
        <v>1</v>
      </c>
      <c r="C741" s="117">
        <f>'Relatório GERAL'!B741</f>
        <v>0</v>
      </c>
      <c r="D741" s="18" t="str">
        <f>IF(OR(C741="SÁB",C741="DOM"),"",IFERROR(IF(VLOOKUP(VLOOKUP(A741,'Relatório GERAL'!$A:$T,$E$1,0),'Dados de consulta'!$A$2:$D$38,4,0)=0,"",VLOOKUP(VLOOKUP(A741,'Relatório GERAL'!$A:$T,$E$1,0),'Dados de consulta'!$A$2:$D$38,4,0)),""))</f>
        <v/>
      </c>
    </row>
    <row r="742" spans="1:4" ht="15" x14ac:dyDescent="0.2">
      <c r="A742" s="116">
        <f>'Relatório GERAL'!A742</f>
        <v>0</v>
      </c>
      <c r="B742" s="116">
        <f t="shared" si="21"/>
        <v>1</v>
      </c>
      <c r="C742" s="117">
        <f>'Relatório GERAL'!B742</f>
        <v>0</v>
      </c>
      <c r="D742" s="18" t="str">
        <f>IF(OR(C742="SÁB",C742="DOM"),"",IFERROR(IF(VLOOKUP(VLOOKUP(A742,'Relatório GERAL'!$A:$T,$E$1,0),'Dados de consulta'!$A$2:$D$38,4,0)=0,"",VLOOKUP(VLOOKUP(A742,'Relatório GERAL'!$A:$T,$E$1,0),'Dados de consulta'!$A$2:$D$38,4,0)),""))</f>
        <v/>
      </c>
    </row>
    <row r="743" spans="1:4" ht="15" x14ac:dyDescent="0.2">
      <c r="A743" s="116">
        <f>'Relatório GERAL'!A743</f>
        <v>0</v>
      </c>
      <c r="B743" s="116">
        <f t="shared" si="21"/>
        <v>1</v>
      </c>
      <c r="C743" s="117">
        <f>'Relatório GERAL'!B743</f>
        <v>0</v>
      </c>
      <c r="D743" s="18" t="str">
        <f>IF(OR(C743="SÁB",C743="DOM"),"",IFERROR(IF(VLOOKUP(VLOOKUP(A743,'Relatório GERAL'!$A:$T,$E$1,0),'Dados de consulta'!$A$2:$D$38,4,0)=0,"",VLOOKUP(VLOOKUP(A743,'Relatório GERAL'!$A:$T,$E$1,0),'Dados de consulta'!$A$2:$D$38,4,0)),""))</f>
        <v/>
      </c>
    </row>
    <row r="744" spans="1:4" ht="15" x14ac:dyDescent="0.2">
      <c r="A744" s="116">
        <f>'Relatório GERAL'!A744</f>
        <v>0</v>
      </c>
      <c r="B744" s="116">
        <f t="shared" si="21"/>
        <v>1</v>
      </c>
      <c r="C744" s="117">
        <f>'Relatório GERAL'!B744</f>
        <v>0</v>
      </c>
      <c r="D744" s="18" t="str">
        <f>IF(OR(C744="SÁB",C744="DOM"),"",IFERROR(IF(VLOOKUP(VLOOKUP(A744,'Relatório GERAL'!$A:$T,$E$1,0),'Dados de consulta'!$A$2:$D$38,4,0)=0,"",VLOOKUP(VLOOKUP(A744,'Relatório GERAL'!$A:$T,$E$1,0),'Dados de consulta'!$A$2:$D$38,4,0)),""))</f>
        <v/>
      </c>
    </row>
    <row r="745" spans="1:4" ht="15" x14ac:dyDescent="0.2">
      <c r="A745" s="116">
        <f>'Relatório GERAL'!A745</f>
        <v>0</v>
      </c>
      <c r="B745" s="116">
        <f t="shared" si="21"/>
        <v>1</v>
      </c>
      <c r="C745" s="117">
        <f>'Relatório GERAL'!B745</f>
        <v>0</v>
      </c>
      <c r="D745" s="18" t="str">
        <f>IF(OR(C745="SÁB",C745="DOM"),"",IFERROR(IF(VLOOKUP(VLOOKUP(A745,'Relatório GERAL'!$A:$T,$E$1,0),'Dados de consulta'!$A$2:$D$38,4,0)=0,"",VLOOKUP(VLOOKUP(A745,'Relatório GERAL'!$A:$T,$E$1,0),'Dados de consulta'!$A$2:$D$38,4,0)),""))</f>
        <v/>
      </c>
    </row>
    <row r="746" spans="1:4" ht="15" x14ac:dyDescent="0.2">
      <c r="A746" s="116">
        <f>'Relatório GERAL'!A746</f>
        <v>0</v>
      </c>
      <c r="B746" s="116">
        <f t="shared" si="21"/>
        <v>1</v>
      </c>
      <c r="C746" s="117">
        <f>'Relatório GERAL'!B746</f>
        <v>0</v>
      </c>
      <c r="D746" s="18" t="str">
        <f>IF(OR(C746="SÁB",C746="DOM"),"",IFERROR(IF(VLOOKUP(VLOOKUP(A746,'Relatório GERAL'!$A:$T,$E$1,0),'Dados de consulta'!$A$2:$D$38,4,0)=0,"",VLOOKUP(VLOOKUP(A746,'Relatório GERAL'!$A:$T,$E$1,0),'Dados de consulta'!$A$2:$D$38,4,0)),""))</f>
        <v/>
      </c>
    </row>
    <row r="747" spans="1:4" ht="15" x14ac:dyDescent="0.2">
      <c r="A747" s="116">
        <f>'Relatório GERAL'!A747</f>
        <v>0</v>
      </c>
      <c r="B747" s="116">
        <f t="shared" si="21"/>
        <v>1</v>
      </c>
      <c r="C747" s="117">
        <f>'Relatório GERAL'!B747</f>
        <v>0</v>
      </c>
      <c r="D747" s="18" t="str">
        <f>IF(OR(C747="SÁB",C747="DOM"),"",IFERROR(IF(VLOOKUP(VLOOKUP(A747,'Relatório GERAL'!$A:$T,$E$1,0),'Dados de consulta'!$A$2:$D$38,4,0)=0,"",VLOOKUP(VLOOKUP(A747,'Relatório GERAL'!$A:$T,$E$1,0),'Dados de consulta'!$A$2:$D$38,4,0)),""))</f>
        <v/>
      </c>
    </row>
    <row r="748" spans="1:4" ht="15" x14ac:dyDescent="0.2">
      <c r="A748" s="116">
        <f>'Relatório GERAL'!A748</f>
        <v>0</v>
      </c>
      <c r="B748" s="116">
        <f t="shared" ref="B748:B811" si="22">DATEVALUE(CONCATENATE("01/",TEXT(A748,"mm/aaaa")))</f>
        <v>1</v>
      </c>
      <c r="C748" s="117">
        <f>'Relatório GERAL'!B748</f>
        <v>0</v>
      </c>
      <c r="D748" s="18" t="str">
        <f>IF(OR(C748="SÁB",C748="DOM"),"",IFERROR(IF(VLOOKUP(VLOOKUP(A748,'Relatório GERAL'!$A:$T,$E$1,0),'Dados de consulta'!$A$2:$D$38,4,0)=0,"",VLOOKUP(VLOOKUP(A748,'Relatório GERAL'!$A:$T,$E$1,0),'Dados de consulta'!$A$2:$D$38,4,0)),""))</f>
        <v/>
      </c>
    </row>
    <row r="749" spans="1:4" ht="15" x14ac:dyDescent="0.2">
      <c r="A749" s="116">
        <f>'Relatório GERAL'!A749</f>
        <v>0</v>
      </c>
      <c r="B749" s="116">
        <f t="shared" si="22"/>
        <v>1</v>
      </c>
      <c r="C749" s="117">
        <f>'Relatório GERAL'!B749</f>
        <v>0</v>
      </c>
      <c r="D749" s="18" t="str">
        <f>IF(OR(C749="SÁB",C749="DOM"),"",IFERROR(IF(VLOOKUP(VLOOKUP(A749,'Relatório GERAL'!$A:$T,$E$1,0),'Dados de consulta'!$A$2:$D$38,4,0)=0,"",VLOOKUP(VLOOKUP(A749,'Relatório GERAL'!$A:$T,$E$1,0),'Dados de consulta'!$A$2:$D$38,4,0)),""))</f>
        <v/>
      </c>
    </row>
    <row r="750" spans="1:4" ht="15" x14ac:dyDescent="0.2">
      <c r="A750" s="116">
        <f>'Relatório GERAL'!A750</f>
        <v>0</v>
      </c>
      <c r="B750" s="116">
        <f t="shared" si="22"/>
        <v>1</v>
      </c>
      <c r="C750" s="117">
        <f>'Relatório GERAL'!B750</f>
        <v>0</v>
      </c>
      <c r="D750" s="18" t="str">
        <f>IF(OR(C750="SÁB",C750="DOM"),"",IFERROR(IF(VLOOKUP(VLOOKUP(A750,'Relatório GERAL'!$A:$T,$E$1,0),'Dados de consulta'!$A$2:$D$38,4,0)=0,"",VLOOKUP(VLOOKUP(A750,'Relatório GERAL'!$A:$T,$E$1,0),'Dados de consulta'!$A$2:$D$38,4,0)),""))</f>
        <v/>
      </c>
    </row>
    <row r="751" spans="1:4" ht="15" x14ac:dyDescent="0.2">
      <c r="A751" s="116">
        <f>'Relatório GERAL'!A751</f>
        <v>0</v>
      </c>
      <c r="B751" s="116">
        <f t="shared" si="22"/>
        <v>1</v>
      </c>
      <c r="C751" s="117">
        <f>'Relatório GERAL'!B751</f>
        <v>0</v>
      </c>
      <c r="D751" s="18" t="str">
        <f>IF(OR(C751="SÁB",C751="DOM"),"",IFERROR(IF(VLOOKUP(VLOOKUP(A751,'Relatório GERAL'!$A:$T,$E$1,0),'Dados de consulta'!$A$2:$D$38,4,0)=0,"",VLOOKUP(VLOOKUP(A751,'Relatório GERAL'!$A:$T,$E$1,0),'Dados de consulta'!$A$2:$D$38,4,0)),""))</f>
        <v/>
      </c>
    </row>
    <row r="752" spans="1:4" ht="15" x14ac:dyDescent="0.2">
      <c r="A752" s="116">
        <f>'Relatório GERAL'!A752</f>
        <v>0</v>
      </c>
      <c r="B752" s="116">
        <f t="shared" si="22"/>
        <v>1</v>
      </c>
      <c r="C752" s="117">
        <f>'Relatório GERAL'!B752</f>
        <v>0</v>
      </c>
      <c r="D752" s="18" t="str">
        <f>IF(OR(C752="SÁB",C752="DOM"),"",IFERROR(IF(VLOOKUP(VLOOKUP(A752,'Relatório GERAL'!$A:$T,$E$1,0),'Dados de consulta'!$A$2:$D$38,4,0)=0,"",VLOOKUP(VLOOKUP(A752,'Relatório GERAL'!$A:$T,$E$1,0),'Dados de consulta'!$A$2:$D$38,4,0)),""))</f>
        <v/>
      </c>
    </row>
    <row r="753" spans="1:4" ht="15" x14ac:dyDescent="0.2">
      <c r="A753" s="116">
        <f>'Relatório GERAL'!A753</f>
        <v>0</v>
      </c>
      <c r="B753" s="116">
        <f t="shared" si="22"/>
        <v>1</v>
      </c>
      <c r="C753" s="117">
        <f>'Relatório GERAL'!B753</f>
        <v>0</v>
      </c>
      <c r="D753" s="18" t="str">
        <f>IF(OR(C753="SÁB",C753="DOM"),"",IFERROR(IF(VLOOKUP(VLOOKUP(A753,'Relatório GERAL'!$A:$T,$E$1,0),'Dados de consulta'!$A$2:$D$38,4,0)=0,"",VLOOKUP(VLOOKUP(A753,'Relatório GERAL'!$A:$T,$E$1,0),'Dados de consulta'!$A$2:$D$38,4,0)),""))</f>
        <v/>
      </c>
    </row>
    <row r="754" spans="1:4" ht="15" x14ac:dyDescent="0.2">
      <c r="A754" s="116">
        <f>'Relatório GERAL'!A754</f>
        <v>0</v>
      </c>
      <c r="B754" s="116">
        <f t="shared" si="22"/>
        <v>1</v>
      </c>
      <c r="C754" s="117">
        <f>'Relatório GERAL'!B754</f>
        <v>0</v>
      </c>
      <c r="D754" s="18" t="str">
        <f>IF(OR(C754="SÁB",C754="DOM"),"",IFERROR(IF(VLOOKUP(VLOOKUP(A754,'Relatório GERAL'!$A:$T,$E$1,0),'Dados de consulta'!$A$2:$D$38,4,0)=0,"",VLOOKUP(VLOOKUP(A754,'Relatório GERAL'!$A:$T,$E$1,0),'Dados de consulta'!$A$2:$D$38,4,0)),""))</f>
        <v/>
      </c>
    </row>
    <row r="755" spans="1:4" ht="15" x14ac:dyDescent="0.2">
      <c r="A755" s="116">
        <f>'Relatório GERAL'!A755</f>
        <v>0</v>
      </c>
      <c r="B755" s="116">
        <f t="shared" si="22"/>
        <v>1</v>
      </c>
      <c r="C755" s="117">
        <f>'Relatório GERAL'!B755</f>
        <v>0</v>
      </c>
      <c r="D755" s="18" t="str">
        <f>IF(OR(C755="SÁB",C755="DOM"),"",IFERROR(IF(VLOOKUP(VLOOKUP(A755,'Relatório GERAL'!$A:$T,$E$1,0),'Dados de consulta'!$A$2:$D$38,4,0)=0,"",VLOOKUP(VLOOKUP(A755,'Relatório GERAL'!$A:$T,$E$1,0),'Dados de consulta'!$A$2:$D$38,4,0)),""))</f>
        <v/>
      </c>
    </row>
    <row r="756" spans="1:4" ht="15" x14ac:dyDescent="0.2">
      <c r="A756" s="116">
        <f>'Relatório GERAL'!A756</f>
        <v>0</v>
      </c>
      <c r="B756" s="116">
        <f t="shared" si="22"/>
        <v>1</v>
      </c>
      <c r="C756" s="117">
        <f>'Relatório GERAL'!B756</f>
        <v>0</v>
      </c>
      <c r="D756" s="18" t="str">
        <f>IF(OR(C756="SÁB",C756="DOM"),"",IFERROR(IF(VLOOKUP(VLOOKUP(A756,'Relatório GERAL'!$A:$T,$E$1,0),'Dados de consulta'!$A$2:$D$38,4,0)=0,"",VLOOKUP(VLOOKUP(A756,'Relatório GERAL'!$A:$T,$E$1,0),'Dados de consulta'!$A$2:$D$38,4,0)),""))</f>
        <v/>
      </c>
    </row>
    <row r="757" spans="1:4" ht="15" x14ac:dyDescent="0.2">
      <c r="A757" s="116">
        <f>'Relatório GERAL'!A757</f>
        <v>0</v>
      </c>
      <c r="B757" s="116">
        <f t="shared" si="22"/>
        <v>1</v>
      </c>
      <c r="C757" s="117">
        <f>'Relatório GERAL'!B757</f>
        <v>0</v>
      </c>
      <c r="D757" s="18" t="str">
        <f>IF(OR(C757="SÁB",C757="DOM"),"",IFERROR(IF(VLOOKUP(VLOOKUP(A757,'Relatório GERAL'!$A:$T,$E$1,0),'Dados de consulta'!$A$2:$D$38,4,0)=0,"",VLOOKUP(VLOOKUP(A757,'Relatório GERAL'!$A:$T,$E$1,0),'Dados de consulta'!$A$2:$D$38,4,0)),""))</f>
        <v/>
      </c>
    </row>
    <row r="758" spans="1:4" ht="15" x14ac:dyDescent="0.2">
      <c r="A758" s="116">
        <f>'Relatório GERAL'!A758</f>
        <v>0</v>
      </c>
      <c r="B758" s="116">
        <f t="shared" si="22"/>
        <v>1</v>
      </c>
      <c r="C758" s="117">
        <f>'Relatório GERAL'!B758</f>
        <v>0</v>
      </c>
      <c r="D758" s="18" t="str">
        <f>IF(OR(C758="SÁB",C758="DOM"),"",IFERROR(IF(VLOOKUP(VLOOKUP(A758,'Relatório GERAL'!$A:$T,$E$1,0),'Dados de consulta'!$A$2:$D$38,4,0)=0,"",VLOOKUP(VLOOKUP(A758,'Relatório GERAL'!$A:$T,$E$1,0),'Dados de consulta'!$A$2:$D$38,4,0)),""))</f>
        <v/>
      </c>
    </row>
    <row r="759" spans="1:4" ht="15" x14ac:dyDescent="0.2">
      <c r="A759" s="116">
        <f>'Relatório GERAL'!A759</f>
        <v>0</v>
      </c>
      <c r="B759" s="116">
        <f t="shared" si="22"/>
        <v>1</v>
      </c>
      <c r="C759" s="117">
        <f>'Relatório GERAL'!B759</f>
        <v>0</v>
      </c>
      <c r="D759" s="18" t="str">
        <f>IF(OR(C759="SÁB",C759="DOM"),"",IFERROR(IF(VLOOKUP(VLOOKUP(A759,'Relatório GERAL'!$A:$T,$E$1,0),'Dados de consulta'!$A$2:$D$38,4,0)=0,"",VLOOKUP(VLOOKUP(A759,'Relatório GERAL'!$A:$T,$E$1,0),'Dados de consulta'!$A$2:$D$38,4,0)),""))</f>
        <v/>
      </c>
    </row>
    <row r="760" spans="1:4" ht="15" x14ac:dyDescent="0.2">
      <c r="A760" s="116">
        <f>'Relatório GERAL'!A760</f>
        <v>0</v>
      </c>
      <c r="B760" s="116">
        <f t="shared" si="22"/>
        <v>1</v>
      </c>
      <c r="C760" s="117">
        <f>'Relatório GERAL'!B760</f>
        <v>0</v>
      </c>
      <c r="D760" s="18" t="str">
        <f>IF(OR(C760="SÁB",C760="DOM"),"",IFERROR(IF(VLOOKUP(VLOOKUP(A760,'Relatório GERAL'!$A:$T,$E$1,0),'Dados de consulta'!$A$2:$D$38,4,0)=0,"",VLOOKUP(VLOOKUP(A760,'Relatório GERAL'!$A:$T,$E$1,0),'Dados de consulta'!$A$2:$D$38,4,0)),""))</f>
        <v/>
      </c>
    </row>
    <row r="761" spans="1:4" ht="15" x14ac:dyDescent="0.2">
      <c r="A761" s="116">
        <f>'Relatório GERAL'!A761</f>
        <v>0</v>
      </c>
      <c r="B761" s="116">
        <f t="shared" si="22"/>
        <v>1</v>
      </c>
      <c r="C761" s="117">
        <f>'Relatório GERAL'!B761</f>
        <v>0</v>
      </c>
      <c r="D761" s="18" t="str">
        <f>IF(OR(C761="SÁB",C761="DOM"),"",IFERROR(IF(VLOOKUP(VLOOKUP(A761,'Relatório GERAL'!$A:$T,$E$1,0),'Dados de consulta'!$A$2:$D$38,4,0)=0,"",VLOOKUP(VLOOKUP(A761,'Relatório GERAL'!$A:$T,$E$1,0),'Dados de consulta'!$A$2:$D$38,4,0)),""))</f>
        <v/>
      </c>
    </row>
    <row r="762" spans="1:4" ht="15" x14ac:dyDescent="0.2">
      <c r="A762" s="116">
        <f>'Relatório GERAL'!A762</f>
        <v>0</v>
      </c>
      <c r="B762" s="116">
        <f t="shared" si="22"/>
        <v>1</v>
      </c>
      <c r="C762" s="117">
        <f>'Relatório GERAL'!B762</f>
        <v>0</v>
      </c>
      <c r="D762" s="18" t="str">
        <f>IF(OR(C762="SÁB",C762="DOM"),"",IFERROR(IF(VLOOKUP(VLOOKUP(A762,'Relatório GERAL'!$A:$T,$E$1,0),'Dados de consulta'!$A$2:$D$38,4,0)=0,"",VLOOKUP(VLOOKUP(A762,'Relatório GERAL'!$A:$T,$E$1,0),'Dados de consulta'!$A$2:$D$38,4,0)),""))</f>
        <v/>
      </c>
    </row>
    <row r="763" spans="1:4" ht="15" x14ac:dyDescent="0.2">
      <c r="A763" s="116">
        <f>'Relatório GERAL'!A763</f>
        <v>0</v>
      </c>
      <c r="B763" s="116">
        <f t="shared" si="22"/>
        <v>1</v>
      </c>
      <c r="C763" s="117">
        <f>'Relatório GERAL'!B763</f>
        <v>0</v>
      </c>
      <c r="D763" s="18" t="str">
        <f>IF(OR(C763="SÁB",C763="DOM"),"",IFERROR(IF(VLOOKUP(VLOOKUP(A763,'Relatório GERAL'!$A:$T,$E$1,0),'Dados de consulta'!$A$2:$D$38,4,0)=0,"",VLOOKUP(VLOOKUP(A763,'Relatório GERAL'!$A:$T,$E$1,0),'Dados de consulta'!$A$2:$D$38,4,0)),""))</f>
        <v/>
      </c>
    </row>
    <row r="764" spans="1:4" ht="15" x14ac:dyDescent="0.2">
      <c r="A764" s="116">
        <f>'Relatório GERAL'!A764</f>
        <v>0</v>
      </c>
      <c r="B764" s="116">
        <f t="shared" si="22"/>
        <v>1</v>
      </c>
      <c r="C764" s="117">
        <f>'Relatório GERAL'!B764</f>
        <v>0</v>
      </c>
      <c r="D764" s="18" t="str">
        <f>IF(OR(C764="SÁB",C764="DOM"),"",IFERROR(IF(VLOOKUP(VLOOKUP(A764,'Relatório GERAL'!$A:$T,$E$1,0),'Dados de consulta'!$A$2:$D$38,4,0)=0,"",VLOOKUP(VLOOKUP(A764,'Relatório GERAL'!$A:$T,$E$1,0),'Dados de consulta'!$A$2:$D$38,4,0)),""))</f>
        <v/>
      </c>
    </row>
    <row r="765" spans="1:4" ht="15" x14ac:dyDescent="0.2">
      <c r="A765" s="116">
        <f>'Relatório GERAL'!A765</f>
        <v>0</v>
      </c>
      <c r="B765" s="116">
        <f t="shared" si="22"/>
        <v>1</v>
      </c>
      <c r="C765" s="117">
        <f>'Relatório GERAL'!B765</f>
        <v>0</v>
      </c>
      <c r="D765" s="18" t="str">
        <f>IF(OR(C765="SÁB",C765="DOM"),"",IFERROR(IF(VLOOKUP(VLOOKUP(A765,'Relatório GERAL'!$A:$T,$E$1,0),'Dados de consulta'!$A$2:$D$38,4,0)=0,"",VLOOKUP(VLOOKUP(A765,'Relatório GERAL'!$A:$T,$E$1,0),'Dados de consulta'!$A$2:$D$38,4,0)),""))</f>
        <v/>
      </c>
    </row>
    <row r="766" spans="1:4" ht="15" x14ac:dyDescent="0.2">
      <c r="A766" s="116">
        <f>'Relatório GERAL'!A766</f>
        <v>0</v>
      </c>
      <c r="B766" s="116">
        <f t="shared" si="22"/>
        <v>1</v>
      </c>
      <c r="C766" s="117">
        <f>'Relatório GERAL'!B766</f>
        <v>0</v>
      </c>
      <c r="D766" s="18" t="str">
        <f>IF(OR(C766="SÁB",C766="DOM"),"",IFERROR(IF(VLOOKUP(VLOOKUP(A766,'Relatório GERAL'!$A:$T,$E$1,0),'Dados de consulta'!$A$2:$D$38,4,0)=0,"",VLOOKUP(VLOOKUP(A766,'Relatório GERAL'!$A:$T,$E$1,0),'Dados de consulta'!$A$2:$D$38,4,0)),""))</f>
        <v/>
      </c>
    </row>
    <row r="767" spans="1:4" ht="15" x14ac:dyDescent="0.2">
      <c r="A767" s="116">
        <f>'Relatório GERAL'!A767</f>
        <v>0</v>
      </c>
      <c r="B767" s="116">
        <f t="shared" si="22"/>
        <v>1</v>
      </c>
      <c r="C767" s="117">
        <f>'Relatório GERAL'!B767</f>
        <v>0</v>
      </c>
      <c r="D767" s="18" t="str">
        <f>IF(OR(C767="SÁB",C767="DOM"),"",IFERROR(IF(VLOOKUP(VLOOKUP(A767,'Relatório GERAL'!$A:$T,$E$1,0),'Dados de consulta'!$A$2:$D$38,4,0)=0,"",VLOOKUP(VLOOKUP(A767,'Relatório GERAL'!$A:$T,$E$1,0),'Dados de consulta'!$A$2:$D$38,4,0)),""))</f>
        <v/>
      </c>
    </row>
    <row r="768" spans="1:4" ht="15" x14ac:dyDescent="0.2">
      <c r="A768" s="116">
        <f>'Relatório GERAL'!A768</f>
        <v>0</v>
      </c>
      <c r="B768" s="116">
        <f t="shared" si="22"/>
        <v>1</v>
      </c>
      <c r="C768" s="117">
        <f>'Relatório GERAL'!B768</f>
        <v>0</v>
      </c>
      <c r="D768" s="18" t="str">
        <f>IF(OR(C768="SÁB",C768="DOM"),"",IFERROR(IF(VLOOKUP(VLOOKUP(A768,'Relatório GERAL'!$A:$T,$E$1,0),'Dados de consulta'!$A$2:$D$38,4,0)=0,"",VLOOKUP(VLOOKUP(A768,'Relatório GERAL'!$A:$T,$E$1,0),'Dados de consulta'!$A$2:$D$38,4,0)),""))</f>
        <v/>
      </c>
    </row>
    <row r="769" spans="1:4" ht="15" x14ac:dyDescent="0.2">
      <c r="A769" s="116">
        <f>'Relatório GERAL'!A769</f>
        <v>0</v>
      </c>
      <c r="B769" s="116">
        <f t="shared" si="22"/>
        <v>1</v>
      </c>
      <c r="C769" s="117">
        <f>'Relatório GERAL'!B769</f>
        <v>0</v>
      </c>
      <c r="D769" s="18" t="str">
        <f>IF(OR(C769="SÁB",C769="DOM"),"",IFERROR(IF(VLOOKUP(VLOOKUP(A769,'Relatório GERAL'!$A:$T,$E$1,0),'Dados de consulta'!$A$2:$D$38,4,0)=0,"",VLOOKUP(VLOOKUP(A769,'Relatório GERAL'!$A:$T,$E$1,0),'Dados de consulta'!$A$2:$D$38,4,0)),""))</f>
        <v/>
      </c>
    </row>
    <row r="770" spans="1:4" ht="15" x14ac:dyDescent="0.2">
      <c r="A770" s="116">
        <f>'Relatório GERAL'!A770</f>
        <v>0</v>
      </c>
      <c r="B770" s="116">
        <f t="shared" si="22"/>
        <v>1</v>
      </c>
      <c r="C770" s="117">
        <f>'Relatório GERAL'!B770</f>
        <v>0</v>
      </c>
      <c r="D770" s="18" t="str">
        <f>IF(OR(C770="SÁB",C770="DOM"),"",IFERROR(IF(VLOOKUP(VLOOKUP(A770,'Relatório GERAL'!$A:$T,$E$1,0),'Dados de consulta'!$A$2:$D$38,4,0)=0,"",VLOOKUP(VLOOKUP(A770,'Relatório GERAL'!$A:$T,$E$1,0),'Dados de consulta'!$A$2:$D$38,4,0)),""))</f>
        <v/>
      </c>
    </row>
    <row r="771" spans="1:4" ht="15" x14ac:dyDescent="0.2">
      <c r="A771" s="116">
        <f>'Relatório GERAL'!A771</f>
        <v>0</v>
      </c>
      <c r="B771" s="116">
        <f t="shared" si="22"/>
        <v>1</v>
      </c>
      <c r="C771" s="117">
        <f>'Relatório GERAL'!B771</f>
        <v>0</v>
      </c>
      <c r="D771" s="18" t="str">
        <f>IF(OR(C771="SÁB",C771="DOM"),"",IFERROR(IF(VLOOKUP(VLOOKUP(A771,'Relatório GERAL'!$A:$T,$E$1,0),'Dados de consulta'!$A$2:$D$38,4,0)=0,"",VLOOKUP(VLOOKUP(A771,'Relatório GERAL'!$A:$T,$E$1,0),'Dados de consulta'!$A$2:$D$38,4,0)),""))</f>
        <v/>
      </c>
    </row>
    <row r="772" spans="1:4" ht="15" x14ac:dyDescent="0.2">
      <c r="A772" s="116">
        <f>'Relatório GERAL'!A772</f>
        <v>0</v>
      </c>
      <c r="B772" s="116">
        <f t="shared" si="22"/>
        <v>1</v>
      </c>
      <c r="C772" s="117">
        <f>'Relatório GERAL'!B772</f>
        <v>0</v>
      </c>
      <c r="D772" s="18" t="str">
        <f>IF(OR(C772="SÁB",C772="DOM"),"",IFERROR(IF(VLOOKUP(VLOOKUP(A772,'Relatório GERAL'!$A:$T,$E$1,0),'Dados de consulta'!$A$2:$D$38,4,0)=0,"",VLOOKUP(VLOOKUP(A772,'Relatório GERAL'!$A:$T,$E$1,0),'Dados de consulta'!$A$2:$D$38,4,0)),""))</f>
        <v/>
      </c>
    </row>
    <row r="773" spans="1:4" ht="15" x14ac:dyDescent="0.2">
      <c r="A773" s="116">
        <f>'Relatório GERAL'!A773</f>
        <v>0</v>
      </c>
      <c r="B773" s="116">
        <f t="shared" si="22"/>
        <v>1</v>
      </c>
      <c r="C773" s="117">
        <f>'Relatório GERAL'!B773</f>
        <v>0</v>
      </c>
      <c r="D773" s="18" t="str">
        <f>IF(OR(C773="SÁB",C773="DOM"),"",IFERROR(IF(VLOOKUP(VLOOKUP(A773,'Relatório GERAL'!$A:$T,$E$1,0),'Dados de consulta'!$A$2:$D$38,4,0)=0,"",VLOOKUP(VLOOKUP(A773,'Relatório GERAL'!$A:$T,$E$1,0),'Dados de consulta'!$A$2:$D$38,4,0)),""))</f>
        <v/>
      </c>
    </row>
    <row r="774" spans="1:4" ht="15" x14ac:dyDescent="0.2">
      <c r="A774" s="116">
        <f>'Relatório GERAL'!A774</f>
        <v>0</v>
      </c>
      <c r="B774" s="116">
        <f t="shared" si="22"/>
        <v>1</v>
      </c>
      <c r="C774" s="117">
        <f>'Relatório GERAL'!B774</f>
        <v>0</v>
      </c>
      <c r="D774" s="18" t="str">
        <f>IF(OR(C774="SÁB",C774="DOM"),"",IFERROR(IF(VLOOKUP(VLOOKUP(A774,'Relatório GERAL'!$A:$T,$E$1,0),'Dados de consulta'!$A$2:$D$38,4,0)=0,"",VLOOKUP(VLOOKUP(A774,'Relatório GERAL'!$A:$T,$E$1,0),'Dados de consulta'!$A$2:$D$38,4,0)),""))</f>
        <v/>
      </c>
    </row>
    <row r="775" spans="1:4" ht="15" x14ac:dyDescent="0.2">
      <c r="A775" s="116">
        <f>'Relatório GERAL'!A775</f>
        <v>0</v>
      </c>
      <c r="B775" s="116">
        <f t="shared" si="22"/>
        <v>1</v>
      </c>
      <c r="C775" s="117">
        <f>'Relatório GERAL'!B775</f>
        <v>0</v>
      </c>
      <c r="D775" s="18" t="str">
        <f>IF(OR(C775="SÁB",C775="DOM"),"",IFERROR(IF(VLOOKUP(VLOOKUP(A775,'Relatório GERAL'!$A:$T,$E$1,0),'Dados de consulta'!$A$2:$D$38,4,0)=0,"",VLOOKUP(VLOOKUP(A775,'Relatório GERAL'!$A:$T,$E$1,0),'Dados de consulta'!$A$2:$D$38,4,0)),""))</f>
        <v/>
      </c>
    </row>
    <row r="776" spans="1:4" ht="15" x14ac:dyDescent="0.2">
      <c r="A776" s="116">
        <f>'Relatório GERAL'!A776</f>
        <v>0</v>
      </c>
      <c r="B776" s="116">
        <f t="shared" si="22"/>
        <v>1</v>
      </c>
      <c r="C776" s="117">
        <f>'Relatório GERAL'!B776</f>
        <v>0</v>
      </c>
      <c r="D776" s="18" t="str">
        <f>IF(OR(C776="SÁB",C776="DOM"),"",IFERROR(IF(VLOOKUP(VLOOKUP(A776,'Relatório GERAL'!$A:$T,$E$1,0),'Dados de consulta'!$A$2:$D$38,4,0)=0,"",VLOOKUP(VLOOKUP(A776,'Relatório GERAL'!$A:$T,$E$1,0),'Dados de consulta'!$A$2:$D$38,4,0)),""))</f>
        <v/>
      </c>
    </row>
    <row r="777" spans="1:4" ht="15" x14ac:dyDescent="0.2">
      <c r="A777" s="116">
        <f>'Relatório GERAL'!A777</f>
        <v>0</v>
      </c>
      <c r="B777" s="116">
        <f t="shared" si="22"/>
        <v>1</v>
      </c>
      <c r="C777" s="117">
        <f>'Relatório GERAL'!B777</f>
        <v>0</v>
      </c>
      <c r="D777" s="18" t="str">
        <f>IF(OR(C777="SÁB",C777="DOM"),"",IFERROR(IF(VLOOKUP(VLOOKUP(A777,'Relatório GERAL'!$A:$T,$E$1,0),'Dados de consulta'!$A$2:$D$38,4,0)=0,"",VLOOKUP(VLOOKUP(A777,'Relatório GERAL'!$A:$T,$E$1,0),'Dados de consulta'!$A$2:$D$38,4,0)),""))</f>
        <v/>
      </c>
    </row>
    <row r="778" spans="1:4" ht="15" x14ac:dyDescent="0.2">
      <c r="A778" s="116">
        <f>'Relatório GERAL'!A778</f>
        <v>0</v>
      </c>
      <c r="B778" s="116">
        <f t="shared" si="22"/>
        <v>1</v>
      </c>
      <c r="C778" s="117">
        <f>'Relatório GERAL'!B778</f>
        <v>0</v>
      </c>
      <c r="D778" s="18" t="str">
        <f>IF(OR(C778="SÁB",C778="DOM"),"",IFERROR(IF(VLOOKUP(VLOOKUP(A778,'Relatório GERAL'!$A:$T,$E$1,0),'Dados de consulta'!$A$2:$D$38,4,0)=0,"",VLOOKUP(VLOOKUP(A778,'Relatório GERAL'!$A:$T,$E$1,0),'Dados de consulta'!$A$2:$D$38,4,0)),""))</f>
        <v/>
      </c>
    </row>
    <row r="779" spans="1:4" ht="15" x14ac:dyDescent="0.2">
      <c r="A779" s="116">
        <f>'Relatório GERAL'!A779</f>
        <v>0</v>
      </c>
      <c r="B779" s="116">
        <f t="shared" si="22"/>
        <v>1</v>
      </c>
      <c r="C779" s="117">
        <f>'Relatório GERAL'!B779</f>
        <v>0</v>
      </c>
      <c r="D779" s="18" t="str">
        <f>IF(OR(C779="SÁB",C779="DOM"),"",IFERROR(IF(VLOOKUP(VLOOKUP(A779,'Relatório GERAL'!$A:$T,$E$1,0),'Dados de consulta'!$A$2:$D$38,4,0)=0,"",VLOOKUP(VLOOKUP(A779,'Relatório GERAL'!$A:$T,$E$1,0),'Dados de consulta'!$A$2:$D$38,4,0)),""))</f>
        <v/>
      </c>
    </row>
    <row r="780" spans="1:4" ht="15" x14ac:dyDescent="0.2">
      <c r="A780" s="116">
        <f>'Relatório GERAL'!A780</f>
        <v>0</v>
      </c>
      <c r="B780" s="116">
        <f t="shared" si="22"/>
        <v>1</v>
      </c>
      <c r="C780" s="117">
        <f>'Relatório GERAL'!B780</f>
        <v>0</v>
      </c>
      <c r="D780" s="18" t="str">
        <f>IF(OR(C780="SÁB",C780="DOM"),"",IFERROR(IF(VLOOKUP(VLOOKUP(A780,'Relatório GERAL'!$A:$T,$E$1,0),'Dados de consulta'!$A$2:$D$38,4,0)=0,"",VLOOKUP(VLOOKUP(A780,'Relatório GERAL'!$A:$T,$E$1,0),'Dados de consulta'!$A$2:$D$38,4,0)),""))</f>
        <v/>
      </c>
    </row>
    <row r="781" spans="1:4" ht="15" x14ac:dyDescent="0.2">
      <c r="A781" s="116">
        <f>'Relatório GERAL'!A781</f>
        <v>0</v>
      </c>
      <c r="B781" s="116">
        <f t="shared" si="22"/>
        <v>1</v>
      </c>
      <c r="C781" s="117">
        <f>'Relatório GERAL'!B781</f>
        <v>0</v>
      </c>
      <c r="D781" s="18" t="str">
        <f>IF(OR(C781="SÁB",C781="DOM"),"",IFERROR(IF(VLOOKUP(VLOOKUP(A781,'Relatório GERAL'!$A:$T,$E$1,0),'Dados de consulta'!$A$2:$D$38,4,0)=0,"",VLOOKUP(VLOOKUP(A781,'Relatório GERAL'!$A:$T,$E$1,0),'Dados de consulta'!$A$2:$D$38,4,0)),""))</f>
        <v/>
      </c>
    </row>
    <row r="782" spans="1:4" ht="15" x14ac:dyDescent="0.2">
      <c r="A782" s="116">
        <f>'Relatório GERAL'!A782</f>
        <v>0</v>
      </c>
      <c r="B782" s="116">
        <f t="shared" si="22"/>
        <v>1</v>
      </c>
      <c r="C782" s="117">
        <f>'Relatório GERAL'!B782</f>
        <v>0</v>
      </c>
      <c r="D782" s="18" t="str">
        <f>IF(OR(C782="SÁB",C782="DOM"),"",IFERROR(IF(VLOOKUP(VLOOKUP(A782,'Relatório GERAL'!$A:$T,$E$1,0),'Dados de consulta'!$A$2:$D$38,4,0)=0,"",VLOOKUP(VLOOKUP(A782,'Relatório GERAL'!$A:$T,$E$1,0),'Dados de consulta'!$A$2:$D$38,4,0)),""))</f>
        <v/>
      </c>
    </row>
    <row r="783" spans="1:4" ht="15" x14ac:dyDescent="0.2">
      <c r="A783" s="116">
        <f>'Relatório GERAL'!A783</f>
        <v>0</v>
      </c>
      <c r="B783" s="116">
        <f t="shared" si="22"/>
        <v>1</v>
      </c>
      <c r="C783" s="117">
        <f>'Relatório GERAL'!B783</f>
        <v>0</v>
      </c>
      <c r="D783" s="18" t="str">
        <f>IF(OR(C783="SÁB",C783="DOM"),"",IFERROR(IF(VLOOKUP(VLOOKUP(A783,'Relatório GERAL'!$A:$T,$E$1,0),'Dados de consulta'!$A$2:$D$38,4,0)=0,"",VLOOKUP(VLOOKUP(A783,'Relatório GERAL'!$A:$T,$E$1,0),'Dados de consulta'!$A$2:$D$38,4,0)),""))</f>
        <v/>
      </c>
    </row>
    <row r="784" spans="1:4" ht="15" x14ac:dyDescent="0.2">
      <c r="A784" s="116">
        <f>'Relatório GERAL'!A784</f>
        <v>0</v>
      </c>
      <c r="B784" s="116">
        <f t="shared" si="22"/>
        <v>1</v>
      </c>
      <c r="C784" s="117">
        <f>'Relatório GERAL'!B784</f>
        <v>0</v>
      </c>
      <c r="D784" s="18" t="str">
        <f>IF(OR(C784="SÁB",C784="DOM"),"",IFERROR(IF(VLOOKUP(VLOOKUP(A784,'Relatório GERAL'!$A:$T,$E$1,0),'Dados de consulta'!$A$2:$D$38,4,0)=0,"",VLOOKUP(VLOOKUP(A784,'Relatório GERAL'!$A:$T,$E$1,0),'Dados de consulta'!$A$2:$D$38,4,0)),""))</f>
        <v/>
      </c>
    </row>
    <row r="785" spans="1:4" ht="15" x14ac:dyDescent="0.2">
      <c r="A785" s="116">
        <f>'Relatório GERAL'!A785</f>
        <v>0</v>
      </c>
      <c r="B785" s="116">
        <f t="shared" si="22"/>
        <v>1</v>
      </c>
      <c r="C785" s="117">
        <f>'Relatório GERAL'!B785</f>
        <v>0</v>
      </c>
      <c r="D785" s="18" t="str">
        <f>IF(OR(C785="SÁB",C785="DOM"),"",IFERROR(IF(VLOOKUP(VLOOKUP(A785,'Relatório GERAL'!$A:$T,$E$1,0),'Dados de consulta'!$A$2:$D$38,4,0)=0,"",VLOOKUP(VLOOKUP(A785,'Relatório GERAL'!$A:$T,$E$1,0),'Dados de consulta'!$A$2:$D$38,4,0)),""))</f>
        <v/>
      </c>
    </row>
    <row r="786" spans="1:4" ht="15" x14ac:dyDescent="0.2">
      <c r="A786" s="116">
        <f>'Relatório GERAL'!A786</f>
        <v>0</v>
      </c>
      <c r="B786" s="116">
        <f t="shared" si="22"/>
        <v>1</v>
      </c>
      <c r="C786" s="117">
        <f>'Relatório GERAL'!B786</f>
        <v>0</v>
      </c>
      <c r="D786" s="18" t="str">
        <f>IF(OR(C786="SÁB",C786="DOM"),"",IFERROR(IF(VLOOKUP(VLOOKUP(A786,'Relatório GERAL'!$A:$T,$E$1,0),'Dados de consulta'!$A$2:$D$38,4,0)=0,"",VLOOKUP(VLOOKUP(A786,'Relatório GERAL'!$A:$T,$E$1,0),'Dados de consulta'!$A$2:$D$38,4,0)),""))</f>
        <v/>
      </c>
    </row>
    <row r="787" spans="1:4" ht="15" x14ac:dyDescent="0.2">
      <c r="A787" s="116">
        <f>'Relatório GERAL'!A787</f>
        <v>0</v>
      </c>
      <c r="B787" s="116">
        <f t="shared" si="22"/>
        <v>1</v>
      </c>
      <c r="C787" s="117">
        <f>'Relatório GERAL'!B787</f>
        <v>0</v>
      </c>
      <c r="D787" s="18" t="str">
        <f>IF(OR(C787="SÁB",C787="DOM"),"",IFERROR(IF(VLOOKUP(VLOOKUP(A787,'Relatório GERAL'!$A:$T,$E$1,0),'Dados de consulta'!$A$2:$D$38,4,0)=0,"",VLOOKUP(VLOOKUP(A787,'Relatório GERAL'!$A:$T,$E$1,0),'Dados de consulta'!$A$2:$D$38,4,0)),""))</f>
        <v/>
      </c>
    </row>
    <row r="788" spans="1:4" ht="15" x14ac:dyDescent="0.2">
      <c r="A788" s="116">
        <f>'Relatório GERAL'!A788</f>
        <v>0</v>
      </c>
      <c r="B788" s="116">
        <f t="shared" si="22"/>
        <v>1</v>
      </c>
      <c r="C788" s="117">
        <f>'Relatório GERAL'!B788</f>
        <v>0</v>
      </c>
      <c r="D788" s="18" t="str">
        <f>IF(OR(C788="SÁB",C788="DOM"),"",IFERROR(IF(VLOOKUP(VLOOKUP(A788,'Relatório GERAL'!$A:$T,$E$1,0),'Dados de consulta'!$A$2:$D$38,4,0)=0,"",VLOOKUP(VLOOKUP(A788,'Relatório GERAL'!$A:$T,$E$1,0),'Dados de consulta'!$A$2:$D$38,4,0)),""))</f>
        <v/>
      </c>
    </row>
    <row r="789" spans="1:4" ht="15" x14ac:dyDescent="0.2">
      <c r="A789" s="116">
        <f>'Relatório GERAL'!A789</f>
        <v>0</v>
      </c>
      <c r="B789" s="116">
        <f t="shared" si="22"/>
        <v>1</v>
      </c>
      <c r="C789" s="117">
        <f>'Relatório GERAL'!B789</f>
        <v>0</v>
      </c>
      <c r="D789" s="18" t="str">
        <f>IF(OR(C789="SÁB",C789="DOM"),"",IFERROR(IF(VLOOKUP(VLOOKUP(A789,'Relatório GERAL'!$A:$T,$E$1,0),'Dados de consulta'!$A$2:$D$38,4,0)=0,"",VLOOKUP(VLOOKUP(A789,'Relatório GERAL'!$A:$T,$E$1,0),'Dados de consulta'!$A$2:$D$38,4,0)),""))</f>
        <v/>
      </c>
    </row>
    <row r="790" spans="1:4" ht="15" x14ac:dyDescent="0.2">
      <c r="A790" s="116">
        <f>'Relatório GERAL'!A790</f>
        <v>0</v>
      </c>
      <c r="B790" s="116">
        <f t="shared" si="22"/>
        <v>1</v>
      </c>
      <c r="C790" s="117">
        <f>'Relatório GERAL'!B790</f>
        <v>0</v>
      </c>
      <c r="D790" s="18" t="str">
        <f>IF(OR(C790="SÁB",C790="DOM"),"",IFERROR(IF(VLOOKUP(VLOOKUP(A790,'Relatório GERAL'!$A:$T,$E$1,0),'Dados de consulta'!$A$2:$D$38,4,0)=0,"",VLOOKUP(VLOOKUP(A790,'Relatório GERAL'!$A:$T,$E$1,0),'Dados de consulta'!$A$2:$D$38,4,0)),""))</f>
        <v/>
      </c>
    </row>
    <row r="791" spans="1:4" ht="15" x14ac:dyDescent="0.2">
      <c r="A791" s="116">
        <f>'Relatório GERAL'!A791</f>
        <v>0</v>
      </c>
      <c r="B791" s="116">
        <f t="shared" si="22"/>
        <v>1</v>
      </c>
      <c r="C791" s="117">
        <f>'Relatório GERAL'!B791</f>
        <v>0</v>
      </c>
      <c r="D791" s="18" t="str">
        <f>IF(OR(C791="SÁB",C791="DOM"),"",IFERROR(IF(VLOOKUP(VLOOKUP(A791,'Relatório GERAL'!$A:$T,$E$1,0),'Dados de consulta'!$A$2:$D$38,4,0)=0,"",VLOOKUP(VLOOKUP(A791,'Relatório GERAL'!$A:$T,$E$1,0),'Dados de consulta'!$A$2:$D$38,4,0)),""))</f>
        <v/>
      </c>
    </row>
    <row r="792" spans="1:4" ht="15" x14ac:dyDescent="0.2">
      <c r="A792" s="116">
        <f>'Relatório GERAL'!A792</f>
        <v>0</v>
      </c>
      <c r="B792" s="116">
        <f t="shared" si="22"/>
        <v>1</v>
      </c>
      <c r="C792" s="117">
        <f>'Relatório GERAL'!B792</f>
        <v>0</v>
      </c>
      <c r="D792" s="18" t="str">
        <f>IF(OR(C792="SÁB",C792="DOM"),"",IFERROR(IF(VLOOKUP(VLOOKUP(A792,'Relatório GERAL'!$A:$T,$E$1,0),'Dados de consulta'!$A$2:$D$38,4,0)=0,"",VLOOKUP(VLOOKUP(A792,'Relatório GERAL'!$A:$T,$E$1,0),'Dados de consulta'!$A$2:$D$38,4,0)),""))</f>
        <v/>
      </c>
    </row>
    <row r="793" spans="1:4" ht="15" x14ac:dyDescent="0.2">
      <c r="A793" s="116">
        <f>'Relatório GERAL'!A793</f>
        <v>0</v>
      </c>
      <c r="B793" s="116">
        <f t="shared" si="22"/>
        <v>1</v>
      </c>
      <c r="C793" s="117">
        <f>'Relatório GERAL'!B793</f>
        <v>0</v>
      </c>
      <c r="D793" s="18" t="str">
        <f>IF(OR(C793="SÁB",C793="DOM"),"",IFERROR(IF(VLOOKUP(VLOOKUP(A793,'Relatório GERAL'!$A:$T,$E$1,0),'Dados de consulta'!$A$2:$D$38,4,0)=0,"",VLOOKUP(VLOOKUP(A793,'Relatório GERAL'!$A:$T,$E$1,0),'Dados de consulta'!$A$2:$D$38,4,0)),""))</f>
        <v/>
      </c>
    </row>
    <row r="794" spans="1:4" ht="15" x14ac:dyDescent="0.2">
      <c r="A794" s="116">
        <f>'Relatório GERAL'!A794</f>
        <v>0</v>
      </c>
      <c r="B794" s="116">
        <f t="shared" si="22"/>
        <v>1</v>
      </c>
      <c r="C794" s="117">
        <f>'Relatório GERAL'!B794</f>
        <v>0</v>
      </c>
      <c r="D794" s="18" t="str">
        <f>IF(OR(C794="SÁB",C794="DOM"),"",IFERROR(IF(VLOOKUP(VLOOKUP(A794,'Relatório GERAL'!$A:$T,$E$1,0),'Dados de consulta'!$A$2:$D$38,4,0)=0,"",VLOOKUP(VLOOKUP(A794,'Relatório GERAL'!$A:$T,$E$1,0),'Dados de consulta'!$A$2:$D$38,4,0)),""))</f>
        <v/>
      </c>
    </row>
    <row r="795" spans="1:4" ht="15" x14ac:dyDescent="0.2">
      <c r="A795" s="116">
        <f>'Relatório GERAL'!A795</f>
        <v>0</v>
      </c>
      <c r="B795" s="116">
        <f t="shared" si="22"/>
        <v>1</v>
      </c>
      <c r="C795" s="117">
        <f>'Relatório GERAL'!B795</f>
        <v>0</v>
      </c>
      <c r="D795" s="18" t="str">
        <f>IF(OR(C795="SÁB",C795="DOM"),"",IFERROR(IF(VLOOKUP(VLOOKUP(A795,'Relatório GERAL'!$A:$T,$E$1,0),'Dados de consulta'!$A$2:$D$38,4,0)=0,"",VLOOKUP(VLOOKUP(A795,'Relatório GERAL'!$A:$T,$E$1,0),'Dados de consulta'!$A$2:$D$38,4,0)),""))</f>
        <v/>
      </c>
    </row>
    <row r="796" spans="1:4" ht="15" x14ac:dyDescent="0.2">
      <c r="A796" s="116">
        <f>'Relatório GERAL'!A796</f>
        <v>0</v>
      </c>
      <c r="B796" s="116">
        <f t="shared" si="22"/>
        <v>1</v>
      </c>
      <c r="C796" s="117">
        <f>'Relatório GERAL'!B796</f>
        <v>0</v>
      </c>
      <c r="D796" s="18" t="str">
        <f>IF(OR(C796="SÁB",C796="DOM"),"",IFERROR(IF(VLOOKUP(VLOOKUP(A796,'Relatório GERAL'!$A:$T,$E$1,0),'Dados de consulta'!$A$2:$D$38,4,0)=0,"",VLOOKUP(VLOOKUP(A796,'Relatório GERAL'!$A:$T,$E$1,0),'Dados de consulta'!$A$2:$D$38,4,0)),""))</f>
        <v/>
      </c>
    </row>
    <row r="797" spans="1:4" ht="15" x14ac:dyDescent="0.2">
      <c r="A797" s="116">
        <f>'Relatório GERAL'!A797</f>
        <v>0</v>
      </c>
      <c r="B797" s="116">
        <f t="shared" si="22"/>
        <v>1</v>
      </c>
      <c r="C797" s="117">
        <f>'Relatório GERAL'!B797</f>
        <v>0</v>
      </c>
      <c r="D797" s="18" t="str">
        <f>IF(OR(C797="SÁB",C797="DOM"),"",IFERROR(IF(VLOOKUP(VLOOKUP(A797,'Relatório GERAL'!$A:$T,$E$1,0),'Dados de consulta'!$A$2:$D$38,4,0)=0,"",VLOOKUP(VLOOKUP(A797,'Relatório GERAL'!$A:$T,$E$1,0),'Dados de consulta'!$A$2:$D$38,4,0)),""))</f>
        <v/>
      </c>
    </row>
    <row r="798" spans="1:4" ht="15" x14ac:dyDescent="0.2">
      <c r="A798" s="116">
        <f>'Relatório GERAL'!A798</f>
        <v>0</v>
      </c>
      <c r="B798" s="116">
        <f t="shared" si="22"/>
        <v>1</v>
      </c>
      <c r="C798" s="117">
        <f>'Relatório GERAL'!B798</f>
        <v>0</v>
      </c>
      <c r="D798" s="18" t="str">
        <f>IF(OR(C798="SÁB",C798="DOM"),"",IFERROR(IF(VLOOKUP(VLOOKUP(A798,'Relatório GERAL'!$A:$T,$E$1,0),'Dados de consulta'!$A$2:$D$38,4,0)=0,"",VLOOKUP(VLOOKUP(A798,'Relatório GERAL'!$A:$T,$E$1,0),'Dados de consulta'!$A$2:$D$38,4,0)),""))</f>
        <v/>
      </c>
    </row>
    <row r="799" spans="1:4" ht="15" x14ac:dyDescent="0.2">
      <c r="A799" s="116">
        <f>'Relatório GERAL'!A799</f>
        <v>0</v>
      </c>
      <c r="B799" s="116">
        <f t="shared" si="22"/>
        <v>1</v>
      </c>
      <c r="C799" s="117">
        <f>'Relatório GERAL'!B799</f>
        <v>0</v>
      </c>
      <c r="D799" s="18" t="str">
        <f>IF(OR(C799="SÁB",C799="DOM"),"",IFERROR(IF(VLOOKUP(VLOOKUP(A799,'Relatório GERAL'!$A:$T,$E$1,0),'Dados de consulta'!$A$2:$D$38,4,0)=0,"",VLOOKUP(VLOOKUP(A799,'Relatório GERAL'!$A:$T,$E$1,0),'Dados de consulta'!$A$2:$D$38,4,0)),""))</f>
        <v/>
      </c>
    </row>
    <row r="800" spans="1:4" ht="15" x14ac:dyDescent="0.2">
      <c r="A800" s="116">
        <f>'Relatório GERAL'!A800</f>
        <v>0</v>
      </c>
      <c r="B800" s="116">
        <f t="shared" si="22"/>
        <v>1</v>
      </c>
      <c r="C800" s="117">
        <f>'Relatório GERAL'!B800</f>
        <v>0</v>
      </c>
      <c r="D800" s="18" t="str">
        <f>IF(OR(C800="SÁB",C800="DOM"),"",IFERROR(IF(VLOOKUP(VLOOKUP(A800,'Relatório GERAL'!$A:$T,$E$1,0),'Dados de consulta'!$A$2:$D$38,4,0)=0,"",VLOOKUP(VLOOKUP(A800,'Relatório GERAL'!$A:$T,$E$1,0),'Dados de consulta'!$A$2:$D$38,4,0)),""))</f>
        <v/>
      </c>
    </row>
    <row r="801" spans="1:4" ht="15" x14ac:dyDescent="0.2">
      <c r="A801" s="116">
        <f>'Relatório GERAL'!A801</f>
        <v>0</v>
      </c>
      <c r="B801" s="116">
        <f t="shared" si="22"/>
        <v>1</v>
      </c>
      <c r="C801" s="117">
        <f>'Relatório GERAL'!B801</f>
        <v>0</v>
      </c>
      <c r="D801" s="18" t="str">
        <f>IF(OR(C801="SÁB",C801="DOM"),"",IFERROR(IF(VLOOKUP(VLOOKUP(A801,'Relatório GERAL'!$A:$T,$E$1,0),'Dados de consulta'!$A$2:$D$38,4,0)=0,"",VLOOKUP(VLOOKUP(A801,'Relatório GERAL'!$A:$T,$E$1,0),'Dados de consulta'!$A$2:$D$38,4,0)),""))</f>
        <v/>
      </c>
    </row>
    <row r="802" spans="1:4" ht="15" x14ac:dyDescent="0.2">
      <c r="A802" s="116">
        <f>'Relatório GERAL'!A802</f>
        <v>0</v>
      </c>
      <c r="B802" s="116">
        <f t="shared" si="22"/>
        <v>1</v>
      </c>
      <c r="C802" s="117">
        <f>'Relatório GERAL'!B802</f>
        <v>0</v>
      </c>
      <c r="D802" s="18" t="str">
        <f>IF(OR(C802="SÁB",C802="DOM"),"",IFERROR(IF(VLOOKUP(VLOOKUP(A802,'Relatório GERAL'!$A:$T,$E$1,0),'Dados de consulta'!$A$2:$D$38,4,0)=0,"",VLOOKUP(VLOOKUP(A802,'Relatório GERAL'!$A:$T,$E$1,0),'Dados de consulta'!$A$2:$D$38,4,0)),""))</f>
        <v/>
      </c>
    </row>
    <row r="803" spans="1:4" ht="15" x14ac:dyDescent="0.2">
      <c r="A803" s="116">
        <f>'Relatório GERAL'!A803</f>
        <v>0</v>
      </c>
      <c r="B803" s="116">
        <f t="shared" si="22"/>
        <v>1</v>
      </c>
      <c r="C803" s="117">
        <f>'Relatório GERAL'!B803</f>
        <v>0</v>
      </c>
      <c r="D803" s="18" t="str">
        <f>IF(OR(C803="SÁB",C803="DOM"),"",IFERROR(IF(VLOOKUP(VLOOKUP(A803,'Relatório GERAL'!$A:$T,$E$1,0),'Dados de consulta'!$A$2:$D$38,4,0)=0,"",VLOOKUP(VLOOKUP(A803,'Relatório GERAL'!$A:$T,$E$1,0),'Dados de consulta'!$A$2:$D$38,4,0)),""))</f>
        <v/>
      </c>
    </row>
    <row r="804" spans="1:4" ht="15" x14ac:dyDescent="0.2">
      <c r="A804" s="116">
        <f>'Relatório GERAL'!A804</f>
        <v>0</v>
      </c>
      <c r="B804" s="116">
        <f t="shared" si="22"/>
        <v>1</v>
      </c>
      <c r="C804" s="117">
        <f>'Relatório GERAL'!B804</f>
        <v>0</v>
      </c>
      <c r="D804" s="18" t="str">
        <f>IF(OR(C804="SÁB",C804="DOM"),"",IFERROR(IF(VLOOKUP(VLOOKUP(A804,'Relatório GERAL'!$A:$T,$E$1,0),'Dados de consulta'!$A$2:$D$38,4,0)=0,"",VLOOKUP(VLOOKUP(A804,'Relatório GERAL'!$A:$T,$E$1,0),'Dados de consulta'!$A$2:$D$38,4,0)),""))</f>
        <v/>
      </c>
    </row>
    <row r="805" spans="1:4" ht="15" x14ac:dyDescent="0.2">
      <c r="A805" s="116">
        <f>'Relatório GERAL'!A805</f>
        <v>0</v>
      </c>
      <c r="B805" s="116">
        <f t="shared" si="22"/>
        <v>1</v>
      </c>
      <c r="C805" s="117">
        <f>'Relatório GERAL'!B805</f>
        <v>0</v>
      </c>
      <c r="D805" s="18" t="str">
        <f>IF(OR(C805="SÁB",C805="DOM"),"",IFERROR(IF(VLOOKUP(VLOOKUP(A805,'Relatório GERAL'!$A:$T,$E$1,0),'Dados de consulta'!$A$2:$D$38,4,0)=0,"",VLOOKUP(VLOOKUP(A805,'Relatório GERAL'!$A:$T,$E$1,0),'Dados de consulta'!$A$2:$D$38,4,0)),""))</f>
        <v/>
      </c>
    </row>
    <row r="806" spans="1:4" ht="15" x14ac:dyDescent="0.2">
      <c r="A806" s="116">
        <f>'Relatório GERAL'!A806</f>
        <v>0</v>
      </c>
      <c r="B806" s="116">
        <f t="shared" si="22"/>
        <v>1</v>
      </c>
      <c r="C806" s="117">
        <f>'Relatório GERAL'!B806</f>
        <v>0</v>
      </c>
      <c r="D806" s="18" t="str">
        <f>IF(OR(C806="SÁB",C806="DOM"),"",IFERROR(IF(VLOOKUP(VLOOKUP(A806,'Relatório GERAL'!$A:$T,$E$1,0),'Dados de consulta'!$A$2:$D$38,4,0)=0,"",VLOOKUP(VLOOKUP(A806,'Relatório GERAL'!$A:$T,$E$1,0),'Dados de consulta'!$A$2:$D$38,4,0)),""))</f>
        <v/>
      </c>
    </row>
    <row r="807" spans="1:4" ht="15" x14ac:dyDescent="0.2">
      <c r="A807" s="116">
        <f>'Relatório GERAL'!A807</f>
        <v>0</v>
      </c>
      <c r="B807" s="116">
        <f t="shared" si="22"/>
        <v>1</v>
      </c>
      <c r="C807" s="117">
        <f>'Relatório GERAL'!B807</f>
        <v>0</v>
      </c>
      <c r="D807" s="18" t="str">
        <f>IF(OR(C807="SÁB",C807="DOM"),"",IFERROR(IF(VLOOKUP(VLOOKUP(A807,'Relatório GERAL'!$A:$T,$E$1,0),'Dados de consulta'!$A$2:$D$38,4,0)=0,"",VLOOKUP(VLOOKUP(A807,'Relatório GERAL'!$A:$T,$E$1,0),'Dados de consulta'!$A$2:$D$38,4,0)),""))</f>
        <v/>
      </c>
    </row>
    <row r="808" spans="1:4" ht="15" x14ac:dyDescent="0.2">
      <c r="A808" s="116">
        <f>'Relatório GERAL'!A808</f>
        <v>0</v>
      </c>
      <c r="B808" s="116">
        <f t="shared" si="22"/>
        <v>1</v>
      </c>
      <c r="C808" s="117">
        <f>'Relatório GERAL'!B808</f>
        <v>0</v>
      </c>
      <c r="D808" s="18" t="str">
        <f>IF(OR(C808="SÁB",C808="DOM"),"",IFERROR(IF(VLOOKUP(VLOOKUP(A808,'Relatório GERAL'!$A:$T,$E$1,0),'Dados de consulta'!$A$2:$D$38,4,0)=0,"",VLOOKUP(VLOOKUP(A808,'Relatório GERAL'!$A:$T,$E$1,0),'Dados de consulta'!$A$2:$D$38,4,0)),""))</f>
        <v/>
      </c>
    </row>
    <row r="809" spans="1:4" ht="15" x14ac:dyDescent="0.2">
      <c r="A809" s="116">
        <f>'Relatório GERAL'!A809</f>
        <v>0</v>
      </c>
      <c r="B809" s="116">
        <f t="shared" si="22"/>
        <v>1</v>
      </c>
      <c r="C809" s="117">
        <f>'Relatório GERAL'!B809</f>
        <v>0</v>
      </c>
      <c r="D809" s="18" t="str">
        <f>IF(OR(C809="SÁB",C809="DOM"),"",IFERROR(IF(VLOOKUP(VLOOKUP(A809,'Relatório GERAL'!$A:$T,$E$1,0),'Dados de consulta'!$A$2:$D$38,4,0)=0,"",VLOOKUP(VLOOKUP(A809,'Relatório GERAL'!$A:$T,$E$1,0),'Dados de consulta'!$A$2:$D$38,4,0)),""))</f>
        <v/>
      </c>
    </row>
    <row r="810" spans="1:4" ht="15" x14ac:dyDescent="0.2">
      <c r="A810" s="116">
        <f>'Relatório GERAL'!A810</f>
        <v>0</v>
      </c>
      <c r="B810" s="116">
        <f t="shared" si="22"/>
        <v>1</v>
      </c>
      <c r="C810" s="117">
        <f>'Relatório GERAL'!B810</f>
        <v>0</v>
      </c>
      <c r="D810" s="18" t="str">
        <f>IF(OR(C810="SÁB",C810="DOM"),"",IFERROR(IF(VLOOKUP(VLOOKUP(A810,'Relatório GERAL'!$A:$T,$E$1,0),'Dados de consulta'!$A$2:$D$38,4,0)=0,"",VLOOKUP(VLOOKUP(A810,'Relatório GERAL'!$A:$T,$E$1,0),'Dados de consulta'!$A$2:$D$38,4,0)),""))</f>
        <v/>
      </c>
    </row>
    <row r="811" spans="1:4" ht="15" x14ac:dyDescent="0.2">
      <c r="A811" s="116">
        <f>'Relatório GERAL'!A811</f>
        <v>0</v>
      </c>
      <c r="B811" s="116">
        <f t="shared" si="22"/>
        <v>1</v>
      </c>
      <c r="C811" s="117">
        <f>'Relatório GERAL'!B811</f>
        <v>0</v>
      </c>
      <c r="D811" s="18" t="str">
        <f>IF(OR(C811="SÁB",C811="DOM"),"",IFERROR(IF(VLOOKUP(VLOOKUP(A811,'Relatório GERAL'!$A:$T,$E$1,0),'Dados de consulta'!$A$2:$D$38,4,0)=0,"",VLOOKUP(VLOOKUP(A811,'Relatório GERAL'!$A:$T,$E$1,0),'Dados de consulta'!$A$2:$D$38,4,0)),""))</f>
        <v/>
      </c>
    </row>
    <row r="812" spans="1:4" ht="15" x14ac:dyDescent="0.2">
      <c r="A812" s="116">
        <f>'Relatório GERAL'!A812</f>
        <v>0</v>
      </c>
      <c r="B812" s="116">
        <f t="shared" ref="B812:B840" si="23">DATEVALUE(CONCATENATE("01/",TEXT(A812,"mm/aaaa")))</f>
        <v>1</v>
      </c>
      <c r="C812" s="117">
        <f>'Relatório GERAL'!B812</f>
        <v>0</v>
      </c>
      <c r="D812" s="18" t="str">
        <f>IF(OR(C812="SÁB",C812="DOM"),"",IFERROR(IF(VLOOKUP(VLOOKUP(A812,'Relatório GERAL'!$A:$T,$E$1,0),'Dados de consulta'!$A$2:$D$38,4,0)=0,"",VLOOKUP(VLOOKUP(A812,'Relatório GERAL'!$A:$T,$E$1,0),'Dados de consulta'!$A$2:$D$38,4,0)),""))</f>
        <v/>
      </c>
    </row>
    <row r="813" spans="1:4" ht="15" x14ac:dyDescent="0.2">
      <c r="A813" s="116">
        <f>'Relatório GERAL'!A813</f>
        <v>0</v>
      </c>
      <c r="B813" s="116">
        <f t="shared" si="23"/>
        <v>1</v>
      </c>
      <c r="C813" s="117">
        <f>'Relatório GERAL'!B813</f>
        <v>0</v>
      </c>
      <c r="D813" s="18" t="str">
        <f>IF(OR(C813="SÁB",C813="DOM"),"",IFERROR(IF(VLOOKUP(VLOOKUP(A813,'Relatório GERAL'!$A:$T,$E$1,0),'Dados de consulta'!$A$2:$D$38,4,0)=0,"",VLOOKUP(VLOOKUP(A813,'Relatório GERAL'!$A:$T,$E$1,0),'Dados de consulta'!$A$2:$D$38,4,0)),""))</f>
        <v/>
      </c>
    </row>
    <row r="814" spans="1:4" ht="15" x14ac:dyDescent="0.2">
      <c r="A814" s="116">
        <f>'Relatório GERAL'!A814</f>
        <v>0</v>
      </c>
      <c r="B814" s="116">
        <f t="shared" si="23"/>
        <v>1</v>
      </c>
      <c r="C814" s="117">
        <f>'Relatório GERAL'!B814</f>
        <v>0</v>
      </c>
      <c r="D814" s="18" t="str">
        <f>IF(OR(C814="SÁB",C814="DOM"),"",IFERROR(IF(VLOOKUP(VLOOKUP(A814,'Relatório GERAL'!$A:$T,$E$1,0),'Dados de consulta'!$A$2:$D$38,4,0)=0,"",VLOOKUP(VLOOKUP(A814,'Relatório GERAL'!$A:$T,$E$1,0),'Dados de consulta'!$A$2:$D$38,4,0)),""))</f>
        <v/>
      </c>
    </row>
    <row r="815" spans="1:4" ht="15" x14ac:dyDescent="0.2">
      <c r="A815" s="116">
        <f>'Relatório GERAL'!A815</f>
        <v>0</v>
      </c>
      <c r="B815" s="116">
        <f t="shared" si="23"/>
        <v>1</v>
      </c>
      <c r="C815" s="117">
        <f>'Relatório GERAL'!B815</f>
        <v>0</v>
      </c>
      <c r="D815" s="18" t="str">
        <f>IF(OR(C815="SÁB",C815="DOM"),"",IFERROR(IF(VLOOKUP(VLOOKUP(A815,'Relatório GERAL'!$A:$T,$E$1,0),'Dados de consulta'!$A$2:$D$38,4,0)=0,"",VLOOKUP(VLOOKUP(A815,'Relatório GERAL'!$A:$T,$E$1,0),'Dados de consulta'!$A$2:$D$38,4,0)),""))</f>
        <v/>
      </c>
    </row>
    <row r="816" spans="1:4" ht="15" x14ac:dyDescent="0.2">
      <c r="A816" s="116">
        <f>'Relatório GERAL'!A816</f>
        <v>0</v>
      </c>
      <c r="B816" s="116">
        <f t="shared" si="23"/>
        <v>1</v>
      </c>
      <c r="C816" s="117">
        <f>'Relatório GERAL'!B816</f>
        <v>0</v>
      </c>
      <c r="D816" s="18" t="str">
        <f>IF(OR(C816="SÁB",C816="DOM"),"",IFERROR(IF(VLOOKUP(VLOOKUP(A816,'Relatório GERAL'!$A:$T,$E$1,0),'Dados de consulta'!$A$2:$D$38,4,0)=0,"",VLOOKUP(VLOOKUP(A816,'Relatório GERAL'!$A:$T,$E$1,0),'Dados de consulta'!$A$2:$D$38,4,0)),""))</f>
        <v/>
      </c>
    </row>
    <row r="817" spans="1:4" ht="15" x14ac:dyDescent="0.2">
      <c r="A817" s="116">
        <f>'Relatório GERAL'!A817</f>
        <v>0</v>
      </c>
      <c r="B817" s="116">
        <f t="shared" si="23"/>
        <v>1</v>
      </c>
      <c r="C817" s="117">
        <f>'Relatório GERAL'!B817</f>
        <v>0</v>
      </c>
      <c r="D817" s="18" t="str">
        <f>IF(OR(C817="SÁB",C817="DOM"),"",IFERROR(IF(VLOOKUP(VLOOKUP(A817,'Relatório GERAL'!$A:$T,$E$1,0),'Dados de consulta'!$A$2:$D$38,4,0)=0,"",VLOOKUP(VLOOKUP(A817,'Relatório GERAL'!$A:$T,$E$1,0),'Dados de consulta'!$A$2:$D$38,4,0)),""))</f>
        <v/>
      </c>
    </row>
    <row r="818" spans="1:4" ht="15" x14ac:dyDescent="0.2">
      <c r="A818" s="116">
        <f>'Relatório GERAL'!A818</f>
        <v>0</v>
      </c>
      <c r="B818" s="116">
        <f t="shared" si="23"/>
        <v>1</v>
      </c>
      <c r="C818" s="117">
        <f>'Relatório GERAL'!B818</f>
        <v>0</v>
      </c>
      <c r="D818" s="18" t="str">
        <f>IF(OR(C818="SÁB",C818="DOM"),"",IFERROR(IF(VLOOKUP(VLOOKUP(A818,'Relatório GERAL'!$A:$T,$E$1,0),'Dados de consulta'!$A$2:$D$38,4,0)=0,"",VLOOKUP(VLOOKUP(A818,'Relatório GERAL'!$A:$T,$E$1,0),'Dados de consulta'!$A$2:$D$38,4,0)),""))</f>
        <v/>
      </c>
    </row>
    <row r="819" spans="1:4" ht="15" x14ac:dyDescent="0.2">
      <c r="A819" s="116">
        <f>'Relatório GERAL'!A819</f>
        <v>0</v>
      </c>
      <c r="B819" s="116">
        <f t="shared" si="23"/>
        <v>1</v>
      </c>
      <c r="C819" s="117">
        <f>'Relatório GERAL'!B819</f>
        <v>0</v>
      </c>
      <c r="D819" s="18" t="str">
        <f>IF(OR(C819="SÁB",C819="DOM"),"",IFERROR(IF(VLOOKUP(VLOOKUP(A819,'Relatório GERAL'!$A:$T,$E$1,0),'Dados de consulta'!$A$2:$D$38,4,0)=0,"",VLOOKUP(VLOOKUP(A819,'Relatório GERAL'!$A:$T,$E$1,0),'Dados de consulta'!$A$2:$D$38,4,0)),""))</f>
        <v/>
      </c>
    </row>
    <row r="820" spans="1:4" ht="15" x14ac:dyDescent="0.2">
      <c r="A820" s="116">
        <f>'Relatório GERAL'!A820</f>
        <v>0</v>
      </c>
      <c r="B820" s="116">
        <f t="shared" si="23"/>
        <v>1</v>
      </c>
      <c r="C820" s="117">
        <f>'Relatório GERAL'!B820</f>
        <v>0</v>
      </c>
      <c r="D820" s="18" t="str">
        <f>IF(OR(C820="SÁB",C820="DOM"),"",IFERROR(IF(VLOOKUP(VLOOKUP(A820,'Relatório GERAL'!$A:$T,$E$1,0),'Dados de consulta'!$A$2:$D$38,4,0)=0,"",VLOOKUP(VLOOKUP(A820,'Relatório GERAL'!$A:$T,$E$1,0),'Dados de consulta'!$A$2:$D$38,4,0)),""))</f>
        <v/>
      </c>
    </row>
    <row r="821" spans="1:4" ht="15" x14ac:dyDescent="0.2">
      <c r="A821" s="116">
        <f>'Relatório GERAL'!A821</f>
        <v>0</v>
      </c>
      <c r="B821" s="116">
        <f t="shared" si="23"/>
        <v>1</v>
      </c>
      <c r="C821" s="117">
        <f>'Relatório GERAL'!B821</f>
        <v>0</v>
      </c>
      <c r="D821" s="18" t="str">
        <f>IF(OR(C821="SÁB",C821="DOM"),"",IFERROR(IF(VLOOKUP(VLOOKUP(A821,'Relatório GERAL'!$A:$T,$E$1,0),'Dados de consulta'!$A$2:$D$38,4,0)=0,"",VLOOKUP(VLOOKUP(A821,'Relatório GERAL'!$A:$T,$E$1,0),'Dados de consulta'!$A$2:$D$38,4,0)),""))</f>
        <v/>
      </c>
    </row>
    <row r="822" spans="1:4" ht="15" x14ac:dyDescent="0.2">
      <c r="A822" s="116">
        <f>'Relatório GERAL'!A822</f>
        <v>0</v>
      </c>
      <c r="B822" s="116">
        <f t="shared" si="23"/>
        <v>1</v>
      </c>
      <c r="C822" s="117">
        <f>'Relatório GERAL'!B822</f>
        <v>0</v>
      </c>
      <c r="D822" s="18" t="str">
        <f>IF(OR(C822="SÁB",C822="DOM"),"",IFERROR(IF(VLOOKUP(VLOOKUP(A822,'Relatório GERAL'!$A:$T,$E$1,0),'Dados de consulta'!$A$2:$D$38,4,0)=0,"",VLOOKUP(VLOOKUP(A822,'Relatório GERAL'!$A:$T,$E$1,0),'Dados de consulta'!$A$2:$D$38,4,0)),""))</f>
        <v/>
      </c>
    </row>
    <row r="823" spans="1:4" ht="15" x14ac:dyDescent="0.2">
      <c r="A823" s="116">
        <f>'Relatório GERAL'!A823</f>
        <v>0</v>
      </c>
      <c r="B823" s="116">
        <f t="shared" si="23"/>
        <v>1</v>
      </c>
      <c r="C823" s="117">
        <f>'Relatório GERAL'!B823</f>
        <v>0</v>
      </c>
      <c r="D823" s="18" t="str">
        <f>IF(OR(C823="SÁB",C823="DOM"),"",IFERROR(IF(VLOOKUP(VLOOKUP(A823,'Relatório GERAL'!$A:$T,$E$1,0),'Dados de consulta'!$A$2:$D$38,4,0)=0,"",VLOOKUP(VLOOKUP(A823,'Relatório GERAL'!$A:$T,$E$1,0),'Dados de consulta'!$A$2:$D$38,4,0)),""))</f>
        <v/>
      </c>
    </row>
    <row r="824" spans="1:4" ht="15" x14ac:dyDescent="0.2">
      <c r="A824" s="116">
        <f>'Relatório GERAL'!A824</f>
        <v>0</v>
      </c>
      <c r="B824" s="116">
        <f t="shared" si="23"/>
        <v>1</v>
      </c>
      <c r="C824" s="117">
        <f>'Relatório GERAL'!B824</f>
        <v>0</v>
      </c>
      <c r="D824" s="18" t="str">
        <f>IF(OR(C824="SÁB",C824="DOM"),"",IFERROR(IF(VLOOKUP(VLOOKUP(A824,'Relatório GERAL'!$A:$T,$E$1,0),'Dados de consulta'!$A$2:$D$38,4,0)=0,"",VLOOKUP(VLOOKUP(A824,'Relatório GERAL'!$A:$T,$E$1,0),'Dados de consulta'!$A$2:$D$38,4,0)),""))</f>
        <v/>
      </c>
    </row>
    <row r="825" spans="1:4" ht="15" x14ac:dyDescent="0.2">
      <c r="A825" s="116">
        <f>'Relatório GERAL'!A825</f>
        <v>0</v>
      </c>
      <c r="B825" s="116">
        <f t="shared" si="23"/>
        <v>1</v>
      </c>
      <c r="C825" s="117">
        <f>'Relatório GERAL'!B825</f>
        <v>0</v>
      </c>
      <c r="D825" s="18" t="str">
        <f>IF(OR(C825="SÁB",C825="DOM"),"",IFERROR(IF(VLOOKUP(VLOOKUP(A825,'Relatório GERAL'!$A:$T,$E$1,0),'Dados de consulta'!$A$2:$D$38,4,0)=0,"",VLOOKUP(VLOOKUP(A825,'Relatório GERAL'!$A:$T,$E$1,0),'Dados de consulta'!$A$2:$D$38,4,0)),""))</f>
        <v/>
      </c>
    </row>
    <row r="826" spans="1:4" ht="15" x14ac:dyDescent="0.2">
      <c r="A826" s="116">
        <f>'Relatório GERAL'!A826</f>
        <v>0</v>
      </c>
      <c r="B826" s="116">
        <f t="shared" si="23"/>
        <v>1</v>
      </c>
      <c r="C826" s="117">
        <f>'Relatório GERAL'!B826</f>
        <v>0</v>
      </c>
      <c r="D826" s="18" t="str">
        <f>IF(OR(C826="SÁB",C826="DOM"),"",IFERROR(IF(VLOOKUP(VLOOKUP(A826,'Relatório GERAL'!$A:$T,$E$1,0),'Dados de consulta'!$A$2:$D$38,4,0)=0,"",VLOOKUP(VLOOKUP(A826,'Relatório GERAL'!$A:$T,$E$1,0),'Dados de consulta'!$A$2:$D$38,4,0)),""))</f>
        <v/>
      </c>
    </row>
    <row r="827" spans="1:4" ht="15" x14ac:dyDescent="0.2">
      <c r="A827" s="116">
        <f>'Relatório GERAL'!A827</f>
        <v>0</v>
      </c>
      <c r="B827" s="116">
        <f t="shared" si="23"/>
        <v>1</v>
      </c>
      <c r="C827" s="117">
        <f>'Relatório GERAL'!B827</f>
        <v>0</v>
      </c>
      <c r="D827" s="18" t="str">
        <f>IF(OR(C827="SÁB",C827="DOM"),"",IFERROR(IF(VLOOKUP(VLOOKUP(A827,'Relatório GERAL'!$A:$T,$E$1,0),'Dados de consulta'!$A$2:$D$38,4,0)=0,"",VLOOKUP(VLOOKUP(A827,'Relatório GERAL'!$A:$T,$E$1,0),'Dados de consulta'!$A$2:$D$38,4,0)),""))</f>
        <v/>
      </c>
    </row>
    <row r="828" spans="1:4" ht="15" x14ac:dyDescent="0.2">
      <c r="A828" s="116">
        <f>'Relatório GERAL'!A828</f>
        <v>0</v>
      </c>
      <c r="B828" s="116">
        <f t="shared" si="23"/>
        <v>1</v>
      </c>
      <c r="C828" s="117">
        <f>'Relatório GERAL'!B828</f>
        <v>0</v>
      </c>
      <c r="D828" s="18" t="str">
        <f>IF(OR(C828="SÁB",C828="DOM"),"",IFERROR(IF(VLOOKUP(VLOOKUP(A828,'Relatório GERAL'!$A:$T,$E$1,0),'Dados de consulta'!$A$2:$D$38,4,0)=0,"",VLOOKUP(VLOOKUP(A828,'Relatório GERAL'!$A:$T,$E$1,0),'Dados de consulta'!$A$2:$D$38,4,0)),""))</f>
        <v/>
      </c>
    </row>
    <row r="829" spans="1:4" ht="15" x14ac:dyDescent="0.2">
      <c r="A829" s="116">
        <f>'Relatório GERAL'!A829</f>
        <v>0</v>
      </c>
      <c r="B829" s="116">
        <f t="shared" si="23"/>
        <v>1</v>
      </c>
      <c r="C829" s="117">
        <f>'Relatório GERAL'!B829</f>
        <v>0</v>
      </c>
      <c r="D829" s="18" t="str">
        <f>IF(OR(C829="SÁB",C829="DOM"),"",IFERROR(IF(VLOOKUP(VLOOKUP(A829,'Relatório GERAL'!$A:$T,$E$1,0),'Dados de consulta'!$A$2:$D$38,4,0)=0,"",VLOOKUP(VLOOKUP(A829,'Relatório GERAL'!$A:$T,$E$1,0),'Dados de consulta'!$A$2:$D$38,4,0)),""))</f>
        <v/>
      </c>
    </row>
    <row r="830" spans="1:4" ht="15" x14ac:dyDescent="0.2">
      <c r="A830" s="116">
        <f>'Relatório GERAL'!A830</f>
        <v>0</v>
      </c>
      <c r="B830" s="116">
        <f t="shared" si="23"/>
        <v>1</v>
      </c>
      <c r="C830" s="117">
        <f>'Relatório GERAL'!B830</f>
        <v>0</v>
      </c>
      <c r="D830" s="18" t="str">
        <f>IF(OR(C830="SÁB",C830="DOM"),"",IFERROR(IF(VLOOKUP(VLOOKUP(A830,'Relatório GERAL'!$A:$T,$E$1,0),'Dados de consulta'!$A$2:$D$38,4,0)=0,"",VLOOKUP(VLOOKUP(A830,'Relatório GERAL'!$A:$T,$E$1,0),'Dados de consulta'!$A$2:$D$38,4,0)),""))</f>
        <v/>
      </c>
    </row>
    <row r="831" spans="1:4" ht="15" x14ac:dyDescent="0.2">
      <c r="A831" s="116">
        <f>'Relatório GERAL'!A831</f>
        <v>0</v>
      </c>
      <c r="B831" s="116">
        <f t="shared" si="23"/>
        <v>1</v>
      </c>
      <c r="C831" s="117">
        <f>'Relatório GERAL'!B831</f>
        <v>0</v>
      </c>
      <c r="D831" s="18" t="str">
        <f>IF(OR(C831="SÁB",C831="DOM"),"",IFERROR(IF(VLOOKUP(VLOOKUP(A831,'Relatório GERAL'!$A:$T,$E$1,0),'Dados de consulta'!$A$2:$D$38,4,0)=0,"",VLOOKUP(VLOOKUP(A831,'Relatório GERAL'!$A:$T,$E$1,0),'Dados de consulta'!$A$2:$D$38,4,0)),""))</f>
        <v/>
      </c>
    </row>
    <row r="832" spans="1:4" ht="15" x14ac:dyDescent="0.2">
      <c r="A832" s="116">
        <f>'Relatório GERAL'!A832</f>
        <v>0</v>
      </c>
      <c r="B832" s="116">
        <f t="shared" si="23"/>
        <v>1</v>
      </c>
      <c r="C832" s="117">
        <f>'Relatório GERAL'!B832</f>
        <v>0</v>
      </c>
      <c r="D832" s="18" t="str">
        <f>IF(OR(C832="SÁB",C832="DOM"),"",IFERROR(IF(VLOOKUP(VLOOKUP(A832,'Relatório GERAL'!$A:$T,$E$1,0),'Dados de consulta'!$A$2:$D$38,4,0)=0,"",VLOOKUP(VLOOKUP(A832,'Relatório GERAL'!$A:$T,$E$1,0),'Dados de consulta'!$A$2:$D$38,4,0)),""))</f>
        <v/>
      </c>
    </row>
    <row r="833" spans="1:4" ht="15" x14ac:dyDescent="0.2">
      <c r="A833" s="116">
        <f>'Relatório GERAL'!A833</f>
        <v>0</v>
      </c>
      <c r="B833" s="116">
        <f t="shared" si="23"/>
        <v>1</v>
      </c>
      <c r="C833" s="117">
        <f>'Relatório GERAL'!B833</f>
        <v>0</v>
      </c>
      <c r="D833" s="18" t="str">
        <f>IF(OR(C833="SÁB",C833="DOM"),"",IFERROR(IF(VLOOKUP(VLOOKUP(A833,'Relatório GERAL'!$A:$T,$E$1,0),'Dados de consulta'!$A$2:$D$38,4,0)=0,"",VLOOKUP(VLOOKUP(A833,'Relatório GERAL'!$A:$T,$E$1,0),'Dados de consulta'!$A$2:$D$38,4,0)),""))</f>
        <v/>
      </c>
    </row>
    <row r="834" spans="1:4" ht="15" x14ac:dyDescent="0.2">
      <c r="A834" s="116">
        <f>'Relatório GERAL'!A834</f>
        <v>0</v>
      </c>
      <c r="B834" s="116">
        <f t="shared" si="23"/>
        <v>1</v>
      </c>
      <c r="C834" s="117">
        <f>'Relatório GERAL'!B834</f>
        <v>0</v>
      </c>
      <c r="D834" s="18" t="str">
        <f>IF(OR(C834="SÁB",C834="DOM"),"",IFERROR(IF(VLOOKUP(VLOOKUP(A834,'Relatório GERAL'!$A:$T,$E$1,0),'Dados de consulta'!$A$2:$D$38,4,0)=0,"",VLOOKUP(VLOOKUP(A834,'Relatório GERAL'!$A:$T,$E$1,0),'Dados de consulta'!$A$2:$D$38,4,0)),""))</f>
        <v/>
      </c>
    </row>
    <row r="835" spans="1:4" ht="15" x14ac:dyDescent="0.2">
      <c r="A835" s="116">
        <f>'Relatório GERAL'!A835</f>
        <v>0</v>
      </c>
      <c r="B835" s="116">
        <f t="shared" si="23"/>
        <v>1</v>
      </c>
      <c r="C835" s="117">
        <f>'Relatório GERAL'!B835</f>
        <v>0</v>
      </c>
      <c r="D835" s="18" t="str">
        <f>IF(OR(C835="SÁB",C835="DOM"),"",IFERROR(IF(VLOOKUP(VLOOKUP(A835,'Relatório GERAL'!$A:$T,$E$1,0),'Dados de consulta'!$A$2:$D$38,4,0)=0,"",VLOOKUP(VLOOKUP(A835,'Relatório GERAL'!$A:$T,$E$1,0),'Dados de consulta'!$A$2:$D$38,4,0)),""))</f>
        <v/>
      </c>
    </row>
    <row r="836" spans="1:4" ht="15" x14ac:dyDescent="0.2">
      <c r="A836" s="116">
        <f>'Relatório GERAL'!A836</f>
        <v>0</v>
      </c>
      <c r="B836" s="116">
        <f t="shared" si="23"/>
        <v>1</v>
      </c>
      <c r="C836" s="117">
        <f>'Relatório GERAL'!B836</f>
        <v>0</v>
      </c>
      <c r="D836" s="18" t="str">
        <f>IF(OR(C836="SÁB",C836="DOM"),"",IFERROR(IF(VLOOKUP(VLOOKUP(A836,'Relatório GERAL'!$A:$T,$E$1,0),'Dados de consulta'!$A$2:$D$38,4,0)=0,"",VLOOKUP(VLOOKUP(A836,'Relatório GERAL'!$A:$T,$E$1,0),'Dados de consulta'!$A$2:$D$38,4,0)),""))</f>
        <v/>
      </c>
    </row>
    <row r="837" spans="1:4" ht="15" x14ac:dyDescent="0.2">
      <c r="A837" s="116">
        <f>'Relatório GERAL'!A837</f>
        <v>0</v>
      </c>
      <c r="B837" s="116">
        <f t="shared" si="23"/>
        <v>1</v>
      </c>
      <c r="C837" s="117">
        <f>'Relatório GERAL'!B837</f>
        <v>0</v>
      </c>
      <c r="D837" s="18" t="str">
        <f>IF(OR(C837="SÁB",C837="DOM"),"",IFERROR(IF(VLOOKUP(VLOOKUP(A837,'Relatório GERAL'!$A:$T,$E$1,0),'Dados de consulta'!$A$2:$D$38,4,0)=0,"",VLOOKUP(VLOOKUP(A837,'Relatório GERAL'!$A:$T,$E$1,0),'Dados de consulta'!$A$2:$D$38,4,0)),""))</f>
        <v/>
      </c>
    </row>
    <row r="838" spans="1:4" ht="15" x14ac:dyDescent="0.2">
      <c r="A838" s="116">
        <f>'Relatório GERAL'!A838</f>
        <v>0</v>
      </c>
      <c r="B838" s="116">
        <f t="shared" si="23"/>
        <v>1</v>
      </c>
      <c r="C838" s="117">
        <f>'Relatório GERAL'!B838</f>
        <v>0</v>
      </c>
      <c r="D838" s="18" t="str">
        <f>IF(OR(C838="SÁB",C838="DOM"),"",IFERROR(IF(VLOOKUP(VLOOKUP(A838,'Relatório GERAL'!$A:$T,$E$1,0),'Dados de consulta'!$A$2:$D$38,4,0)=0,"",VLOOKUP(VLOOKUP(A838,'Relatório GERAL'!$A:$T,$E$1,0),'Dados de consulta'!$A$2:$D$38,4,0)),""))</f>
        <v/>
      </c>
    </row>
    <row r="839" spans="1:4" ht="15" x14ac:dyDescent="0.2">
      <c r="A839" s="116">
        <f>'Relatório GERAL'!A839</f>
        <v>0</v>
      </c>
      <c r="B839" s="116">
        <f t="shared" si="23"/>
        <v>1</v>
      </c>
      <c r="C839" s="117">
        <f>'Relatório GERAL'!B839</f>
        <v>0</v>
      </c>
      <c r="D839" s="18" t="str">
        <f>IF(OR(C839="SÁB",C839="DOM"),"",IFERROR(IF(VLOOKUP(VLOOKUP(A839,'Relatório GERAL'!$A:$T,$E$1,0),'Dados de consulta'!$A$2:$D$38,4,0)=0,"",VLOOKUP(VLOOKUP(A839,'Relatório GERAL'!$A:$T,$E$1,0),'Dados de consulta'!$A$2:$D$38,4,0)),""))</f>
        <v/>
      </c>
    </row>
    <row r="840" spans="1:4" ht="15" x14ac:dyDescent="0.2">
      <c r="A840" s="116">
        <f>'Relatório GERAL'!A840</f>
        <v>0</v>
      </c>
      <c r="B840" s="116">
        <f t="shared" si="23"/>
        <v>1</v>
      </c>
      <c r="C840" s="117">
        <f>'Relatório GERAL'!B840</f>
        <v>0</v>
      </c>
      <c r="D840" s="18" t="str">
        <f>IF(OR(C840="SÁB",C840="DOM"),"",IFERROR(IF(VLOOKUP(VLOOKUP(A840,'Relatório GERAL'!$A:$T,$E$1,0),'Dados de consulta'!$A$2:$D$38,4,0)=0,"",VLOOKUP(VLOOKUP(A840,'Relatório GERAL'!$A:$T,$E$1,0),'Dados de consulta'!$A$2:$D$38,4,0)),""))</f>
        <v/>
      </c>
    </row>
  </sheetData>
  <customSheetViews>
    <customSheetView guid="{FC643F0B-3E44-4304-9C6C-EBD35A45B8FD}" state="hidden">
      <pageMargins left="0" right="0" top="0" bottom="0" header="0" footer="0"/>
      <pageSetup paperSize="9" orientation="portrait" r:id="rId1"/>
    </customSheetView>
    <customSheetView guid="{ECC56881-4CE2-4FBF-815D-85F544F885E8}" state="hidden">
      <pageMargins left="0" right="0" top="0" bottom="0" header="0" footer="0"/>
      <pageSetup paperSize="9" orientation="portrait" r:id="rId2"/>
    </customSheetView>
    <customSheetView guid="{40F11FFD-627B-4157-AFFE-E57E44CED524}" state="hidden">
      <pageMargins left="0" right="0" top="0" bottom="0" header="0" footer="0"/>
      <pageSetup paperSize="9" orientation="portrait" r:id="rId3"/>
    </customSheetView>
  </customSheetViews>
  <dataValidations disablePrompts="1" count="1">
    <dataValidation allowBlank="1" showInputMessage="1" showErrorMessage="1" errorTitle="Número incorreto" error="Favor verificar o número correto da occorência!" promptTitle="Instrução!" prompt="Consultar o número da ocorrência!" sqref="D2:D840" xr:uid="{00000000-0002-0000-0200-000000000000}"/>
  </dataValidation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>
    <tabColor theme="1" tint="0.249977111117893"/>
    <pageSetUpPr fitToPage="1"/>
  </sheetPr>
  <dimension ref="D1:S32"/>
  <sheetViews>
    <sheetView showGridLines="0" zoomScale="70" zoomScaleNormal="70" workbookViewId="0">
      <selection activeCell="P1" sqref="P1:Q1"/>
    </sheetView>
  </sheetViews>
  <sheetFormatPr defaultRowHeight="12.75" x14ac:dyDescent="0.2"/>
  <cols>
    <col min="1" max="1" width="1.85546875" customWidth="1"/>
    <col min="16" max="16" width="14.85546875" bestFit="1" customWidth="1"/>
  </cols>
  <sheetData>
    <row r="1" spans="8:19" ht="18.75" x14ac:dyDescent="0.2">
      <c r="H1" s="249" t="s">
        <v>92</v>
      </c>
      <c r="I1" s="249"/>
      <c r="J1" s="250">
        <v>2015</v>
      </c>
      <c r="K1" s="250"/>
      <c r="L1" s="249" t="s">
        <v>93</v>
      </c>
      <c r="M1" s="249"/>
      <c r="N1" s="250" t="s">
        <v>33</v>
      </c>
      <c r="O1" s="250"/>
      <c r="P1" s="251">
        <v>1</v>
      </c>
      <c r="Q1" s="252"/>
      <c r="R1" s="74"/>
      <c r="S1" s="74"/>
    </row>
    <row r="2" spans="8:19" x14ac:dyDescent="0.2">
      <c r="Q2" s="74"/>
      <c r="R2" s="74"/>
      <c r="S2" s="74"/>
    </row>
    <row r="3" spans="8:19" x14ac:dyDescent="0.2">
      <c r="Q3" s="74"/>
      <c r="R3" s="74"/>
      <c r="S3" s="74"/>
    </row>
    <row r="4" spans="8:19" x14ac:dyDescent="0.2">
      <c r="Q4" s="74"/>
      <c r="R4" s="74"/>
      <c r="S4" s="74"/>
    </row>
    <row r="5" spans="8:19" x14ac:dyDescent="0.2">
      <c r="Q5" s="74"/>
      <c r="R5" s="74"/>
      <c r="S5" s="74"/>
    </row>
    <row r="6" spans="8:19" ht="22.5" customHeight="1" x14ac:dyDescent="0.2"/>
    <row r="29" spans="4:15" x14ac:dyDescent="0.2"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</row>
    <row r="30" spans="4:15" x14ac:dyDescent="0.2">
      <c r="D30" s="101"/>
      <c r="E30" s="246"/>
      <c r="F30" s="247"/>
      <c r="G30" s="101"/>
      <c r="H30" s="246"/>
      <c r="I30" s="247"/>
      <c r="J30" s="101"/>
      <c r="K30" s="246"/>
      <c r="L30" s="247"/>
      <c r="M30" s="101"/>
      <c r="N30" s="246"/>
      <c r="O30" s="247"/>
    </row>
    <row r="31" spans="4:15" x14ac:dyDescent="0.2">
      <c r="D31" s="101"/>
      <c r="E31" s="246"/>
      <c r="F31" s="247"/>
      <c r="G31" s="101"/>
      <c r="H31" s="246"/>
      <c r="I31" s="247"/>
      <c r="J31" s="101"/>
      <c r="K31" s="246"/>
      <c r="L31" s="247"/>
      <c r="M31" s="101"/>
      <c r="N31" s="246"/>
      <c r="O31" s="247"/>
    </row>
    <row r="32" spans="4:15" x14ac:dyDescent="0.2">
      <c r="D32" s="101"/>
      <c r="E32" s="246"/>
      <c r="F32" s="247"/>
      <c r="G32" s="101"/>
      <c r="H32" s="246"/>
      <c r="I32" s="247"/>
      <c r="J32" s="101"/>
      <c r="K32" s="246"/>
      <c r="L32" s="247"/>
      <c r="M32" s="101"/>
      <c r="N32" s="246"/>
      <c r="O32" s="247"/>
    </row>
  </sheetData>
  <sheetProtection selectLockedCells="1"/>
  <customSheetViews>
    <customSheetView guid="{FC643F0B-3E44-4304-9C6C-EBD35A45B8FD}" showGridLines="0" fitToPage="1">
      <selection activeCell="X25" sqref="X25"/>
      <pageMargins left="0" right="0" top="0" bottom="0" header="0" footer="0"/>
      <pageSetup paperSize="9" scale="79" orientation="landscape" horizontalDpi="4294967294" verticalDpi="4294967294" r:id="rId1"/>
    </customSheetView>
    <customSheetView guid="{ECC56881-4CE2-4FBF-815D-85F544F885E8}" showGridLines="0" fitToPage="1">
      <selection activeCell="H1" sqref="H1:Q1"/>
      <pageMargins left="0" right="0" top="0" bottom="0" header="0" footer="0"/>
      <pageSetup paperSize="9" scale="79" orientation="landscape" horizontalDpi="4294967294" verticalDpi="4294967294" r:id="rId2"/>
    </customSheetView>
    <customSheetView guid="{40F11FFD-627B-4157-AFFE-E57E44CED524}" showGridLines="0" fitToPage="1">
      <selection activeCell="X25" sqref="X25"/>
      <pageMargins left="0" right="0" top="0" bottom="0" header="0" footer="0"/>
      <pageSetup paperSize="9" scale="79" orientation="landscape" horizontalDpi="4294967294" verticalDpi="4294967294" r:id="rId3"/>
    </customSheetView>
  </customSheetViews>
  <mergeCells count="18">
    <mergeCell ref="L1:M1"/>
    <mergeCell ref="N1:O1"/>
    <mergeCell ref="P1:Q1"/>
    <mergeCell ref="H1:I1"/>
    <mergeCell ref="J1:K1"/>
    <mergeCell ref="D29:O29"/>
    <mergeCell ref="E30:F30"/>
    <mergeCell ref="H30:I30"/>
    <mergeCell ref="K30:L30"/>
    <mergeCell ref="N30:O30"/>
    <mergeCell ref="E31:F31"/>
    <mergeCell ref="H31:I31"/>
    <mergeCell ref="K31:L31"/>
    <mergeCell ref="N31:O31"/>
    <mergeCell ref="E32:F32"/>
    <mergeCell ref="H32:I32"/>
    <mergeCell ref="K32:L32"/>
    <mergeCell ref="N32:O32"/>
  </mergeCells>
  <dataValidations count="1">
    <dataValidation type="whole" operator="greaterThanOrEqual" allowBlank="1" showInputMessage="1" showErrorMessage="1" sqref="J1:K1" xr:uid="{00000000-0002-0000-0300-000000000000}">
      <formula1>2015</formula1>
    </dataValidation>
  </dataValidations>
  <pageMargins left="0.51181102362204722" right="0.51181102362204722" top="0.78740157480314965" bottom="0.78740157480314965" header="0.31496062992125984" footer="0.31496062992125984"/>
  <pageSetup paperSize="9" scale="79" orientation="landscape" horizontalDpi="4294967294" verticalDpi="4294967294" r:id="rId4"/>
  <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'Dados Dinamicos'!$A$1:$A$12</xm:f>
          </x14:formula1>
          <xm:sqref>N1:O1</xm:sqref>
        </x14:dataValidation>
        <x14:dataValidation type="list" allowBlank="1" showInputMessage="1" showErrorMessage="1" xr:uid="{00000000-0002-0000-0300-000002000000}">
          <x14:formula1>
            <xm:f>'Relatório GERAL'!$C$1:$S$1</xm:f>
          </x14:formula1>
          <xm:sqref>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8"/>
  <dimension ref="A1:Q428"/>
  <sheetViews>
    <sheetView workbookViewId="0">
      <selection activeCell="J3" sqref="J3"/>
    </sheetView>
  </sheetViews>
  <sheetFormatPr defaultRowHeight="12.75" x14ac:dyDescent="0.2"/>
  <cols>
    <col min="1" max="1" width="15.7109375" bestFit="1" customWidth="1"/>
    <col min="2" max="2" width="14" bestFit="1" customWidth="1"/>
    <col min="4" max="4" width="14.85546875" bestFit="1" customWidth="1"/>
    <col min="5" max="5" width="11.85546875" bestFit="1" customWidth="1"/>
    <col min="6" max="6" width="8.140625" bestFit="1" customWidth="1"/>
    <col min="7" max="7" width="19.7109375" bestFit="1" customWidth="1"/>
    <col min="8" max="8" width="18.7109375" bestFit="1" customWidth="1"/>
    <col min="9" max="9" width="14.7109375" bestFit="1" customWidth="1"/>
    <col min="10" max="10" width="14.7109375" customWidth="1"/>
    <col min="11" max="12" width="9.140625" customWidth="1"/>
    <col min="13" max="14" width="9.140625" hidden="1" customWidth="1"/>
    <col min="15" max="15" width="10.28515625" hidden="1" customWidth="1"/>
    <col min="16" max="17" width="9.140625" hidden="1" customWidth="1"/>
  </cols>
  <sheetData>
    <row r="1" spans="1:16" x14ac:dyDescent="0.2">
      <c r="L1" s="27">
        <v>42125</v>
      </c>
    </row>
    <row r="2" spans="1:16" ht="18.75" x14ac:dyDescent="0.2">
      <c r="A2" s="88" t="s">
        <v>75</v>
      </c>
      <c r="B2" s="87" t="str">
        <f>MESGRAFTOT</f>
        <v>AGOSTO</v>
      </c>
      <c r="E2" s="67" t="s">
        <v>58</v>
      </c>
      <c r="F2" s="68" t="s">
        <v>95</v>
      </c>
      <c r="G2" s="69" t="s">
        <v>60</v>
      </c>
      <c r="H2" s="70" t="s">
        <v>61</v>
      </c>
      <c r="I2" s="73" t="s">
        <v>62</v>
      </c>
      <c r="J2" s="94" t="s">
        <v>96</v>
      </c>
      <c r="L2" s="27">
        <v>42156</v>
      </c>
    </row>
    <row r="3" spans="1:16" ht="18.75" x14ac:dyDescent="0.2">
      <c r="A3" s="88" t="s">
        <v>76</v>
      </c>
      <c r="B3" s="87">
        <f>ANOGRAFTOT</f>
        <v>2015</v>
      </c>
      <c r="D3" s="71">
        <f>VLOOKUP(DATE($B$3,VLOOKUP($B$2,'Dados Dinamicos'!$A$1:$B$12,2,0),1),L:L,1,0)</f>
        <v>42217</v>
      </c>
      <c r="E3" s="80">
        <f>SUMIFS('Relatório GERAL'!$AG:$AG,'Relatório GERAL'!$A:$A,"&gt;="&amp;D3,'Relatório GERAL'!$A:$A,"&lt;="&amp;D4)</f>
        <v>468</v>
      </c>
      <c r="F3" s="80">
        <f>SUMIFS('Relatório GERAL'!$AH:$AH,'Relatório GERAL'!$A:$A,"&gt;="&amp;D3,'Relatório GERAL'!$A:$A,"&lt;="&amp;D4)</f>
        <v>352</v>
      </c>
      <c r="G3" s="80">
        <f>SUMIFS('Relatório GERAL'!$AI:$AI,'Relatório GERAL'!$A:$A,"&gt;="&amp;D3,'Relatório GERAL'!$A:$A,"&lt;="&amp;D4)</f>
        <v>0</v>
      </c>
      <c r="H3" s="80">
        <f>SUMIFS('Relatório GERAL'!$AJ:$AJ,'Relatório GERAL'!$A:$A,"&gt;="&amp;D3,'Relatório GERAL'!$A:$A,"&lt;="&amp;D4)</f>
        <v>192</v>
      </c>
      <c r="I3" s="80">
        <f>SUMIFS('Relatório GERAL'!$BR:$BR,'Relatório GERAL'!$AX:$AX,"&gt;="&amp;D3,'Relatório GERAL'!$AX:$AX,"&lt;"&amp;D4)</f>
        <v>1830</v>
      </c>
      <c r="J3" s="93">
        <f>SUMIFS('Relatório GERAL'!BS:BS,'Relatório GERAL'!AX:AX,"&gt;="&amp;D3,'Relatório GERAL'!AX:AX,"&lt;"&amp;D4)+SUMIFS('Relatório Extra'!W:W,'Relatório Extra'!A:A,"&gt;="&amp;D3,'Relatório Extra'!A:A,"&lt;"&amp;D4)</f>
        <v>2814</v>
      </c>
      <c r="K3" s="78">
        <f>NETWORKDAYS(D3,D4-1,'Dados Dinamicos'!$W$2:$W$29)</f>
        <v>21</v>
      </c>
      <c r="L3" s="27">
        <v>42186</v>
      </c>
      <c r="N3" s="78">
        <f>MONTH(D3)</f>
        <v>8</v>
      </c>
      <c r="O3" s="78" t="str">
        <f>IF(N3=1,"JANEIRO",IF(N3=2,"FEVEREIRO",IF(N3=3,"MARÇO",IF(N3=4,"ABRIL",IF(N3=5,"MAIO",IF(N3=6,"JUNHO",IF(N3=7,"JULHO",IF(N3=8,"AGOSTO",IF(N3=9,"SETEMBRO",IF(N3=10,"OUTUBRO",IF(N3=11,"NOVEMBRO",IF(N3=12,"DEZEMBRO",""))))))))))))</f>
        <v>AGOSTO</v>
      </c>
      <c r="P3" s="78">
        <f>YEAR(D3)</f>
        <v>2015</v>
      </c>
    </row>
    <row r="4" spans="1:16" x14ac:dyDescent="0.2">
      <c r="D4" s="71">
        <f>VLOOKUP(DATE($B$3,VLOOKUP($B$2,'Dados Dinamicos'!$A$1:$B$12,2,0)+1,1),L:L,1,0)</f>
        <v>42248</v>
      </c>
      <c r="E4" s="80">
        <f>SUMIFS('Relatório GERAL'!$AG:$AG,'Relatório GERAL'!$A:$A,"&gt;="&amp;D4,'Relatório GERAL'!$A:$A,"&lt;="&amp;D5)</f>
        <v>380</v>
      </c>
      <c r="F4" s="80">
        <f>SUMIFS('Relatório GERAL'!$AH:$AH,'Relatório GERAL'!$A:$A,"&gt;="&amp;D4,'Relatório GERAL'!$A:$A,"&lt;="&amp;D5)</f>
        <v>336</v>
      </c>
      <c r="G4" s="80">
        <f>SUMIFS('Relatório GERAL'!$AI:$AI,'Relatório GERAL'!$A:$A,"&gt;="&amp;D4,'Relatório GERAL'!$A:$A,"&lt;="&amp;D5)</f>
        <v>16</v>
      </c>
      <c r="H4" s="80">
        <f>SUMIFS('Relatório GERAL'!$AJ:$AJ,'Relatório GERAL'!$A:$A,"&gt;="&amp;D4,'Relatório GERAL'!$A:$A,"&lt;="&amp;D5)</f>
        <v>262</v>
      </c>
      <c r="I4" s="80">
        <f>SUMIFS('Relatório GERAL'!$BR:$BR,'Relatório GERAL'!$AX:$AX,"&gt;="&amp;D4,'Relatório GERAL'!$AX:$AX,"&lt;"&amp;D5)</f>
        <v>1828</v>
      </c>
      <c r="J4" s="93">
        <f>SUMIFS('Relatório GERAL'!BS:BS,'Relatório GERAL'!AX:AX,"&gt;="&amp;D4,'Relatório GERAL'!AX:AX,"&lt;"&amp;D5)+SUMIFS('Relatório Extra'!W:W,'Relatório Extra'!A:A,"&gt;="&amp;D4,'Relatório Extra'!A:A,"&lt;"&amp;D5)</f>
        <v>2980</v>
      </c>
      <c r="K4" s="78">
        <f>NETWORKDAYS(D4,D5-1,'Dados Dinamicos'!$W$2:$W$29)</f>
        <v>21</v>
      </c>
      <c r="L4" s="27">
        <v>42217</v>
      </c>
      <c r="N4" s="78">
        <f t="shared" ref="N4:N14" si="0">MONTH(D4)</f>
        <v>9</v>
      </c>
      <c r="O4" s="78" t="str">
        <f t="shared" ref="O4:O14" si="1">IF(N4=1,"JANEIRO",IF(N4=2,"FEVEREIRO",IF(N4=3,"MARÇO",IF(N4=4,"ABRIL",IF(N4=5,"MAIO",IF(N4=6,"JUNHO",IF(N4=7,"JULHO",IF(N4=8,"AGOSTO",IF(N4=9,"SETEMBRO",IF(N4=10,"OUTUBRO",IF(N4=11,"NOVEMBRO",IF(N4=12,"DEZEMBRO",""))))))))))))</f>
        <v>SETEMBRO</v>
      </c>
      <c r="P4" s="78">
        <f t="shared" ref="P4:P14" si="2">YEAR(D4)</f>
        <v>2015</v>
      </c>
    </row>
    <row r="5" spans="1:16" x14ac:dyDescent="0.2">
      <c r="D5" s="71">
        <f>VLOOKUP(DATE($B$3,VLOOKUP($B$2,'Dados Dinamicos'!$A$1:$B$12,2,0)+2,1),L:L,1,0)</f>
        <v>42278</v>
      </c>
      <c r="E5" s="80">
        <f>SUMIFS('Relatório GERAL'!$AG:$AG,'Relatório GERAL'!$A:$A,"&gt;="&amp;D5,'Relatório GERAL'!$A:$A,"&lt;="&amp;D6)</f>
        <v>236</v>
      </c>
      <c r="F5" s="80">
        <f>SUMIFS('Relatório GERAL'!$AH:$AH,'Relatório GERAL'!$A:$A,"&gt;="&amp;D5,'Relatório GERAL'!$A:$A,"&lt;="&amp;D6)</f>
        <v>152</v>
      </c>
      <c r="G5" s="80">
        <f>SUMIFS('Relatório GERAL'!$AI:$AI,'Relatório GERAL'!$A:$A,"&gt;="&amp;D5,'Relatório GERAL'!$A:$A,"&lt;="&amp;D6)</f>
        <v>32</v>
      </c>
      <c r="H5" s="80">
        <f>SUMIFS('Relatório GERAL'!$AJ:$AJ,'Relatório GERAL'!$A:$A,"&gt;="&amp;D5,'Relatório GERAL'!$A:$A,"&lt;="&amp;D6)</f>
        <v>190</v>
      </c>
      <c r="I5" s="80">
        <f>SUMIFS('Relatório GERAL'!$BR:$BR,'Relatório GERAL'!$AX:$AX,"&gt;="&amp;D5,'Relatório GERAL'!$AX:$AX,"&lt;"&amp;D6)</f>
        <v>2204</v>
      </c>
      <c r="J5" s="93">
        <f>SUMIFS('Relatório GERAL'!BS:BS,'Relatório GERAL'!AX:AX,"&gt;="&amp;D5,'Relatório GERAL'!AX:AX,"&lt;"&amp;D6)+SUMIFS('Relatório Extra'!W:W,'Relatório Extra'!A:A,"&gt;="&amp;D5,'Relatório Extra'!A:A,"&lt;"&amp;D6)</f>
        <v>3058</v>
      </c>
      <c r="K5" s="78">
        <f>NETWORKDAYS(D5,D6-1,'Dados Dinamicos'!$W$2:$W$29)</f>
        <v>21</v>
      </c>
      <c r="L5" s="27">
        <v>42248</v>
      </c>
      <c r="N5" s="78">
        <f t="shared" si="0"/>
        <v>10</v>
      </c>
      <c r="O5" s="78" t="str">
        <f t="shared" si="1"/>
        <v>OUTUBRO</v>
      </c>
      <c r="P5" s="78">
        <f t="shared" si="2"/>
        <v>2015</v>
      </c>
    </row>
    <row r="6" spans="1:16" x14ac:dyDescent="0.2">
      <c r="D6" s="71">
        <f>VLOOKUP(DATE($B$3,VLOOKUP($B$2,'Dados Dinamicos'!$A$1:$B$12,2,0)+3,1),L:L,1,0)</f>
        <v>42309</v>
      </c>
      <c r="E6" s="80">
        <f>SUMIFS('Relatório GERAL'!$AG:$AG,'Relatório GERAL'!$A:$A,"&gt;="&amp;D6,'Relatório GERAL'!$A:$A,"&lt;="&amp;D7)</f>
        <v>180</v>
      </c>
      <c r="F6" s="80">
        <f>SUMIFS('Relatório GERAL'!$AH:$AH,'Relatório GERAL'!$A:$A,"&gt;="&amp;D6,'Relatório GERAL'!$A:$A,"&lt;="&amp;D7)</f>
        <v>56</v>
      </c>
      <c r="G6" s="80">
        <f>SUMIFS('Relatório GERAL'!$AI:$AI,'Relatório GERAL'!$A:$A,"&gt;="&amp;D6,'Relatório GERAL'!$A:$A,"&lt;="&amp;D7)</f>
        <v>36</v>
      </c>
      <c r="H6" s="80">
        <f>SUMIFS('Relatório GERAL'!$AJ:$AJ,'Relatório GERAL'!$A:$A,"&gt;="&amp;D6,'Relatório GERAL'!$A:$A,"&lt;="&amp;D7)</f>
        <v>0</v>
      </c>
      <c r="I6" s="80">
        <f>SUMIFS('Relatório GERAL'!$BR:$BR,'Relatório GERAL'!$AX:$AX,"&gt;="&amp;D6,'Relatório GERAL'!$AX:$AX,"&lt;"&amp;D7)</f>
        <v>2286</v>
      </c>
      <c r="J6" s="93">
        <f>SUMIFS('Relatório GERAL'!BS:BS,'Relatório GERAL'!AX:AX,"&gt;="&amp;D6,'Relatório GERAL'!AX:AX,"&lt;"&amp;D7)+SUMIFS('Relatório Extra'!W:W,'Relatório Extra'!A:A,"&gt;="&amp;D6,'Relatório Extra'!A:A,"&lt;"&amp;D7)</f>
        <v>3004</v>
      </c>
      <c r="K6" s="78">
        <f>NETWORKDAYS(D6,D7-1,'Dados Dinamicos'!$W$2:$W$29)</f>
        <v>19</v>
      </c>
      <c r="L6" s="27">
        <v>42278</v>
      </c>
      <c r="N6" s="78">
        <f t="shared" si="0"/>
        <v>11</v>
      </c>
      <c r="O6" s="78" t="str">
        <f t="shared" si="1"/>
        <v>NOVEMBRO</v>
      </c>
      <c r="P6" s="78">
        <f t="shared" si="2"/>
        <v>2015</v>
      </c>
    </row>
    <row r="7" spans="1:16" x14ac:dyDescent="0.2">
      <c r="D7" s="71">
        <f>VLOOKUP(DATE($B$3,VLOOKUP($B$2,'Dados Dinamicos'!$A$1:$B$12,2,0)+4,1),L:L,1,0)</f>
        <v>42339</v>
      </c>
      <c r="E7" s="80">
        <f>SUMIFS('Relatório GERAL'!$AG:$AG,'Relatório GERAL'!$A:$A,"&gt;="&amp;D7,'Relatório GERAL'!$A:$A,"&lt;="&amp;D8)</f>
        <v>28</v>
      </c>
      <c r="F7" s="80">
        <f>SUMIFS('Relatório GERAL'!$AH:$AH,'Relatório GERAL'!$A:$A,"&gt;="&amp;D7,'Relatório GERAL'!$A:$A,"&lt;="&amp;D8)</f>
        <v>704</v>
      </c>
      <c r="G7" s="80">
        <f>SUMIFS('Relatório GERAL'!$AI:$AI,'Relatório GERAL'!$A:$A,"&gt;="&amp;D7,'Relatório GERAL'!$A:$A,"&lt;="&amp;D8)</f>
        <v>28</v>
      </c>
      <c r="H7" s="80">
        <f>SUMIFS('Relatório GERAL'!$AJ:$AJ,'Relatório GERAL'!$A:$A,"&gt;="&amp;D7,'Relatório GERAL'!$A:$A,"&lt;="&amp;D8)</f>
        <v>0</v>
      </c>
      <c r="I7" s="80">
        <f>SUMIFS('Relatório GERAL'!$BR:$BR,'Relatório GERAL'!$AX:$AX,"&gt;="&amp;D7,'Relatório GERAL'!$AX:$AX,"&lt;"&amp;D8)</f>
        <v>2188</v>
      </c>
      <c r="J7" s="93">
        <f>SUMIFS('Relatório GERAL'!BS:BS,'Relatório GERAL'!AX:AX,"&gt;="&amp;D7,'Relatório GERAL'!AX:AX,"&lt;"&amp;D8)+SUMIFS('Relatório Extra'!W:W,'Relatório Extra'!A:A,"&gt;="&amp;D7,'Relatório Extra'!A:A,"&lt;"&amp;D8)</f>
        <v>2900</v>
      </c>
      <c r="K7" s="78">
        <f>NETWORKDAYS(D7,D8-1,'Dados Dinamicos'!$W$2:$W$29)</f>
        <v>22</v>
      </c>
      <c r="L7" s="27">
        <v>42309</v>
      </c>
      <c r="N7" s="78">
        <f t="shared" si="0"/>
        <v>12</v>
      </c>
      <c r="O7" s="78" t="str">
        <f t="shared" si="1"/>
        <v>DEZEMBRO</v>
      </c>
      <c r="P7" s="78">
        <f t="shared" si="2"/>
        <v>2015</v>
      </c>
    </row>
    <row r="8" spans="1:16" x14ac:dyDescent="0.2">
      <c r="D8" s="71">
        <f>VLOOKUP(DATE($B$3,VLOOKUP($B$2,'Dados Dinamicos'!$A$1:$B$12,2,0)+5,1),L:L,1,0)</f>
        <v>42370</v>
      </c>
      <c r="E8" s="80">
        <f>SUMIFS('Relatório GERAL'!$AG:$AG,'Relatório GERAL'!$A:$A,"&gt;="&amp;D8,'Relatório GERAL'!$A:$A,"&lt;="&amp;D9)</f>
        <v>162</v>
      </c>
      <c r="F8" s="80">
        <f>SUMIFS('Relatório GERAL'!$AH:$AH,'Relatório GERAL'!$A:$A,"&gt;="&amp;D8,'Relatório GERAL'!$A:$A,"&lt;="&amp;D9)</f>
        <v>304</v>
      </c>
      <c r="G8" s="80">
        <f>SUMIFS('Relatório GERAL'!$AI:$AI,'Relatório GERAL'!$A:$A,"&gt;="&amp;D8,'Relatório GERAL'!$A:$A,"&lt;="&amp;D9)</f>
        <v>0</v>
      </c>
      <c r="H8" s="80">
        <f>SUMIFS('Relatório GERAL'!$AJ:$AJ,'Relatório GERAL'!$A:$A,"&gt;="&amp;D8,'Relatório GERAL'!$A:$A,"&lt;="&amp;D9)</f>
        <v>0</v>
      </c>
      <c r="I8" s="80">
        <f>SUMIFS('Relatório GERAL'!$BR:$BR,'Relatório GERAL'!$AX:$AX,"&gt;="&amp;D8,'Relatório GERAL'!$AX:$AX,"&lt;"&amp;D9)</f>
        <v>2222</v>
      </c>
      <c r="J8" s="93">
        <f>SUMIFS('Relatório GERAL'!BS:BS,'Relatório GERAL'!AX:AX,"&gt;="&amp;D8,'Relatório GERAL'!AX:AX,"&lt;"&amp;D9)+SUMIFS('Relatório Extra'!W:W,'Relatório Extra'!A:A,"&gt;="&amp;D8,'Relatório Extra'!A:A,"&lt;"&amp;D9)</f>
        <v>2894</v>
      </c>
      <c r="K8" s="78">
        <f>NETWORKDAYS(D8,D9-1,'Dados Dinamicos'!$W$2:$W$29)</f>
        <v>20</v>
      </c>
      <c r="L8" s="27">
        <v>42339</v>
      </c>
      <c r="N8" s="78">
        <f t="shared" si="0"/>
        <v>1</v>
      </c>
      <c r="O8" s="78" t="str">
        <f t="shared" si="1"/>
        <v>JANEIRO</v>
      </c>
      <c r="P8" s="78">
        <f t="shared" si="2"/>
        <v>2016</v>
      </c>
    </row>
    <row r="9" spans="1:16" x14ac:dyDescent="0.2">
      <c r="D9" s="71">
        <f>VLOOKUP(DATE($B$3,VLOOKUP($B$2,'Dados Dinamicos'!$A$1:$B$12,2,0)+6,1),L:L,1,0)</f>
        <v>42401</v>
      </c>
      <c r="E9" s="80">
        <f>SUMIFS('Relatório GERAL'!$AG:$AG,'Relatório GERAL'!$A:$A,"&gt;="&amp;D9,'Relatório GERAL'!$A:$A,"&lt;="&amp;D10)</f>
        <v>256</v>
      </c>
      <c r="F9" s="80">
        <f>SUMIFS('Relatório GERAL'!$AH:$AH,'Relatório GERAL'!$A:$A,"&gt;="&amp;D9,'Relatório GERAL'!$A:$A,"&lt;="&amp;D10)</f>
        <v>264</v>
      </c>
      <c r="G9" s="80">
        <f>SUMIFS('Relatório GERAL'!$AI:$AI,'Relatório GERAL'!$A:$A,"&gt;="&amp;D9,'Relatório GERAL'!$A:$A,"&lt;="&amp;D10)</f>
        <v>0</v>
      </c>
      <c r="H9" s="80">
        <f>SUMIFS('Relatório GERAL'!$AJ:$AJ,'Relatório GERAL'!$A:$A,"&gt;="&amp;D9,'Relatório GERAL'!$A:$A,"&lt;="&amp;D10)</f>
        <v>0</v>
      </c>
      <c r="I9" s="80">
        <f>SUMIFS('Relatório GERAL'!$BR:$BR,'Relatório GERAL'!$AX:$AX,"&gt;="&amp;D9,'Relatório GERAL'!$AX:$AX,"&lt;"&amp;D10)</f>
        <v>2042</v>
      </c>
      <c r="J9" s="93">
        <f>SUMIFS('Relatório GERAL'!BS:BS,'Relatório GERAL'!AX:AX,"&gt;="&amp;D9,'Relatório GERAL'!AX:AX,"&lt;"&amp;D10)+SUMIFS('Relatório Extra'!W:W,'Relatório Extra'!A:A,"&gt;="&amp;D9,'Relatório Extra'!A:A,"&lt;"&amp;D10)</f>
        <v>2788</v>
      </c>
      <c r="K9" s="78">
        <f>NETWORKDAYS(D9,D10-1,'Dados Dinamicos'!$W$2:$W$29)</f>
        <v>19</v>
      </c>
      <c r="L9" s="27">
        <v>42370</v>
      </c>
      <c r="N9" s="78">
        <f t="shared" si="0"/>
        <v>2</v>
      </c>
      <c r="O9" s="78" t="str">
        <f t="shared" si="1"/>
        <v>FEVEREIRO</v>
      </c>
      <c r="P9" s="78">
        <f t="shared" si="2"/>
        <v>2016</v>
      </c>
    </row>
    <row r="10" spans="1:16" x14ac:dyDescent="0.2">
      <c r="D10" s="71">
        <f>VLOOKUP(DATE($B$3,VLOOKUP($B$2,'Dados Dinamicos'!$A$1:$B$12,2,0)+7,1),L:L,1,0)</f>
        <v>42430</v>
      </c>
      <c r="E10" s="80">
        <f>SUMIFS('Relatório GERAL'!$AG:$AG,'Relatório GERAL'!$A:$A,"&gt;="&amp;D10,'Relatório GERAL'!$A:$A,"&lt;="&amp;D11)</f>
        <v>288</v>
      </c>
      <c r="F10" s="80">
        <f>SUMIFS('Relatório GERAL'!$AH:$AH,'Relatório GERAL'!$A:$A,"&gt;="&amp;D10,'Relatório GERAL'!$A:$A,"&lt;="&amp;D11)</f>
        <v>296</v>
      </c>
      <c r="G10" s="80">
        <f>SUMIFS('Relatório GERAL'!$AI:$AI,'Relatório GERAL'!$A:$A,"&gt;="&amp;D10,'Relatório GERAL'!$A:$A,"&lt;="&amp;D11)</f>
        <v>20</v>
      </c>
      <c r="H10" s="80">
        <f>SUMIFS('Relatório GERAL'!$AJ:$AJ,'Relatório GERAL'!$A:$A,"&gt;="&amp;D10,'Relatório GERAL'!$A:$A,"&lt;="&amp;D11)</f>
        <v>24</v>
      </c>
      <c r="I10" s="80">
        <f>SUMIFS('Relatório GERAL'!$BR:$BR,'Relatório GERAL'!$AX:$AX,"&gt;="&amp;D10,'Relatório GERAL'!$AX:$AX,"&lt;"&amp;D11)</f>
        <v>2344</v>
      </c>
      <c r="J10" s="93">
        <f>SUMIFS('Relatório GERAL'!BS:BS,'Relatório GERAL'!AX:AX,"&gt;="&amp;D10,'Relatório GERAL'!AX:AX,"&lt;"&amp;D11)+SUMIFS('Relatório Extra'!W:W,'Relatório Extra'!A:A,"&gt;="&amp;D10,'Relatório Extra'!A:A,"&lt;"&amp;D11)</f>
        <v>3010</v>
      </c>
      <c r="K10" s="78">
        <f>NETWORKDAYS(D10,D11-1,'Dados Dinamicos'!$W$2:$W$29)</f>
        <v>23</v>
      </c>
      <c r="L10" s="27">
        <v>42401</v>
      </c>
      <c r="N10" s="78">
        <f t="shared" si="0"/>
        <v>3</v>
      </c>
      <c r="O10" s="78" t="str">
        <f t="shared" si="1"/>
        <v>MARÇO</v>
      </c>
      <c r="P10" s="78">
        <f t="shared" si="2"/>
        <v>2016</v>
      </c>
    </row>
    <row r="11" spans="1:16" x14ac:dyDescent="0.2">
      <c r="D11" s="71">
        <f>VLOOKUP(DATE($B$3,VLOOKUP($B$2,'Dados Dinamicos'!$A$1:$B$12,2,0)+8,1),L:L,1,0)</f>
        <v>42461</v>
      </c>
      <c r="E11" s="80">
        <f>SUMIFS('Relatório GERAL'!$AG:$AG,'Relatório GERAL'!$A:$A,"&gt;="&amp;D11,'Relatório GERAL'!$A:$A,"&lt;="&amp;D12)</f>
        <v>128</v>
      </c>
      <c r="F11" s="80">
        <f>SUMIFS('Relatório GERAL'!$AH:$AH,'Relatório GERAL'!$A:$A,"&gt;="&amp;D11,'Relatório GERAL'!$A:$A,"&lt;="&amp;D12)</f>
        <v>152</v>
      </c>
      <c r="G11" s="80">
        <f>SUMIFS('Relatório GERAL'!$AI:$AI,'Relatório GERAL'!$A:$A,"&gt;="&amp;D11,'Relatório GERAL'!$A:$A,"&lt;="&amp;D12)</f>
        <v>0</v>
      </c>
      <c r="H11" s="80">
        <f>SUMIFS('Relatório GERAL'!$AJ:$AJ,'Relatório GERAL'!$A:$A,"&gt;="&amp;D11,'Relatório GERAL'!$A:$A,"&lt;="&amp;D12)</f>
        <v>20</v>
      </c>
      <c r="I11" s="80">
        <f>SUMIFS('Relatório GERAL'!$BR:$BR,'Relatório GERAL'!$AX:$AX,"&gt;="&amp;D11,'Relatório GERAL'!$AX:$AX,"&lt;"&amp;D12)</f>
        <v>2380</v>
      </c>
      <c r="J11" s="93">
        <f>SUMIFS('Relatório GERAL'!BS:BS,'Relatório GERAL'!AX:AX,"&gt;="&amp;D11,'Relatório GERAL'!AX:AX,"&lt;"&amp;D12)+SUMIFS('Relatório Extra'!W:W,'Relatório Extra'!A:A,"&gt;="&amp;D11,'Relatório Extra'!A:A,"&lt;"&amp;D12)</f>
        <v>2772</v>
      </c>
      <c r="K11" s="78">
        <f>NETWORKDAYS(D11,D12-1,'Dados Dinamicos'!$W$2:$W$29)</f>
        <v>19</v>
      </c>
      <c r="L11" s="27">
        <v>42430</v>
      </c>
      <c r="N11" s="78">
        <f t="shared" si="0"/>
        <v>4</v>
      </c>
      <c r="O11" s="78" t="str">
        <f t="shared" si="1"/>
        <v>ABRIL</v>
      </c>
      <c r="P11" s="78">
        <f t="shared" si="2"/>
        <v>2016</v>
      </c>
    </row>
    <row r="12" spans="1:16" x14ac:dyDescent="0.2">
      <c r="D12" s="71">
        <f>VLOOKUP(DATE($B$3,VLOOKUP($B$2,'Dados Dinamicos'!$A$1:$B$12,2,0)+9,1),L:L,1,0)</f>
        <v>42491</v>
      </c>
      <c r="E12" s="80">
        <f>SUMIFS('Relatório GERAL'!$AG:$AG,'Relatório GERAL'!$A:$A,"&gt;="&amp;D12,'Relatório GERAL'!$A:$A,"&lt;="&amp;D13)</f>
        <v>196</v>
      </c>
      <c r="F12" s="80">
        <f>SUMIFS('Relatório GERAL'!$AH:$AH,'Relatório GERAL'!$A:$A,"&gt;="&amp;D12,'Relatório GERAL'!$A:$A,"&lt;="&amp;D13)</f>
        <v>144</v>
      </c>
      <c r="G12" s="80">
        <f>SUMIFS('Relatório GERAL'!$AI:$AI,'Relatório GERAL'!$A:$A,"&gt;="&amp;D12,'Relatório GERAL'!$A:$A,"&lt;="&amp;D13)</f>
        <v>0</v>
      </c>
      <c r="H12" s="80">
        <f>SUMIFS('Relatório GERAL'!$AJ:$AJ,'Relatório GERAL'!$A:$A,"&gt;="&amp;D12,'Relatório GERAL'!$A:$A,"&lt;="&amp;D13)</f>
        <v>1350</v>
      </c>
      <c r="I12" s="80">
        <f>SUMIFS('Relatório GERAL'!$BR:$BR,'Relatório GERAL'!$AX:$AX,"&gt;="&amp;D12,'Relatório GERAL'!$AX:$AX,"&lt;"&amp;D13)</f>
        <v>1236</v>
      </c>
      <c r="J12" s="93">
        <f>SUMIFS('Relatório GERAL'!BS:BS,'Relatório GERAL'!AX:AX,"&gt;="&amp;D12,'Relatório GERAL'!AX:AX,"&lt;"&amp;D13)+SUMIFS('Relatório Extra'!W:W,'Relatório Extra'!A:A,"&gt;="&amp;D12,'Relatório Extra'!A:A,"&lt;"&amp;D13)</f>
        <v>2862</v>
      </c>
      <c r="K12" s="78">
        <f>NETWORKDAYS(D12,D13-1,'Dados Dinamicos'!$W$2:$W$29)</f>
        <v>22</v>
      </c>
      <c r="L12" s="27">
        <v>42461</v>
      </c>
      <c r="N12" s="78">
        <f t="shared" si="0"/>
        <v>5</v>
      </c>
      <c r="O12" s="78" t="str">
        <f t="shared" si="1"/>
        <v>MAIO</v>
      </c>
      <c r="P12" s="78">
        <f t="shared" si="2"/>
        <v>2016</v>
      </c>
    </row>
    <row r="13" spans="1:16" x14ac:dyDescent="0.2">
      <c r="D13" s="71">
        <f>VLOOKUP(DATE($B$3,VLOOKUP($B$2,'Dados Dinamicos'!$A$1:$B$12,2,0)+10,1),L:L,1,0)</f>
        <v>42522</v>
      </c>
      <c r="E13" s="80">
        <f>SUMIFS('Relatório GERAL'!$AG:$AG,'Relatório GERAL'!$A:$A,"&gt;="&amp;D13,'Relatório GERAL'!$A:$A,"&lt;="&amp;D14)</f>
        <v>24</v>
      </c>
      <c r="F13" s="80">
        <f>SUMIFS('Relatório GERAL'!$AH:$AH,'Relatório GERAL'!$A:$A,"&gt;="&amp;D13,'Relatório GERAL'!$A:$A,"&lt;="&amp;D14)</f>
        <v>224</v>
      </c>
      <c r="G13" s="80">
        <f>SUMIFS('Relatório GERAL'!$AI:$AI,'Relatório GERAL'!$A:$A,"&gt;="&amp;D13,'Relatório GERAL'!$A:$A,"&lt;="&amp;D14)</f>
        <v>0</v>
      </c>
      <c r="H13" s="80">
        <f>SUMIFS('Relatório GERAL'!$AJ:$AJ,'Relatório GERAL'!$A:$A,"&gt;="&amp;D13,'Relatório GERAL'!$A:$A,"&lt;="&amp;D14)</f>
        <v>1344</v>
      </c>
      <c r="I13" s="80">
        <f>SUMIFS('Relatório GERAL'!$BR:$BR,'Relatório GERAL'!$AX:$AX,"&gt;="&amp;D13,'Relatório GERAL'!$AX:$AX,"&lt;"&amp;D14)</f>
        <v>1356</v>
      </c>
      <c r="J13" s="93">
        <f>SUMIFS('Relatório GERAL'!BS:BS,'Relatório GERAL'!AX:AX,"&gt;="&amp;D13,'Relatório GERAL'!AX:AX,"&lt;"&amp;D14)+SUMIFS('Relatório Extra'!W:W,'Relatório Extra'!A:A,"&gt;="&amp;D13,'Relatório Extra'!A:A,"&lt;"&amp;D14)</f>
        <v>2948</v>
      </c>
      <c r="K13" s="78">
        <f>NETWORKDAYS(D13,D14-1,'Dados Dinamicos'!$W$2:$W$29)</f>
        <v>21</v>
      </c>
      <c r="L13" s="27">
        <v>42491</v>
      </c>
      <c r="N13" s="78">
        <f t="shared" si="0"/>
        <v>6</v>
      </c>
      <c r="O13" s="78" t="str">
        <f t="shared" si="1"/>
        <v>JUNHO</v>
      </c>
      <c r="P13" s="78">
        <f t="shared" si="2"/>
        <v>2016</v>
      </c>
    </row>
    <row r="14" spans="1:16" x14ac:dyDescent="0.2">
      <c r="D14" s="71">
        <f>VLOOKUP(DATE($B$3,VLOOKUP($B$2,'Dados Dinamicos'!$A$1:$B$12,2,0)+11,1),L:L,1,0)</f>
        <v>42552</v>
      </c>
      <c r="E14" s="80">
        <f>SUMIFS('Relatório GERAL'!$AG:$AG,'Relatório GERAL'!$A:$A,"&gt;="&amp;D14,'Relatório GERAL'!$A:$A,"&lt;="&amp;D15)</f>
        <v>0</v>
      </c>
      <c r="F14" s="80">
        <f>SUMIFS('Relatório GERAL'!$AH:$AH,'Relatório GERAL'!$A:$A,"&gt;="&amp;D14,'Relatório GERAL'!$A:$A,"&lt;="&amp;D15)</f>
        <v>192</v>
      </c>
      <c r="G14" s="80">
        <f>SUMIFS('Relatório GERAL'!$AI:$AI,'Relatório GERAL'!$A:$A,"&gt;="&amp;D14,'Relatório GERAL'!$A:$A,"&lt;="&amp;D15)</f>
        <v>0</v>
      </c>
      <c r="H14" s="80">
        <f>SUMIFS('Relatório GERAL'!$AJ:$AJ,'Relatório GERAL'!$A:$A,"&gt;="&amp;D14,'Relatório GERAL'!$A:$A,"&lt;="&amp;D15)</f>
        <v>0</v>
      </c>
      <c r="I14" s="80">
        <f>SUMIFS('Relatório GERAL'!$BR:$BR,'Relatório GERAL'!$AX:$AX,"&gt;="&amp;D14,'Relatório GERAL'!$AX:$AX,"&lt;"&amp;D15)</f>
        <v>2630</v>
      </c>
      <c r="J14" s="93">
        <f>SUMIFS('Relatório GERAL'!BS:BS,'Relatório GERAL'!AX:AX,"&gt;="&amp;D14,'Relatório GERAL'!AX:AX,"&lt;"&amp;D15)+SUMIFS('Relatório Extra'!W:W,'Relatório Extra'!A:A,"&gt;="&amp;D14,'Relatório Extra'!A:A,"&lt;"&amp;D15)</f>
        <v>2814</v>
      </c>
      <c r="K14" s="78">
        <f>NETWORKDAYS(D14,D15-1,'Dados Dinamicos'!$W$2:$W$29)</f>
        <v>21</v>
      </c>
      <c r="L14" s="27">
        <v>42522</v>
      </c>
      <c r="N14" s="78">
        <f t="shared" si="0"/>
        <v>7</v>
      </c>
      <c r="O14" s="78" t="str">
        <f t="shared" si="1"/>
        <v>JULHO</v>
      </c>
      <c r="P14" s="78">
        <f t="shared" si="2"/>
        <v>2016</v>
      </c>
    </row>
    <row r="15" spans="1:16" x14ac:dyDescent="0.2">
      <c r="D15" s="71">
        <f>VLOOKUP(DATE($B$3,VLOOKUP($B$2,'Dados Dinamicos'!$A$1:$B$12,2,0)+12,1),L:L,1,0)</f>
        <v>42583</v>
      </c>
      <c r="L15" s="27">
        <v>42552</v>
      </c>
    </row>
    <row r="16" spans="1:16" x14ac:dyDescent="0.2">
      <c r="E16" s="22" t="s">
        <v>58</v>
      </c>
      <c r="F16" s="83" t="s">
        <v>79</v>
      </c>
      <c r="G16" s="84" t="s">
        <v>60</v>
      </c>
      <c r="H16" s="85" t="s">
        <v>61</v>
      </c>
      <c r="I16" s="86" t="s">
        <v>62</v>
      </c>
      <c r="L16" s="27">
        <v>42583</v>
      </c>
    </row>
    <row r="17" spans="4:12" x14ac:dyDescent="0.2">
      <c r="D17" s="18" t="str">
        <f>CONCATENATE(O3,"-",P3)</f>
        <v>AGOSTO-2015</v>
      </c>
      <c r="E17" s="80">
        <f t="shared" ref="E17:I28" si="3">E3</f>
        <v>468</v>
      </c>
      <c r="F17" s="80">
        <f t="shared" si="3"/>
        <v>352</v>
      </c>
      <c r="G17" s="80">
        <f t="shared" si="3"/>
        <v>0</v>
      </c>
      <c r="H17" s="80">
        <f t="shared" si="3"/>
        <v>192</v>
      </c>
      <c r="I17" s="80">
        <f t="shared" si="3"/>
        <v>1830</v>
      </c>
      <c r="J17" s="93"/>
      <c r="L17" s="27">
        <v>42614</v>
      </c>
    </row>
    <row r="18" spans="4:12" x14ac:dyDescent="0.2">
      <c r="D18" s="18" t="str">
        <f t="shared" ref="D18:D27" si="4">CONCATENATE(O4,"-",P4)</f>
        <v>SETEMBRO-2015</v>
      </c>
      <c r="E18" s="80">
        <f t="shared" si="3"/>
        <v>380</v>
      </c>
      <c r="F18" s="80">
        <f t="shared" si="3"/>
        <v>336</v>
      </c>
      <c r="G18" s="80">
        <f t="shared" si="3"/>
        <v>16</v>
      </c>
      <c r="H18" s="80">
        <f t="shared" si="3"/>
        <v>262</v>
      </c>
      <c r="I18" s="80">
        <f t="shared" si="3"/>
        <v>1828</v>
      </c>
      <c r="J18" s="93"/>
      <c r="L18" s="27">
        <v>42644</v>
      </c>
    </row>
    <row r="19" spans="4:12" x14ac:dyDescent="0.2">
      <c r="D19" s="18" t="str">
        <f t="shared" si="4"/>
        <v>OUTUBRO-2015</v>
      </c>
      <c r="E19" s="80">
        <f t="shared" si="3"/>
        <v>236</v>
      </c>
      <c r="F19" s="80">
        <f t="shared" si="3"/>
        <v>152</v>
      </c>
      <c r="G19" s="80">
        <f t="shared" si="3"/>
        <v>32</v>
      </c>
      <c r="H19" s="80">
        <f t="shared" si="3"/>
        <v>190</v>
      </c>
      <c r="I19" s="80">
        <f t="shared" si="3"/>
        <v>2204</v>
      </c>
      <c r="J19" s="93"/>
      <c r="L19" s="27">
        <v>42675</v>
      </c>
    </row>
    <row r="20" spans="4:12" x14ac:dyDescent="0.2">
      <c r="D20" s="18" t="str">
        <f t="shared" si="4"/>
        <v>NOVEMBRO-2015</v>
      </c>
      <c r="E20" s="80">
        <f t="shared" si="3"/>
        <v>180</v>
      </c>
      <c r="F20" s="80">
        <f t="shared" si="3"/>
        <v>56</v>
      </c>
      <c r="G20" s="80">
        <f t="shared" si="3"/>
        <v>36</v>
      </c>
      <c r="H20" s="80">
        <f t="shared" si="3"/>
        <v>0</v>
      </c>
      <c r="I20" s="80">
        <f>I6</f>
        <v>2286</v>
      </c>
      <c r="J20" s="93"/>
      <c r="L20" s="27">
        <v>42705</v>
      </c>
    </row>
    <row r="21" spans="4:12" x14ac:dyDescent="0.2">
      <c r="D21" s="18" t="str">
        <f t="shared" si="4"/>
        <v>DEZEMBRO-2015</v>
      </c>
      <c r="E21" s="80">
        <f t="shared" si="3"/>
        <v>28</v>
      </c>
      <c r="F21" s="80">
        <f t="shared" si="3"/>
        <v>704</v>
      </c>
      <c r="G21" s="80">
        <f t="shared" si="3"/>
        <v>28</v>
      </c>
      <c r="H21" s="80">
        <f t="shared" si="3"/>
        <v>0</v>
      </c>
      <c r="I21" s="80">
        <f t="shared" si="3"/>
        <v>2188</v>
      </c>
      <c r="J21" s="93"/>
      <c r="L21" s="27">
        <v>42736</v>
      </c>
    </row>
    <row r="22" spans="4:12" x14ac:dyDescent="0.2">
      <c r="D22" s="18" t="str">
        <f t="shared" si="4"/>
        <v>JANEIRO-2016</v>
      </c>
      <c r="E22" s="80">
        <f t="shared" si="3"/>
        <v>162</v>
      </c>
      <c r="F22" s="80">
        <f t="shared" si="3"/>
        <v>304</v>
      </c>
      <c r="G22" s="80">
        <f t="shared" si="3"/>
        <v>0</v>
      </c>
      <c r="H22" s="80">
        <f t="shared" si="3"/>
        <v>0</v>
      </c>
      <c r="I22" s="80">
        <f t="shared" si="3"/>
        <v>2222</v>
      </c>
      <c r="J22" s="93"/>
      <c r="L22" s="27">
        <v>42767</v>
      </c>
    </row>
    <row r="23" spans="4:12" x14ac:dyDescent="0.2">
      <c r="D23" s="18" t="str">
        <f t="shared" si="4"/>
        <v>FEVEREIRO-2016</v>
      </c>
      <c r="E23" s="80">
        <f t="shared" si="3"/>
        <v>256</v>
      </c>
      <c r="F23" s="80">
        <f t="shared" si="3"/>
        <v>264</v>
      </c>
      <c r="G23" s="80">
        <f t="shared" si="3"/>
        <v>0</v>
      </c>
      <c r="H23" s="80">
        <f t="shared" si="3"/>
        <v>0</v>
      </c>
      <c r="I23" s="80">
        <f t="shared" si="3"/>
        <v>2042</v>
      </c>
      <c r="J23" s="93"/>
      <c r="L23" s="27">
        <v>42795</v>
      </c>
    </row>
    <row r="24" spans="4:12" x14ac:dyDescent="0.2">
      <c r="D24" s="18" t="str">
        <f t="shared" si="4"/>
        <v>MARÇO-2016</v>
      </c>
      <c r="E24" s="80">
        <f t="shared" si="3"/>
        <v>288</v>
      </c>
      <c r="F24" s="80">
        <f t="shared" si="3"/>
        <v>296</v>
      </c>
      <c r="G24" s="80">
        <f t="shared" si="3"/>
        <v>20</v>
      </c>
      <c r="H24" s="80">
        <f t="shared" si="3"/>
        <v>24</v>
      </c>
      <c r="I24" s="80">
        <f t="shared" si="3"/>
        <v>2344</v>
      </c>
      <c r="J24" s="93"/>
      <c r="L24" s="27">
        <v>42826</v>
      </c>
    </row>
    <row r="25" spans="4:12" x14ac:dyDescent="0.2">
      <c r="D25" s="18" t="str">
        <f t="shared" si="4"/>
        <v>ABRIL-2016</v>
      </c>
      <c r="E25" s="80">
        <f t="shared" si="3"/>
        <v>128</v>
      </c>
      <c r="F25" s="80">
        <f t="shared" si="3"/>
        <v>152</v>
      </c>
      <c r="G25" s="80">
        <f t="shared" si="3"/>
        <v>0</v>
      </c>
      <c r="H25" s="80">
        <f t="shared" si="3"/>
        <v>20</v>
      </c>
      <c r="I25" s="80">
        <f t="shared" si="3"/>
        <v>2380</v>
      </c>
      <c r="J25" s="93"/>
      <c r="L25" s="27">
        <v>42856</v>
      </c>
    </row>
    <row r="26" spans="4:12" x14ac:dyDescent="0.2">
      <c r="D26" s="18" t="str">
        <f t="shared" si="4"/>
        <v>MAIO-2016</v>
      </c>
      <c r="E26" s="80">
        <f t="shared" si="3"/>
        <v>196</v>
      </c>
      <c r="F26" s="80">
        <f t="shared" si="3"/>
        <v>144</v>
      </c>
      <c r="G26" s="80">
        <f t="shared" si="3"/>
        <v>0</v>
      </c>
      <c r="H26" s="80">
        <f t="shared" si="3"/>
        <v>1350</v>
      </c>
      <c r="I26" s="80">
        <f t="shared" si="3"/>
        <v>1236</v>
      </c>
      <c r="J26" s="93"/>
      <c r="L26" s="27">
        <v>42887</v>
      </c>
    </row>
    <row r="27" spans="4:12" x14ac:dyDescent="0.2">
      <c r="D27" s="18" t="str">
        <f t="shared" si="4"/>
        <v>JUNHO-2016</v>
      </c>
      <c r="E27" s="80">
        <f t="shared" si="3"/>
        <v>24</v>
      </c>
      <c r="F27" s="80">
        <f t="shared" si="3"/>
        <v>224</v>
      </c>
      <c r="G27" s="80">
        <f t="shared" si="3"/>
        <v>0</v>
      </c>
      <c r="H27" s="80">
        <f t="shared" si="3"/>
        <v>1344</v>
      </c>
      <c r="I27" s="80">
        <f t="shared" si="3"/>
        <v>1356</v>
      </c>
      <c r="J27" s="93"/>
      <c r="L27" s="27">
        <v>42917</v>
      </c>
    </row>
    <row r="28" spans="4:12" x14ac:dyDescent="0.2">
      <c r="D28" s="18" t="str">
        <f>CONCATENATE(O14,"-",P14)</f>
        <v>JULHO-2016</v>
      </c>
      <c r="E28" s="80">
        <f t="shared" si="3"/>
        <v>0</v>
      </c>
      <c r="F28" s="80">
        <f t="shared" si="3"/>
        <v>192</v>
      </c>
      <c r="G28" s="80">
        <f t="shared" si="3"/>
        <v>0</v>
      </c>
      <c r="H28" s="80">
        <f t="shared" si="3"/>
        <v>0</v>
      </c>
      <c r="I28" s="80">
        <f t="shared" si="3"/>
        <v>2630</v>
      </c>
      <c r="J28" s="93"/>
      <c r="L28" s="27">
        <v>42948</v>
      </c>
    </row>
    <row r="29" spans="4:12" x14ac:dyDescent="0.2">
      <c r="E29" s="82"/>
      <c r="F29" s="82"/>
      <c r="G29" s="82"/>
      <c r="H29" s="82"/>
      <c r="I29" s="82"/>
      <c r="J29" s="82"/>
      <c r="L29" s="27">
        <v>42979</v>
      </c>
    </row>
    <row r="30" spans="4:12" x14ac:dyDescent="0.2">
      <c r="L30" s="27">
        <v>43009</v>
      </c>
    </row>
    <row r="31" spans="4:12" x14ac:dyDescent="0.2">
      <c r="D31" s="81"/>
      <c r="L31" s="27">
        <v>43040</v>
      </c>
    </row>
    <row r="32" spans="4:12" x14ac:dyDescent="0.2">
      <c r="D32" s="81"/>
      <c r="L32" s="27">
        <v>43070</v>
      </c>
    </row>
    <row r="33" spans="4:12" x14ac:dyDescent="0.2">
      <c r="D33" s="81"/>
      <c r="L33" s="27">
        <v>43101</v>
      </c>
    </row>
    <row r="34" spans="4:12" x14ac:dyDescent="0.2">
      <c r="D34" s="81"/>
      <c r="L34" s="27">
        <v>43132</v>
      </c>
    </row>
    <row r="35" spans="4:12" x14ac:dyDescent="0.2">
      <c r="D35" s="81"/>
      <c r="L35" s="27">
        <v>43160</v>
      </c>
    </row>
    <row r="36" spans="4:12" x14ac:dyDescent="0.2">
      <c r="D36" s="81"/>
      <c r="L36" s="27">
        <v>43191</v>
      </c>
    </row>
    <row r="37" spans="4:12" x14ac:dyDescent="0.2">
      <c r="L37" s="27">
        <v>43221</v>
      </c>
    </row>
    <row r="38" spans="4:12" x14ac:dyDescent="0.2">
      <c r="L38" s="27">
        <v>43252</v>
      </c>
    </row>
    <row r="39" spans="4:12" x14ac:dyDescent="0.2">
      <c r="L39" s="27">
        <v>43282</v>
      </c>
    </row>
    <row r="40" spans="4:12" x14ac:dyDescent="0.2">
      <c r="L40" s="27">
        <v>43313</v>
      </c>
    </row>
    <row r="41" spans="4:12" x14ac:dyDescent="0.2">
      <c r="L41" s="27">
        <v>43344</v>
      </c>
    </row>
    <row r="42" spans="4:12" x14ac:dyDescent="0.2">
      <c r="L42" s="27">
        <v>43374</v>
      </c>
    </row>
    <row r="43" spans="4:12" x14ac:dyDescent="0.2">
      <c r="L43" s="27">
        <v>43405</v>
      </c>
    </row>
    <row r="44" spans="4:12" x14ac:dyDescent="0.2">
      <c r="L44" s="27">
        <v>43435</v>
      </c>
    </row>
    <row r="45" spans="4:12" x14ac:dyDescent="0.2">
      <c r="L45" s="27">
        <v>43466</v>
      </c>
    </row>
    <row r="46" spans="4:12" x14ac:dyDescent="0.2">
      <c r="L46" s="27">
        <v>43497</v>
      </c>
    </row>
    <row r="47" spans="4:12" x14ac:dyDescent="0.2">
      <c r="L47" s="27">
        <v>43525</v>
      </c>
    </row>
    <row r="48" spans="4:12" x14ac:dyDescent="0.2">
      <c r="L48" s="27">
        <v>43556</v>
      </c>
    </row>
    <row r="49" spans="12:12" x14ac:dyDescent="0.2">
      <c r="L49" s="27">
        <v>43586</v>
      </c>
    </row>
    <row r="50" spans="12:12" x14ac:dyDescent="0.2">
      <c r="L50" s="27">
        <v>43617</v>
      </c>
    </row>
    <row r="51" spans="12:12" x14ac:dyDescent="0.2">
      <c r="L51" s="27">
        <v>43647</v>
      </c>
    </row>
    <row r="52" spans="12:12" x14ac:dyDescent="0.2">
      <c r="L52" s="27">
        <v>43678</v>
      </c>
    </row>
    <row r="53" spans="12:12" x14ac:dyDescent="0.2">
      <c r="L53" s="27">
        <v>43709</v>
      </c>
    </row>
    <row r="54" spans="12:12" x14ac:dyDescent="0.2">
      <c r="L54" s="27">
        <v>43739</v>
      </c>
    </row>
    <row r="55" spans="12:12" x14ac:dyDescent="0.2">
      <c r="L55" s="27">
        <v>43770</v>
      </c>
    </row>
    <row r="56" spans="12:12" x14ac:dyDescent="0.2">
      <c r="L56" s="27">
        <v>43800</v>
      </c>
    </row>
    <row r="57" spans="12:12" x14ac:dyDescent="0.2">
      <c r="L57" s="27">
        <v>43831</v>
      </c>
    </row>
    <row r="58" spans="12:12" x14ac:dyDescent="0.2">
      <c r="L58" s="27">
        <v>43862</v>
      </c>
    </row>
    <row r="59" spans="12:12" x14ac:dyDescent="0.2">
      <c r="L59" s="27">
        <v>43891</v>
      </c>
    </row>
    <row r="60" spans="12:12" x14ac:dyDescent="0.2">
      <c r="L60" s="27">
        <v>43922</v>
      </c>
    </row>
    <row r="61" spans="12:12" x14ac:dyDescent="0.2">
      <c r="L61" s="27">
        <v>43952</v>
      </c>
    </row>
    <row r="62" spans="12:12" x14ac:dyDescent="0.2">
      <c r="L62" s="27">
        <v>43983</v>
      </c>
    </row>
    <row r="63" spans="12:12" x14ac:dyDescent="0.2">
      <c r="L63" s="27">
        <v>44013</v>
      </c>
    </row>
    <row r="64" spans="12:12" x14ac:dyDescent="0.2">
      <c r="L64" s="27">
        <v>44044</v>
      </c>
    </row>
    <row r="65" spans="12:12" x14ac:dyDescent="0.2">
      <c r="L65" s="27">
        <v>44075</v>
      </c>
    </row>
    <row r="66" spans="12:12" x14ac:dyDescent="0.2">
      <c r="L66" s="27">
        <v>44105</v>
      </c>
    </row>
    <row r="67" spans="12:12" x14ac:dyDescent="0.2">
      <c r="L67" s="27">
        <v>44136</v>
      </c>
    </row>
    <row r="68" spans="12:12" x14ac:dyDescent="0.2">
      <c r="L68" s="27">
        <v>44166</v>
      </c>
    </row>
    <row r="69" spans="12:12" x14ac:dyDescent="0.2">
      <c r="L69" s="27">
        <v>44197</v>
      </c>
    </row>
    <row r="70" spans="12:12" x14ac:dyDescent="0.2">
      <c r="L70" s="27">
        <v>44228</v>
      </c>
    </row>
    <row r="71" spans="12:12" x14ac:dyDescent="0.2">
      <c r="L71" s="27">
        <v>44256</v>
      </c>
    </row>
    <row r="72" spans="12:12" x14ac:dyDescent="0.2">
      <c r="L72" s="27">
        <v>44287</v>
      </c>
    </row>
    <row r="73" spans="12:12" x14ac:dyDescent="0.2">
      <c r="L73" s="27">
        <v>44317</v>
      </c>
    </row>
    <row r="74" spans="12:12" x14ac:dyDescent="0.2">
      <c r="L74" s="27">
        <v>44348</v>
      </c>
    </row>
    <row r="75" spans="12:12" x14ac:dyDescent="0.2">
      <c r="L75" s="27">
        <v>44378</v>
      </c>
    </row>
    <row r="76" spans="12:12" x14ac:dyDescent="0.2">
      <c r="L76" s="27">
        <v>44409</v>
      </c>
    </row>
    <row r="77" spans="12:12" x14ac:dyDescent="0.2">
      <c r="L77" s="27">
        <v>44440</v>
      </c>
    </row>
    <row r="78" spans="12:12" x14ac:dyDescent="0.2">
      <c r="L78" s="27">
        <v>44470</v>
      </c>
    </row>
    <row r="79" spans="12:12" x14ac:dyDescent="0.2">
      <c r="L79" s="27">
        <v>44501</v>
      </c>
    </row>
    <row r="80" spans="12:12" x14ac:dyDescent="0.2">
      <c r="L80" s="27">
        <v>44531</v>
      </c>
    </row>
    <row r="81" spans="12:12" x14ac:dyDescent="0.2">
      <c r="L81" s="27">
        <v>44562</v>
      </c>
    </row>
    <row r="82" spans="12:12" x14ac:dyDescent="0.2">
      <c r="L82" s="27">
        <v>44593</v>
      </c>
    </row>
    <row r="83" spans="12:12" x14ac:dyDescent="0.2">
      <c r="L83" s="27">
        <v>44621</v>
      </c>
    </row>
    <row r="84" spans="12:12" x14ac:dyDescent="0.2">
      <c r="L84" s="27">
        <v>44652</v>
      </c>
    </row>
    <row r="85" spans="12:12" x14ac:dyDescent="0.2">
      <c r="L85" s="27">
        <v>44682</v>
      </c>
    </row>
    <row r="86" spans="12:12" x14ac:dyDescent="0.2">
      <c r="L86" s="27">
        <v>44713</v>
      </c>
    </row>
    <row r="87" spans="12:12" x14ac:dyDescent="0.2">
      <c r="L87" s="27">
        <v>44743</v>
      </c>
    </row>
    <row r="88" spans="12:12" x14ac:dyDescent="0.2">
      <c r="L88" s="27">
        <v>44774</v>
      </c>
    </row>
    <row r="89" spans="12:12" x14ac:dyDescent="0.2">
      <c r="L89" s="27">
        <v>44805</v>
      </c>
    </row>
    <row r="90" spans="12:12" x14ac:dyDescent="0.2">
      <c r="L90" s="27">
        <v>44835</v>
      </c>
    </row>
    <row r="91" spans="12:12" x14ac:dyDescent="0.2">
      <c r="L91" s="27">
        <v>44866</v>
      </c>
    </row>
    <row r="92" spans="12:12" x14ac:dyDescent="0.2">
      <c r="L92" s="27">
        <v>44896</v>
      </c>
    </row>
    <row r="93" spans="12:12" x14ac:dyDescent="0.2">
      <c r="L93" s="27">
        <v>44927</v>
      </c>
    </row>
    <row r="94" spans="12:12" x14ac:dyDescent="0.2">
      <c r="L94" s="27">
        <v>44958</v>
      </c>
    </row>
    <row r="95" spans="12:12" x14ac:dyDescent="0.2">
      <c r="L95" s="27">
        <v>44986</v>
      </c>
    </row>
    <row r="96" spans="12:12" x14ac:dyDescent="0.2">
      <c r="L96" s="27">
        <v>45017</v>
      </c>
    </row>
    <row r="97" spans="12:12" x14ac:dyDescent="0.2">
      <c r="L97" s="27">
        <v>45047</v>
      </c>
    </row>
    <row r="98" spans="12:12" x14ac:dyDescent="0.2">
      <c r="L98" s="27">
        <v>45078</v>
      </c>
    </row>
    <row r="99" spans="12:12" x14ac:dyDescent="0.2">
      <c r="L99" s="27">
        <v>45108</v>
      </c>
    </row>
    <row r="100" spans="12:12" x14ac:dyDescent="0.2">
      <c r="L100" s="27">
        <v>45139</v>
      </c>
    </row>
    <row r="101" spans="12:12" x14ac:dyDescent="0.2">
      <c r="L101" s="27">
        <v>45170</v>
      </c>
    </row>
    <row r="102" spans="12:12" x14ac:dyDescent="0.2">
      <c r="L102" s="27">
        <v>45200</v>
      </c>
    </row>
    <row r="103" spans="12:12" x14ac:dyDescent="0.2">
      <c r="L103" s="27">
        <v>45231</v>
      </c>
    </row>
    <row r="104" spans="12:12" x14ac:dyDescent="0.2">
      <c r="L104" s="27">
        <v>45261</v>
      </c>
    </row>
    <row r="105" spans="12:12" x14ac:dyDescent="0.2">
      <c r="L105" s="27">
        <v>45292</v>
      </c>
    </row>
    <row r="106" spans="12:12" x14ac:dyDescent="0.2">
      <c r="L106" s="27">
        <v>45323</v>
      </c>
    </row>
    <row r="107" spans="12:12" x14ac:dyDescent="0.2">
      <c r="L107" s="27">
        <v>45352</v>
      </c>
    </row>
    <row r="108" spans="12:12" x14ac:dyDescent="0.2">
      <c r="L108" s="27">
        <v>45383</v>
      </c>
    </row>
    <row r="109" spans="12:12" x14ac:dyDescent="0.2">
      <c r="L109" s="27">
        <v>45413</v>
      </c>
    </row>
    <row r="110" spans="12:12" x14ac:dyDescent="0.2">
      <c r="L110" s="27">
        <v>45444</v>
      </c>
    </row>
    <row r="111" spans="12:12" x14ac:dyDescent="0.2">
      <c r="L111" s="27">
        <v>45474</v>
      </c>
    </row>
    <row r="112" spans="12:12" x14ac:dyDescent="0.2">
      <c r="L112" s="27">
        <v>45505</v>
      </c>
    </row>
    <row r="113" spans="12:12" x14ac:dyDescent="0.2">
      <c r="L113" s="27">
        <v>45536</v>
      </c>
    </row>
    <row r="114" spans="12:12" x14ac:dyDescent="0.2">
      <c r="L114" s="27">
        <v>45566</v>
      </c>
    </row>
    <row r="115" spans="12:12" x14ac:dyDescent="0.2">
      <c r="L115" s="27">
        <v>45597</v>
      </c>
    </row>
    <row r="116" spans="12:12" x14ac:dyDescent="0.2">
      <c r="L116" s="27">
        <v>45627</v>
      </c>
    </row>
    <row r="117" spans="12:12" x14ac:dyDescent="0.2">
      <c r="L117" s="27">
        <v>45658</v>
      </c>
    </row>
    <row r="118" spans="12:12" x14ac:dyDescent="0.2">
      <c r="L118" s="27">
        <v>45689</v>
      </c>
    </row>
    <row r="119" spans="12:12" x14ac:dyDescent="0.2">
      <c r="L119" s="27">
        <v>45717</v>
      </c>
    </row>
    <row r="120" spans="12:12" x14ac:dyDescent="0.2">
      <c r="L120" s="27">
        <v>45748</v>
      </c>
    </row>
    <row r="121" spans="12:12" x14ac:dyDescent="0.2">
      <c r="L121" s="27">
        <v>45778</v>
      </c>
    </row>
    <row r="122" spans="12:12" x14ac:dyDescent="0.2">
      <c r="L122" s="27">
        <v>45809</v>
      </c>
    </row>
    <row r="123" spans="12:12" x14ac:dyDescent="0.2">
      <c r="L123" s="27">
        <v>45839</v>
      </c>
    </row>
    <row r="124" spans="12:12" x14ac:dyDescent="0.2">
      <c r="L124" s="27">
        <v>45870</v>
      </c>
    </row>
    <row r="125" spans="12:12" x14ac:dyDescent="0.2">
      <c r="L125" s="27">
        <v>45901</v>
      </c>
    </row>
    <row r="126" spans="12:12" x14ac:dyDescent="0.2">
      <c r="L126" s="27">
        <v>45931</v>
      </c>
    </row>
    <row r="127" spans="12:12" x14ac:dyDescent="0.2">
      <c r="L127" s="27">
        <v>45962</v>
      </c>
    </row>
    <row r="128" spans="12:12" x14ac:dyDescent="0.2">
      <c r="L128" s="27">
        <v>45992</v>
      </c>
    </row>
    <row r="129" spans="12:12" x14ac:dyDescent="0.2">
      <c r="L129" s="27">
        <v>46023</v>
      </c>
    </row>
    <row r="130" spans="12:12" x14ac:dyDescent="0.2">
      <c r="L130" s="27">
        <v>46054</v>
      </c>
    </row>
    <row r="131" spans="12:12" x14ac:dyDescent="0.2">
      <c r="L131" s="27">
        <v>46082</v>
      </c>
    </row>
    <row r="132" spans="12:12" x14ac:dyDescent="0.2">
      <c r="L132" s="27">
        <v>46113</v>
      </c>
    </row>
    <row r="133" spans="12:12" x14ac:dyDescent="0.2">
      <c r="L133" s="27">
        <v>46143</v>
      </c>
    </row>
    <row r="134" spans="12:12" x14ac:dyDescent="0.2">
      <c r="L134" s="27">
        <v>46174</v>
      </c>
    </row>
    <row r="135" spans="12:12" x14ac:dyDescent="0.2">
      <c r="L135" s="27">
        <v>46204</v>
      </c>
    </row>
    <row r="136" spans="12:12" x14ac:dyDescent="0.2">
      <c r="L136" s="27">
        <v>46235</v>
      </c>
    </row>
    <row r="137" spans="12:12" x14ac:dyDescent="0.2">
      <c r="L137" s="27">
        <v>46266</v>
      </c>
    </row>
    <row r="138" spans="12:12" x14ac:dyDescent="0.2">
      <c r="L138" s="27">
        <v>46296</v>
      </c>
    </row>
    <row r="139" spans="12:12" x14ac:dyDescent="0.2">
      <c r="L139" s="27">
        <v>46327</v>
      </c>
    </row>
    <row r="140" spans="12:12" x14ac:dyDescent="0.2">
      <c r="L140" s="27">
        <v>46357</v>
      </c>
    </row>
    <row r="141" spans="12:12" x14ac:dyDescent="0.2">
      <c r="L141" s="27">
        <v>46388</v>
      </c>
    </row>
    <row r="142" spans="12:12" x14ac:dyDescent="0.2">
      <c r="L142" s="27">
        <v>46419</v>
      </c>
    </row>
    <row r="143" spans="12:12" x14ac:dyDescent="0.2">
      <c r="L143" s="27">
        <v>46447</v>
      </c>
    </row>
    <row r="144" spans="12:12" x14ac:dyDescent="0.2">
      <c r="L144" s="27">
        <v>46478</v>
      </c>
    </row>
    <row r="145" spans="12:12" x14ac:dyDescent="0.2">
      <c r="L145" s="27">
        <v>46508</v>
      </c>
    </row>
    <row r="146" spans="12:12" x14ac:dyDescent="0.2">
      <c r="L146" s="27">
        <v>46539</v>
      </c>
    </row>
    <row r="147" spans="12:12" x14ac:dyDescent="0.2">
      <c r="L147" s="27">
        <v>46569</v>
      </c>
    </row>
    <row r="148" spans="12:12" x14ac:dyDescent="0.2">
      <c r="L148" s="27">
        <v>46600</v>
      </c>
    </row>
    <row r="149" spans="12:12" x14ac:dyDescent="0.2">
      <c r="L149" s="27">
        <v>46631</v>
      </c>
    </row>
    <row r="150" spans="12:12" x14ac:dyDescent="0.2">
      <c r="L150" s="27">
        <v>46661</v>
      </c>
    </row>
    <row r="151" spans="12:12" x14ac:dyDescent="0.2">
      <c r="L151" s="27">
        <v>46692</v>
      </c>
    </row>
    <row r="152" spans="12:12" x14ac:dyDescent="0.2">
      <c r="L152" s="27">
        <v>46722</v>
      </c>
    </row>
    <row r="153" spans="12:12" x14ac:dyDescent="0.2">
      <c r="L153" s="27">
        <v>46753</v>
      </c>
    </row>
    <row r="154" spans="12:12" x14ac:dyDescent="0.2">
      <c r="L154" s="27">
        <v>46784</v>
      </c>
    </row>
    <row r="155" spans="12:12" x14ac:dyDescent="0.2">
      <c r="L155" s="27">
        <v>46813</v>
      </c>
    </row>
    <row r="156" spans="12:12" x14ac:dyDescent="0.2">
      <c r="L156" s="27">
        <v>46844</v>
      </c>
    </row>
    <row r="157" spans="12:12" x14ac:dyDescent="0.2">
      <c r="L157" s="27">
        <v>46874</v>
      </c>
    </row>
    <row r="158" spans="12:12" x14ac:dyDescent="0.2">
      <c r="L158" s="27">
        <v>46905</v>
      </c>
    </row>
    <row r="159" spans="12:12" x14ac:dyDescent="0.2">
      <c r="L159" s="27">
        <v>46935</v>
      </c>
    </row>
    <row r="160" spans="12:12" x14ac:dyDescent="0.2">
      <c r="L160" s="27">
        <v>46966</v>
      </c>
    </row>
    <row r="161" spans="12:12" x14ac:dyDescent="0.2">
      <c r="L161" s="27">
        <v>46997</v>
      </c>
    </row>
    <row r="162" spans="12:12" x14ac:dyDescent="0.2">
      <c r="L162" s="27">
        <v>47027</v>
      </c>
    </row>
    <row r="163" spans="12:12" x14ac:dyDescent="0.2">
      <c r="L163" s="27">
        <v>47058</v>
      </c>
    </row>
    <row r="164" spans="12:12" x14ac:dyDescent="0.2">
      <c r="L164" s="27">
        <v>47088</v>
      </c>
    </row>
    <row r="165" spans="12:12" x14ac:dyDescent="0.2">
      <c r="L165" s="27">
        <v>47119</v>
      </c>
    </row>
    <row r="166" spans="12:12" x14ac:dyDescent="0.2">
      <c r="L166" s="27">
        <v>47150</v>
      </c>
    </row>
    <row r="167" spans="12:12" x14ac:dyDescent="0.2">
      <c r="L167" s="27">
        <v>47178</v>
      </c>
    </row>
    <row r="168" spans="12:12" x14ac:dyDescent="0.2">
      <c r="L168" s="27">
        <v>47209</v>
      </c>
    </row>
    <row r="169" spans="12:12" x14ac:dyDescent="0.2">
      <c r="L169" s="27">
        <v>47239</v>
      </c>
    </row>
    <row r="170" spans="12:12" x14ac:dyDescent="0.2">
      <c r="L170" s="27">
        <v>47270</v>
      </c>
    </row>
    <row r="171" spans="12:12" x14ac:dyDescent="0.2">
      <c r="L171" s="27">
        <v>47300</v>
      </c>
    </row>
    <row r="172" spans="12:12" x14ac:dyDescent="0.2">
      <c r="L172" s="27">
        <v>47331</v>
      </c>
    </row>
    <row r="173" spans="12:12" x14ac:dyDescent="0.2">
      <c r="L173" s="27">
        <v>47362</v>
      </c>
    </row>
    <row r="174" spans="12:12" x14ac:dyDescent="0.2">
      <c r="L174" s="27">
        <v>47392</v>
      </c>
    </row>
    <row r="175" spans="12:12" x14ac:dyDescent="0.2">
      <c r="L175" s="27">
        <v>47423</v>
      </c>
    </row>
    <row r="176" spans="12:12" x14ac:dyDescent="0.2">
      <c r="L176" s="27">
        <v>47453</v>
      </c>
    </row>
    <row r="177" spans="12:12" x14ac:dyDescent="0.2">
      <c r="L177" s="27">
        <v>47484</v>
      </c>
    </row>
    <row r="178" spans="12:12" x14ac:dyDescent="0.2">
      <c r="L178" s="27">
        <v>47515</v>
      </c>
    </row>
    <row r="179" spans="12:12" x14ac:dyDescent="0.2">
      <c r="L179" s="27">
        <v>47543</v>
      </c>
    </row>
    <row r="180" spans="12:12" x14ac:dyDescent="0.2">
      <c r="L180" s="27">
        <v>47574</v>
      </c>
    </row>
    <row r="181" spans="12:12" x14ac:dyDescent="0.2">
      <c r="L181" s="27">
        <v>47604</v>
      </c>
    </row>
    <row r="182" spans="12:12" x14ac:dyDescent="0.2">
      <c r="L182" s="27">
        <v>47635</v>
      </c>
    </row>
    <row r="183" spans="12:12" x14ac:dyDescent="0.2">
      <c r="L183" s="27">
        <v>47665</v>
      </c>
    </row>
    <row r="184" spans="12:12" x14ac:dyDescent="0.2">
      <c r="L184" s="27">
        <v>47696</v>
      </c>
    </row>
    <row r="185" spans="12:12" x14ac:dyDescent="0.2">
      <c r="L185" s="27">
        <v>47727</v>
      </c>
    </row>
    <row r="186" spans="12:12" x14ac:dyDescent="0.2">
      <c r="L186" s="27">
        <v>47757</v>
      </c>
    </row>
    <row r="187" spans="12:12" x14ac:dyDescent="0.2">
      <c r="L187" s="27">
        <v>47788</v>
      </c>
    </row>
    <row r="188" spans="12:12" x14ac:dyDescent="0.2">
      <c r="L188" s="27">
        <v>47818</v>
      </c>
    </row>
    <row r="189" spans="12:12" x14ac:dyDescent="0.2">
      <c r="L189" s="27">
        <v>47849</v>
      </c>
    </row>
    <row r="190" spans="12:12" x14ac:dyDescent="0.2">
      <c r="L190" s="27">
        <v>47880</v>
      </c>
    </row>
    <row r="191" spans="12:12" x14ac:dyDescent="0.2">
      <c r="L191" s="27">
        <v>47908</v>
      </c>
    </row>
    <row r="192" spans="12:12" x14ac:dyDescent="0.2">
      <c r="L192" s="27">
        <v>47939</v>
      </c>
    </row>
    <row r="193" spans="12:12" x14ac:dyDescent="0.2">
      <c r="L193" s="27">
        <v>47969</v>
      </c>
    </row>
    <row r="194" spans="12:12" x14ac:dyDescent="0.2">
      <c r="L194" s="27">
        <v>48000</v>
      </c>
    </row>
    <row r="195" spans="12:12" x14ac:dyDescent="0.2">
      <c r="L195" s="27">
        <v>48030</v>
      </c>
    </row>
    <row r="196" spans="12:12" x14ac:dyDescent="0.2">
      <c r="L196" s="27">
        <v>48061</v>
      </c>
    </row>
    <row r="197" spans="12:12" x14ac:dyDescent="0.2">
      <c r="L197" s="27">
        <v>48092</v>
      </c>
    </row>
    <row r="198" spans="12:12" x14ac:dyDescent="0.2">
      <c r="L198" s="27">
        <v>48122</v>
      </c>
    </row>
    <row r="199" spans="12:12" x14ac:dyDescent="0.2">
      <c r="L199" s="27">
        <v>48153</v>
      </c>
    </row>
    <row r="200" spans="12:12" x14ac:dyDescent="0.2">
      <c r="L200" s="27">
        <v>48183</v>
      </c>
    </row>
    <row r="201" spans="12:12" x14ac:dyDescent="0.2">
      <c r="L201" s="27">
        <v>48214</v>
      </c>
    </row>
    <row r="202" spans="12:12" x14ac:dyDescent="0.2">
      <c r="L202" s="27">
        <v>48245</v>
      </c>
    </row>
    <row r="203" spans="12:12" x14ac:dyDescent="0.2">
      <c r="L203" s="27">
        <v>48274</v>
      </c>
    </row>
    <row r="204" spans="12:12" x14ac:dyDescent="0.2">
      <c r="L204" s="27">
        <v>48305</v>
      </c>
    </row>
    <row r="205" spans="12:12" x14ac:dyDescent="0.2">
      <c r="L205" s="27">
        <v>48335</v>
      </c>
    </row>
    <row r="206" spans="12:12" x14ac:dyDescent="0.2">
      <c r="L206" s="27">
        <v>48366</v>
      </c>
    </row>
    <row r="207" spans="12:12" x14ac:dyDescent="0.2">
      <c r="L207" s="27">
        <v>48396</v>
      </c>
    </row>
    <row r="208" spans="12:12" x14ac:dyDescent="0.2">
      <c r="L208" s="27">
        <v>48427</v>
      </c>
    </row>
    <row r="209" spans="12:12" x14ac:dyDescent="0.2">
      <c r="L209" s="27">
        <v>48458</v>
      </c>
    </row>
    <row r="210" spans="12:12" x14ac:dyDescent="0.2">
      <c r="L210" s="27">
        <v>48488</v>
      </c>
    </row>
    <row r="211" spans="12:12" x14ac:dyDescent="0.2">
      <c r="L211" s="27">
        <v>48519</v>
      </c>
    </row>
    <row r="212" spans="12:12" x14ac:dyDescent="0.2">
      <c r="L212" s="27">
        <v>48549</v>
      </c>
    </row>
    <row r="213" spans="12:12" x14ac:dyDescent="0.2">
      <c r="L213" s="27">
        <v>48580</v>
      </c>
    </row>
    <row r="214" spans="12:12" x14ac:dyDescent="0.2">
      <c r="L214" s="27">
        <v>48611</v>
      </c>
    </row>
    <row r="215" spans="12:12" x14ac:dyDescent="0.2">
      <c r="L215" s="27">
        <v>48639</v>
      </c>
    </row>
    <row r="216" spans="12:12" x14ac:dyDescent="0.2">
      <c r="L216" s="27">
        <v>48670</v>
      </c>
    </row>
    <row r="217" spans="12:12" x14ac:dyDescent="0.2">
      <c r="L217" s="27">
        <v>48700</v>
      </c>
    </row>
    <row r="218" spans="12:12" x14ac:dyDescent="0.2">
      <c r="L218" s="27">
        <v>48731</v>
      </c>
    </row>
    <row r="219" spans="12:12" x14ac:dyDescent="0.2">
      <c r="L219" s="27">
        <v>48761</v>
      </c>
    </row>
    <row r="220" spans="12:12" x14ac:dyDescent="0.2">
      <c r="L220" s="27">
        <v>48792</v>
      </c>
    </row>
    <row r="221" spans="12:12" x14ac:dyDescent="0.2">
      <c r="L221" s="27">
        <v>48823</v>
      </c>
    </row>
    <row r="222" spans="12:12" x14ac:dyDescent="0.2">
      <c r="L222" s="27">
        <v>48853</v>
      </c>
    </row>
    <row r="223" spans="12:12" x14ac:dyDescent="0.2">
      <c r="L223" s="27">
        <v>48884</v>
      </c>
    </row>
    <row r="224" spans="12:12" x14ac:dyDescent="0.2">
      <c r="L224" s="27">
        <v>48914</v>
      </c>
    </row>
    <row r="225" spans="12:12" x14ac:dyDescent="0.2">
      <c r="L225" s="27">
        <v>48945</v>
      </c>
    </row>
    <row r="226" spans="12:12" x14ac:dyDescent="0.2">
      <c r="L226" s="27">
        <v>48976</v>
      </c>
    </row>
    <row r="227" spans="12:12" x14ac:dyDescent="0.2">
      <c r="L227" s="27">
        <v>49004</v>
      </c>
    </row>
    <row r="228" spans="12:12" x14ac:dyDescent="0.2">
      <c r="L228" s="27">
        <v>49035</v>
      </c>
    </row>
    <row r="229" spans="12:12" x14ac:dyDescent="0.2">
      <c r="L229" s="27">
        <v>49065</v>
      </c>
    </row>
    <row r="230" spans="12:12" x14ac:dyDescent="0.2">
      <c r="L230" s="27">
        <v>49096</v>
      </c>
    </row>
    <row r="231" spans="12:12" x14ac:dyDescent="0.2">
      <c r="L231" s="27">
        <v>49126</v>
      </c>
    </row>
    <row r="232" spans="12:12" x14ac:dyDescent="0.2">
      <c r="L232" s="27">
        <v>49157</v>
      </c>
    </row>
    <row r="233" spans="12:12" x14ac:dyDescent="0.2">
      <c r="L233" s="27">
        <v>49188</v>
      </c>
    </row>
    <row r="234" spans="12:12" x14ac:dyDescent="0.2">
      <c r="L234" s="27">
        <v>49218</v>
      </c>
    </row>
    <row r="235" spans="12:12" x14ac:dyDescent="0.2">
      <c r="L235" s="27">
        <v>49249</v>
      </c>
    </row>
    <row r="236" spans="12:12" x14ac:dyDescent="0.2">
      <c r="L236" s="27">
        <v>49279</v>
      </c>
    </row>
    <row r="237" spans="12:12" x14ac:dyDescent="0.2">
      <c r="L237" s="27">
        <v>49310</v>
      </c>
    </row>
    <row r="238" spans="12:12" x14ac:dyDescent="0.2">
      <c r="L238" s="27">
        <v>49341</v>
      </c>
    </row>
    <row r="239" spans="12:12" x14ac:dyDescent="0.2">
      <c r="L239" s="27">
        <v>49369</v>
      </c>
    </row>
    <row r="240" spans="12:12" x14ac:dyDescent="0.2">
      <c r="L240" s="27">
        <v>49400</v>
      </c>
    </row>
    <row r="241" spans="12:12" x14ac:dyDescent="0.2">
      <c r="L241" s="27">
        <v>49430</v>
      </c>
    </row>
    <row r="242" spans="12:12" x14ac:dyDescent="0.2">
      <c r="L242" s="27">
        <v>49461</v>
      </c>
    </row>
    <row r="243" spans="12:12" x14ac:dyDescent="0.2">
      <c r="L243" s="27">
        <v>49491</v>
      </c>
    </row>
    <row r="244" spans="12:12" x14ac:dyDescent="0.2">
      <c r="L244" s="27">
        <v>49522</v>
      </c>
    </row>
    <row r="245" spans="12:12" x14ac:dyDescent="0.2">
      <c r="L245" s="27">
        <v>49553</v>
      </c>
    </row>
    <row r="246" spans="12:12" x14ac:dyDescent="0.2">
      <c r="L246" s="27">
        <v>49583</v>
      </c>
    </row>
    <row r="247" spans="12:12" x14ac:dyDescent="0.2">
      <c r="L247" s="27">
        <v>49614</v>
      </c>
    </row>
    <row r="248" spans="12:12" x14ac:dyDescent="0.2">
      <c r="L248" s="27">
        <v>49644</v>
      </c>
    </row>
    <row r="249" spans="12:12" x14ac:dyDescent="0.2">
      <c r="L249" s="27">
        <v>49675</v>
      </c>
    </row>
    <row r="250" spans="12:12" x14ac:dyDescent="0.2">
      <c r="L250" s="27">
        <v>49706</v>
      </c>
    </row>
    <row r="251" spans="12:12" x14ac:dyDescent="0.2">
      <c r="L251" s="27">
        <v>49735</v>
      </c>
    </row>
    <row r="252" spans="12:12" x14ac:dyDescent="0.2">
      <c r="L252" s="27">
        <v>49766</v>
      </c>
    </row>
    <row r="253" spans="12:12" x14ac:dyDescent="0.2">
      <c r="L253" s="27">
        <v>49796</v>
      </c>
    </row>
    <row r="254" spans="12:12" x14ac:dyDescent="0.2">
      <c r="L254" s="27">
        <v>49827</v>
      </c>
    </row>
    <row r="255" spans="12:12" x14ac:dyDescent="0.2">
      <c r="L255" s="27">
        <v>49857</v>
      </c>
    </row>
    <row r="256" spans="12:12" x14ac:dyDescent="0.2">
      <c r="L256" s="27">
        <v>49888</v>
      </c>
    </row>
    <row r="257" spans="12:12" x14ac:dyDescent="0.2">
      <c r="L257" s="27">
        <v>49919</v>
      </c>
    </row>
    <row r="258" spans="12:12" x14ac:dyDescent="0.2">
      <c r="L258" s="27">
        <v>49949</v>
      </c>
    </row>
    <row r="259" spans="12:12" x14ac:dyDescent="0.2">
      <c r="L259" s="27">
        <v>49980</v>
      </c>
    </row>
    <row r="260" spans="12:12" x14ac:dyDescent="0.2">
      <c r="L260" s="27">
        <v>50010</v>
      </c>
    </row>
    <row r="261" spans="12:12" x14ac:dyDescent="0.2">
      <c r="L261" s="27">
        <v>50041</v>
      </c>
    </row>
    <row r="262" spans="12:12" x14ac:dyDescent="0.2">
      <c r="L262" s="27">
        <v>50072</v>
      </c>
    </row>
    <row r="263" spans="12:12" x14ac:dyDescent="0.2">
      <c r="L263" s="27">
        <v>50100</v>
      </c>
    </row>
    <row r="264" spans="12:12" x14ac:dyDescent="0.2">
      <c r="L264" s="27">
        <v>50131</v>
      </c>
    </row>
    <row r="265" spans="12:12" x14ac:dyDescent="0.2">
      <c r="L265" s="27">
        <v>50161</v>
      </c>
    </row>
    <row r="266" spans="12:12" x14ac:dyDescent="0.2">
      <c r="L266" s="27">
        <v>50192</v>
      </c>
    </row>
    <row r="267" spans="12:12" x14ac:dyDescent="0.2">
      <c r="L267" s="27">
        <v>50222</v>
      </c>
    </row>
    <row r="268" spans="12:12" x14ac:dyDescent="0.2">
      <c r="L268" s="27">
        <v>50253</v>
      </c>
    </row>
    <row r="269" spans="12:12" x14ac:dyDescent="0.2">
      <c r="L269" s="27">
        <v>50284</v>
      </c>
    </row>
    <row r="270" spans="12:12" x14ac:dyDescent="0.2">
      <c r="L270" s="27">
        <v>50314</v>
      </c>
    </row>
    <row r="271" spans="12:12" x14ac:dyDescent="0.2">
      <c r="L271" s="27">
        <v>50345</v>
      </c>
    </row>
    <row r="272" spans="12:12" x14ac:dyDescent="0.2">
      <c r="L272" s="27">
        <v>50375</v>
      </c>
    </row>
    <row r="273" spans="12:12" x14ac:dyDescent="0.2">
      <c r="L273" s="27">
        <v>50406</v>
      </c>
    </row>
    <row r="274" spans="12:12" x14ac:dyDescent="0.2">
      <c r="L274" s="27">
        <v>50437</v>
      </c>
    </row>
    <row r="275" spans="12:12" x14ac:dyDescent="0.2">
      <c r="L275" s="27">
        <v>50465</v>
      </c>
    </row>
    <row r="276" spans="12:12" x14ac:dyDescent="0.2">
      <c r="L276" s="27">
        <v>50496</v>
      </c>
    </row>
    <row r="277" spans="12:12" x14ac:dyDescent="0.2">
      <c r="L277" s="27">
        <v>50526</v>
      </c>
    </row>
    <row r="278" spans="12:12" x14ac:dyDescent="0.2">
      <c r="L278" s="27">
        <v>50557</v>
      </c>
    </row>
    <row r="279" spans="12:12" x14ac:dyDescent="0.2">
      <c r="L279" s="27">
        <v>50587</v>
      </c>
    </row>
    <row r="280" spans="12:12" x14ac:dyDescent="0.2">
      <c r="L280" s="27">
        <v>50618</v>
      </c>
    </row>
    <row r="281" spans="12:12" x14ac:dyDescent="0.2">
      <c r="L281" s="27">
        <v>50649</v>
      </c>
    </row>
    <row r="282" spans="12:12" x14ac:dyDescent="0.2">
      <c r="L282" s="27">
        <v>50679</v>
      </c>
    </row>
    <row r="283" spans="12:12" x14ac:dyDescent="0.2">
      <c r="L283" s="27">
        <v>50710</v>
      </c>
    </row>
    <row r="284" spans="12:12" x14ac:dyDescent="0.2">
      <c r="L284" s="27">
        <v>50740</v>
      </c>
    </row>
    <row r="285" spans="12:12" x14ac:dyDescent="0.2">
      <c r="L285" s="27">
        <v>50771</v>
      </c>
    </row>
    <row r="286" spans="12:12" x14ac:dyDescent="0.2">
      <c r="L286" s="27">
        <v>50802</v>
      </c>
    </row>
    <row r="287" spans="12:12" x14ac:dyDescent="0.2">
      <c r="L287" s="27">
        <v>50830</v>
      </c>
    </row>
    <row r="288" spans="12:12" x14ac:dyDescent="0.2">
      <c r="L288" s="27">
        <v>50861</v>
      </c>
    </row>
    <row r="289" spans="12:12" x14ac:dyDescent="0.2">
      <c r="L289" s="27">
        <v>50891</v>
      </c>
    </row>
    <row r="290" spans="12:12" x14ac:dyDescent="0.2">
      <c r="L290" s="27">
        <v>50922</v>
      </c>
    </row>
    <row r="291" spans="12:12" x14ac:dyDescent="0.2">
      <c r="L291" s="27">
        <v>50952</v>
      </c>
    </row>
    <row r="292" spans="12:12" x14ac:dyDescent="0.2">
      <c r="L292" s="27">
        <v>50983</v>
      </c>
    </row>
    <row r="293" spans="12:12" x14ac:dyDescent="0.2">
      <c r="L293" s="27">
        <v>51014</v>
      </c>
    </row>
    <row r="294" spans="12:12" x14ac:dyDescent="0.2">
      <c r="L294" s="27">
        <v>51044</v>
      </c>
    </row>
    <row r="295" spans="12:12" x14ac:dyDescent="0.2">
      <c r="L295" s="27">
        <v>51075</v>
      </c>
    </row>
    <row r="296" spans="12:12" x14ac:dyDescent="0.2">
      <c r="L296" s="27">
        <v>51105</v>
      </c>
    </row>
    <row r="297" spans="12:12" x14ac:dyDescent="0.2">
      <c r="L297" s="27">
        <v>51136</v>
      </c>
    </row>
    <row r="298" spans="12:12" x14ac:dyDescent="0.2">
      <c r="L298" s="27">
        <v>51167</v>
      </c>
    </row>
    <row r="299" spans="12:12" x14ac:dyDescent="0.2">
      <c r="L299" s="27">
        <v>51196</v>
      </c>
    </row>
    <row r="300" spans="12:12" x14ac:dyDescent="0.2">
      <c r="L300" s="27">
        <v>51227</v>
      </c>
    </row>
    <row r="301" spans="12:12" x14ac:dyDescent="0.2">
      <c r="L301" s="27">
        <v>51257</v>
      </c>
    </row>
    <row r="302" spans="12:12" x14ac:dyDescent="0.2">
      <c r="L302" s="27">
        <v>51288</v>
      </c>
    </row>
    <row r="303" spans="12:12" x14ac:dyDescent="0.2">
      <c r="L303" s="27">
        <v>51318</v>
      </c>
    </row>
    <row r="304" spans="12:12" x14ac:dyDescent="0.2">
      <c r="L304" s="27">
        <v>51349</v>
      </c>
    </row>
    <row r="305" spans="12:12" x14ac:dyDescent="0.2">
      <c r="L305" s="27">
        <v>51380</v>
      </c>
    </row>
    <row r="306" spans="12:12" x14ac:dyDescent="0.2">
      <c r="L306" s="27">
        <v>51410</v>
      </c>
    </row>
    <row r="307" spans="12:12" x14ac:dyDescent="0.2">
      <c r="L307" s="27">
        <v>51441</v>
      </c>
    </row>
    <row r="308" spans="12:12" x14ac:dyDescent="0.2">
      <c r="L308" s="27">
        <v>51471</v>
      </c>
    </row>
    <row r="309" spans="12:12" x14ac:dyDescent="0.2">
      <c r="L309" s="27">
        <v>51502</v>
      </c>
    </row>
    <row r="310" spans="12:12" x14ac:dyDescent="0.2">
      <c r="L310" s="27">
        <v>51533</v>
      </c>
    </row>
    <row r="311" spans="12:12" x14ac:dyDescent="0.2">
      <c r="L311" s="27">
        <v>51561</v>
      </c>
    </row>
    <row r="312" spans="12:12" x14ac:dyDescent="0.2">
      <c r="L312" s="27">
        <v>51592</v>
      </c>
    </row>
    <row r="313" spans="12:12" x14ac:dyDescent="0.2">
      <c r="L313" s="27">
        <v>51622</v>
      </c>
    </row>
    <row r="314" spans="12:12" x14ac:dyDescent="0.2">
      <c r="L314" s="27">
        <v>51653</v>
      </c>
    </row>
    <row r="315" spans="12:12" x14ac:dyDescent="0.2">
      <c r="L315" s="27">
        <v>51683</v>
      </c>
    </row>
    <row r="316" spans="12:12" x14ac:dyDescent="0.2">
      <c r="L316" s="27">
        <v>51714</v>
      </c>
    </row>
    <row r="317" spans="12:12" x14ac:dyDescent="0.2">
      <c r="L317" s="27">
        <v>51745</v>
      </c>
    </row>
    <row r="318" spans="12:12" x14ac:dyDescent="0.2">
      <c r="L318" s="27">
        <v>51775</v>
      </c>
    </row>
    <row r="319" spans="12:12" x14ac:dyDescent="0.2">
      <c r="L319" s="27">
        <v>51806</v>
      </c>
    </row>
    <row r="320" spans="12:12" x14ac:dyDescent="0.2">
      <c r="L320" s="27">
        <v>51836</v>
      </c>
    </row>
    <row r="321" spans="12:12" x14ac:dyDescent="0.2">
      <c r="L321" s="27">
        <v>51867</v>
      </c>
    </row>
    <row r="322" spans="12:12" x14ac:dyDescent="0.2">
      <c r="L322" s="27">
        <v>51898</v>
      </c>
    </row>
    <row r="323" spans="12:12" x14ac:dyDescent="0.2">
      <c r="L323" s="27">
        <v>51926</v>
      </c>
    </row>
    <row r="324" spans="12:12" x14ac:dyDescent="0.2">
      <c r="L324" s="27">
        <v>51957</v>
      </c>
    </row>
    <row r="325" spans="12:12" x14ac:dyDescent="0.2">
      <c r="L325" s="27">
        <v>51987</v>
      </c>
    </row>
    <row r="326" spans="12:12" x14ac:dyDescent="0.2">
      <c r="L326" s="27">
        <v>52018</v>
      </c>
    </row>
    <row r="327" spans="12:12" x14ac:dyDescent="0.2">
      <c r="L327" s="27">
        <v>52048</v>
      </c>
    </row>
    <row r="328" spans="12:12" x14ac:dyDescent="0.2">
      <c r="L328" s="27">
        <v>52079</v>
      </c>
    </row>
    <row r="329" spans="12:12" x14ac:dyDescent="0.2">
      <c r="L329" s="27">
        <v>52110</v>
      </c>
    </row>
    <row r="330" spans="12:12" x14ac:dyDescent="0.2">
      <c r="L330" s="27">
        <v>52140</v>
      </c>
    </row>
    <row r="331" spans="12:12" x14ac:dyDescent="0.2">
      <c r="L331" s="27">
        <v>52171</v>
      </c>
    </row>
    <row r="332" spans="12:12" x14ac:dyDescent="0.2">
      <c r="L332" s="27">
        <v>52201</v>
      </c>
    </row>
    <row r="333" spans="12:12" x14ac:dyDescent="0.2">
      <c r="L333" s="27">
        <v>52232</v>
      </c>
    </row>
    <row r="334" spans="12:12" x14ac:dyDescent="0.2">
      <c r="L334" s="27">
        <v>52263</v>
      </c>
    </row>
    <row r="335" spans="12:12" x14ac:dyDescent="0.2">
      <c r="L335" s="27">
        <v>52291</v>
      </c>
    </row>
    <row r="336" spans="12:12" x14ac:dyDescent="0.2">
      <c r="L336" s="27">
        <v>52322</v>
      </c>
    </row>
    <row r="337" spans="12:12" x14ac:dyDescent="0.2">
      <c r="L337" s="27">
        <v>52352</v>
      </c>
    </row>
    <row r="338" spans="12:12" x14ac:dyDescent="0.2">
      <c r="L338" s="27">
        <v>52383</v>
      </c>
    </row>
    <row r="339" spans="12:12" x14ac:dyDescent="0.2">
      <c r="L339" s="27">
        <v>52413</v>
      </c>
    </row>
    <row r="340" spans="12:12" x14ac:dyDescent="0.2">
      <c r="L340" s="27">
        <v>52444</v>
      </c>
    </row>
    <row r="341" spans="12:12" x14ac:dyDescent="0.2">
      <c r="L341" s="27">
        <v>52475</v>
      </c>
    </row>
    <row r="342" spans="12:12" x14ac:dyDescent="0.2">
      <c r="L342" s="27">
        <v>52505</v>
      </c>
    </row>
    <row r="343" spans="12:12" x14ac:dyDescent="0.2">
      <c r="L343" s="27">
        <v>52536</v>
      </c>
    </row>
    <row r="344" spans="12:12" x14ac:dyDescent="0.2">
      <c r="L344" s="27">
        <v>52566</v>
      </c>
    </row>
    <row r="345" spans="12:12" x14ac:dyDescent="0.2">
      <c r="L345" s="27">
        <v>52597</v>
      </c>
    </row>
    <row r="346" spans="12:12" x14ac:dyDescent="0.2">
      <c r="L346" s="27">
        <v>52628</v>
      </c>
    </row>
    <row r="347" spans="12:12" x14ac:dyDescent="0.2">
      <c r="L347" s="27">
        <v>52657</v>
      </c>
    </row>
    <row r="348" spans="12:12" x14ac:dyDescent="0.2">
      <c r="L348" s="27">
        <v>52688</v>
      </c>
    </row>
    <row r="349" spans="12:12" x14ac:dyDescent="0.2">
      <c r="L349" s="27">
        <v>52718</v>
      </c>
    </row>
    <row r="350" spans="12:12" x14ac:dyDescent="0.2">
      <c r="L350" s="27">
        <v>52749</v>
      </c>
    </row>
    <row r="351" spans="12:12" x14ac:dyDescent="0.2">
      <c r="L351" s="27">
        <v>52779</v>
      </c>
    </row>
    <row r="352" spans="12:12" x14ac:dyDescent="0.2">
      <c r="L352" s="27">
        <v>52810</v>
      </c>
    </row>
    <row r="353" spans="12:12" x14ac:dyDescent="0.2">
      <c r="L353" s="27">
        <v>52841</v>
      </c>
    </row>
    <row r="354" spans="12:12" x14ac:dyDescent="0.2">
      <c r="L354" s="27">
        <v>52871</v>
      </c>
    </row>
    <row r="355" spans="12:12" x14ac:dyDescent="0.2">
      <c r="L355" s="27">
        <v>52902</v>
      </c>
    </row>
    <row r="356" spans="12:12" x14ac:dyDescent="0.2">
      <c r="L356" s="27">
        <v>52932</v>
      </c>
    </row>
    <row r="357" spans="12:12" x14ac:dyDescent="0.2">
      <c r="L357" s="27">
        <v>52963</v>
      </c>
    </row>
    <row r="358" spans="12:12" x14ac:dyDescent="0.2">
      <c r="L358" s="27">
        <v>52994</v>
      </c>
    </row>
    <row r="359" spans="12:12" x14ac:dyDescent="0.2">
      <c r="L359" s="27">
        <v>53022</v>
      </c>
    </row>
    <row r="360" spans="12:12" x14ac:dyDescent="0.2">
      <c r="L360" s="27">
        <v>53053</v>
      </c>
    </row>
    <row r="361" spans="12:12" x14ac:dyDescent="0.2">
      <c r="L361" s="27">
        <v>53083</v>
      </c>
    </row>
    <row r="362" spans="12:12" x14ac:dyDescent="0.2">
      <c r="L362" s="27">
        <v>53114</v>
      </c>
    </row>
    <row r="363" spans="12:12" x14ac:dyDescent="0.2">
      <c r="L363" s="27">
        <v>53144</v>
      </c>
    </row>
    <row r="364" spans="12:12" x14ac:dyDescent="0.2">
      <c r="L364" s="27">
        <v>53175</v>
      </c>
    </row>
    <row r="365" spans="12:12" x14ac:dyDescent="0.2">
      <c r="L365" s="27">
        <v>53206</v>
      </c>
    </row>
    <row r="366" spans="12:12" x14ac:dyDescent="0.2">
      <c r="L366" s="27">
        <v>53236</v>
      </c>
    </row>
    <row r="367" spans="12:12" x14ac:dyDescent="0.2">
      <c r="L367" s="27">
        <v>53267</v>
      </c>
    </row>
    <row r="368" spans="12:12" x14ac:dyDescent="0.2">
      <c r="L368" s="27">
        <v>53297</v>
      </c>
    </row>
    <row r="369" spans="12:12" x14ac:dyDescent="0.2">
      <c r="L369" s="27">
        <v>53328</v>
      </c>
    </row>
    <row r="370" spans="12:12" x14ac:dyDescent="0.2">
      <c r="L370" s="27">
        <v>53359</v>
      </c>
    </row>
    <row r="371" spans="12:12" x14ac:dyDescent="0.2">
      <c r="L371" s="27">
        <v>53387</v>
      </c>
    </row>
    <row r="372" spans="12:12" x14ac:dyDescent="0.2">
      <c r="L372" s="27">
        <v>53418</v>
      </c>
    </row>
    <row r="373" spans="12:12" x14ac:dyDescent="0.2">
      <c r="L373" s="27">
        <v>53448</v>
      </c>
    </row>
    <row r="374" spans="12:12" x14ac:dyDescent="0.2">
      <c r="L374" s="27">
        <v>53479</v>
      </c>
    </row>
    <row r="375" spans="12:12" x14ac:dyDescent="0.2">
      <c r="L375" s="27">
        <v>53509</v>
      </c>
    </row>
    <row r="376" spans="12:12" x14ac:dyDescent="0.2">
      <c r="L376" s="27">
        <v>53540</v>
      </c>
    </row>
    <row r="377" spans="12:12" x14ac:dyDescent="0.2">
      <c r="L377" s="27">
        <v>53571</v>
      </c>
    </row>
    <row r="378" spans="12:12" x14ac:dyDescent="0.2">
      <c r="L378" s="27">
        <v>53601</v>
      </c>
    </row>
    <row r="379" spans="12:12" x14ac:dyDescent="0.2">
      <c r="L379" s="27">
        <v>53632</v>
      </c>
    </row>
    <row r="380" spans="12:12" x14ac:dyDescent="0.2">
      <c r="L380" s="27">
        <v>53662</v>
      </c>
    </row>
    <row r="381" spans="12:12" x14ac:dyDescent="0.2">
      <c r="L381" s="27">
        <v>53693</v>
      </c>
    </row>
    <row r="382" spans="12:12" x14ac:dyDescent="0.2">
      <c r="L382" s="27">
        <v>53724</v>
      </c>
    </row>
    <row r="383" spans="12:12" x14ac:dyDescent="0.2">
      <c r="L383" s="27">
        <v>53752</v>
      </c>
    </row>
    <row r="384" spans="12:12" x14ac:dyDescent="0.2">
      <c r="L384" s="27">
        <v>53783</v>
      </c>
    </row>
    <row r="385" spans="12:12" x14ac:dyDescent="0.2">
      <c r="L385" s="27">
        <v>53813</v>
      </c>
    </row>
    <row r="386" spans="12:12" x14ac:dyDescent="0.2">
      <c r="L386" s="27">
        <v>53844</v>
      </c>
    </row>
    <row r="387" spans="12:12" x14ac:dyDescent="0.2">
      <c r="L387" s="27">
        <v>53874</v>
      </c>
    </row>
    <row r="388" spans="12:12" x14ac:dyDescent="0.2">
      <c r="L388" s="27">
        <v>53905</v>
      </c>
    </row>
    <row r="389" spans="12:12" x14ac:dyDescent="0.2">
      <c r="L389" s="27">
        <v>53936</v>
      </c>
    </row>
    <row r="390" spans="12:12" x14ac:dyDescent="0.2">
      <c r="L390" s="27">
        <v>53966</v>
      </c>
    </row>
    <row r="391" spans="12:12" x14ac:dyDescent="0.2">
      <c r="L391" s="27">
        <v>53997</v>
      </c>
    </row>
    <row r="392" spans="12:12" x14ac:dyDescent="0.2">
      <c r="L392" s="27">
        <v>54027</v>
      </c>
    </row>
    <row r="393" spans="12:12" x14ac:dyDescent="0.2">
      <c r="L393" s="27">
        <v>54058</v>
      </c>
    </row>
    <row r="394" spans="12:12" x14ac:dyDescent="0.2">
      <c r="L394" s="27">
        <v>54089</v>
      </c>
    </row>
    <row r="395" spans="12:12" x14ac:dyDescent="0.2">
      <c r="L395" s="27">
        <v>54118</v>
      </c>
    </row>
    <row r="396" spans="12:12" x14ac:dyDescent="0.2">
      <c r="L396" s="27">
        <v>54149</v>
      </c>
    </row>
    <row r="397" spans="12:12" x14ac:dyDescent="0.2">
      <c r="L397" s="27">
        <v>54179</v>
      </c>
    </row>
    <row r="398" spans="12:12" x14ac:dyDescent="0.2">
      <c r="L398" s="27">
        <v>54210</v>
      </c>
    </row>
    <row r="399" spans="12:12" x14ac:dyDescent="0.2">
      <c r="L399" s="27">
        <v>54240</v>
      </c>
    </row>
    <row r="400" spans="12:12" x14ac:dyDescent="0.2">
      <c r="L400" s="27">
        <v>54271</v>
      </c>
    </row>
    <row r="401" spans="12:12" x14ac:dyDescent="0.2">
      <c r="L401" s="27">
        <v>54302</v>
      </c>
    </row>
    <row r="402" spans="12:12" x14ac:dyDescent="0.2">
      <c r="L402" s="27">
        <v>54332</v>
      </c>
    </row>
    <row r="403" spans="12:12" x14ac:dyDescent="0.2">
      <c r="L403" s="27">
        <v>54363</v>
      </c>
    </row>
    <row r="404" spans="12:12" x14ac:dyDescent="0.2">
      <c r="L404" s="27">
        <v>54393</v>
      </c>
    </row>
    <row r="405" spans="12:12" x14ac:dyDescent="0.2">
      <c r="L405" s="27">
        <v>54424</v>
      </c>
    </row>
    <row r="406" spans="12:12" x14ac:dyDescent="0.2">
      <c r="L406" s="27">
        <v>54455</v>
      </c>
    </row>
    <row r="407" spans="12:12" x14ac:dyDescent="0.2">
      <c r="L407" s="27">
        <v>54483</v>
      </c>
    </row>
    <row r="408" spans="12:12" x14ac:dyDescent="0.2">
      <c r="L408" s="27">
        <v>54514</v>
      </c>
    </row>
    <row r="409" spans="12:12" x14ac:dyDescent="0.2">
      <c r="L409" s="27">
        <v>54544</v>
      </c>
    </row>
    <row r="410" spans="12:12" x14ac:dyDescent="0.2">
      <c r="L410" s="27">
        <v>54575</v>
      </c>
    </row>
    <row r="411" spans="12:12" x14ac:dyDescent="0.2">
      <c r="L411" s="27">
        <v>54605</v>
      </c>
    </row>
    <row r="412" spans="12:12" x14ac:dyDescent="0.2">
      <c r="L412" s="27">
        <v>54636</v>
      </c>
    </row>
    <row r="413" spans="12:12" x14ac:dyDescent="0.2">
      <c r="L413" s="27">
        <v>54667</v>
      </c>
    </row>
    <row r="414" spans="12:12" x14ac:dyDescent="0.2">
      <c r="L414" s="27">
        <v>54697</v>
      </c>
    </row>
    <row r="415" spans="12:12" x14ac:dyDescent="0.2">
      <c r="L415" s="27">
        <v>54728</v>
      </c>
    </row>
    <row r="416" spans="12:12" x14ac:dyDescent="0.2">
      <c r="L416" s="27">
        <v>54758</v>
      </c>
    </row>
    <row r="417" spans="12:12" x14ac:dyDescent="0.2">
      <c r="L417" s="27">
        <v>54789</v>
      </c>
    </row>
    <row r="418" spans="12:12" x14ac:dyDescent="0.2">
      <c r="L418" s="27">
        <v>54820</v>
      </c>
    </row>
    <row r="419" spans="12:12" x14ac:dyDescent="0.2">
      <c r="L419" s="27">
        <v>54848</v>
      </c>
    </row>
    <row r="420" spans="12:12" x14ac:dyDescent="0.2">
      <c r="L420" s="27">
        <v>54879</v>
      </c>
    </row>
    <row r="421" spans="12:12" x14ac:dyDescent="0.2">
      <c r="L421" s="27">
        <v>54909</v>
      </c>
    </row>
    <row r="422" spans="12:12" x14ac:dyDescent="0.2">
      <c r="L422" s="27">
        <v>54940</v>
      </c>
    </row>
    <row r="423" spans="12:12" x14ac:dyDescent="0.2">
      <c r="L423" s="27">
        <v>54970</v>
      </c>
    </row>
    <row r="424" spans="12:12" x14ac:dyDescent="0.2">
      <c r="L424" s="27">
        <v>55001</v>
      </c>
    </row>
    <row r="425" spans="12:12" x14ac:dyDescent="0.2">
      <c r="L425" s="27">
        <v>55032</v>
      </c>
    </row>
    <row r="426" spans="12:12" x14ac:dyDescent="0.2">
      <c r="L426" s="27">
        <v>55062</v>
      </c>
    </row>
    <row r="427" spans="12:12" x14ac:dyDescent="0.2">
      <c r="L427" s="27">
        <v>55093</v>
      </c>
    </row>
    <row r="428" spans="12:12" x14ac:dyDescent="0.2">
      <c r="L428" s="27">
        <v>55123</v>
      </c>
    </row>
  </sheetData>
  <customSheetViews>
    <customSheetView guid="{FC643F0B-3E44-4304-9C6C-EBD35A45B8FD}" hiddenColumns="1" state="hidden">
      <selection activeCell="I3" sqref="I3"/>
      <pageMargins left="0" right="0" top="0" bottom="0" header="0" footer="0"/>
      <pageSetup orientation="portrait" horizontalDpi="300" verticalDpi="0" copies="0" r:id="rId1"/>
    </customSheetView>
    <customSheetView guid="{ECC56881-4CE2-4FBF-815D-85F544F885E8}" hiddenColumns="1" state="hidden">
      <selection activeCell="I3" sqref="I3"/>
      <pageMargins left="0" right="0" top="0" bottom="0" header="0" footer="0"/>
      <pageSetup orientation="portrait" horizontalDpi="300" verticalDpi="0" copies="0" r:id="rId2"/>
    </customSheetView>
    <customSheetView guid="{40F11FFD-627B-4157-AFFE-E57E44CED524}" hiddenColumns="1" state="hidden">
      <selection activeCell="I3" sqref="I3"/>
      <pageMargins left="0" right="0" top="0" bottom="0" header="0" footer="0"/>
      <pageSetup orientation="portrait" horizontalDpi="300" verticalDpi="0" copies="0" r:id="rId3"/>
    </customSheetView>
  </customSheetViews>
  <pageMargins left="0.511811024" right="0.511811024" top="0.78740157499999996" bottom="0.78740157499999996" header="0.31496062000000002" footer="0.31496062000000002"/>
  <pageSetup orientation="portrait" horizontalDpi="300" verticalDpi="0" copies="0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9">
    <tabColor theme="2" tint="-0.749992370372631"/>
  </sheetPr>
  <dimension ref="I1:P1"/>
  <sheetViews>
    <sheetView showGridLines="0" zoomScale="70" zoomScaleNormal="70" workbookViewId="0">
      <selection activeCell="W46" sqref="W46"/>
    </sheetView>
  </sheetViews>
  <sheetFormatPr defaultRowHeight="12.75" x14ac:dyDescent="0.2"/>
  <cols>
    <col min="1" max="1" width="2" customWidth="1"/>
    <col min="17" max="17" width="10.85546875" customWidth="1"/>
    <col min="18" max="18" width="1.5703125" customWidth="1"/>
    <col min="19" max="19" width="3" bestFit="1" customWidth="1"/>
    <col min="20" max="20" width="14.28515625" customWidth="1"/>
    <col min="21" max="21" width="12" customWidth="1"/>
  </cols>
  <sheetData>
    <row r="1" spans="9:16" s="92" customFormat="1" ht="18.75" x14ac:dyDescent="0.2">
      <c r="I1" s="249" t="s">
        <v>92</v>
      </c>
      <c r="J1" s="249"/>
      <c r="K1" s="253">
        <v>2015</v>
      </c>
      <c r="L1" s="253"/>
      <c r="M1" s="249" t="s">
        <v>93</v>
      </c>
      <c r="N1" s="249"/>
      <c r="O1" s="253" t="s">
        <v>36</v>
      </c>
      <c r="P1" s="253"/>
    </row>
  </sheetData>
  <customSheetViews>
    <customSheetView guid="{FC643F0B-3E44-4304-9C6C-EBD35A45B8FD}" showGridLines="0">
      <selection activeCell="AB43" sqref="AB43"/>
      <pageMargins left="0" right="0" top="0" bottom="0" header="0" footer="0"/>
      <printOptions horizontalCentered="1" verticalCentered="1"/>
      <pageSetup paperSize="9" orientation="landscape" horizontalDpi="4294967294" verticalDpi="4294967294" r:id="rId1"/>
    </customSheetView>
    <customSheetView guid="{ECC56881-4CE2-4FBF-815D-85F544F885E8}" showGridLines="0">
      <selection activeCell="AB20" sqref="AB20"/>
      <pageMargins left="0" right="0" top="0" bottom="0" header="0" footer="0"/>
      <printOptions horizontalCentered="1" verticalCentered="1"/>
      <pageSetup paperSize="9" orientation="landscape" horizontalDpi="4294967294" verticalDpi="4294967294" r:id="rId2"/>
    </customSheetView>
    <customSheetView guid="{40F11FFD-627B-4157-AFFE-E57E44CED524}" showGridLines="0">
      <selection activeCell="AB43" sqref="AB43"/>
      <pageMargins left="0" right="0" top="0" bottom="0" header="0" footer="0"/>
      <printOptions horizontalCentered="1" verticalCentered="1"/>
      <pageSetup paperSize="9" orientation="landscape" horizontalDpi="4294967294" verticalDpi="4294967294" r:id="rId3"/>
    </customSheetView>
  </customSheetViews>
  <mergeCells count="4">
    <mergeCell ref="I1:J1"/>
    <mergeCell ref="K1:L1"/>
    <mergeCell ref="M1:N1"/>
    <mergeCell ref="O1:P1"/>
  </mergeCells>
  <dataValidations count="1">
    <dataValidation type="whole" operator="greaterThanOrEqual" allowBlank="1" showInputMessage="1" showErrorMessage="1" sqref="K1:L1" xr:uid="{00000000-0002-0000-0500-000000000000}">
      <formula1>2015</formula1>
    </dataValidation>
  </dataValidations>
  <printOptions horizontalCentered="1" verticalCentered="1"/>
  <pageMargins left="0.31496062992125984" right="0.31496062992125984" top="0.78740157480314965" bottom="0.78740157480314965" header="0.31496062992125984" footer="0.31496062992125984"/>
  <pageSetup paperSize="9" orientation="landscape" horizontalDpi="4294967294" verticalDpi="4294967294" r:id="rId4"/>
  <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'Dados Dinamicos'!$A$1:$A$12</xm:f>
          </x14:formula1>
          <xm:sqref>O1:P1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0">
    <tabColor theme="1" tint="0.34998626667073579"/>
  </sheetPr>
  <dimension ref="A1:X18"/>
  <sheetViews>
    <sheetView workbookViewId="0">
      <selection activeCell="H2" sqref="H2:X2"/>
    </sheetView>
  </sheetViews>
  <sheetFormatPr defaultRowHeight="12.75" x14ac:dyDescent="0.2"/>
  <cols>
    <col min="1" max="2" width="18.140625" bestFit="1" customWidth="1"/>
    <col min="3" max="3" width="4.85546875" bestFit="1" customWidth="1"/>
    <col min="4" max="4" width="18.140625" bestFit="1" customWidth="1"/>
    <col min="5" max="5" width="10.7109375" customWidth="1"/>
    <col min="6" max="6" width="18.140625" bestFit="1" customWidth="1"/>
    <col min="7" max="7" width="4.85546875" bestFit="1" customWidth="1"/>
  </cols>
  <sheetData>
    <row r="1" spans="1:24" x14ac:dyDescent="0.2">
      <c r="A1" s="78">
        <v>0</v>
      </c>
      <c r="B1" s="78" t="s">
        <v>97</v>
      </c>
      <c r="D1" s="78" t="s">
        <v>97</v>
      </c>
      <c r="E1" s="78">
        <v>0</v>
      </c>
    </row>
    <row r="2" spans="1:24" x14ac:dyDescent="0.2">
      <c r="A2" s="78">
        <v>9701</v>
      </c>
      <c r="B2" s="78" t="s">
        <v>98</v>
      </c>
      <c r="D2" s="78" t="s">
        <v>98</v>
      </c>
      <c r="E2" s="78">
        <v>9701</v>
      </c>
      <c r="H2" s="227">
        <v>9701</v>
      </c>
      <c r="I2" s="227">
        <v>9702</v>
      </c>
      <c r="J2" s="227">
        <v>9703</v>
      </c>
      <c r="K2" s="227">
        <v>9704</v>
      </c>
      <c r="L2" s="227">
        <v>9705</v>
      </c>
      <c r="M2" s="227">
        <v>9706</v>
      </c>
      <c r="N2" s="227">
        <v>9707</v>
      </c>
      <c r="O2" s="227">
        <v>9708</v>
      </c>
      <c r="P2" s="227">
        <v>9709</v>
      </c>
      <c r="Q2" s="227">
        <v>9710</v>
      </c>
      <c r="R2" s="227">
        <v>9711</v>
      </c>
      <c r="S2" s="227">
        <v>9712</v>
      </c>
      <c r="T2" s="227">
        <v>9713</v>
      </c>
      <c r="U2" s="227">
        <v>9714</v>
      </c>
      <c r="V2" s="227">
        <v>9715</v>
      </c>
      <c r="W2" s="227">
        <v>9716</v>
      </c>
      <c r="X2" s="227">
        <v>97001</v>
      </c>
    </row>
    <row r="3" spans="1:24" x14ac:dyDescent="0.2">
      <c r="A3" s="78">
        <v>9702</v>
      </c>
      <c r="B3" s="78" t="s">
        <v>99</v>
      </c>
      <c r="D3" s="78" t="s">
        <v>99</v>
      </c>
      <c r="E3" s="78">
        <v>9702</v>
      </c>
    </row>
    <row r="4" spans="1:24" x14ac:dyDescent="0.2">
      <c r="A4" s="78">
        <v>9703</v>
      </c>
      <c r="B4" s="78" t="s">
        <v>100</v>
      </c>
      <c r="D4" s="78" t="s">
        <v>100</v>
      </c>
      <c r="E4" s="78">
        <v>9703</v>
      </c>
    </row>
    <row r="5" spans="1:24" x14ac:dyDescent="0.2">
      <c r="A5" s="78">
        <v>9704</v>
      </c>
      <c r="B5" s="78" t="s">
        <v>101</v>
      </c>
      <c r="D5" s="78" t="s">
        <v>101</v>
      </c>
      <c r="E5" s="78">
        <v>9704</v>
      </c>
    </row>
    <row r="6" spans="1:24" x14ac:dyDescent="0.2">
      <c r="A6" s="78">
        <v>9705</v>
      </c>
      <c r="B6" s="78" t="s">
        <v>102</v>
      </c>
      <c r="D6" s="78" t="s">
        <v>102</v>
      </c>
      <c r="E6" s="78">
        <v>9705</v>
      </c>
    </row>
    <row r="7" spans="1:24" x14ac:dyDescent="0.2">
      <c r="A7" s="78">
        <v>9706</v>
      </c>
      <c r="B7" s="78" t="s">
        <v>103</v>
      </c>
      <c r="D7" s="78" t="s">
        <v>103</v>
      </c>
      <c r="E7" s="78">
        <v>9706</v>
      </c>
    </row>
    <row r="8" spans="1:24" x14ac:dyDescent="0.2">
      <c r="A8" s="78">
        <v>9707</v>
      </c>
      <c r="B8" s="78" t="s">
        <v>104</v>
      </c>
      <c r="D8" s="78" t="s">
        <v>104</v>
      </c>
      <c r="E8" s="78">
        <v>9707</v>
      </c>
    </row>
    <row r="9" spans="1:24" x14ac:dyDescent="0.2">
      <c r="A9" s="78">
        <v>9708</v>
      </c>
      <c r="B9" s="78" t="s">
        <v>105</v>
      </c>
      <c r="D9" s="78" t="s">
        <v>105</v>
      </c>
      <c r="E9" s="78">
        <v>9708</v>
      </c>
    </row>
    <row r="10" spans="1:24" x14ac:dyDescent="0.2">
      <c r="A10" s="78">
        <v>9709</v>
      </c>
      <c r="B10" s="78" t="s">
        <v>106</v>
      </c>
      <c r="D10" s="78" t="s">
        <v>106</v>
      </c>
      <c r="E10" s="78">
        <v>9709</v>
      </c>
    </row>
    <row r="11" spans="1:24" x14ac:dyDescent="0.2">
      <c r="A11" s="78">
        <v>9710</v>
      </c>
      <c r="B11" s="78" t="s">
        <v>107</v>
      </c>
      <c r="D11" s="78" t="s">
        <v>107</v>
      </c>
      <c r="E11" s="78">
        <v>9710</v>
      </c>
    </row>
    <row r="12" spans="1:24" x14ac:dyDescent="0.2">
      <c r="A12" s="78">
        <v>9711</v>
      </c>
      <c r="B12" s="78" t="s">
        <v>94</v>
      </c>
      <c r="D12" s="78" t="s">
        <v>94</v>
      </c>
      <c r="E12" s="78">
        <v>9711</v>
      </c>
    </row>
    <row r="13" spans="1:24" x14ac:dyDescent="0.2">
      <c r="A13" s="78">
        <v>9712</v>
      </c>
      <c r="B13" s="78" t="s">
        <v>108</v>
      </c>
      <c r="D13" s="78" t="s">
        <v>108</v>
      </c>
      <c r="E13" s="78">
        <v>9712</v>
      </c>
    </row>
    <row r="14" spans="1:24" x14ac:dyDescent="0.2">
      <c r="A14" s="78">
        <v>9713</v>
      </c>
      <c r="B14" s="78" t="s">
        <v>109</v>
      </c>
      <c r="D14" s="78" t="s">
        <v>109</v>
      </c>
      <c r="E14" s="78">
        <v>9713</v>
      </c>
    </row>
    <row r="15" spans="1:24" x14ac:dyDescent="0.2">
      <c r="A15" s="78">
        <v>9714</v>
      </c>
      <c r="B15" s="78" t="s">
        <v>110</v>
      </c>
      <c r="D15" s="78" t="s">
        <v>110</v>
      </c>
      <c r="E15" s="78">
        <v>9714</v>
      </c>
    </row>
    <row r="16" spans="1:24" x14ac:dyDescent="0.2">
      <c r="A16" s="78">
        <v>9715</v>
      </c>
      <c r="B16" s="78" t="s">
        <v>111</v>
      </c>
      <c r="C16" s="78"/>
      <c r="D16" s="78" t="s">
        <v>111</v>
      </c>
      <c r="E16" s="78">
        <v>9715</v>
      </c>
      <c r="G16" s="78"/>
    </row>
    <row r="17" spans="1:7" x14ac:dyDescent="0.2">
      <c r="A17" s="78">
        <v>9716</v>
      </c>
      <c r="B17" s="78" t="s">
        <v>112</v>
      </c>
      <c r="C17" s="78"/>
      <c r="D17" s="78" t="s">
        <v>112</v>
      </c>
      <c r="E17" s="78">
        <v>9716</v>
      </c>
      <c r="G17" s="78"/>
    </row>
    <row r="18" spans="1:7" x14ac:dyDescent="0.2">
      <c r="A18" s="78">
        <v>97001</v>
      </c>
      <c r="B18" s="78" t="s">
        <v>113</v>
      </c>
      <c r="C18" s="78"/>
      <c r="D18" s="78" t="s">
        <v>113</v>
      </c>
      <c r="E18" s="78">
        <v>97001</v>
      </c>
      <c r="G18" s="78"/>
    </row>
  </sheetData>
  <customSheetViews>
    <customSheetView guid="{FC643F0B-3E44-4304-9C6C-EBD35A45B8FD}" state="hidden">
      <selection activeCell="F13" sqref="F13"/>
      <pageMargins left="0" right="0" top="0" bottom="0" header="0" footer="0"/>
    </customSheetView>
    <customSheetView guid="{ECC56881-4CE2-4FBF-815D-85F544F885E8}" state="hidden">
      <selection activeCell="F13" sqref="F13"/>
      <pageMargins left="0" right="0" top="0" bottom="0" header="0" footer="0"/>
    </customSheetView>
    <customSheetView guid="{40F11FFD-627B-4157-AFFE-E57E44CED524}" state="hidden">
      <selection activeCell="F13" sqref="F13"/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3">
    <tabColor rgb="FFFFFF00"/>
  </sheetPr>
  <dimension ref="A1:V49"/>
  <sheetViews>
    <sheetView showGridLines="0" topLeftCell="A19" zoomScaleNormal="100" workbookViewId="0">
      <selection activeCell="G4" sqref="G4:H5"/>
    </sheetView>
  </sheetViews>
  <sheetFormatPr defaultRowHeight="12.75" x14ac:dyDescent="0.2"/>
  <cols>
    <col min="8" max="8" width="11.140625" customWidth="1"/>
    <col min="9" max="13" width="10.42578125" bestFit="1" customWidth="1"/>
    <col min="16" max="16" width="10.42578125" bestFit="1" customWidth="1"/>
    <col min="17" max="17" width="23.5703125" bestFit="1" customWidth="1"/>
  </cols>
  <sheetData>
    <row r="1" spans="1:22" s="154" customFormat="1" ht="15.95" customHeight="1" thickTop="1" x14ac:dyDescent="0.2">
      <c r="A1" s="254" t="s">
        <v>114</v>
      </c>
      <c r="B1" s="255"/>
      <c r="C1" s="262">
        <f>VLOOKUP(F8,'PROCV Prod.Total'!F16:G27,2,0)</f>
        <v>300</v>
      </c>
      <c r="D1" s="263"/>
      <c r="E1" s="258" t="s">
        <v>115</v>
      </c>
      <c r="F1" s="259"/>
      <c r="G1" s="283">
        <f>(VLOOKUP(F8,'PROCV Prod.Total'!I16:J27,2,0))</f>
        <v>317</v>
      </c>
      <c r="H1" s="284"/>
      <c r="N1" s="155"/>
    </row>
    <row r="2" spans="1:22" s="154" customFormat="1" ht="15.95" customHeight="1" thickBot="1" x14ac:dyDescent="0.25">
      <c r="A2" s="256"/>
      <c r="B2" s="257"/>
      <c r="C2" s="264">
        <f>VLOOKUP(F8,'PROCV Prod.Total'!L16:M27,2,0)</f>
        <v>0.48622366288492708</v>
      </c>
      <c r="D2" s="265"/>
      <c r="E2" s="260"/>
      <c r="F2" s="261"/>
      <c r="G2" s="285">
        <f>VLOOKUP(F8,'PROCV Prod.Total'!O16:P27,2,0)</f>
        <v>0.51377633711507298</v>
      </c>
      <c r="H2" s="286"/>
      <c r="I2" s="156"/>
      <c r="J2" s="156"/>
      <c r="K2" s="157"/>
      <c r="L2" s="156"/>
      <c r="M2" s="156"/>
      <c r="N2" s="157"/>
    </row>
    <row r="3" spans="1:22" s="154" customFormat="1" ht="12.75" customHeight="1" thickTop="1" thickBot="1" x14ac:dyDescent="0.25">
      <c r="A3" s="272" t="s">
        <v>116</v>
      </c>
      <c r="B3" s="272"/>
      <c r="C3" s="206">
        <f>SUMIFS('Relatório GERAL'!BS:BS,'Relatório GERAL'!AX:AX,"&gt;="&amp;DATE(ANOPROD.,'Prod. e Improd'!F8,1),'Relatório GERAL'!AX:AX,"&lt;"&amp;DATE(ANOPROD.,'Prod. e Improd'!F8+1,1))</f>
        <v>2822</v>
      </c>
      <c r="D3"/>
      <c r="E3" s="268" t="s">
        <v>117</v>
      </c>
      <c r="F3" s="269"/>
      <c r="G3" s="269">
        <f>'PROCV Prod.Total'!BC43</f>
        <v>32</v>
      </c>
      <c r="H3" s="294"/>
      <c r="I3" s="158"/>
      <c r="L3" s="156"/>
      <c r="M3" s="156"/>
      <c r="N3" s="157"/>
    </row>
    <row r="4" spans="1:22" s="154" customFormat="1" ht="12.75" customHeight="1" thickTop="1" thickBot="1" x14ac:dyDescent="0.25">
      <c r="A4" s="271" t="s">
        <v>118</v>
      </c>
      <c r="B4" s="271"/>
      <c r="C4" s="207">
        <f>VLOOKUP(DATE(ANOPROD.,F8,1),'PROCV Prod.Total'!AP30:AT43,5,0)</f>
        <v>1276</v>
      </c>
      <c r="D4"/>
      <c r="E4" s="279" t="s">
        <v>119</v>
      </c>
      <c r="F4" s="280"/>
      <c r="G4" s="275">
        <f>VLOOKUP(F8,'PROCV Prod.Total'!C16:D27,2,0)</f>
        <v>617</v>
      </c>
      <c r="H4" s="276"/>
      <c r="V4" s="156"/>
    </row>
    <row r="5" spans="1:22" ht="12.75" customHeight="1" thickBot="1" x14ac:dyDescent="0.25">
      <c r="A5" s="270" t="s">
        <v>120</v>
      </c>
      <c r="B5" s="270"/>
      <c r="C5" s="208">
        <f>VLOOKUP(DATE(ANOPROD.,F8,1),'PROCV Prod.Total'!AP30:AU43,6,0)</f>
        <v>40</v>
      </c>
      <c r="E5" s="281"/>
      <c r="F5" s="282"/>
      <c r="G5" s="277"/>
      <c r="H5" s="278"/>
      <c r="J5" s="26"/>
      <c r="V5" s="150"/>
    </row>
    <row r="6" spans="1:22" x14ac:dyDescent="0.2">
      <c r="G6" s="293" t="s">
        <v>121</v>
      </c>
      <c r="H6" s="293"/>
      <c r="M6" s="26"/>
    </row>
    <row r="7" spans="1:22" x14ac:dyDescent="0.2">
      <c r="A7" s="266" t="s">
        <v>122</v>
      </c>
      <c r="B7" s="267">
        <v>2016</v>
      </c>
      <c r="F7" s="170" t="s">
        <v>78</v>
      </c>
      <c r="G7" s="287">
        <f>G9</f>
        <v>42491</v>
      </c>
      <c r="H7" s="288"/>
    </row>
    <row r="8" spans="1:22" x14ac:dyDescent="0.2">
      <c r="A8" s="266"/>
      <c r="B8" s="267"/>
      <c r="C8" s="156"/>
      <c r="D8" s="156"/>
      <c r="F8" s="291">
        <v>5</v>
      </c>
      <c r="G8" s="289"/>
      <c r="H8" s="290"/>
    </row>
    <row r="9" spans="1:22" x14ac:dyDescent="0.2">
      <c r="A9" s="266"/>
      <c r="B9" s="267"/>
      <c r="C9" s="154"/>
      <c r="D9" s="154"/>
      <c r="F9" s="292"/>
      <c r="G9" s="171">
        <f>DATE(ANOPROD.,F8,1)</f>
        <v>42491</v>
      </c>
      <c r="H9" s="172">
        <f>DATE(ANOPROD.,F8+1,1-1)</f>
        <v>42521</v>
      </c>
    </row>
    <row r="12" spans="1:22" x14ac:dyDescent="0.2">
      <c r="C12" s="27"/>
      <c r="D12" s="27"/>
      <c r="E12" s="27"/>
      <c r="F12" s="27"/>
      <c r="G12" s="27"/>
      <c r="H12" s="27"/>
      <c r="I12" s="27"/>
    </row>
    <row r="13" spans="1:22" x14ac:dyDescent="0.2">
      <c r="B13" s="200"/>
    </row>
    <row r="14" spans="1:22" x14ac:dyDescent="0.2">
      <c r="B14" s="200"/>
      <c r="H14" s="82"/>
      <c r="I14" s="82"/>
    </row>
    <row r="15" spans="1:22" x14ac:dyDescent="0.2">
      <c r="C15" s="27"/>
      <c r="D15" s="27"/>
      <c r="E15" s="27"/>
      <c r="F15" s="27"/>
      <c r="G15" s="27"/>
      <c r="H15" s="27"/>
      <c r="I15" s="27"/>
    </row>
    <row r="16" spans="1:22" x14ac:dyDescent="0.2">
      <c r="B16" s="200"/>
      <c r="C16" s="201"/>
      <c r="D16" s="201"/>
      <c r="E16" s="201"/>
      <c r="F16" s="201"/>
      <c r="G16" s="201"/>
      <c r="H16" s="201"/>
      <c r="I16" s="201"/>
    </row>
    <row r="18" spans="18:22" x14ac:dyDescent="0.2">
      <c r="R18" s="274" t="s">
        <v>123</v>
      </c>
      <c r="S18" s="274"/>
      <c r="T18" s="273" t="s">
        <v>103</v>
      </c>
      <c r="U18" s="273"/>
      <c r="V18" s="273"/>
    </row>
    <row r="49" spans="10:11" ht="25.5" x14ac:dyDescent="0.2">
      <c r="J49" s="209" t="s">
        <v>124</v>
      </c>
      <c r="K49" s="210">
        <v>5</v>
      </c>
    </row>
  </sheetData>
  <customSheetViews>
    <customSheetView guid="{FC643F0B-3E44-4304-9C6C-EBD35A45B8FD}" showGridLines="0">
      <selection activeCell="C2" sqref="C2:D2"/>
      <pageMargins left="0" right="0" top="0" bottom="0" header="0" footer="0"/>
      <printOptions horizontalCentered="1" verticalCentered="1"/>
      <pageSetup paperSize="9" orientation="landscape" horizontalDpi="4294967294" verticalDpi="4294967294" r:id="rId1"/>
    </customSheetView>
    <customSheetView guid="{ECC56881-4CE2-4FBF-815D-85F544F885E8}" showGridLines="0" topLeftCell="I13">
      <selection activeCell="F8" sqref="F8:F9"/>
      <pageMargins left="0" right="0" top="0" bottom="0" header="0" footer="0"/>
      <printOptions horizontalCentered="1" verticalCentered="1"/>
      <pageSetup paperSize="9" orientation="landscape" horizontalDpi="4294967294" verticalDpi="4294967294" r:id="rId2"/>
    </customSheetView>
    <customSheetView guid="{40F11FFD-627B-4157-AFFE-E57E44CED524}" showGridLines="0">
      <selection activeCell="C2" sqref="C2:D2"/>
      <pageMargins left="0" right="0" top="0" bottom="0" header="0" footer="0"/>
      <printOptions horizontalCentered="1" verticalCentered="1"/>
      <pageSetup paperSize="9" orientation="landscape" horizontalDpi="4294967294" verticalDpi="4294967294" r:id="rId3"/>
    </customSheetView>
  </customSheetViews>
  <mergeCells count="20">
    <mergeCell ref="T18:V18"/>
    <mergeCell ref="R18:S18"/>
    <mergeCell ref="G4:H5"/>
    <mergeCell ref="E4:F5"/>
    <mergeCell ref="G1:H1"/>
    <mergeCell ref="G2:H2"/>
    <mergeCell ref="G7:H8"/>
    <mergeCell ref="F8:F9"/>
    <mergeCell ref="G6:H6"/>
    <mergeCell ref="G3:H3"/>
    <mergeCell ref="A1:B2"/>
    <mergeCell ref="E1:F2"/>
    <mergeCell ref="C1:D1"/>
    <mergeCell ref="C2:D2"/>
    <mergeCell ref="A7:A9"/>
    <mergeCell ref="B7:B9"/>
    <mergeCell ref="E3:F3"/>
    <mergeCell ref="A5:B5"/>
    <mergeCell ref="A4:B4"/>
    <mergeCell ref="A3:B3"/>
  </mergeCells>
  <dataValidations disablePrompts="1" count="1">
    <dataValidation type="list" allowBlank="1" showInputMessage="1" showErrorMessage="1" sqref="B7" xr:uid="{00000000-0002-0000-0700-000000000000}">
      <formula1>"2015,2016"</formula1>
    </dataValidation>
  </dataValidations>
  <printOptions horizontalCentered="1" verticalCentered="1"/>
  <pageMargins left="0" right="0" top="0" bottom="0" header="0.31496062992125984" footer="0.31496062992125984"/>
  <pageSetup paperSize="9" orientation="landscape" horizontalDpi="4294967294" verticalDpi="4294967294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70" r:id="rId7" name="Scroll Bar 2">
              <controlPr defaultSiz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4</xdr:col>
                    <xdr:colOff>581025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1000000}">
          <x14:formula1>
            <xm:f>'BD. graf. km rodado'!$AM$1:$AY$1</xm:f>
          </x14:formula1>
          <xm:sqref>T18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4">
    <tabColor rgb="FF00B050"/>
    <pageSetUpPr fitToPage="1"/>
  </sheetPr>
  <dimension ref="A1:DI41"/>
  <sheetViews>
    <sheetView showGridLines="0" zoomScale="70" zoomScaleNormal="70" workbookViewId="0">
      <selection activeCell="AU2" sqref="AU2"/>
    </sheetView>
  </sheetViews>
  <sheetFormatPr defaultColWidth="3.140625" defaultRowHeight="12.75" x14ac:dyDescent="0.2"/>
  <cols>
    <col min="3" max="3" width="4.5703125" customWidth="1"/>
    <col min="4" max="111" width="2.28515625" customWidth="1"/>
  </cols>
  <sheetData>
    <row r="1" spans="1:113" x14ac:dyDescent="0.2">
      <c r="D1" s="306" t="s">
        <v>125</v>
      </c>
      <c r="E1" s="306"/>
      <c r="F1" s="306"/>
      <c r="G1" s="173"/>
      <c r="H1" s="305">
        <v>2016</v>
      </c>
      <c r="I1" s="305"/>
      <c r="J1" s="305"/>
    </row>
    <row r="2" spans="1:11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</row>
    <row r="3" spans="1:1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</row>
    <row r="4" spans="1:11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</row>
    <row r="5" spans="1:11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</row>
    <row r="6" spans="1:113" x14ac:dyDescent="0.2">
      <c r="A6" s="6"/>
      <c r="B6" s="6"/>
      <c r="C6" s="6"/>
      <c r="D6" s="295" t="s">
        <v>126</v>
      </c>
      <c r="E6" s="295"/>
      <c r="F6" s="295"/>
      <c r="G6" s="295"/>
      <c r="H6" s="295"/>
      <c r="I6" s="295"/>
      <c r="J6" s="295"/>
      <c r="K6" s="295"/>
      <c r="L6" s="295"/>
      <c r="M6" s="295"/>
      <c r="N6" s="296" t="s">
        <v>127</v>
      </c>
      <c r="O6" s="296"/>
      <c r="P6" s="296"/>
      <c r="Q6" s="296"/>
      <c r="R6" s="296"/>
      <c r="S6" s="296"/>
      <c r="T6" s="296"/>
      <c r="U6" s="296"/>
      <c r="V6" s="296"/>
      <c r="W6" s="295" t="s">
        <v>128</v>
      </c>
      <c r="X6" s="295"/>
      <c r="Y6" s="295"/>
      <c r="Z6" s="295"/>
      <c r="AA6" s="295"/>
      <c r="AB6" s="295"/>
      <c r="AC6" s="295"/>
      <c r="AD6" s="295"/>
      <c r="AE6" s="296" t="s">
        <v>129</v>
      </c>
      <c r="AF6" s="296"/>
      <c r="AG6" s="296"/>
      <c r="AH6" s="296"/>
      <c r="AI6" s="296"/>
      <c r="AJ6" s="296"/>
      <c r="AK6" s="296"/>
      <c r="AL6" s="296"/>
      <c r="AM6" s="296"/>
      <c r="AN6" s="295" t="s">
        <v>130</v>
      </c>
      <c r="AO6" s="295"/>
      <c r="AP6" s="295"/>
      <c r="AQ6" s="295"/>
      <c r="AR6" s="295"/>
      <c r="AS6" s="295"/>
      <c r="AT6" s="295"/>
      <c r="AU6" s="295"/>
      <c r="AV6" s="295"/>
      <c r="AW6" s="296" t="s">
        <v>131</v>
      </c>
      <c r="AX6" s="296"/>
      <c r="AY6" s="296"/>
      <c r="AZ6" s="296"/>
      <c r="BA6" s="296"/>
      <c r="BB6" s="296"/>
      <c r="BC6" s="296"/>
      <c r="BD6" s="296"/>
      <c r="BE6" s="295" t="s">
        <v>132</v>
      </c>
      <c r="BF6" s="295"/>
      <c r="BG6" s="295"/>
      <c r="BH6" s="295"/>
      <c r="BI6" s="295"/>
      <c r="BJ6" s="295"/>
      <c r="BK6" s="295"/>
      <c r="BL6" s="295"/>
      <c r="BM6" s="295"/>
      <c r="BN6" s="296" t="s">
        <v>133</v>
      </c>
      <c r="BO6" s="296"/>
      <c r="BP6" s="296"/>
      <c r="BQ6" s="296"/>
      <c r="BR6" s="296"/>
      <c r="BS6" s="296"/>
      <c r="BT6" s="296"/>
      <c r="BU6" s="296"/>
      <c r="BV6" s="295" t="s">
        <v>134</v>
      </c>
      <c r="BW6" s="295"/>
      <c r="BX6" s="295"/>
      <c r="BY6" s="295"/>
      <c r="BZ6" s="295"/>
      <c r="CA6" s="295"/>
      <c r="CB6" s="295"/>
      <c r="CC6" s="295"/>
      <c r="CD6" s="295"/>
      <c r="CE6" s="296" t="s">
        <v>135</v>
      </c>
      <c r="CF6" s="296"/>
      <c r="CG6" s="296"/>
      <c r="CH6" s="296"/>
      <c r="CI6" s="296"/>
      <c r="CJ6" s="296"/>
      <c r="CK6" s="296"/>
      <c r="CL6" s="296"/>
      <c r="CM6" s="296"/>
      <c r="CN6" s="295" t="s">
        <v>136</v>
      </c>
      <c r="CO6" s="295"/>
      <c r="CP6" s="295"/>
      <c r="CQ6" s="295"/>
      <c r="CR6" s="295"/>
      <c r="CS6" s="295"/>
      <c r="CT6" s="295"/>
      <c r="CU6" s="295"/>
      <c r="CV6" s="295"/>
      <c r="CW6" s="296" t="s">
        <v>137</v>
      </c>
      <c r="CX6" s="296"/>
      <c r="CY6" s="296"/>
      <c r="CZ6" s="296"/>
      <c r="DA6" s="296"/>
      <c r="DB6" s="296"/>
      <c r="DC6" s="296"/>
      <c r="DD6" s="296"/>
      <c r="DE6" s="296"/>
      <c r="DF6" s="174"/>
      <c r="DG6" s="174"/>
      <c r="DH6" s="6"/>
      <c r="DI6" s="6"/>
    </row>
    <row r="7" spans="1:113" x14ac:dyDescent="0.2">
      <c r="A7" s="6"/>
      <c r="B7" s="6"/>
      <c r="C7" s="6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6"/>
      <c r="O7" s="296"/>
      <c r="P7" s="296"/>
      <c r="Q7" s="296"/>
      <c r="R7" s="296"/>
      <c r="S7" s="296"/>
      <c r="T7" s="296"/>
      <c r="U7" s="296"/>
      <c r="V7" s="296"/>
      <c r="W7" s="295"/>
      <c r="X7" s="295"/>
      <c r="Y7" s="295"/>
      <c r="Z7" s="295"/>
      <c r="AA7" s="295"/>
      <c r="AB7" s="295"/>
      <c r="AC7" s="295"/>
      <c r="AD7" s="295"/>
      <c r="AE7" s="296"/>
      <c r="AF7" s="296"/>
      <c r="AG7" s="296"/>
      <c r="AH7" s="296"/>
      <c r="AI7" s="296"/>
      <c r="AJ7" s="296"/>
      <c r="AK7" s="296"/>
      <c r="AL7" s="296"/>
      <c r="AM7" s="296"/>
      <c r="AN7" s="295"/>
      <c r="AO7" s="295"/>
      <c r="AP7" s="295"/>
      <c r="AQ7" s="295"/>
      <c r="AR7" s="295"/>
      <c r="AS7" s="295"/>
      <c r="AT7" s="295"/>
      <c r="AU7" s="295"/>
      <c r="AV7" s="295"/>
      <c r="AW7" s="296"/>
      <c r="AX7" s="296"/>
      <c r="AY7" s="296"/>
      <c r="AZ7" s="296"/>
      <c r="BA7" s="296"/>
      <c r="BB7" s="296"/>
      <c r="BC7" s="296"/>
      <c r="BD7" s="296"/>
      <c r="BE7" s="295"/>
      <c r="BF7" s="295"/>
      <c r="BG7" s="295"/>
      <c r="BH7" s="295"/>
      <c r="BI7" s="295"/>
      <c r="BJ7" s="295"/>
      <c r="BK7" s="295"/>
      <c r="BL7" s="295"/>
      <c r="BM7" s="295"/>
      <c r="BN7" s="296"/>
      <c r="BO7" s="296"/>
      <c r="BP7" s="296"/>
      <c r="BQ7" s="296"/>
      <c r="BR7" s="296"/>
      <c r="BS7" s="296"/>
      <c r="BT7" s="296"/>
      <c r="BU7" s="296"/>
      <c r="BV7" s="295"/>
      <c r="BW7" s="295"/>
      <c r="BX7" s="295"/>
      <c r="BY7" s="295"/>
      <c r="BZ7" s="295"/>
      <c r="CA7" s="295"/>
      <c r="CB7" s="295"/>
      <c r="CC7" s="295"/>
      <c r="CD7" s="295"/>
      <c r="CE7" s="296"/>
      <c r="CF7" s="296"/>
      <c r="CG7" s="296"/>
      <c r="CH7" s="296"/>
      <c r="CI7" s="296"/>
      <c r="CJ7" s="296"/>
      <c r="CK7" s="296"/>
      <c r="CL7" s="296"/>
      <c r="CM7" s="296"/>
      <c r="CN7" s="295"/>
      <c r="CO7" s="295"/>
      <c r="CP7" s="295"/>
      <c r="CQ7" s="295"/>
      <c r="CR7" s="295"/>
      <c r="CS7" s="295"/>
      <c r="CT7" s="295"/>
      <c r="CU7" s="295"/>
      <c r="CV7" s="295"/>
      <c r="CW7" s="296"/>
      <c r="CX7" s="296"/>
      <c r="CY7" s="296"/>
      <c r="CZ7" s="296"/>
      <c r="DA7" s="296"/>
      <c r="DB7" s="296"/>
      <c r="DC7" s="296"/>
      <c r="DD7" s="296"/>
      <c r="DE7" s="296"/>
      <c r="DF7" s="174"/>
      <c r="DG7" s="174"/>
      <c r="DH7" s="6"/>
      <c r="DI7" s="6"/>
    </row>
    <row r="8" spans="1:113" x14ac:dyDescent="0.2">
      <c r="A8" s="6"/>
      <c r="B8" s="6"/>
      <c r="C8" s="6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6"/>
      <c r="O8" s="296"/>
      <c r="P8" s="296"/>
      <c r="Q8" s="296"/>
      <c r="R8" s="296"/>
      <c r="S8" s="296"/>
      <c r="T8" s="296"/>
      <c r="U8" s="296"/>
      <c r="V8" s="296"/>
      <c r="W8" s="295"/>
      <c r="X8" s="295"/>
      <c r="Y8" s="295"/>
      <c r="Z8" s="295"/>
      <c r="AA8" s="295"/>
      <c r="AB8" s="295"/>
      <c r="AC8" s="295"/>
      <c r="AD8" s="295"/>
      <c r="AE8" s="296"/>
      <c r="AF8" s="296"/>
      <c r="AG8" s="296"/>
      <c r="AH8" s="296"/>
      <c r="AI8" s="296"/>
      <c r="AJ8" s="296"/>
      <c r="AK8" s="296"/>
      <c r="AL8" s="296"/>
      <c r="AM8" s="296"/>
      <c r="AN8" s="295"/>
      <c r="AO8" s="295"/>
      <c r="AP8" s="295"/>
      <c r="AQ8" s="295"/>
      <c r="AR8" s="295"/>
      <c r="AS8" s="295"/>
      <c r="AT8" s="295"/>
      <c r="AU8" s="295"/>
      <c r="AV8" s="295"/>
      <c r="AW8" s="296"/>
      <c r="AX8" s="296"/>
      <c r="AY8" s="296"/>
      <c r="AZ8" s="296"/>
      <c r="BA8" s="296"/>
      <c r="BB8" s="296"/>
      <c r="BC8" s="296"/>
      <c r="BD8" s="296"/>
      <c r="BE8" s="295"/>
      <c r="BF8" s="295"/>
      <c r="BG8" s="295"/>
      <c r="BH8" s="295"/>
      <c r="BI8" s="295"/>
      <c r="BJ8" s="295"/>
      <c r="BK8" s="295"/>
      <c r="BL8" s="295"/>
      <c r="BM8" s="295"/>
      <c r="BN8" s="296"/>
      <c r="BO8" s="296"/>
      <c r="BP8" s="296"/>
      <c r="BQ8" s="296"/>
      <c r="BR8" s="296"/>
      <c r="BS8" s="296"/>
      <c r="BT8" s="296"/>
      <c r="BU8" s="296"/>
      <c r="BV8" s="295"/>
      <c r="BW8" s="295"/>
      <c r="BX8" s="295"/>
      <c r="BY8" s="295"/>
      <c r="BZ8" s="295"/>
      <c r="CA8" s="295"/>
      <c r="CB8" s="295"/>
      <c r="CC8" s="295"/>
      <c r="CD8" s="295"/>
      <c r="CE8" s="296"/>
      <c r="CF8" s="296"/>
      <c r="CG8" s="296"/>
      <c r="CH8" s="296"/>
      <c r="CI8" s="296"/>
      <c r="CJ8" s="296"/>
      <c r="CK8" s="296"/>
      <c r="CL8" s="296"/>
      <c r="CM8" s="296"/>
      <c r="CN8" s="295"/>
      <c r="CO8" s="295"/>
      <c r="CP8" s="295"/>
      <c r="CQ8" s="295"/>
      <c r="CR8" s="295"/>
      <c r="CS8" s="295"/>
      <c r="CT8" s="295"/>
      <c r="CU8" s="295"/>
      <c r="CV8" s="295"/>
      <c r="CW8" s="296"/>
      <c r="CX8" s="296"/>
      <c r="CY8" s="296"/>
      <c r="CZ8" s="296"/>
      <c r="DA8" s="296"/>
      <c r="DB8" s="296"/>
      <c r="DC8" s="296"/>
      <c r="DD8" s="296"/>
      <c r="DE8" s="296"/>
      <c r="DF8" s="174"/>
      <c r="DG8" s="174"/>
      <c r="DH8" s="6"/>
      <c r="DI8" s="6"/>
    </row>
    <row r="9" spans="1:113" x14ac:dyDescent="0.2">
      <c r="A9" s="6"/>
      <c r="B9" s="6"/>
      <c r="C9" s="6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6"/>
      <c r="O9" s="296"/>
      <c r="P9" s="296"/>
      <c r="Q9" s="296"/>
      <c r="R9" s="296"/>
      <c r="S9" s="296"/>
      <c r="T9" s="296"/>
      <c r="U9" s="296"/>
      <c r="V9" s="296"/>
      <c r="W9" s="295"/>
      <c r="X9" s="295"/>
      <c r="Y9" s="295"/>
      <c r="Z9" s="295"/>
      <c r="AA9" s="295"/>
      <c r="AB9" s="295"/>
      <c r="AC9" s="295"/>
      <c r="AD9" s="295"/>
      <c r="AE9" s="296"/>
      <c r="AF9" s="296"/>
      <c r="AG9" s="296"/>
      <c r="AH9" s="296"/>
      <c r="AI9" s="296"/>
      <c r="AJ9" s="296"/>
      <c r="AK9" s="296"/>
      <c r="AL9" s="296"/>
      <c r="AM9" s="296"/>
      <c r="AN9" s="295"/>
      <c r="AO9" s="295"/>
      <c r="AP9" s="295"/>
      <c r="AQ9" s="295"/>
      <c r="AR9" s="295"/>
      <c r="AS9" s="295"/>
      <c r="AT9" s="295"/>
      <c r="AU9" s="295"/>
      <c r="AV9" s="295"/>
      <c r="AW9" s="296"/>
      <c r="AX9" s="296"/>
      <c r="AY9" s="296"/>
      <c r="AZ9" s="296"/>
      <c r="BA9" s="296"/>
      <c r="BB9" s="296"/>
      <c r="BC9" s="296"/>
      <c r="BD9" s="296"/>
      <c r="BE9" s="295"/>
      <c r="BF9" s="295"/>
      <c r="BG9" s="295"/>
      <c r="BH9" s="295"/>
      <c r="BI9" s="295"/>
      <c r="BJ9" s="295"/>
      <c r="BK9" s="295"/>
      <c r="BL9" s="295"/>
      <c r="BM9" s="295"/>
      <c r="BN9" s="296"/>
      <c r="BO9" s="296"/>
      <c r="BP9" s="296"/>
      <c r="BQ9" s="296"/>
      <c r="BR9" s="296"/>
      <c r="BS9" s="296"/>
      <c r="BT9" s="296"/>
      <c r="BU9" s="296"/>
      <c r="BV9" s="295"/>
      <c r="BW9" s="295"/>
      <c r="BX9" s="295"/>
      <c r="BY9" s="295"/>
      <c r="BZ9" s="295"/>
      <c r="CA9" s="295"/>
      <c r="CB9" s="295"/>
      <c r="CC9" s="295"/>
      <c r="CD9" s="295"/>
      <c r="CE9" s="296"/>
      <c r="CF9" s="296"/>
      <c r="CG9" s="296"/>
      <c r="CH9" s="296"/>
      <c r="CI9" s="296"/>
      <c r="CJ9" s="296"/>
      <c r="CK9" s="296"/>
      <c r="CL9" s="296"/>
      <c r="CM9" s="296"/>
      <c r="CN9" s="295"/>
      <c r="CO9" s="295"/>
      <c r="CP9" s="295"/>
      <c r="CQ9" s="295"/>
      <c r="CR9" s="295"/>
      <c r="CS9" s="295"/>
      <c r="CT9" s="295"/>
      <c r="CU9" s="295"/>
      <c r="CV9" s="295"/>
      <c r="CW9" s="296"/>
      <c r="CX9" s="296"/>
      <c r="CY9" s="296"/>
      <c r="CZ9" s="296"/>
      <c r="DA9" s="296"/>
      <c r="DB9" s="296"/>
      <c r="DC9" s="296"/>
      <c r="DD9" s="296"/>
      <c r="DE9" s="296"/>
      <c r="DF9" s="174"/>
      <c r="DG9" s="174"/>
      <c r="DH9" s="6"/>
      <c r="DI9" s="6"/>
    </row>
    <row r="10" spans="1:113" x14ac:dyDescent="0.2">
      <c r="A10" s="6"/>
      <c r="B10" s="6"/>
      <c r="C10" s="6"/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6"/>
      <c r="O10" s="296"/>
      <c r="P10" s="296"/>
      <c r="Q10" s="296"/>
      <c r="R10" s="296"/>
      <c r="S10" s="296"/>
      <c r="T10" s="296"/>
      <c r="U10" s="296"/>
      <c r="V10" s="296"/>
      <c r="W10" s="295"/>
      <c r="X10" s="295"/>
      <c r="Y10" s="295"/>
      <c r="Z10" s="295"/>
      <c r="AA10" s="295"/>
      <c r="AB10" s="295"/>
      <c r="AC10" s="295"/>
      <c r="AD10" s="295"/>
      <c r="AE10" s="296"/>
      <c r="AF10" s="296"/>
      <c r="AG10" s="296"/>
      <c r="AH10" s="296"/>
      <c r="AI10" s="296"/>
      <c r="AJ10" s="296"/>
      <c r="AK10" s="296"/>
      <c r="AL10" s="296"/>
      <c r="AM10" s="296"/>
      <c r="AN10" s="295"/>
      <c r="AO10" s="295"/>
      <c r="AP10" s="295"/>
      <c r="AQ10" s="295"/>
      <c r="AR10" s="295"/>
      <c r="AS10" s="295"/>
      <c r="AT10" s="295"/>
      <c r="AU10" s="295"/>
      <c r="AV10" s="295"/>
      <c r="AW10" s="296"/>
      <c r="AX10" s="296"/>
      <c r="AY10" s="296"/>
      <c r="AZ10" s="296"/>
      <c r="BA10" s="296"/>
      <c r="BB10" s="296"/>
      <c r="BC10" s="296"/>
      <c r="BD10" s="296"/>
      <c r="BE10" s="295"/>
      <c r="BF10" s="295"/>
      <c r="BG10" s="295"/>
      <c r="BH10" s="295"/>
      <c r="BI10" s="295"/>
      <c r="BJ10" s="295"/>
      <c r="BK10" s="295"/>
      <c r="BL10" s="295"/>
      <c r="BM10" s="295"/>
      <c r="BN10" s="296"/>
      <c r="BO10" s="296"/>
      <c r="BP10" s="296"/>
      <c r="BQ10" s="296"/>
      <c r="BR10" s="296"/>
      <c r="BS10" s="296"/>
      <c r="BT10" s="296"/>
      <c r="BU10" s="296"/>
      <c r="BV10" s="295"/>
      <c r="BW10" s="295"/>
      <c r="BX10" s="295"/>
      <c r="BY10" s="295"/>
      <c r="BZ10" s="295"/>
      <c r="CA10" s="295"/>
      <c r="CB10" s="295"/>
      <c r="CC10" s="295"/>
      <c r="CD10" s="295"/>
      <c r="CE10" s="296"/>
      <c r="CF10" s="296"/>
      <c r="CG10" s="296"/>
      <c r="CH10" s="296"/>
      <c r="CI10" s="296"/>
      <c r="CJ10" s="296"/>
      <c r="CK10" s="296"/>
      <c r="CL10" s="296"/>
      <c r="CM10" s="296"/>
      <c r="CN10" s="295"/>
      <c r="CO10" s="295"/>
      <c r="CP10" s="295"/>
      <c r="CQ10" s="295"/>
      <c r="CR10" s="295"/>
      <c r="CS10" s="295"/>
      <c r="CT10" s="295"/>
      <c r="CU10" s="295"/>
      <c r="CV10" s="295"/>
      <c r="CW10" s="296"/>
      <c r="CX10" s="296"/>
      <c r="CY10" s="296"/>
      <c r="CZ10" s="296"/>
      <c r="DA10" s="296"/>
      <c r="DB10" s="296"/>
      <c r="DC10" s="296"/>
      <c r="DD10" s="296"/>
      <c r="DE10" s="296"/>
      <c r="DF10" s="174"/>
      <c r="DG10" s="174"/>
      <c r="DH10" s="6"/>
      <c r="DI10" s="6"/>
    </row>
    <row r="11" spans="1:113" x14ac:dyDescent="0.2">
      <c r="A11" s="6"/>
      <c r="B11" s="6"/>
      <c r="C11" s="6"/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96"/>
      <c r="O11" s="296"/>
      <c r="P11" s="296"/>
      <c r="Q11" s="296"/>
      <c r="R11" s="296"/>
      <c r="S11" s="296"/>
      <c r="T11" s="296"/>
      <c r="U11" s="296"/>
      <c r="V11" s="296"/>
      <c r="W11" s="295"/>
      <c r="X11" s="295"/>
      <c r="Y11" s="295"/>
      <c r="Z11" s="295"/>
      <c r="AA11" s="295"/>
      <c r="AB11" s="295"/>
      <c r="AC11" s="295"/>
      <c r="AD11" s="295"/>
      <c r="AE11" s="296"/>
      <c r="AF11" s="296"/>
      <c r="AG11" s="296"/>
      <c r="AH11" s="296"/>
      <c r="AI11" s="296"/>
      <c r="AJ11" s="296"/>
      <c r="AK11" s="296"/>
      <c r="AL11" s="296"/>
      <c r="AM11" s="296"/>
      <c r="AN11" s="295"/>
      <c r="AO11" s="295"/>
      <c r="AP11" s="295"/>
      <c r="AQ11" s="295"/>
      <c r="AR11" s="295"/>
      <c r="AS11" s="295"/>
      <c r="AT11" s="295"/>
      <c r="AU11" s="295"/>
      <c r="AV11" s="295"/>
      <c r="AW11" s="296"/>
      <c r="AX11" s="296"/>
      <c r="AY11" s="296"/>
      <c r="AZ11" s="296"/>
      <c r="BA11" s="296"/>
      <c r="BB11" s="296"/>
      <c r="BC11" s="296"/>
      <c r="BD11" s="296"/>
      <c r="BE11" s="295"/>
      <c r="BF11" s="295"/>
      <c r="BG11" s="295"/>
      <c r="BH11" s="295"/>
      <c r="BI11" s="295"/>
      <c r="BJ11" s="295"/>
      <c r="BK11" s="295"/>
      <c r="BL11" s="295"/>
      <c r="BM11" s="295"/>
      <c r="BN11" s="296"/>
      <c r="BO11" s="296"/>
      <c r="BP11" s="296"/>
      <c r="BQ11" s="296"/>
      <c r="BR11" s="296"/>
      <c r="BS11" s="296"/>
      <c r="BT11" s="296"/>
      <c r="BU11" s="296"/>
      <c r="BV11" s="295"/>
      <c r="BW11" s="295"/>
      <c r="BX11" s="295"/>
      <c r="BY11" s="295"/>
      <c r="BZ11" s="295"/>
      <c r="CA11" s="295"/>
      <c r="CB11" s="295"/>
      <c r="CC11" s="295"/>
      <c r="CD11" s="295"/>
      <c r="CE11" s="296"/>
      <c r="CF11" s="296"/>
      <c r="CG11" s="296"/>
      <c r="CH11" s="296"/>
      <c r="CI11" s="296"/>
      <c r="CJ11" s="296"/>
      <c r="CK11" s="296"/>
      <c r="CL11" s="296"/>
      <c r="CM11" s="296"/>
      <c r="CN11" s="295"/>
      <c r="CO11" s="295"/>
      <c r="CP11" s="295"/>
      <c r="CQ11" s="295"/>
      <c r="CR11" s="295"/>
      <c r="CS11" s="295"/>
      <c r="CT11" s="295"/>
      <c r="CU11" s="295"/>
      <c r="CV11" s="295"/>
      <c r="CW11" s="296"/>
      <c r="CX11" s="296"/>
      <c r="CY11" s="296"/>
      <c r="CZ11" s="296"/>
      <c r="DA11" s="296"/>
      <c r="DB11" s="296"/>
      <c r="DC11" s="296"/>
      <c r="DD11" s="296"/>
      <c r="DE11" s="296"/>
      <c r="DF11" s="174"/>
      <c r="DG11" s="174"/>
      <c r="DH11" s="6"/>
      <c r="DI11" s="6"/>
    </row>
    <row r="12" spans="1:113" x14ac:dyDescent="0.2">
      <c r="A12" s="6"/>
      <c r="B12" s="6"/>
      <c r="C12" s="6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6"/>
      <c r="O12" s="296"/>
      <c r="P12" s="296"/>
      <c r="Q12" s="296"/>
      <c r="R12" s="296"/>
      <c r="S12" s="296"/>
      <c r="T12" s="296"/>
      <c r="U12" s="296"/>
      <c r="V12" s="296"/>
      <c r="W12" s="295"/>
      <c r="X12" s="295"/>
      <c r="Y12" s="295"/>
      <c r="Z12" s="295"/>
      <c r="AA12" s="295"/>
      <c r="AB12" s="295"/>
      <c r="AC12" s="295"/>
      <c r="AD12" s="295"/>
      <c r="AE12" s="296"/>
      <c r="AF12" s="296"/>
      <c r="AG12" s="296"/>
      <c r="AH12" s="296"/>
      <c r="AI12" s="296"/>
      <c r="AJ12" s="296"/>
      <c r="AK12" s="296"/>
      <c r="AL12" s="296"/>
      <c r="AM12" s="296"/>
      <c r="AN12" s="295"/>
      <c r="AO12" s="295"/>
      <c r="AP12" s="295"/>
      <c r="AQ12" s="295"/>
      <c r="AR12" s="295"/>
      <c r="AS12" s="295"/>
      <c r="AT12" s="295"/>
      <c r="AU12" s="295"/>
      <c r="AV12" s="295"/>
      <c r="AW12" s="296"/>
      <c r="AX12" s="296"/>
      <c r="AY12" s="296"/>
      <c r="AZ12" s="296"/>
      <c r="BA12" s="296"/>
      <c r="BB12" s="296"/>
      <c r="BC12" s="296"/>
      <c r="BD12" s="296"/>
      <c r="BE12" s="295"/>
      <c r="BF12" s="295"/>
      <c r="BG12" s="295"/>
      <c r="BH12" s="295"/>
      <c r="BI12" s="295"/>
      <c r="BJ12" s="295"/>
      <c r="BK12" s="295"/>
      <c r="BL12" s="295"/>
      <c r="BM12" s="295"/>
      <c r="BN12" s="296"/>
      <c r="BO12" s="296"/>
      <c r="BP12" s="296"/>
      <c r="BQ12" s="296"/>
      <c r="BR12" s="296"/>
      <c r="BS12" s="296"/>
      <c r="BT12" s="296"/>
      <c r="BU12" s="296"/>
      <c r="BV12" s="295"/>
      <c r="BW12" s="295"/>
      <c r="BX12" s="295"/>
      <c r="BY12" s="295"/>
      <c r="BZ12" s="295"/>
      <c r="CA12" s="295"/>
      <c r="CB12" s="295"/>
      <c r="CC12" s="295"/>
      <c r="CD12" s="295"/>
      <c r="CE12" s="296"/>
      <c r="CF12" s="296"/>
      <c r="CG12" s="296"/>
      <c r="CH12" s="296"/>
      <c r="CI12" s="296"/>
      <c r="CJ12" s="296"/>
      <c r="CK12" s="296"/>
      <c r="CL12" s="296"/>
      <c r="CM12" s="296"/>
      <c r="CN12" s="295"/>
      <c r="CO12" s="295"/>
      <c r="CP12" s="295"/>
      <c r="CQ12" s="295"/>
      <c r="CR12" s="295"/>
      <c r="CS12" s="295"/>
      <c r="CT12" s="295"/>
      <c r="CU12" s="295"/>
      <c r="CV12" s="295"/>
      <c r="CW12" s="296"/>
      <c r="CX12" s="296"/>
      <c r="CY12" s="296"/>
      <c r="CZ12" s="296"/>
      <c r="DA12" s="296"/>
      <c r="DB12" s="296"/>
      <c r="DC12" s="296"/>
      <c r="DD12" s="296"/>
      <c r="DE12" s="296"/>
      <c r="DF12" s="174"/>
      <c r="DG12" s="174"/>
      <c r="DH12" s="6"/>
      <c r="DI12" s="6"/>
    </row>
    <row r="13" spans="1:113" x14ac:dyDescent="0.2">
      <c r="A13" s="6"/>
      <c r="B13" s="6"/>
      <c r="C13" s="6"/>
      <c r="D13" s="295"/>
      <c r="E13" s="295"/>
      <c r="F13" s="295"/>
      <c r="G13" s="295"/>
      <c r="H13" s="295"/>
      <c r="I13" s="295"/>
      <c r="J13" s="295"/>
      <c r="K13" s="295"/>
      <c r="L13" s="295"/>
      <c r="M13" s="295"/>
      <c r="N13" s="296"/>
      <c r="O13" s="296"/>
      <c r="P13" s="296"/>
      <c r="Q13" s="296"/>
      <c r="R13" s="296"/>
      <c r="S13" s="296"/>
      <c r="T13" s="296"/>
      <c r="U13" s="296"/>
      <c r="V13" s="296"/>
      <c r="W13" s="295"/>
      <c r="X13" s="295"/>
      <c r="Y13" s="295"/>
      <c r="Z13" s="295"/>
      <c r="AA13" s="295"/>
      <c r="AB13" s="295"/>
      <c r="AC13" s="295"/>
      <c r="AD13" s="295"/>
      <c r="AE13" s="296"/>
      <c r="AF13" s="296"/>
      <c r="AG13" s="296"/>
      <c r="AH13" s="296"/>
      <c r="AI13" s="296"/>
      <c r="AJ13" s="296"/>
      <c r="AK13" s="296"/>
      <c r="AL13" s="296"/>
      <c r="AM13" s="296"/>
      <c r="AN13" s="295"/>
      <c r="AO13" s="295"/>
      <c r="AP13" s="295"/>
      <c r="AQ13" s="295"/>
      <c r="AR13" s="295"/>
      <c r="AS13" s="295"/>
      <c r="AT13" s="295"/>
      <c r="AU13" s="295"/>
      <c r="AV13" s="295"/>
      <c r="AW13" s="296"/>
      <c r="AX13" s="296"/>
      <c r="AY13" s="296"/>
      <c r="AZ13" s="296"/>
      <c r="BA13" s="296"/>
      <c r="BB13" s="296"/>
      <c r="BC13" s="296"/>
      <c r="BD13" s="296"/>
      <c r="BE13" s="295"/>
      <c r="BF13" s="295"/>
      <c r="BG13" s="295"/>
      <c r="BH13" s="295"/>
      <c r="BI13" s="295"/>
      <c r="BJ13" s="295"/>
      <c r="BK13" s="295"/>
      <c r="BL13" s="295"/>
      <c r="BM13" s="295"/>
      <c r="BN13" s="296"/>
      <c r="BO13" s="296"/>
      <c r="BP13" s="296"/>
      <c r="BQ13" s="296"/>
      <c r="BR13" s="296"/>
      <c r="BS13" s="296"/>
      <c r="BT13" s="296"/>
      <c r="BU13" s="296"/>
      <c r="BV13" s="295"/>
      <c r="BW13" s="295"/>
      <c r="BX13" s="295"/>
      <c r="BY13" s="295"/>
      <c r="BZ13" s="295"/>
      <c r="CA13" s="295"/>
      <c r="CB13" s="295"/>
      <c r="CC13" s="295"/>
      <c r="CD13" s="295"/>
      <c r="CE13" s="296"/>
      <c r="CF13" s="296"/>
      <c r="CG13" s="296"/>
      <c r="CH13" s="296"/>
      <c r="CI13" s="296"/>
      <c r="CJ13" s="296"/>
      <c r="CK13" s="296"/>
      <c r="CL13" s="296"/>
      <c r="CM13" s="296"/>
      <c r="CN13" s="295"/>
      <c r="CO13" s="295"/>
      <c r="CP13" s="295"/>
      <c r="CQ13" s="295"/>
      <c r="CR13" s="295"/>
      <c r="CS13" s="295"/>
      <c r="CT13" s="295"/>
      <c r="CU13" s="295"/>
      <c r="CV13" s="295"/>
      <c r="CW13" s="296"/>
      <c r="CX13" s="296"/>
      <c r="CY13" s="296"/>
      <c r="CZ13" s="296"/>
      <c r="DA13" s="296"/>
      <c r="DB13" s="296"/>
      <c r="DC13" s="296"/>
      <c r="DD13" s="296"/>
      <c r="DE13" s="296"/>
      <c r="DF13" s="174"/>
      <c r="DG13" s="174"/>
      <c r="DH13" s="6"/>
      <c r="DI13" s="6"/>
    </row>
    <row r="14" spans="1:113" x14ac:dyDescent="0.2">
      <c r="A14" s="6"/>
      <c r="B14" s="6"/>
      <c r="C14" s="6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6"/>
      <c r="O14" s="296"/>
      <c r="P14" s="296"/>
      <c r="Q14" s="296"/>
      <c r="R14" s="296"/>
      <c r="S14" s="296"/>
      <c r="T14" s="296"/>
      <c r="U14" s="296"/>
      <c r="V14" s="296"/>
      <c r="W14" s="295"/>
      <c r="X14" s="295"/>
      <c r="Y14" s="295"/>
      <c r="Z14" s="295"/>
      <c r="AA14" s="295"/>
      <c r="AB14" s="295"/>
      <c r="AC14" s="295"/>
      <c r="AD14" s="295"/>
      <c r="AE14" s="296"/>
      <c r="AF14" s="296"/>
      <c r="AG14" s="296"/>
      <c r="AH14" s="296"/>
      <c r="AI14" s="296"/>
      <c r="AJ14" s="296"/>
      <c r="AK14" s="296"/>
      <c r="AL14" s="296"/>
      <c r="AM14" s="296"/>
      <c r="AN14" s="295"/>
      <c r="AO14" s="295"/>
      <c r="AP14" s="295"/>
      <c r="AQ14" s="295"/>
      <c r="AR14" s="295"/>
      <c r="AS14" s="295"/>
      <c r="AT14" s="295"/>
      <c r="AU14" s="295"/>
      <c r="AV14" s="295"/>
      <c r="AW14" s="296"/>
      <c r="AX14" s="296"/>
      <c r="AY14" s="296"/>
      <c r="AZ14" s="296"/>
      <c r="BA14" s="296"/>
      <c r="BB14" s="296"/>
      <c r="BC14" s="296"/>
      <c r="BD14" s="296"/>
      <c r="BE14" s="295"/>
      <c r="BF14" s="295"/>
      <c r="BG14" s="295"/>
      <c r="BH14" s="295"/>
      <c r="BI14" s="295"/>
      <c r="BJ14" s="295"/>
      <c r="BK14" s="295"/>
      <c r="BL14" s="295"/>
      <c r="BM14" s="295"/>
      <c r="BN14" s="296"/>
      <c r="BO14" s="296"/>
      <c r="BP14" s="296"/>
      <c r="BQ14" s="296"/>
      <c r="BR14" s="296"/>
      <c r="BS14" s="296"/>
      <c r="BT14" s="296"/>
      <c r="BU14" s="296"/>
      <c r="BV14" s="295"/>
      <c r="BW14" s="295"/>
      <c r="BX14" s="295"/>
      <c r="BY14" s="295"/>
      <c r="BZ14" s="295"/>
      <c r="CA14" s="295"/>
      <c r="CB14" s="295"/>
      <c r="CC14" s="295"/>
      <c r="CD14" s="295"/>
      <c r="CE14" s="296"/>
      <c r="CF14" s="296"/>
      <c r="CG14" s="296"/>
      <c r="CH14" s="296"/>
      <c r="CI14" s="296"/>
      <c r="CJ14" s="296"/>
      <c r="CK14" s="296"/>
      <c r="CL14" s="296"/>
      <c r="CM14" s="296"/>
      <c r="CN14" s="295"/>
      <c r="CO14" s="295"/>
      <c r="CP14" s="295"/>
      <c r="CQ14" s="295"/>
      <c r="CR14" s="295"/>
      <c r="CS14" s="295"/>
      <c r="CT14" s="295"/>
      <c r="CU14" s="295"/>
      <c r="CV14" s="295"/>
      <c r="CW14" s="296"/>
      <c r="CX14" s="296"/>
      <c r="CY14" s="296"/>
      <c r="CZ14" s="296"/>
      <c r="DA14" s="296"/>
      <c r="DB14" s="296"/>
      <c r="DC14" s="296"/>
      <c r="DD14" s="296"/>
      <c r="DE14" s="296"/>
      <c r="DF14" s="174"/>
      <c r="DG14" s="174"/>
      <c r="DH14" s="6"/>
      <c r="DI14" s="6"/>
    </row>
    <row r="15" spans="1:113" x14ac:dyDescent="0.2">
      <c r="A15" s="6"/>
      <c r="B15" s="6"/>
      <c r="C15" s="6"/>
      <c r="D15" s="295"/>
      <c r="E15" s="295"/>
      <c r="F15" s="295"/>
      <c r="G15" s="295"/>
      <c r="H15" s="295"/>
      <c r="I15" s="295"/>
      <c r="J15" s="295"/>
      <c r="K15" s="295"/>
      <c r="L15" s="295"/>
      <c r="M15" s="295"/>
      <c r="N15" s="296"/>
      <c r="O15" s="296"/>
      <c r="P15" s="296"/>
      <c r="Q15" s="296"/>
      <c r="R15" s="296"/>
      <c r="S15" s="296"/>
      <c r="T15" s="296"/>
      <c r="U15" s="296"/>
      <c r="V15" s="296"/>
      <c r="W15" s="295"/>
      <c r="X15" s="295"/>
      <c r="Y15" s="295"/>
      <c r="Z15" s="295"/>
      <c r="AA15" s="295"/>
      <c r="AB15" s="295"/>
      <c r="AC15" s="295"/>
      <c r="AD15" s="295"/>
      <c r="AE15" s="296"/>
      <c r="AF15" s="296"/>
      <c r="AG15" s="296"/>
      <c r="AH15" s="296"/>
      <c r="AI15" s="296"/>
      <c r="AJ15" s="296"/>
      <c r="AK15" s="296"/>
      <c r="AL15" s="296"/>
      <c r="AM15" s="296"/>
      <c r="AN15" s="295"/>
      <c r="AO15" s="295"/>
      <c r="AP15" s="295"/>
      <c r="AQ15" s="295"/>
      <c r="AR15" s="295"/>
      <c r="AS15" s="295"/>
      <c r="AT15" s="295"/>
      <c r="AU15" s="295"/>
      <c r="AV15" s="295"/>
      <c r="AW15" s="296"/>
      <c r="AX15" s="296"/>
      <c r="AY15" s="296"/>
      <c r="AZ15" s="296"/>
      <c r="BA15" s="296"/>
      <c r="BB15" s="296"/>
      <c r="BC15" s="296"/>
      <c r="BD15" s="296"/>
      <c r="BE15" s="295"/>
      <c r="BF15" s="295"/>
      <c r="BG15" s="295"/>
      <c r="BH15" s="295"/>
      <c r="BI15" s="295"/>
      <c r="BJ15" s="295"/>
      <c r="BK15" s="295"/>
      <c r="BL15" s="295"/>
      <c r="BM15" s="295"/>
      <c r="BN15" s="296"/>
      <c r="BO15" s="296"/>
      <c r="BP15" s="296"/>
      <c r="BQ15" s="296"/>
      <c r="BR15" s="296"/>
      <c r="BS15" s="296"/>
      <c r="BT15" s="296"/>
      <c r="BU15" s="296"/>
      <c r="BV15" s="295"/>
      <c r="BW15" s="295"/>
      <c r="BX15" s="295"/>
      <c r="BY15" s="295"/>
      <c r="BZ15" s="295"/>
      <c r="CA15" s="295"/>
      <c r="CB15" s="295"/>
      <c r="CC15" s="295"/>
      <c r="CD15" s="295"/>
      <c r="CE15" s="296"/>
      <c r="CF15" s="296"/>
      <c r="CG15" s="296"/>
      <c r="CH15" s="296"/>
      <c r="CI15" s="296"/>
      <c r="CJ15" s="296"/>
      <c r="CK15" s="296"/>
      <c r="CL15" s="296"/>
      <c r="CM15" s="296"/>
      <c r="CN15" s="295"/>
      <c r="CO15" s="295"/>
      <c r="CP15" s="295"/>
      <c r="CQ15" s="295"/>
      <c r="CR15" s="295"/>
      <c r="CS15" s="295"/>
      <c r="CT15" s="295"/>
      <c r="CU15" s="295"/>
      <c r="CV15" s="295"/>
      <c r="CW15" s="296"/>
      <c r="CX15" s="296"/>
      <c r="CY15" s="296"/>
      <c r="CZ15" s="296"/>
      <c r="DA15" s="296"/>
      <c r="DB15" s="296"/>
      <c r="DC15" s="296"/>
      <c r="DD15" s="296"/>
      <c r="DE15" s="296"/>
      <c r="DF15" s="174"/>
      <c r="DG15" s="174"/>
      <c r="DH15" s="6"/>
      <c r="DI15" s="6"/>
    </row>
    <row r="16" spans="1:113" x14ac:dyDescent="0.2">
      <c r="A16" s="6"/>
      <c r="B16" s="6"/>
      <c r="C16" s="6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N16" s="296"/>
      <c r="O16" s="296"/>
      <c r="P16" s="296"/>
      <c r="Q16" s="296"/>
      <c r="R16" s="296"/>
      <c r="S16" s="296"/>
      <c r="T16" s="296"/>
      <c r="U16" s="296"/>
      <c r="V16" s="296"/>
      <c r="W16" s="295"/>
      <c r="X16" s="295"/>
      <c r="Y16" s="295"/>
      <c r="Z16" s="295"/>
      <c r="AA16" s="295"/>
      <c r="AB16" s="295"/>
      <c r="AC16" s="295"/>
      <c r="AD16" s="295"/>
      <c r="AE16" s="296"/>
      <c r="AF16" s="296"/>
      <c r="AG16" s="296"/>
      <c r="AH16" s="296"/>
      <c r="AI16" s="296"/>
      <c r="AJ16" s="296"/>
      <c r="AK16" s="296"/>
      <c r="AL16" s="296"/>
      <c r="AM16" s="296"/>
      <c r="AN16" s="295"/>
      <c r="AO16" s="295"/>
      <c r="AP16" s="295"/>
      <c r="AQ16" s="295"/>
      <c r="AR16" s="295"/>
      <c r="AS16" s="295"/>
      <c r="AT16" s="295"/>
      <c r="AU16" s="295"/>
      <c r="AV16" s="295"/>
      <c r="AW16" s="296"/>
      <c r="AX16" s="296"/>
      <c r="AY16" s="296"/>
      <c r="AZ16" s="296"/>
      <c r="BA16" s="296"/>
      <c r="BB16" s="296"/>
      <c r="BC16" s="296"/>
      <c r="BD16" s="296"/>
      <c r="BE16" s="295"/>
      <c r="BF16" s="295"/>
      <c r="BG16" s="295"/>
      <c r="BH16" s="295"/>
      <c r="BI16" s="295"/>
      <c r="BJ16" s="295"/>
      <c r="BK16" s="295"/>
      <c r="BL16" s="295"/>
      <c r="BM16" s="295"/>
      <c r="BN16" s="296"/>
      <c r="BO16" s="296"/>
      <c r="BP16" s="296"/>
      <c r="BQ16" s="296"/>
      <c r="BR16" s="296"/>
      <c r="BS16" s="296"/>
      <c r="BT16" s="296"/>
      <c r="BU16" s="296"/>
      <c r="BV16" s="295"/>
      <c r="BW16" s="295"/>
      <c r="BX16" s="295"/>
      <c r="BY16" s="295"/>
      <c r="BZ16" s="295"/>
      <c r="CA16" s="295"/>
      <c r="CB16" s="295"/>
      <c r="CC16" s="295"/>
      <c r="CD16" s="295"/>
      <c r="CE16" s="296"/>
      <c r="CF16" s="296"/>
      <c r="CG16" s="296"/>
      <c r="CH16" s="296"/>
      <c r="CI16" s="296"/>
      <c r="CJ16" s="296"/>
      <c r="CK16" s="296"/>
      <c r="CL16" s="296"/>
      <c r="CM16" s="296"/>
      <c r="CN16" s="295"/>
      <c r="CO16" s="295"/>
      <c r="CP16" s="295"/>
      <c r="CQ16" s="295"/>
      <c r="CR16" s="295"/>
      <c r="CS16" s="295"/>
      <c r="CT16" s="295"/>
      <c r="CU16" s="295"/>
      <c r="CV16" s="295"/>
      <c r="CW16" s="296"/>
      <c r="CX16" s="296"/>
      <c r="CY16" s="296"/>
      <c r="CZ16" s="296"/>
      <c r="DA16" s="296"/>
      <c r="DB16" s="296"/>
      <c r="DC16" s="296"/>
      <c r="DD16" s="296"/>
      <c r="DE16" s="296"/>
      <c r="DF16" s="174"/>
      <c r="DG16" s="174"/>
      <c r="DH16" s="6"/>
      <c r="DI16" s="6"/>
    </row>
    <row r="17" spans="1:113" x14ac:dyDescent="0.2">
      <c r="A17" s="6"/>
      <c r="B17" s="6"/>
      <c r="C17" s="6"/>
      <c r="D17" s="295"/>
      <c r="E17" s="295"/>
      <c r="F17" s="295"/>
      <c r="G17" s="295"/>
      <c r="H17" s="295"/>
      <c r="I17" s="295"/>
      <c r="J17" s="295"/>
      <c r="K17" s="295"/>
      <c r="L17" s="295"/>
      <c r="M17" s="295"/>
      <c r="N17" s="296"/>
      <c r="O17" s="296"/>
      <c r="P17" s="296"/>
      <c r="Q17" s="296"/>
      <c r="R17" s="296"/>
      <c r="S17" s="296"/>
      <c r="T17" s="296"/>
      <c r="U17" s="296"/>
      <c r="V17" s="296"/>
      <c r="W17" s="295"/>
      <c r="X17" s="295"/>
      <c r="Y17" s="295"/>
      <c r="Z17" s="295"/>
      <c r="AA17" s="295"/>
      <c r="AB17" s="295"/>
      <c r="AC17" s="295"/>
      <c r="AD17" s="295"/>
      <c r="AE17" s="296"/>
      <c r="AF17" s="296"/>
      <c r="AG17" s="296"/>
      <c r="AH17" s="296"/>
      <c r="AI17" s="296"/>
      <c r="AJ17" s="296"/>
      <c r="AK17" s="296"/>
      <c r="AL17" s="296"/>
      <c r="AM17" s="296"/>
      <c r="AN17" s="295"/>
      <c r="AO17" s="295"/>
      <c r="AP17" s="295"/>
      <c r="AQ17" s="295"/>
      <c r="AR17" s="295"/>
      <c r="AS17" s="295"/>
      <c r="AT17" s="295"/>
      <c r="AU17" s="295"/>
      <c r="AV17" s="295"/>
      <c r="AW17" s="296"/>
      <c r="AX17" s="296"/>
      <c r="AY17" s="296"/>
      <c r="AZ17" s="296"/>
      <c r="BA17" s="296"/>
      <c r="BB17" s="296"/>
      <c r="BC17" s="296"/>
      <c r="BD17" s="296"/>
      <c r="BE17" s="295"/>
      <c r="BF17" s="295"/>
      <c r="BG17" s="295"/>
      <c r="BH17" s="295"/>
      <c r="BI17" s="295"/>
      <c r="BJ17" s="295"/>
      <c r="BK17" s="295"/>
      <c r="BL17" s="295"/>
      <c r="BM17" s="295"/>
      <c r="BN17" s="296"/>
      <c r="BO17" s="296"/>
      <c r="BP17" s="296"/>
      <c r="BQ17" s="296"/>
      <c r="BR17" s="296"/>
      <c r="BS17" s="296"/>
      <c r="BT17" s="296"/>
      <c r="BU17" s="296"/>
      <c r="BV17" s="295"/>
      <c r="BW17" s="295"/>
      <c r="BX17" s="295"/>
      <c r="BY17" s="295"/>
      <c r="BZ17" s="295"/>
      <c r="CA17" s="295"/>
      <c r="CB17" s="295"/>
      <c r="CC17" s="295"/>
      <c r="CD17" s="295"/>
      <c r="CE17" s="296"/>
      <c r="CF17" s="296"/>
      <c r="CG17" s="296"/>
      <c r="CH17" s="296"/>
      <c r="CI17" s="296"/>
      <c r="CJ17" s="296"/>
      <c r="CK17" s="296"/>
      <c r="CL17" s="296"/>
      <c r="CM17" s="296"/>
      <c r="CN17" s="295"/>
      <c r="CO17" s="295"/>
      <c r="CP17" s="295"/>
      <c r="CQ17" s="295"/>
      <c r="CR17" s="295"/>
      <c r="CS17" s="295"/>
      <c r="CT17" s="295"/>
      <c r="CU17" s="295"/>
      <c r="CV17" s="295"/>
      <c r="CW17" s="296"/>
      <c r="CX17" s="296"/>
      <c r="CY17" s="296"/>
      <c r="CZ17" s="296"/>
      <c r="DA17" s="296"/>
      <c r="DB17" s="296"/>
      <c r="DC17" s="296"/>
      <c r="DD17" s="296"/>
      <c r="DE17" s="296"/>
      <c r="DF17" s="174"/>
      <c r="DG17" s="174"/>
      <c r="DH17" s="6"/>
      <c r="DI17" s="6"/>
    </row>
    <row r="18" spans="1:113" x14ac:dyDescent="0.2">
      <c r="A18" s="6"/>
      <c r="B18" s="6"/>
      <c r="C18" s="6"/>
      <c r="D18" s="295"/>
      <c r="E18" s="295"/>
      <c r="F18" s="295"/>
      <c r="G18" s="295"/>
      <c r="H18" s="295"/>
      <c r="I18" s="295"/>
      <c r="J18" s="295"/>
      <c r="K18" s="295"/>
      <c r="L18" s="295"/>
      <c r="M18" s="295"/>
      <c r="N18" s="296"/>
      <c r="O18" s="296"/>
      <c r="P18" s="296"/>
      <c r="Q18" s="296"/>
      <c r="R18" s="296"/>
      <c r="S18" s="296"/>
      <c r="T18" s="296"/>
      <c r="U18" s="296"/>
      <c r="V18" s="296"/>
      <c r="W18" s="295"/>
      <c r="X18" s="295"/>
      <c r="Y18" s="295"/>
      <c r="Z18" s="295"/>
      <c r="AA18" s="295"/>
      <c r="AB18" s="295"/>
      <c r="AC18" s="295"/>
      <c r="AD18" s="295"/>
      <c r="AE18" s="296"/>
      <c r="AF18" s="296"/>
      <c r="AG18" s="296"/>
      <c r="AH18" s="296"/>
      <c r="AI18" s="296"/>
      <c r="AJ18" s="296"/>
      <c r="AK18" s="296"/>
      <c r="AL18" s="296"/>
      <c r="AM18" s="296"/>
      <c r="AN18" s="295"/>
      <c r="AO18" s="295"/>
      <c r="AP18" s="295"/>
      <c r="AQ18" s="295"/>
      <c r="AR18" s="295"/>
      <c r="AS18" s="295"/>
      <c r="AT18" s="295"/>
      <c r="AU18" s="295"/>
      <c r="AV18" s="295"/>
      <c r="AW18" s="296"/>
      <c r="AX18" s="296"/>
      <c r="AY18" s="296"/>
      <c r="AZ18" s="296"/>
      <c r="BA18" s="296"/>
      <c r="BB18" s="296"/>
      <c r="BC18" s="296"/>
      <c r="BD18" s="296"/>
      <c r="BE18" s="295"/>
      <c r="BF18" s="295"/>
      <c r="BG18" s="295"/>
      <c r="BH18" s="295"/>
      <c r="BI18" s="295"/>
      <c r="BJ18" s="295"/>
      <c r="BK18" s="295"/>
      <c r="BL18" s="295"/>
      <c r="BM18" s="295"/>
      <c r="BN18" s="296"/>
      <c r="BO18" s="296"/>
      <c r="BP18" s="296"/>
      <c r="BQ18" s="296"/>
      <c r="BR18" s="296"/>
      <c r="BS18" s="296"/>
      <c r="BT18" s="296"/>
      <c r="BU18" s="296"/>
      <c r="BV18" s="295"/>
      <c r="BW18" s="295"/>
      <c r="BX18" s="295"/>
      <c r="BY18" s="295"/>
      <c r="BZ18" s="295"/>
      <c r="CA18" s="295"/>
      <c r="CB18" s="295"/>
      <c r="CC18" s="295"/>
      <c r="CD18" s="295"/>
      <c r="CE18" s="296"/>
      <c r="CF18" s="296"/>
      <c r="CG18" s="296"/>
      <c r="CH18" s="296"/>
      <c r="CI18" s="296"/>
      <c r="CJ18" s="296"/>
      <c r="CK18" s="296"/>
      <c r="CL18" s="296"/>
      <c r="CM18" s="296"/>
      <c r="CN18" s="295"/>
      <c r="CO18" s="295"/>
      <c r="CP18" s="295"/>
      <c r="CQ18" s="295"/>
      <c r="CR18" s="295"/>
      <c r="CS18" s="295"/>
      <c r="CT18" s="295"/>
      <c r="CU18" s="295"/>
      <c r="CV18" s="295"/>
      <c r="CW18" s="296"/>
      <c r="CX18" s="296"/>
      <c r="CY18" s="296"/>
      <c r="CZ18" s="296"/>
      <c r="DA18" s="296"/>
      <c r="DB18" s="296"/>
      <c r="DC18" s="296"/>
      <c r="DD18" s="296"/>
      <c r="DE18" s="296"/>
      <c r="DF18" s="174"/>
      <c r="DG18" s="174"/>
      <c r="DH18" s="6"/>
      <c r="DI18" s="6"/>
    </row>
    <row r="19" spans="1:113" x14ac:dyDescent="0.2">
      <c r="A19" s="6"/>
      <c r="B19" s="6"/>
      <c r="C19" s="6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6"/>
      <c r="O19" s="296"/>
      <c r="P19" s="296"/>
      <c r="Q19" s="296"/>
      <c r="R19" s="296"/>
      <c r="S19" s="296"/>
      <c r="T19" s="296"/>
      <c r="U19" s="296"/>
      <c r="V19" s="296"/>
      <c r="W19" s="295"/>
      <c r="X19" s="295"/>
      <c r="Y19" s="295"/>
      <c r="Z19" s="295"/>
      <c r="AA19" s="295"/>
      <c r="AB19" s="295"/>
      <c r="AC19" s="295"/>
      <c r="AD19" s="295"/>
      <c r="AE19" s="296"/>
      <c r="AF19" s="296"/>
      <c r="AG19" s="296"/>
      <c r="AH19" s="296"/>
      <c r="AI19" s="296"/>
      <c r="AJ19" s="296"/>
      <c r="AK19" s="296"/>
      <c r="AL19" s="296"/>
      <c r="AM19" s="296"/>
      <c r="AN19" s="295"/>
      <c r="AO19" s="295"/>
      <c r="AP19" s="295"/>
      <c r="AQ19" s="295"/>
      <c r="AR19" s="295"/>
      <c r="AS19" s="295"/>
      <c r="AT19" s="295"/>
      <c r="AU19" s="295"/>
      <c r="AV19" s="295"/>
      <c r="AW19" s="296"/>
      <c r="AX19" s="296"/>
      <c r="AY19" s="296"/>
      <c r="AZ19" s="296"/>
      <c r="BA19" s="296"/>
      <c r="BB19" s="296"/>
      <c r="BC19" s="296"/>
      <c r="BD19" s="296"/>
      <c r="BE19" s="295"/>
      <c r="BF19" s="295"/>
      <c r="BG19" s="295"/>
      <c r="BH19" s="295"/>
      <c r="BI19" s="295"/>
      <c r="BJ19" s="295"/>
      <c r="BK19" s="295"/>
      <c r="BL19" s="295"/>
      <c r="BM19" s="295"/>
      <c r="BN19" s="296"/>
      <c r="BO19" s="296"/>
      <c r="BP19" s="296"/>
      <c r="BQ19" s="296"/>
      <c r="BR19" s="296"/>
      <c r="BS19" s="296"/>
      <c r="BT19" s="296"/>
      <c r="BU19" s="296"/>
      <c r="BV19" s="295"/>
      <c r="BW19" s="295"/>
      <c r="BX19" s="295"/>
      <c r="BY19" s="295"/>
      <c r="BZ19" s="295"/>
      <c r="CA19" s="295"/>
      <c r="CB19" s="295"/>
      <c r="CC19" s="295"/>
      <c r="CD19" s="295"/>
      <c r="CE19" s="296"/>
      <c r="CF19" s="296"/>
      <c r="CG19" s="296"/>
      <c r="CH19" s="296"/>
      <c r="CI19" s="296"/>
      <c r="CJ19" s="296"/>
      <c r="CK19" s="296"/>
      <c r="CL19" s="296"/>
      <c r="CM19" s="296"/>
      <c r="CN19" s="295"/>
      <c r="CO19" s="295"/>
      <c r="CP19" s="295"/>
      <c r="CQ19" s="295"/>
      <c r="CR19" s="295"/>
      <c r="CS19" s="295"/>
      <c r="CT19" s="295"/>
      <c r="CU19" s="295"/>
      <c r="CV19" s="295"/>
      <c r="CW19" s="296"/>
      <c r="CX19" s="296"/>
      <c r="CY19" s="296"/>
      <c r="CZ19" s="296"/>
      <c r="DA19" s="296"/>
      <c r="DB19" s="296"/>
      <c r="DC19" s="296"/>
      <c r="DD19" s="296"/>
      <c r="DE19" s="296"/>
      <c r="DF19" s="174"/>
      <c r="DG19" s="174"/>
      <c r="DH19" s="6"/>
      <c r="DI19" s="6"/>
    </row>
    <row r="20" spans="1:113" x14ac:dyDescent="0.2">
      <c r="A20" s="6"/>
      <c r="B20" s="6"/>
      <c r="C20" s="6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6"/>
      <c r="O20" s="296"/>
      <c r="P20" s="296"/>
      <c r="Q20" s="296"/>
      <c r="R20" s="296"/>
      <c r="S20" s="296"/>
      <c r="T20" s="296"/>
      <c r="U20" s="296"/>
      <c r="V20" s="296"/>
      <c r="W20" s="295"/>
      <c r="X20" s="295"/>
      <c r="Y20" s="295"/>
      <c r="Z20" s="295"/>
      <c r="AA20" s="295"/>
      <c r="AB20" s="295"/>
      <c r="AC20" s="295"/>
      <c r="AD20" s="295"/>
      <c r="AE20" s="296"/>
      <c r="AF20" s="296"/>
      <c r="AG20" s="296"/>
      <c r="AH20" s="296"/>
      <c r="AI20" s="296"/>
      <c r="AJ20" s="296"/>
      <c r="AK20" s="296"/>
      <c r="AL20" s="296"/>
      <c r="AM20" s="296"/>
      <c r="AN20" s="295"/>
      <c r="AO20" s="295"/>
      <c r="AP20" s="295"/>
      <c r="AQ20" s="295"/>
      <c r="AR20" s="295"/>
      <c r="AS20" s="295"/>
      <c r="AT20" s="295"/>
      <c r="AU20" s="295"/>
      <c r="AV20" s="295"/>
      <c r="AW20" s="296"/>
      <c r="AX20" s="296"/>
      <c r="AY20" s="296"/>
      <c r="AZ20" s="296"/>
      <c r="BA20" s="296"/>
      <c r="BB20" s="296"/>
      <c r="BC20" s="296"/>
      <c r="BD20" s="296"/>
      <c r="BE20" s="295"/>
      <c r="BF20" s="295"/>
      <c r="BG20" s="295"/>
      <c r="BH20" s="295"/>
      <c r="BI20" s="295"/>
      <c r="BJ20" s="295"/>
      <c r="BK20" s="295"/>
      <c r="BL20" s="295"/>
      <c r="BM20" s="295"/>
      <c r="BN20" s="296"/>
      <c r="BO20" s="296"/>
      <c r="BP20" s="296"/>
      <c r="BQ20" s="296"/>
      <c r="BR20" s="296"/>
      <c r="BS20" s="296"/>
      <c r="BT20" s="296"/>
      <c r="BU20" s="296"/>
      <c r="BV20" s="295"/>
      <c r="BW20" s="295"/>
      <c r="BX20" s="295"/>
      <c r="BY20" s="295"/>
      <c r="BZ20" s="295"/>
      <c r="CA20" s="295"/>
      <c r="CB20" s="295"/>
      <c r="CC20" s="295"/>
      <c r="CD20" s="295"/>
      <c r="CE20" s="296"/>
      <c r="CF20" s="296"/>
      <c r="CG20" s="296"/>
      <c r="CH20" s="296"/>
      <c r="CI20" s="296"/>
      <c r="CJ20" s="296"/>
      <c r="CK20" s="296"/>
      <c r="CL20" s="296"/>
      <c r="CM20" s="296"/>
      <c r="CN20" s="295"/>
      <c r="CO20" s="295"/>
      <c r="CP20" s="295"/>
      <c r="CQ20" s="295"/>
      <c r="CR20" s="295"/>
      <c r="CS20" s="295"/>
      <c r="CT20" s="295"/>
      <c r="CU20" s="295"/>
      <c r="CV20" s="295"/>
      <c r="CW20" s="296"/>
      <c r="CX20" s="296"/>
      <c r="CY20" s="296"/>
      <c r="CZ20" s="296"/>
      <c r="DA20" s="296"/>
      <c r="DB20" s="296"/>
      <c r="DC20" s="296"/>
      <c r="DD20" s="296"/>
      <c r="DE20" s="296"/>
      <c r="DF20" s="174"/>
      <c r="DG20" s="174"/>
      <c r="DH20" s="6"/>
      <c r="DI20" s="6"/>
    </row>
    <row r="21" spans="1:113" x14ac:dyDescent="0.2">
      <c r="A21" s="6"/>
      <c r="B21" s="6"/>
      <c r="C21" s="6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6"/>
      <c r="O21" s="296"/>
      <c r="P21" s="296"/>
      <c r="Q21" s="296"/>
      <c r="R21" s="296"/>
      <c r="S21" s="296"/>
      <c r="T21" s="296"/>
      <c r="U21" s="296"/>
      <c r="V21" s="296"/>
      <c r="W21" s="295"/>
      <c r="X21" s="295"/>
      <c r="Y21" s="295"/>
      <c r="Z21" s="295"/>
      <c r="AA21" s="295"/>
      <c r="AB21" s="295"/>
      <c r="AC21" s="295"/>
      <c r="AD21" s="295"/>
      <c r="AE21" s="296"/>
      <c r="AF21" s="296"/>
      <c r="AG21" s="296"/>
      <c r="AH21" s="296"/>
      <c r="AI21" s="296"/>
      <c r="AJ21" s="296"/>
      <c r="AK21" s="296"/>
      <c r="AL21" s="296"/>
      <c r="AM21" s="296"/>
      <c r="AN21" s="295"/>
      <c r="AO21" s="295"/>
      <c r="AP21" s="295"/>
      <c r="AQ21" s="295"/>
      <c r="AR21" s="295"/>
      <c r="AS21" s="295"/>
      <c r="AT21" s="295"/>
      <c r="AU21" s="295"/>
      <c r="AV21" s="295"/>
      <c r="AW21" s="296"/>
      <c r="AX21" s="296"/>
      <c r="AY21" s="296"/>
      <c r="AZ21" s="296"/>
      <c r="BA21" s="296"/>
      <c r="BB21" s="296"/>
      <c r="BC21" s="296"/>
      <c r="BD21" s="296"/>
      <c r="BE21" s="295"/>
      <c r="BF21" s="295"/>
      <c r="BG21" s="295"/>
      <c r="BH21" s="295"/>
      <c r="BI21" s="295"/>
      <c r="BJ21" s="295"/>
      <c r="BK21" s="295"/>
      <c r="BL21" s="295"/>
      <c r="BM21" s="295"/>
      <c r="BN21" s="296"/>
      <c r="BO21" s="296"/>
      <c r="BP21" s="296"/>
      <c r="BQ21" s="296"/>
      <c r="BR21" s="296"/>
      <c r="BS21" s="296"/>
      <c r="BT21" s="296"/>
      <c r="BU21" s="296"/>
      <c r="BV21" s="295"/>
      <c r="BW21" s="295"/>
      <c r="BX21" s="295"/>
      <c r="BY21" s="295"/>
      <c r="BZ21" s="295"/>
      <c r="CA21" s="295"/>
      <c r="CB21" s="295"/>
      <c r="CC21" s="295"/>
      <c r="CD21" s="295"/>
      <c r="CE21" s="296"/>
      <c r="CF21" s="296"/>
      <c r="CG21" s="296"/>
      <c r="CH21" s="296"/>
      <c r="CI21" s="296"/>
      <c r="CJ21" s="296"/>
      <c r="CK21" s="296"/>
      <c r="CL21" s="296"/>
      <c r="CM21" s="296"/>
      <c r="CN21" s="295"/>
      <c r="CO21" s="295"/>
      <c r="CP21" s="295"/>
      <c r="CQ21" s="295"/>
      <c r="CR21" s="295"/>
      <c r="CS21" s="295"/>
      <c r="CT21" s="295"/>
      <c r="CU21" s="295"/>
      <c r="CV21" s="295"/>
      <c r="CW21" s="296"/>
      <c r="CX21" s="296"/>
      <c r="CY21" s="296"/>
      <c r="CZ21" s="296"/>
      <c r="DA21" s="296"/>
      <c r="DB21" s="296"/>
      <c r="DC21" s="296"/>
      <c r="DD21" s="296"/>
      <c r="DE21" s="296"/>
      <c r="DF21" s="174"/>
      <c r="DG21" s="174"/>
      <c r="DH21" s="6"/>
      <c r="DI21" s="6"/>
    </row>
    <row r="22" spans="1:113" x14ac:dyDescent="0.2">
      <c r="A22" s="6"/>
      <c r="B22" s="6"/>
      <c r="C22" s="6"/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6"/>
      <c r="O22" s="296"/>
      <c r="P22" s="296"/>
      <c r="Q22" s="296"/>
      <c r="R22" s="296"/>
      <c r="S22" s="296"/>
      <c r="T22" s="296"/>
      <c r="U22" s="296"/>
      <c r="V22" s="296"/>
      <c r="W22" s="295"/>
      <c r="X22" s="295"/>
      <c r="Y22" s="295"/>
      <c r="Z22" s="295"/>
      <c r="AA22" s="295"/>
      <c r="AB22" s="295"/>
      <c r="AC22" s="295"/>
      <c r="AD22" s="295"/>
      <c r="AE22" s="296"/>
      <c r="AF22" s="296"/>
      <c r="AG22" s="296"/>
      <c r="AH22" s="296"/>
      <c r="AI22" s="296"/>
      <c r="AJ22" s="296"/>
      <c r="AK22" s="296"/>
      <c r="AL22" s="296"/>
      <c r="AM22" s="296"/>
      <c r="AN22" s="295"/>
      <c r="AO22" s="295"/>
      <c r="AP22" s="295"/>
      <c r="AQ22" s="295"/>
      <c r="AR22" s="295"/>
      <c r="AS22" s="295"/>
      <c r="AT22" s="295"/>
      <c r="AU22" s="295"/>
      <c r="AV22" s="295"/>
      <c r="AW22" s="296"/>
      <c r="AX22" s="296"/>
      <c r="AY22" s="296"/>
      <c r="AZ22" s="296"/>
      <c r="BA22" s="296"/>
      <c r="BB22" s="296"/>
      <c r="BC22" s="296"/>
      <c r="BD22" s="296"/>
      <c r="BE22" s="295"/>
      <c r="BF22" s="295"/>
      <c r="BG22" s="295"/>
      <c r="BH22" s="295"/>
      <c r="BI22" s="295"/>
      <c r="BJ22" s="295"/>
      <c r="BK22" s="295"/>
      <c r="BL22" s="295"/>
      <c r="BM22" s="295"/>
      <c r="BN22" s="296"/>
      <c r="BO22" s="296"/>
      <c r="BP22" s="296"/>
      <c r="BQ22" s="296"/>
      <c r="BR22" s="296"/>
      <c r="BS22" s="296"/>
      <c r="BT22" s="296"/>
      <c r="BU22" s="296"/>
      <c r="BV22" s="295"/>
      <c r="BW22" s="295"/>
      <c r="BX22" s="295"/>
      <c r="BY22" s="295"/>
      <c r="BZ22" s="295"/>
      <c r="CA22" s="295"/>
      <c r="CB22" s="295"/>
      <c r="CC22" s="295"/>
      <c r="CD22" s="295"/>
      <c r="CE22" s="296"/>
      <c r="CF22" s="296"/>
      <c r="CG22" s="296"/>
      <c r="CH22" s="296"/>
      <c r="CI22" s="296"/>
      <c r="CJ22" s="296"/>
      <c r="CK22" s="296"/>
      <c r="CL22" s="296"/>
      <c r="CM22" s="296"/>
      <c r="CN22" s="295"/>
      <c r="CO22" s="295"/>
      <c r="CP22" s="295"/>
      <c r="CQ22" s="295"/>
      <c r="CR22" s="295"/>
      <c r="CS22" s="295"/>
      <c r="CT22" s="295"/>
      <c r="CU22" s="295"/>
      <c r="CV22" s="295"/>
      <c r="CW22" s="296"/>
      <c r="CX22" s="296"/>
      <c r="CY22" s="296"/>
      <c r="CZ22" s="296"/>
      <c r="DA22" s="296"/>
      <c r="DB22" s="296"/>
      <c r="DC22" s="296"/>
      <c r="DD22" s="296"/>
      <c r="DE22" s="296"/>
      <c r="DF22" s="174"/>
      <c r="DG22" s="174"/>
      <c r="DH22" s="6"/>
      <c r="DI22" s="6"/>
    </row>
    <row r="23" spans="1:113" x14ac:dyDescent="0.2">
      <c r="A23" s="6"/>
      <c r="B23" s="6"/>
      <c r="C23" s="6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6"/>
      <c r="O23" s="296"/>
      <c r="P23" s="296"/>
      <c r="Q23" s="296"/>
      <c r="R23" s="296"/>
      <c r="S23" s="296"/>
      <c r="T23" s="296"/>
      <c r="U23" s="296"/>
      <c r="V23" s="296"/>
      <c r="W23" s="295"/>
      <c r="X23" s="295"/>
      <c r="Y23" s="295"/>
      <c r="Z23" s="295"/>
      <c r="AA23" s="295"/>
      <c r="AB23" s="295"/>
      <c r="AC23" s="295"/>
      <c r="AD23" s="295"/>
      <c r="AE23" s="296"/>
      <c r="AF23" s="296"/>
      <c r="AG23" s="296"/>
      <c r="AH23" s="296"/>
      <c r="AI23" s="296"/>
      <c r="AJ23" s="296"/>
      <c r="AK23" s="296"/>
      <c r="AL23" s="296"/>
      <c r="AM23" s="296"/>
      <c r="AN23" s="295"/>
      <c r="AO23" s="295"/>
      <c r="AP23" s="295"/>
      <c r="AQ23" s="295"/>
      <c r="AR23" s="295"/>
      <c r="AS23" s="295"/>
      <c r="AT23" s="295"/>
      <c r="AU23" s="295"/>
      <c r="AV23" s="295"/>
      <c r="AW23" s="296"/>
      <c r="AX23" s="296"/>
      <c r="AY23" s="296"/>
      <c r="AZ23" s="296"/>
      <c r="BA23" s="296"/>
      <c r="BB23" s="296"/>
      <c r="BC23" s="296"/>
      <c r="BD23" s="296"/>
      <c r="BE23" s="295"/>
      <c r="BF23" s="295"/>
      <c r="BG23" s="295"/>
      <c r="BH23" s="295"/>
      <c r="BI23" s="295"/>
      <c r="BJ23" s="295"/>
      <c r="BK23" s="295"/>
      <c r="BL23" s="295"/>
      <c r="BM23" s="295"/>
      <c r="BN23" s="296"/>
      <c r="BO23" s="296"/>
      <c r="BP23" s="296"/>
      <c r="BQ23" s="296"/>
      <c r="BR23" s="296"/>
      <c r="BS23" s="296"/>
      <c r="BT23" s="296"/>
      <c r="BU23" s="296"/>
      <c r="BV23" s="295"/>
      <c r="BW23" s="295"/>
      <c r="BX23" s="295"/>
      <c r="BY23" s="295"/>
      <c r="BZ23" s="295"/>
      <c r="CA23" s="295"/>
      <c r="CB23" s="295"/>
      <c r="CC23" s="295"/>
      <c r="CD23" s="295"/>
      <c r="CE23" s="296"/>
      <c r="CF23" s="296"/>
      <c r="CG23" s="296"/>
      <c r="CH23" s="296"/>
      <c r="CI23" s="296"/>
      <c r="CJ23" s="296"/>
      <c r="CK23" s="296"/>
      <c r="CL23" s="296"/>
      <c r="CM23" s="296"/>
      <c r="CN23" s="295"/>
      <c r="CO23" s="295"/>
      <c r="CP23" s="295"/>
      <c r="CQ23" s="295"/>
      <c r="CR23" s="295"/>
      <c r="CS23" s="295"/>
      <c r="CT23" s="295"/>
      <c r="CU23" s="295"/>
      <c r="CV23" s="295"/>
      <c r="CW23" s="296"/>
      <c r="CX23" s="296"/>
      <c r="CY23" s="296"/>
      <c r="CZ23" s="296"/>
      <c r="DA23" s="296"/>
      <c r="DB23" s="296"/>
      <c r="DC23" s="296"/>
      <c r="DD23" s="296"/>
      <c r="DE23" s="296"/>
      <c r="DF23" s="174"/>
      <c r="DG23" s="174"/>
      <c r="DH23" s="6"/>
      <c r="DI23" s="6"/>
    </row>
    <row r="24" spans="1:113" x14ac:dyDescent="0.2">
      <c r="A24" s="6"/>
      <c r="B24" s="6"/>
      <c r="C24" s="6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6"/>
      <c r="O24" s="296"/>
      <c r="P24" s="296"/>
      <c r="Q24" s="296"/>
      <c r="R24" s="296"/>
      <c r="S24" s="296"/>
      <c r="T24" s="296"/>
      <c r="U24" s="296"/>
      <c r="V24" s="296"/>
      <c r="W24" s="295"/>
      <c r="X24" s="295"/>
      <c r="Y24" s="295"/>
      <c r="Z24" s="295"/>
      <c r="AA24" s="295"/>
      <c r="AB24" s="295"/>
      <c r="AC24" s="295"/>
      <c r="AD24" s="295"/>
      <c r="AE24" s="296"/>
      <c r="AF24" s="296"/>
      <c r="AG24" s="296"/>
      <c r="AH24" s="296"/>
      <c r="AI24" s="296"/>
      <c r="AJ24" s="296"/>
      <c r="AK24" s="296"/>
      <c r="AL24" s="296"/>
      <c r="AM24" s="296"/>
      <c r="AN24" s="295"/>
      <c r="AO24" s="295"/>
      <c r="AP24" s="295"/>
      <c r="AQ24" s="295"/>
      <c r="AR24" s="295"/>
      <c r="AS24" s="295"/>
      <c r="AT24" s="295"/>
      <c r="AU24" s="295"/>
      <c r="AV24" s="295"/>
      <c r="AW24" s="296"/>
      <c r="AX24" s="296"/>
      <c r="AY24" s="296"/>
      <c r="AZ24" s="296"/>
      <c r="BA24" s="296"/>
      <c r="BB24" s="296"/>
      <c r="BC24" s="296"/>
      <c r="BD24" s="296"/>
      <c r="BE24" s="295"/>
      <c r="BF24" s="295"/>
      <c r="BG24" s="295"/>
      <c r="BH24" s="295"/>
      <c r="BI24" s="295"/>
      <c r="BJ24" s="295"/>
      <c r="BK24" s="295"/>
      <c r="BL24" s="295"/>
      <c r="BM24" s="295"/>
      <c r="BN24" s="296"/>
      <c r="BO24" s="296"/>
      <c r="BP24" s="296"/>
      <c r="BQ24" s="296"/>
      <c r="BR24" s="296"/>
      <c r="BS24" s="296"/>
      <c r="BT24" s="296"/>
      <c r="BU24" s="296"/>
      <c r="BV24" s="295"/>
      <c r="BW24" s="295"/>
      <c r="BX24" s="295"/>
      <c r="BY24" s="295"/>
      <c r="BZ24" s="295"/>
      <c r="CA24" s="295"/>
      <c r="CB24" s="295"/>
      <c r="CC24" s="295"/>
      <c r="CD24" s="295"/>
      <c r="CE24" s="296"/>
      <c r="CF24" s="296"/>
      <c r="CG24" s="296"/>
      <c r="CH24" s="296"/>
      <c r="CI24" s="296"/>
      <c r="CJ24" s="296"/>
      <c r="CK24" s="296"/>
      <c r="CL24" s="296"/>
      <c r="CM24" s="296"/>
      <c r="CN24" s="295"/>
      <c r="CO24" s="295"/>
      <c r="CP24" s="295"/>
      <c r="CQ24" s="295"/>
      <c r="CR24" s="295"/>
      <c r="CS24" s="295"/>
      <c r="CT24" s="295"/>
      <c r="CU24" s="295"/>
      <c r="CV24" s="295"/>
      <c r="CW24" s="296"/>
      <c r="CX24" s="296"/>
      <c r="CY24" s="296"/>
      <c r="CZ24" s="296"/>
      <c r="DA24" s="296"/>
      <c r="DB24" s="296"/>
      <c r="DC24" s="296"/>
      <c r="DD24" s="296"/>
      <c r="DE24" s="296"/>
      <c r="DF24" s="174"/>
      <c r="DG24" s="174"/>
      <c r="DH24" s="6"/>
      <c r="DI24" s="6"/>
    </row>
    <row r="25" spans="1:113" x14ac:dyDescent="0.2">
      <c r="A25" s="6"/>
      <c r="B25" s="6"/>
      <c r="C25" s="6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6"/>
      <c r="O25" s="296"/>
      <c r="P25" s="296"/>
      <c r="Q25" s="296"/>
      <c r="R25" s="296"/>
      <c r="S25" s="296"/>
      <c r="T25" s="296"/>
      <c r="U25" s="296"/>
      <c r="V25" s="296"/>
      <c r="W25" s="295"/>
      <c r="X25" s="295"/>
      <c r="Y25" s="295"/>
      <c r="Z25" s="295"/>
      <c r="AA25" s="295"/>
      <c r="AB25" s="295"/>
      <c r="AC25" s="295"/>
      <c r="AD25" s="295"/>
      <c r="AE25" s="296"/>
      <c r="AF25" s="296"/>
      <c r="AG25" s="296"/>
      <c r="AH25" s="296"/>
      <c r="AI25" s="296"/>
      <c r="AJ25" s="296"/>
      <c r="AK25" s="296"/>
      <c r="AL25" s="296"/>
      <c r="AM25" s="296"/>
      <c r="AN25" s="295"/>
      <c r="AO25" s="295"/>
      <c r="AP25" s="295"/>
      <c r="AQ25" s="295"/>
      <c r="AR25" s="295"/>
      <c r="AS25" s="295"/>
      <c r="AT25" s="295"/>
      <c r="AU25" s="295"/>
      <c r="AV25" s="295"/>
      <c r="AW25" s="296"/>
      <c r="AX25" s="296"/>
      <c r="AY25" s="296"/>
      <c r="AZ25" s="296"/>
      <c r="BA25" s="296"/>
      <c r="BB25" s="296"/>
      <c r="BC25" s="296"/>
      <c r="BD25" s="296"/>
      <c r="BE25" s="295"/>
      <c r="BF25" s="295"/>
      <c r="BG25" s="295"/>
      <c r="BH25" s="295"/>
      <c r="BI25" s="295"/>
      <c r="BJ25" s="295"/>
      <c r="BK25" s="295"/>
      <c r="BL25" s="295"/>
      <c r="BM25" s="295"/>
      <c r="BN25" s="296"/>
      <c r="BO25" s="296"/>
      <c r="BP25" s="296"/>
      <c r="BQ25" s="296"/>
      <c r="BR25" s="296"/>
      <c r="BS25" s="296"/>
      <c r="BT25" s="296"/>
      <c r="BU25" s="296"/>
      <c r="BV25" s="295"/>
      <c r="BW25" s="295"/>
      <c r="BX25" s="295"/>
      <c r="BY25" s="295"/>
      <c r="BZ25" s="295"/>
      <c r="CA25" s="295"/>
      <c r="CB25" s="295"/>
      <c r="CC25" s="295"/>
      <c r="CD25" s="295"/>
      <c r="CE25" s="296"/>
      <c r="CF25" s="296"/>
      <c r="CG25" s="296"/>
      <c r="CH25" s="296"/>
      <c r="CI25" s="296"/>
      <c r="CJ25" s="296"/>
      <c r="CK25" s="296"/>
      <c r="CL25" s="296"/>
      <c r="CM25" s="296"/>
      <c r="CN25" s="295"/>
      <c r="CO25" s="295"/>
      <c r="CP25" s="295"/>
      <c r="CQ25" s="295"/>
      <c r="CR25" s="295"/>
      <c r="CS25" s="295"/>
      <c r="CT25" s="295"/>
      <c r="CU25" s="295"/>
      <c r="CV25" s="295"/>
      <c r="CW25" s="296"/>
      <c r="CX25" s="296"/>
      <c r="CY25" s="296"/>
      <c r="CZ25" s="296"/>
      <c r="DA25" s="296"/>
      <c r="DB25" s="296"/>
      <c r="DC25" s="296"/>
      <c r="DD25" s="296"/>
      <c r="DE25" s="296"/>
      <c r="DF25" s="174"/>
      <c r="DG25" s="174"/>
      <c r="DH25" s="6"/>
      <c r="DI25" s="6"/>
    </row>
    <row r="26" spans="1:113" x14ac:dyDescent="0.2">
      <c r="A26" s="6"/>
      <c r="B26" s="6"/>
      <c r="C26" s="6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6"/>
      <c r="O26" s="296"/>
      <c r="P26" s="296"/>
      <c r="Q26" s="296"/>
      <c r="R26" s="296"/>
      <c r="S26" s="296"/>
      <c r="T26" s="296"/>
      <c r="U26" s="296"/>
      <c r="V26" s="296"/>
      <c r="W26" s="295"/>
      <c r="X26" s="295"/>
      <c r="Y26" s="295"/>
      <c r="Z26" s="295"/>
      <c r="AA26" s="295"/>
      <c r="AB26" s="295"/>
      <c r="AC26" s="295"/>
      <c r="AD26" s="295"/>
      <c r="AE26" s="296"/>
      <c r="AF26" s="296"/>
      <c r="AG26" s="296"/>
      <c r="AH26" s="296"/>
      <c r="AI26" s="296"/>
      <c r="AJ26" s="296"/>
      <c r="AK26" s="296"/>
      <c r="AL26" s="296"/>
      <c r="AM26" s="296"/>
      <c r="AN26" s="295"/>
      <c r="AO26" s="295"/>
      <c r="AP26" s="295"/>
      <c r="AQ26" s="295"/>
      <c r="AR26" s="295"/>
      <c r="AS26" s="295"/>
      <c r="AT26" s="295"/>
      <c r="AU26" s="295"/>
      <c r="AV26" s="295"/>
      <c r="AW26" s="296"/>
      <c r="AX26" s="296"/>
      <c r="AY26" s="296"/>
      <c r="AZ26" s="296"/>
      <c r="BA26" s="296"/>
      <c r="BB26" s="296"/>
      <c r="BC26" s="296"/>
      <c r="BD26" s="296"/>
      <c r="BE26" s="295"/>
      <c r="BF26" s="295"/>
      <c r="BG26" s="295"/>
      <c r="BH26" s="295"/>
      <c r="BI26" s="295"/>
      <c r="BJ26" s="295"/>
      <c r="BK26" s="295"/>
      <c r="BL26" s="295"/>
      <c r="BM26" s="295"/>
      <c r="BN26" s="296"/>
      <c r="BO26" s="296"/>
      <c r="BP26" s="296"/>
      <c r="BQ26" s="296"/>
      <c r="BR26" s="296"/>
      <c r="BS26" s="296"/>
      <c r="BT26" s="296"/>
      <c r="BU26" s="296"/>
      <c r="BV26" s="295"/>
      <c r="BW26" s="295"/>
      <c r="BX26" s="295"/>
      <c r="BY26" s="295"/>
      <c r="BZ26" s="295"/>
      <c r="CA26" s="295"/>
      <c r="CB26" s="295"/>
      <c r="CC26" s="295"/>
      <c r="CD26" s="295"/>
      <c r="CE26" s="296"/>
      <c r="CF26" s="296"/>
      <c r="CG26" s="296"/>
      <c r="CH26" s="296"/>
      <c r="CI26" s="296"/>
      <c r="CJ26" s="296"/>
      <c r="CK26" s="296"/>
      <c r="CL26" s="296"/>
      <c r="CM26" s="296"/>
      <c r="CN26" s="295"/>
      <c r="CO26" s="295"/>
      <c r="CP26" s="295"/>
      <c r="CQ26" s="295"/>
      <c r="CR26" s="295"/>
      <c r="CS26" s="295"/>
      <c r="CT26" s="295"/>
      <c r="CU26" s="295"/>
      <c r="CV26" s="295"/>
      <c r="CW26" s="296"/>
      <c r="CX26" s="296"/>
      <c r="CY26" s="296"/>
      <c r="CZ26" s="296"/>
      <c r="DA26" s="296"/>
      <c r="DB26" s="296"/>
      <c r="DC26" s="296"/>
      <c r="DD26" s="296"/>
      <c r="DE26" s="296"/>
      <c r="DF26" s="174"/>
      <c r="DG26" s="174"/>
      <c r="DH26" s="6"/>
      <c r="DI26" s="6"/>
    </row>
    <row r="27" spans="1:113" x14ac:dyDescent="0.2">
      <c r="A27" s="6"/>
      <c r="B27" s="6"/>
      <c r="C27" s="6"/>
      <c r="D27" s="295"/>
      <c r="E27" s="295"/>
      <c r="F27" s="295"/>
      <c r="G27" s="295"/>
      <c r="H27" s="295"/>
      <c r="I27" s="295"/>
      <c r="J27" s="295"/>
      <c r="K27" s="295"/>
      <c r="L27" s="295"/>
      <c r="M27" s="295"/>
      <c r="N27" s="296"/>
      <c r="O27" s="296"/>
      <c r="P27" s="296"/>
      <c r="Q27" s="296"/>
      <c r="R27" s="296"/>
      <c r="S27" s="296"/>
      <c r="T27" s="296"/>
      <c r="U27" s="296"/>
      <c r="V27" s="296"/>
      <c r="W27" s="295"/>
      <c r="X27" s="295"/>
      <c r="Y27" s="295"/>
      <c r="Z27" s="295"/>
      <c r="AA27" s="295"/>
      <c r="AB27" s="295"/>
      <c r="AC27" s="295"/>
      <c r="AD27" s="295"/>
      <c r="AE27" s="296"/>
      <c r="AF27" s="296"/>
      <c r="AG27" s="296"/>
      <c r="AH27" s="296"/>
      <c r="AI27" s="296"/>
      <c r="AJ27" s="296"/>
      <c r="AK27" s="296"/>
      <c r="AL27" s="296"/>
      <c r="AM27" s="296"/>
      <c r="AN27" s="295"/>
      <c r="AO27" s="295"/>
      <c r="AP27" s="295"/>
      <c r="AQ27" s="295"/>
      <c r="AR27" s="295"/>
      <c r="AS27" s="295"/>
      <c r="AT27" s="295"/>
      <c r="AU27" s="295"/>
      <c r="AV27" s="295"/>
      <c r="AW27" s="296"/>
      <c r="AX27" s="296"/>
      <c r="AY27" s="296"/>
      <c r="AZ27" s="296"/>
      <c r="BA27" s="296"/>
      <c r="BB27" s="296"/>
      <c r="BC27" s="296"/>
      <c r="BD27" s="296"/>
      <c r="BE27" s="295"/>
      <c r="BF27" s="295"/>
      <c r="BG27" s="295"/>
      <c r="BH27" s="295"/>
      <c r="BI27" s="295"/>
      <c r="BJ27" s="295"/>
      <c r="BK27" s="295"/>
      <c r="BL27" s="295"/>
      <c r="BM27" s="295"/>
      <c r="BN27" s="296"/>
      <c r="BO27" s="296"/>
      <c r="BP27" s="296"/>
      <c r="BQ27" s="296"/>
      <c r="BR27" s="296"/>
      <c r="BS27" s="296"/>
      <c r="BT27" s="296"/>
      <c r="BU27" s="296"/>
      <c r="BV27" s="295"/>
      <c r="BW27" s="295"/>
      <c r="BX27" s="295"/>
      <c r="BY27" s="295"/>
      <c r="BZ27" s="295"/>
      <c r="CA27" s="295"/>
      <c r="CB27" s="295"/>
      <c r="CC27" s="295"/>
      <c r="CD27" s="295"/>
      <c r="CE27" s="296"/>
      <c r="CF27" s="296"/>
      <c r="CG27" s="296"/>
      <c r="CH27" s="296"/>
      <c r="CI27" s="296"/>
      <c r="CJ27" s="296"/>
      <c r="CK27" s="296"/>
      <c r="CL27" s="296"/>
      <c r="CM27" s="296"/>
      <c r="CN27" s="295"/>
      <c r="CO27" s="295"/>
      <c r="CP27" s="295"/>
      <c r="CQ27" s="295"/>
      <c r="CR27" s="295"/>
      <c r="CS27" s="295"/>
      <c r="CT27" s="295"/>
      <c r="CU27" s="295"/>
      <c r="CV27" s="295"/>
      <c r="CW27" s="296"/>
      <c r="CX27" s="296"/>
      <c r="CY27" s="296"/>
      <c r="CZ27" s="296"/>
      <c r="DA27" s="296"/>
      <c r="DB27" s="296"/>
      <c r="DC27" s="296"/>
      <c r="DD27" s="296"/>
      <c r="DE27" s="296"/>
      <c r="DF27" s="174"/>
      <c r="DG27" s="174"/>
      <c r="DH27" s="6"/>
      <c r="DI27" s="6"/>
    </row>
    <row r="28" spans="1:113" x14ac:dyDescent="0.2">
      <c r="A28" s="6"/>
      <c r="B28" s="6"/>
      <c r="C28" s="6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6"/>
      <c r="O28" s="296"/>
      <c r="P28" s="296"/>
      <c r="Q28" s="296"/>
      <c r="R28" s="296"/>
      <c r="S28" s="296"/>
      <c r="T28" s="296"/>
      <c r="U28" s="296"/>
      <c r="V28" s="296"/>
      <c r="W28" s="295"/>
      <c r="X28" s="295"/>
      <c r="Y28" s="295"/>
      <c r="Z28" s="295"/>
      <c r="AA28" s="295"/>
      <c r="AB28" s="295"/>
      <c r="AC28" s="295"/>
      <c r="AD28" s="295"/>
      <c r="AE28" s="296"/>
      <c r="AF28" s="296"/>
      <c r="AG28" s="296"/>
      <c r="AH28" s="296"/>
      <c r="AI28" s="296"/>
      <c r="AJ28" s="296"/>
      <c r="AK28" s="296"/>
      <c r="AL28" s="296"/>
      <c r="AM28" s="296"/>
      <c r="AN28" s="295"/>
      <c r="AO28" s="295"/>
      <c r="AP28" s="295"/>
      <c r="AQ28" s="295"/>
      <c r="AR28" s="295"/>
      <c r="AS28" s="295"/>
      <c r="AT28" s="295"/>
      <c r="AU28" s="295"/>
      <c r="AV28" s="295"/>
      <c r="AW28" s="296"/>
      <c r="AX28" s="296"/>
      <c r="AY28" s="296"/>
      <c r="AZ28" s="296"/>
      <c r="BA28" s="296"/>
      <c r="BB28" s="296"/>
      <c r="BC28" s="296"/>
      <c r="BD28" s="296"/>
      <c r="BE28" s="295"/>
      <c r="BF28" s="295"/>
      <c r="BG28" s="295"/>
      <c r="BH28" s="295"/>
      <c r="BI28" s="295"/>
      <c r="BJ28" s="295"/>
      <c r="BK28" s="295"/>
      <c r="BL28" s="295"/>
      <c r="BM28" s="295"/>
      <c r="BN28" s="296"/>
      <c r="BO28" s="296"/>
      <c r="BP28" s="296"/>
      <c r="BQ28" s="296"/>
      <c r="BR28" s="296"/>
      <c r="BS28" s="296"/>
      <c r="BT28" s="296"/>
      <c r="BU28" s="296"/>
      <c r="BV28" s="295"/>
      <c r="BW28" s="295"/>
      <c r="BX28" s="295"/>
      <c r="BY28" s="295"/>
      <c r="BZ28" s="295"/>
      <c r="CA28" s="295"/>
      <c r="CB28" s="295"/>
      <c r="CC28" s="295"/>
      <c r="CD28" s="295"/>
      <c r="CE28" s="296"/>
      <c r="CF28" s="296"/>
      <c r="CG28" s="296"/>
      <c r="CH28" s="296"/>
      <c r="CI28" s="296"/>
      <c r="CJ28" s="296"/>
      <c r="CK28" s="296"/>
      <c r="CL28" s="296"/>
      <c r="CM28" s="296"/>
      <c r="CN28" s="295"/>
      <c r="CO28" s="295"/>
      <c r="CP28" s="295"/>
      <c r="CQ28" s="295"/>
      <c r="CR28" s="295"/>
      <c r="CS28" s="295"/>
      <c r="CT28" s="295"/>
      <c r="CU28" s="295"/>
      <c r="CV28" s="295"/>
      <c r="CW28" s="296"/>
      <c r="CX28" s="296"/>
      <c r="CY28" s="296"/>
      <c r="CZ28" s="296"/>
      <c r="DA28" s="296"/>
      <c r="DB28" s="296"/>
      <c r="DC28" s="296"/>
      <c r="DD28" s="296"/>
      <c r="DE28" s="296"/>
      <c r="DF28" s="174"/>
      <c r="DG28" s="174"/>
      <c r="DH28" s="6"/>
      <c r="DI28" s="6"/>
    </row>
    <row r="29" spans="1:113" x14ac:dyDescent="0.2">
      <c r="A29" s="6"/>
      <c r="B29" s="6"/>
      <c r="C29" s="6"/>
      <c r="D29" s="295"/>
      <c r="E29" s="295"/>
      <c r="F29" s="295"/>
      <c r="G29" s="295"/>
      <c r="H29" s="295"/>
      <c r="I29" s="295"/>
      <c r="J29" s="295"/>
      <c r="K29" s="295"/>
      <c r="L29" s="295"/>
      <c r="M29" s="295"/>
      <c r="N29" s="296"/>
      <c r="O29" s="296"/>
      <c r="P29" s="296"/>
      <c r="Q29" s="296"/>
      <c r="R29" s="296"/>
      <c r="S29" s="296"/>
      <c r="T29" s="296"/>
      <c r="U29" s="296"/>
      <c r="V29" s="296"/>
      <c r="W29" s="295"/>
      <c r="X29" s="295"/>
      <c r="Y29" s="295"/>
      <c r="Z29" s="295"/>
      <c r="AA29" s="295"/>
      <c r="AB29" s="295"/>
      <c r="AC29" s="295"/>
      <c r="AD29" s="295"/>
      <c r="AE29" s="296"/>
      <c r="AF29" s="296"/>
      <c r="AG29" s="296"/>
      <c r="AH29" s="296"/>
      <c r="AI29" s="296"/>
      <c r="AJ29" s="296"/>
      <c r="AK29" s="296"/>
      <c r="AL29" s="296"/>
      <c r="AM29" s="296"/>
      <c r="AN29" s="295"/>
      <c r="AO29" s="295"/>
      <c r="AP29" s="295"/>
      <c r="AQ29" s="295"/>
      <c r="AR29" s="295"/>
      <c r="AS29" s="295"/>
      <c r="AT29" s="295"/>
      <c r="AU29" s="295"/>
      <c r="AV29" s="295"/>
      <c r="AW29" s="296"/>
      <c r="AX29" s="296"/>
      <c r="AY29" s="296"/>
      <c r="AZ29" s="296"/>
      <c r="BA29" s="296"/>
      <c r="BB29" s="296"/>
      <c r="BC29" s="296"/>
      <c r="BD29" s="296"/>
      <c r="BE29" s="295"/>
      <c r="BF29" s="295"/>
      <c r="BG29" s="295"/>
      <c r="BH29" s="295"/>
      <c r="BI29" s="295"/>
      <c r="BJ29" s="295"/>
      <c r="BK29" s="295"/>
      <c r="BL29" s="295"/>
      <c r="BM29" s="295"/>
      <c r="BN29" s="296"/>
      <c r="BO29" s="296"/>
      <c r="BP29" s="296"/>
      <c r="BQ29" s="296"/>
      <c r="BR29" s="296"/>
      <c r="BS29" s="296"/>
      <c r="BT29" s="296"/>
      <c r="BU29" s="296"/>
      <c r="BV29" s="295"/>
      <c r="BW29" s="295"/>
      <c r="BX29" s="295"/>
      <c r="BY29" s="295"/>
      <c r="BZ29" s="295"/>
      <c r="CA29" s="295"/>
      <c r="CB29" s="295"/>
      <c r="CC29" s="295"/>
      <c r="CD29" s="295"/>
      <c r="CE29" s="296"/>
      <c r="CF29" s="296"/>
      <c r="CG29" s="296"/>
      <c r="CH29" s="296"/>
      <c r="CI29" s="296"/>
      <c r="CJ29" s="296"/>
      <c r="CK29" s="296"/>
      <c r="CL29" s="296"/>
      <c r="CM29" s="296"/>
      <c r="CN29" s="295"/>
      <c r="CO29" s="295"/>
      <c r="CP29" s="295"/>
      <c r="CQ29" s="295"/>
      <c r="CR29" s="295"/>
      <c r="CS29" s="295"/>
      <c r="CT29" s="295"/>
      <c r="CU29" s="295"/>
      <c r="CV29" s="295"/>
      <c r="CW29" s="296"/>
      <c r="CX29" s="296"/>
      <c r="CY29" s="296"/>
      <c r="CZ29" s="296"/>
      <c r="DA29" s="296"/>
      <c r="DB29" s="296"/>
      <c r="DC29" s="296"/>
      <c r="DD29" s="296"/>
      <c r="DE29" s="296"/>
      <c r="DF29" s="174"/>
      <c r="DG29" s="174"/>
      <c r="DH29" s="6"/>
      <c r="DI29" s="6"/>
    </row>
    <row r="30" spans="1:113" x14ac:dyDescent="0.2">
      <c r="A30" s="6"/>
      <c r="B30" s="6"/>
      <c r="C30" s="6"/>
      <c r="D30" s="295"/>
      <c r="E30" s="295"/>
      <c r="F30" s="295"/>
      <c r="G30" s="295"/>
      <c r="H30" s="295"/>
      <c r="I30" s="295"/>
      <c r="J30" s="295"/>
      <c r="K30" s="295"/>
      <c r="L30" s="295"/>
      <c r="M30" s="295"/>
      <c r="N30" s="296"/>
      <c r="O30" s="296"/>
      <c r="P30" s="296"/>
      <c r="Q30" s="296"/>
      <c r="R30" s="296"/>
      <c r="S30" s="296"/>
      <c r="T30" s="296"/>
      <c r="U30" s="296"/>
      <c r="V30" s="296"/>
      <c r="W30" s="295"/>
      <c r="X30" s="295"/>
      <c r="Y30" s="295"/>
      <c r="Z30" s="295"/>
      <c r="AA30" s="295"/>
      <c r="AB30" s="295"/>
      <c r="AC30" s="295"/>
      <c r="AD30" s="295"/>
      <c r="AE30" s="296"/>
      <c r="AF30" s="296"/>
      <c r="AG30" s="296"/>
      <c r="AH30" s="296"/>
      <c r="AI30" s="296"/>
      <c r="AJ30" s="296"/>
      <c r="AK30" s="296"/>
      <c r="AL30" s="296"/>
      <c r="AM30" s="296"/>
      <c r="AN30" s="295"/>
      <c r="AO30" s="295"/>
      <c r="AP30" s="295"/>
      <c r="AQ30" s="295"/>
      <c r="AR30" s="295"/>
      <c r="AS30" s="295"/>
      <c r="AT30" s="295"/>
      <c r="AU30" s="295"/>
      <c r="AV30" s="295"/>
      <c r="AW30" s="296"/>
      <c r="AX30" s="296"/>
      <c r="AY30" s="296"/>
      <c r="AZ30" s="296"/>
      <c r="BA30" s="296"/>
      <c r="BB30" s="296"/>
      <c r="BC30" s="296"/>
      <c r="BD30" s="296"/>
      <c r="BE30" s="295"/>
      <c r="BF30" s="295"/>
      <c r="BG30" s="295"/>
      <c r="BH30" s="295"/>
      <c r="BI30" s="295"/>
      <c r="BJ30" s="295"/>
      <c r="BK30" s="295"/>
      <c r="BL30" s="295"/>
      <c r="BM30" s="295"/>
      <c r="BN30" s="296"/>
      <c r="BO30" s="296"/>
      <c r="BP30" s="296"/>
      <c r="BQ30" s="296"/>
      <c r="BR30" s="296"/>
      <c r="BS30" s="296"/>
      <c r="BT30" s="296"/>
      <c r="BU30" s="296"/>
      <c r="BV30" s="295"/>
      <c r="BW30" s="295"/>
      <c r="BX30" s="295"/>
      <c r="BY30" s="295"/>
      <c r="BZ30" s="295"/>
      <c r="CA30" s="295"/>
      <c r="CB30" s="295"/>
      <c r="CC30" s="295"/>
      <c r="CD30" s="295"/>
      <c r="CE30" s="296"/>
      <c r="CF30" s="296"/>
      <c r="CG30" s="296"/>
      <c r="CH30" s="296"/>
      <c r="CI30" s="296"/>
      <c r="CJ30" s="296"/>
      <c r="CK30" s="296"/>
      <c r="CL30" s="296"/>
      <c r="CM30" s="296"/>
      <c r="CN30" s="295"/>
      <c r="CO30" s="295"/>
      <c r="CP30" s="295"/>
      <c r="CQ30" s="295"/>
      <c r="CR30" s="295"/>
      <c r="CS30" s="295"/>
      <c r="CT30" s="295"/>
      <c r="CU30" s="295"/>
      <c r="CV30" s="295"/>
      <c r="CW30" s="296"/>
      <c r="CX30" s="296"/>
      <c r="CY30" s="296"/>
      <c r="CZ30" s="296"/>
      <c r="DA30" s="296"/>
      <c r="DB30" s="296"/>
      <c r="DC30" s="296"/>
      <c r="DD30" s="296"/>
      <c r="DE30" s="296"/>
      <c r="DF30" s="174"/>
      <c r="DG30" s="174"/>
      <c r="DH30" s="6"/>
      <c r="DI30" s="6"/>
    </row>
    <row r="31" spans="1:113" x14ac:dyDescent="0.2">
      <c r="A31" s="6"/>
      <c r="B31" s="6"/>
      <c r="C31" s="6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6"/>
      <c r="O31" s="296"/>
      <c r="P31" s="296"/>
      <c r="Q31" s="296"/>
      <c r="R31" s="296"/>
      <c r="S31" s="296"/>
      <c r="T31" s="296"/>
      <c r="U31" s="296"/>
      <c r="V31" s="296"/>
      <c r="W31" s="295"/>
      <c r="X31" s="295"/>
      <c r="Y31" s="295"/>
      <c r="Z31" s="295"/>
      <c r="AA31" s="295"/>
      <c r="AB31" s="295"/>
      <c r="AC31" s="295"/>
      <c r="AD31" s="295"/>
      <c r="AE31" s="296"/>
      <c r="AF31" s="296"/>
      <c r="AG31" s="296"/>
      <c r="AH31" s="296"/>
      <c r="AI31" s="296"/>
      <c r="AJ31" s="296"/>
      <c r="AK31" s="296"/>
      <c r="AL31" s="296"/>
      <c r="AM31" s="296"/>
      <c r="AN31" s="295"/>
      <c r="AO31" s="295"/>
      <c r="AP31" s="295"/>
      <c r="AQ31" s="295"/>
      <c r="AR31" s="295"/>
      <c r="AS31" s="295"/>
      <c r="AT31" s="295"/>
      <c r="AU31" s="295"/>
      <c r="AV31" s="295"/>
      <c r="AW31" s="296"/>
      <c r="AX31" s="296"/>
      <c r="AY31" s="296"/>
      <c r="AZ31" s="296"/>
      <c r="BA31" s="296"/>
      <c r="BB31" s="296"/>
      <c r="BC31" s="296"/>
      <c r="BD31" s="296"/>
      <c r="BE31" s="295"/>
      <c r="BF31" s="295"/>
      <c r="BG31" s="295"/>
      <c r="BH31" s="295"/>
      <c r="BI31" s="295"/>
      <c r="BJ31" s="295"/>
      <c r="BK31" s="295"/>
      <c r="BL31" s="295"/>
      <c r="BM31" s="295"/>
      <c r="BN31" s="296"/>
      <c r="BO31" s="296"/>
      <c r="BP31" s="296"/>
      <c r="BQ31" s="296"/>
      <c r="BR31" s="296"/>
      <c r="BS31" s="296"/>
      <c r="BT31" s="296"/>
      <c r="BU31" s="296"/>
      <c r="BV31" s="295"/>
      <c r="BW31" s="295"/>
      <c r="BX31" s="295"/>
      <c r="BY31" s="295"/>
      <c r="BZ31" s="295"/>
      <c r="CA31" s="295"/>
      <c r="CB31" s="295"/>
      <c r="CC31" s="295"/>
      <c r="CD31" s="295"/>
      <c r="CE31" s="296"/>
      <c r="CF31" s="296"/>
      <c r="CG31" s="296"/>
      <c r="CH31" s="296"/>
      <c r="CI31" s="296"/>
      <c r="CJ31" s="296"/>
      <c r="CK31" s="296"/>
      <c r="CL31" s="296"/>
      <c r="CM31" s="296"/>
      <c r="CN31" s="295"/>
      <c r="CO31" s="295"/>
      <c r="CP31" s="295"/>
      <c r="CQ31" s="295"/>
      <c r="CR31" s="295"/>
      <c r="CS31" s="295"/>
      <c r="CT31" s="295"/>
      <c r="CU31" s="295"/>
      <c r="CV31" s="295"/>
      <c r="CW31" s="296"/>
      <c r="CX31" s="296"/>
      <c r="CY31" s="296"/>
      <c r="CZ31" s="296"/>
      <c r="DA31" s="296"/>
      <c r="DB31" s="296"/>
      <c r="DC31" s="296"/>
      <c r="DD31" s="296"/>
      <c r="DE31" s="296"/>
      <c r="DF31" s="174"/>
      <c r="DG31" s="174"/>
      <c r="DH31" s="6"/>
      <c r="DI31" s="6"/>
    </row>
    <row r="32" spans="1:113" x14ac:dyDescent="0.2">
      <c r="A32" s="6"/>
      <c r="B32" s="6"/>
      <c r="C32" s="6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6"/>
      <c r="O32" s="296"/>
      <c r="P32" s="296"/>
      <c r="Q32" s="296"/>
      <c r="R32" s="296"/>
      <c r="S32" s="296"/>
      <c r="T32" s="296"/>
      <c r="U32" s="296"/>
      <c r="V32" s="296"/>
      <c r="W32" s="295"/>
      <c r="X32" s="295"/>
      <c r="Y32" s="295"/>
      <c r="Z32" s="295"/>
      <c r="AA32" s="295"/>
      <c r="AB32" s="295"/>
      <c r="AC32" s="295"/>
      <c r="AD32" s="295"/>
      <c r="AE32" s="296"/>
      <c r="AF32" s="296"/>
      <c r="AG32" s="296"/>
      <c r="AH32" s="296"/>
      <c r="AI32" s="296"/>
      <c r="AJ32" s="296"/>
      <c r="AK32" s="296"/>
      <c r="AL32" s="296"/>
      <c r="AM32" s="296"/>
      <c r="AN32" s="295"/>
      <c r="AO32" s="295"/>
      <c r="AP32" s="295"/>
      <c r="AQ32" s="295"/>
      <c r="AR32" s="295"/>
      <c r="AS32" s="295"/>
      <c r="AT32" s="295"/>
      <c r="AU32" s="295"/>
      <c r="AV32" s="295"/>
      <c r="AW32" s="296"/>
      <c r="AX32" s="296"/>
      <c r="AY32" s="296"/>
      <c r="AZ32" s="296"/>
      <c r="BA32" s="296"/>
      <c r="BB32" s="296"/>
      <c r="BC32" s="296"/>
      <c r="BD32" s="296"/>
      <c r="BE32" s="295"/>
      <c r="BF32" s="295"/>
      <c r="BG32" s="295"/>
      <c r="BH32" s="295"/>
      <c r="BI32" s="295"/>
      <c r="BJ32" s="295"/>
      <c r="BK32" s="295"/>
      <c r="BL32" s="295"/>
      <c r="BM32" s="295"/>
      <c r="BN32" s="296"/>
      <c r="BO32" s="296"/>
      <c r="BP32" s="296"/>
      <c r="BQ32" s="296"/>
      <c r="BR32" s="296"/>
      <c r="BS32" s="296"/>
      <c r="BT32" s="296"/>
      <c r="BU32" s="296"/>
      <c r="BV32" s="295"/>
      <c r="BW32" s="295"/>
      <c r="BX32" s="295"/>
      <c r="BY32" s="295"/>
      <c r="BZ32" s="295"/>
      <c r="CA32" s="295"/>
      <c r="CB32" s="295"/>
      <c r="CC32" s="295"/>
      <c r="CD32" s="295"/>
      <c r="CE32" s="296"/>
      <c r="CF32" s="296"/>
      <c r="CG32" s="296"/>
      <c r="CH32" s="296"/>
      <c r="CI32" s="296"/>
      <c r="CJ32" s="296"/>
      <c r="CK32" s="296"/>
      <c r="CL32" s="296"/>
      <c r="CM32" s="296"/>
      <c r="CN32" s="295"/>
      <c r="CO32" s="295"/>
      <c r="CP32" s="295"/>
      <c r="CQ32" s="295"/>
      <c r="CR32" s="295"/>
      <c r="CS32" s="295"/>
      <c r="CT32" s="295"/>
      <c r="CU32" s="295"/>
      <c r="CV32" s="295"/>
      <c r="CW32" s="296"/>
      <c r="CX32" s="296"/>
      <c r="CY32" s="296"/>
      <c r="CZ32" s="296"/>
      <c r="DA32" s="296"/>
      <c r="DB32" s="296"/>
      <c r="DC32" s="296"/>
      <c r="DD32" s="296"/>
      <c r="DE32" s="296"/>
      <c r="DF32" s="174"/>
      <c r="DG32" s="174"/>
      <c r="DH32" s="6"/>
      <c r="DI32" s="6"/>
    </row>
    <row r="33" spans="1:113" x14ac:dyDescent="0.2">
      <c r="A33" s="6"/>
      <c r="B33" s="6"/>
      <c r="C33" s="6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6"/>
      <c r="O33" s="296"/>
      <c r="P33" s="296"/>
      <c r="Q33" s="296"/>
      <c r="R33" s="296"/>
      <c r="S33" s="296"/>
      <c r="T33" s="296"/>
      <c r="U33" s="296"/>
      <c r="V33" s="296"/>
      <c r="W33" s="295"/>
      <c r="X33" s="295"/>
      <c r="Y33" s="295"/>
      <c r="Z33" s="295"/>
      <c r="AA33" s="295"/>
      <c r="AB33" s="295"/>
      <c r="AC33" s="295"/>
      <c r="AD33" s="295"/>
      <c r="AE33" s="296"/>
      <c r="AF33" s="296"/>
      <c r="AG33" s="296"/>
      <c r="AH33" s="296"/>
      <c r="AI33" s="296"/>
      <c r="AJ33" s="296"/>
      <c r="AK33" s="296"/>
      <c r="AL33" s="296"/>
      <c r="AM33" s="296"/>
      <c r="AN33" s="295"/>
      <c r="AO33" s="295"/>
      <c r="AP33" s="295"/>
      <c r="AQ33" s="295"/>
      <c r="AR33" s="295"/>
      <c r="AS33" s="295"/>
      <c r="AT33" s="295"/>
      <c r="AU33" s="295"/>
      <c r="AV33" s="295"/>
      <c r="AW33" s="296"/>
      <c r="AX33" s="296"/>
      <c r="AY33" s="296"/>
      <c r="AZ33" s="296"/>
      <c r="BA33" s="296"/>
      <c r="BB33" s="296"/>
      <c r="BC33" s="296"/>
      <c r="BD33" s="296"/>
      <c r="BE33" s="295"/>
      <c r="BF33" s="295"/>
      <c r="BG33" s="295"/>
      <c r="BH33" s="295"/>
      <c r="BI33" s="295"/>
      <c r="BJ33" s="295"/>
      <c r="BK33" s="295"/>
      <c r="BL33" s="295"/>
      <c r="BM33" s="295"/>
      <c r="BN33" s="296"/>
      <c r="BO33" s="296"/>
      <c r="BP33" s="296"/>
      <c r="BQ33" s="296"/>
      <c r="BR33" s="296"/>
      <c r="BS33" s="296"/>
      <c r="BT33" s="296"/>
      <c r="BU33" s="296"/>
      <c r="BV33" s="295"/>
      <c r="BW33" s="295"/>
      <c r="BX33" s="295"/>
      <c r="BY33" s="295"/>
      <c r="BZ33" s="295"/>
      <c r="CA33" s="295"/>
      <c r="CB33" s="295"/>
      <c r="CC33" s="295"/>
      <c r="CD33" s="295"/>
      <c r="CE33" s="296"/>
      <c r="CF33" s="296"/>
      <c r="CG33" s="296"/>
      <c r="CH33" s="296"/>
      <c r="CI33" s="296"/>
      <c r="CJ33" s="296"/>
      <c r="CK33" s="296"/>
      <c r="CL33" s="296"/>
      <c r="CM33" s="296"/>
      <c r="CN33" s="295"/>
      <c r="CO33" s="295"/>
      <c r="CP33" s="295"/>
      <c r="CQ33" s="295"/>
      <c r="CR33" s="295"/>
      <c r="CS33" s="295"/>
      <c r="CT33" s="295"/>
      <c r="CU33" s="295"/>
      <c r="CV33" s="295"/>
      <c r="CW33" s="296"/>
      <c r="CX33" s="296"/>
      <c r="CY33" s="296"/>
      <c r="CZ33" s="296"/>
      <c r="DA33" s="296"/>
      <c r="DB33" s="296"/>
      <c r="DC33" s="296"/>
      <c r="DD33" s="296"/>
      <c r="DE33" s="296"/>
      <c r="DF33" s="174"/>
      <c r="DG33" s="174"/>
      <c r="DH33" s="6"/>
      <c r="DI33" s="6"/>
    </row>
    <row r="34" spans="1:113" x14ac:dyDescent="0.2">
      <c r="A34" s="6"/>
      <c r="B34" s="6"/>
      <c r="C34" s="6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6"/>
      <c r="O34" s="296"/>
      <c r="P34" s="296"/>
      <c r="Q34" s="296"/>
      <c r="R34" s="296"/>
      <c r="S34" s="296"/>
      <c r="T34" s="296"/>
      <c r="U34" s="296"/>
      <c r="V34" s="296"/>
      <c r="W34" s="295"/>
      <c r="X34" s="295"/>
      <c r="Y34" s="295"/>
      <c r="Z34" s="295"/>
      <c r="AA34" s="295"/>
      <c r="AB34" s="295"/>
      <c r="AC34" s="295"/>
      <c r="AD34" s="295"/>
      <c r="AE34" s="296"/>
      <c r="AF34" s="296"/>
      <c r="AG34" s="296"/>
      <c r="AH34" s="296"/>
      <c r="AI34" s="296"/>
      <c r="AJ34" s="296"/>
      <c r="AK34" s="296"/>
      <c r="AL34" s="296"/>
      <c r="AM34" s="296"/>
      <c r="AN34" s="295"/>
      <c r="AO34" s="295"/>
      <c r="AP34" s="295"/>
      <c r="AQ34" s="295"/>
      <c r="AR34" s="295"/>
      <c r="AS34" s="295"/>
      <c r="AT34" s="295"/>
      <c r="AU34" s="295"/>
      <c r="AV34" s="295"/>
      <c r="AW34" s="296"/>
      <c r="AX34" s="296"/>
      <c r="AY34" s="296"/>
      <c r="AZ34" s="296"/>
      <c r="BA34" s="296"/>
      <c r="BB34" s="296"/>
      <c r="BC34" s="296"/>
      <c r="BD34" s="296"/>
      <c r="BE34" s="295"/>
      <c r="BF34" s="295"/>
      <c r="BG34" s="295"/>
      <c r="BH34" s="295"/>
      <c r="BI34" s="295"/>
      <c r="BJ34" s="295"/>
      <c r="BK34" s="295"/>
      <c r="BL34" s="295"/>
      <c r="BM34" s="295"/>
      <c r="BN34" s="296"/>
      <c r="BO34" s="296"/>
      <c r="BP34" s="296"/>
      <c r="BQ34" s="296"/>
      <c r="BR34" s="296"/>
      <c r="BS34" s="296"/>
      <c r="BT34" s="296"/>
      <c r="BU34" s="296"/>
      <c r="BV34" s="295"/>
      <c r="BW34" s="295"/>
      <c r="BX34" s="295"/>
      <c r="BY34" s="295"/>
      <c r="BZ34" s="295"/>
      <c r="CA34" s="295"/>
      <c r="CB34" s="295"/>
      <c r="CC34" s="295"/>
      <c r="CD34" s="295"/>
      <c r="CE34" s="296"/>
      <c r="CF34" s="296"/>
      <c r="CG34" s="296"/>
      <c r="CH34" s="296"/>
      <c r="CI34" s="296"/>
      <c r="CJ34" s="296"/>
      <c r="CK34" s="296"/>
      <c r="CL34" s="296"/>
      <c r="CM34" s="296"/>
      <c r="CN34" s="295"/>
      <c r="CO34" s="295"/>
      <c r="CP34" s="295"/>
      <c r="CQ34" s="295"/>
      <c r="CR34" s="295"/>
      <c r="CS34" s="295"/>
      <c r="CT34" s="295"/>
      <c r="CU34" s="295"/>
      <c r="CV34" s="295"/>
      <c r="CW34" s="296"/>
      <c r="CX34" s="296"/>
      <c r="CY34" s="296"/>
      <c r="CZ34" s="296"/>
      <c r="DA34" s="296"/>
      <c r="DB34" s="296"/>
      <c r="DC34" s="296"/>
      <c r="DD34" s="296"/>
      <c r="DE34" s="296"/>
      <c r="DF34" s="174"/>
      <c r="DG34" s="174"/>
      <c r="DH34" s="6"/>
      <c r="DI34" s="6"/>
    </row>
    <row r="35" spans="1:113" x14ac:dyDescent="0.2">
      <c r="A35" s="6"/>
      <c r="B35" s="6"/>
      <c r="C35" s="6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6"/>
      <c r="O35" s="296"/>
      <c r="P35" s="296"/>
      <c r="Q35" s="296"/>
      <c r="R35" s="296"/>
      <c r="S35" s="296"/>
      <c r="T35" s="296"/>
      <c r="U35" s="296"/>
      <c r="V35" s="296"/>
      <c r="W35" s="295"/>
      <c r="X35" s="295"/>
      <c r="Y35" s="295"/>
      <c r="Z35" s="295"/>
      <c r="AA35" s="295"/>
      <c r="AB35" s="295"/>
      <c r="AC35" s="295"/>
      <c r="AD35" s="295"/>
      <c r="AE35" s="296"/>
      <c r="AF35" s="296"/>
      <c r="AG35" s="296"/>
      <c r="AH35" s="296"/>
      <c r="AI35" s="296"/>
      <c r="AJ35" s="296"/>
      <c r="AK35" s="296"/>
      <c r="AL35" s="296"/>
      <c r="AM35" s="296"/>
      <c r="AN35" s="295"/>
      <c r="AO35" s="295"/>
      <c r="AP35" s="295"/>
      <c r="AQ35" s="295"/>
      <c r="AR35" s="295"/>
      <c r="AS35" s="295"/>
      <c r="AT35" s="295"/>
      <c r="AU35" s="295"/>
      <c r="AV35" s="295"/>
      <c r="AW35" s="296"/>
      <c r="AX35" s="296"/>
      <c r="AY35" s="296"/>
      <c r="AZ35" s="296"/>
      <c r="BA35" s="296"/>
      <c r="BB35" s="296"/>
      <c r="BC35" s="296"/>
      <c r="BD35" s="296"/>
      <c r="BE35" s="295"/>
      <c r="BF35" s="295"/>
      <c r="BG35" s="295"/>
      <c r="BH35" s="295"/>
      <c r="BI35" s="295"/>
      <c r="BJ35" s="295"/>
      <c r="BK35" s="295"/>
      <c r="BL35" s="295"/>
      <c r="BM35" s="295"/>
      <c r="BN35" s="296"/>
      <c r="BO35" s="296"/>
      <c r="BP35" s="296"/>
      <c r="BQ35" s="296"/>
      <c r="BR35" s="296"/>
      <c r="BS35" s="296"/>
      <c r="BT35" s="296"/>
      <c r="BU35" s="296"/>
      <c r="BV35" s="295"/>
      <c r="BW35" s="295"/>
      <c r="BX35" s="295"/>
      <c r="BY35" s="295"/>
      <c r="BZ35" s="295"/>
      <c r="CA35" s="295"/>
      <c r="CB35" s="295"/>
      <c r="CC35" s="295"/>
      <c r="CD35" s="295"/>
      <c r="CE35" s="296"/>
      <c r="CF35" s="296"/>
      <c r="CG35" s="296"/>
      <c r="CH35" s="296"/>
      <c r="CI35" s="296"/>
      <c r="CJ35" s="296"/>
      <c r="CK35" s="296"/>
      <c r="CL35" s="296"/>
      <c r="CM35" s="296"/>
      <c r="CN35" s="295"/>
      <c r="CO35" s="295"/>
      <c r="CP35" s="295"/>
      <c r="CQ35" s="295"/>
      <c r="CR35" s="295"/>
      <c r="CS35" s="295"/>
      <c r="CT35" s="295"/>
      <c r="CU35" s="295"/>
      <c r="CV35" s="295"/>
      <c r="CW35" s="296"/>
      <c r="CX35" s="296"/>
      <c r="CY35" s="296"/>
      <c r="CZ35" s="296"/>
      <c r="DA35" s="296"/>
      <c r="DB35" s="296"/>
      <c r="DC35" s="296"/>
      <c r="DD35" s="296"/>
      <c r="DE35" s="296"/>
      <c r="DF35" s="174"/>
      <c r="DG35" s="174"/>
      <c r="DH35" s="6"/>
      <c r="DI35" s="6"/>
    </row>
    <row r="36" spans="1:113" x14ac:dyDescent="0.2">
      <c r="A36" s="6"/>
      <c r="B36" s="6"/>
      <c r="C36" s="6"/>
      <c r="D36" s="295"/>
      <c r="E36" s="295"/>
      <c r="F36" s="295"/>
      <c r="G36" s="295"/>
      <c r="H36" s="295"/>
      <c r="I36" s="295"/>
      <c r="J36" s="295"/>
      <c r="K36" s="295"/>
      <c r="L36" s="295"/>
      <c r="M36" s="295"/>
      <c r="N36" s="296"/>
      <c r="O36" s="296"/>
      <c r="P36" s="296"/>
      <c r="Q36" s="296"/>
      <c r="R36" s="296"/>
      <c r="S36" s="296"/>
      <c r="T36" s="296"/>
      <c r="U36" s="296"/>
      <c r="V36" s="296"/>
      <c r="W36" s="295"/>
      <c r="X36" s="295"/>
      <c r="Y36" s="295"/>
      <c r="Z36" s="295"/>
      <c r="AA36" s="295"/>
      <c r="AB36" s="295"/>
      <c r="AC36" s="295"/>
      <c r="AD36" s="295"/>
      <c r="AE36" s="296"/>
      <c r="AF36" s="296"/>
      <c r="AG36" s="296"/>
      <c r="AH36" s="296"/>
      <c r="AI36" s="296"/>
      <c r="AJ36" s="296"/>
      <c r="AK36" s="296"/>
      <c r="AL36" s="296"/>
      <c r="AM36" s="296"/>
      <c r="AN36" s="295"/>
      <c r="AO36" s="295"/>
      <c r="AP36" s="295"/>
      <c r="AQ36" s="295"/>
      <c r="AR36" s="295"/>
      <c r="AS36" s="295"/>
      <c r="AT36" s="295"/>
      <c r="AU36" s="295"/>
      <c r="AV36" s="295"/>
      <c r="AW36" s="296"/>
      <c r="AX36" s="296"/>
      <c r="AY36" s="296"/>
      <c r="AZ36" s="296"/>
      <c r="BA36" s="296"/>
      <c r="BB36" s="296"/>
      <c r="BC36" s="296"/>
      <c r="BD36" s="296"/>
      <c r="BE36" s="295"/>
      <c r="BF36" s="295"/>
      <c r="BG36" s="295"/>
      <c r="BH36" s="295"/>
      <c r="BI36" s="295"/>
      <c r="BJ36" s="295"/>
      <c r="BK36" s="295"/>
      <c r="BL36" s="295"/>
      <c r="BM36" s="295"/>
      <c r="BN36" s="296"/>
      <c r="BO36" s="296"/>
      <c r="BP36" s="296"/>
      <c r="BQ36" s="296"/>
      <c r="BR36" s="296"/>
      <c r="BS36" s="296"/>
      <c r="BT36" s="296"/>
      <c r="BU36" s="296"/>
      <c r="BV36" s="295"/>
      <c r="BW36" s="295"/>
      <c r="BX36" s="295"/>
      <c r="BY36" s="295"/>
      <c r="BZ36" s="295"/>
      <c r="CA36" s="295"/>
      <c r="CB36" s="295"/>
      <c r="CC36" s="295"/>
      <c r="CD36" s="295"/>
      <c r="CE36" s="296"/>
      <c r="CF36" s="296"/>
      <c r="CG36" s="296"/>
      <c r="CH36" s="296"/>
      <c r="CI36" s="296"/>
      <c r="CJ36" s="296"/>
      <c r="CK36" s="296"/>
      <c r="CL36" s="296"/>
      <c r="CM36" s="296"/>
      <c r="CN36" s="295"/>
      <c r="CO36" s="295"/>
      <c r="CP36" s="295"/>
      <c r="CQ36" s="295"/>
      <c r="CR36" s="295"/>
      <c r="CS36" s="295"/>
      <c r="CT36" s="295"/>
      <c r="CU36" s="295"/>
      <c r="CV36" s="295"/>
      <c r="CW36" s="296"/>
      <c r="CX36" s="296"/>
      <c r="CY36" s="296"/>
      <c r="CZ36" s="296"/>
      <c r="DA36" s="296"/>
      <c r="DB36" s="296"/>
      <c r="DC36" s="296"/>
      <c r="DD36" s="296"/>
      <c r="DE36" s="296"/>
      <c r="DF36" s="174"/>
      <c r="DG36" s="174"/>
      <c r="DH36" s="6"/>
      <c r="DI36" s="6"/>
    </row>
    <row r="37" spans="1:113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</row>
    <row r="38" spans="1:113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</row>
    <row r="39" spans="1:113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</row>
    <row r="40" spans="1:113" ht="45.75" customHeight="1" x14ac:dyDescent="0.2">
      <c r="D40" s="301">
        <v>42005</v>
      </c>
      <c r="E40" s="302"/>
      <c r="F40" s="301">
        <f>D40+7</f>
        <v>42012</v>
      </c>
      <c r="G40" s="302"/>
      <c r="H40" s="301">
        <f>F40+7</f>
        <v>42019</v>
      </c>
      <c r="I40" s="302"/>
      <c r="J40" s="301">
        <f>H40+7</f>
        <v>42026</v>
      </c>
      <c r="K40" s="302"/>
      <c r="L40" s="301">
        <f>J40+7</f>
        <v>42033</v>
      </c>
      <c r="M40" s="302"/>
      <c r="N40" s="301">
        <f>L40+7</f>
        <v>42040</v>
      </c>
      <c r="O40" s="302"/>
      <c r="P40" s="301">
        <f>N40+7</f>
        <v>42047</v>
      </c>
      <c r="Q40" s="302"/>
      <c r="R40" s="301">
        <f>P40+7</f>
        <v>42054</v>
      </c>
      <c r="S40" s="302"/>
      <c r="T40" s="301">
        <f>R40+7</f>
        <v>42061</v>
      </c>
      <c r="U40" s="302"/>
      <c r="V40" s="301">
        <f>T40+7</f>
        <v>42068</v>
      </c>
      <c r="W40" s="302"/>
      <c r="X40" s="301">
        <f>V40+7</f>
        <v>42075</v>
      </c>
      <c r="Y40" s="302"/>
      <c r="Z40" s="301">
        <f>X40+7</f>
        <v>42082</v>
      </c>
      <c r="AA40" s="302"/>
      <c r="AB40" s="301">
        <f>Z40+7</f>
        <v>42089</v>
      </c>
      <c r="AC40" s="302"/>
      <c r="AD40" s="301">
        <f>AB40+7</f>
        <v>42096</v>
      </c>
      <c r="AE40" s="302"/>
      <c r="AF40" s="301">
        <f>AD40+7</f>
        <v>42103</v>
      </c>
      <c r="AG40" s="302"/>
      <c r="AH40" s="301">
        <f>AF40+7</f>
        <v>42110</v>
      </c>
      <c r="AI40" s="302"/>
      <c r="AJ40" s="301">
        <f>AH40+7</f>
        <v>42117</v>
      </c>
      <c r="AK40" s="302"/>
      <c r="AL40" s="301">
        <f>AJ40+7</f>
        <v>42124</v>
      </c>
      <c r="AM40" s="302"/>
      <c r="AN40" s="301">
        <f>AL40+7</f>
        <v>42131</v>
      </c>
      <c r="AO40" s="302"/>
      <c r="AP40" s="301">
        <f>AN40+7</f>
        <v>42138</v>
      </c>
      <c r="AQ40" s="302"/>
      <c r="AR40" s="301">
        <f>AP40+7</f>
        <v>42145</v>
      </c>
      <c r="AS40" s="302"/>
      <c r="AT40" s="301">
        <f>AR40+7</f>
        <v>42152</v>
      </c>
      <c r="AU40" s="302"/>
      <c r="AV40" s="301">
        <f>AT40+7</f>
        <v>42159</v>
      </c>
      <c r="AW40" s="302"/>
      <c r="AX40" s="301">
        <f>AV40+7</f>
        <v>42166</v>
      </c>
      <c r="AY40" s="302"/>
      <c r="AZ40" s="301">
        <f>AX40+7</f>
        <v>42173</v>
      </c>
      <c r="BA40" s="302"/>
      <c r="BB40" s="301">
        <f>AZ40+7</f>
        <v>42180</v>
      </c>
      <c r="BC40" s="302"/>
      <c r="BD40" s="301">
        <f>BB40+7</f>
        <v>42187</v>
      </c>
      <c r="BE40" s="302"/>
      <c r="BF40" s="301">
        <f>BD40+7</f>
        <v>42194</v>
      </c>
      <c r="BG40" s="302"/>
      <c r="BH40" s="301">
        <f>BF40+7</f>
        <v>42201</v>
      </c>
      <c r="BI40" s="302"/>
      <c r="BJ40" s="301">
        <f>BH40+7</f>
        <v>42208</v>
      </c>
      <c r="BK40" s="302"/>
      <c r="BL40" s="301">
        <f>BJ40+7</f>
        <v>42215</v>
      </c>
      <c r="BM40" s="302"/>
      <c r="BN40" s="301">
        <f>BL40+7</f>
        <v>42222</v>
      </c>
      <c r="BO40" s="302"/>
      <c r="BP40" s="301">
        <f>BN40+7</f>
        <v>42229</v>
      </c>
      <c r="BQ40" s="302"/>
      <c r="BR40" s="301">
        <f>BP40+7</f>
        <v>42236</v>
      </c>
      <c r="BS40" s="302"/>
      <c r="BT40" s="301">
        <f>BR40+7</f>
        <v>42243</v>
      </c>
      <c r="BU40" s="302"/>
      <c r="BV40" s="301">
        <f>BT40+7</f>
        <v>42250</v>
      </c>
      <c r="BW40" s="302"/>
      <c r="BX40" s="301">
        <f>BV40+7</f>
        <v>42257</v>
      </c>
      <c r="BY40" s="302"/>
      <c r="BZ40" s="301">
        <f>BX40+7</f>
        <v>42264</v>
      </c>
      <c r="CA40" s="302"/>
      <c r="CB40" s="301">
        <f>BZ40+7</f>
        <v>42271</v>
      </c>
      <c r="CC40" s="302"/>
      <c r="CD40" s="301">
        <f>CB40+7</f>
        <v>42278</v>
      </c>
      <c r="CE40" s="302"/>
      <c r="CF40" s="301">
        <f>CD40+7</f>
        <v>42285</v>
      </c>
      <c r="CG40" s="302"/>
      <c r="CH40" s="301">
        <f>CF40+7</f>
        <v>42292</v>
      </c>
      <c r="CI40" s="302"/>
      <c r="CJ40" s="301">
        <f>CH40+7</f>
        <v>42299</v>
      </c>
      <c r="CK40" s="302"/>
      <c r="CL40" s="301">
        <f>CJ40+7</f>
        <v>42306</v>
      </c>
      <c r="CM40" s="302"/>
      <c r="CN40" s="301">
        <f>CL40+7</f>
        <v>42313</v>
      </c>
      <c r="CO40" s="302"/>
      <c r="CP40" s="301">
        <f>CN40+7</f>
        <v>42320</v>
      </c>
      <c r="CQ40" s="302"/>
      <c r="CR40" s="301">
        <f>CP40+7</f>
        <v>42327</v>
      </c>
      <c r="CS40" s="302"/>
      <c r="CT40" s="301">
        <f>CR40+7</f>
        <v>42334</v>
      </c>
      <c r="CU40" s="302"/>
      <c r="CV40" s="301">
        <f>CT40+7</f>
        <v>42341</v>
      </c>
      <c r="CW40" s="302"/>
      <c r="CX40" s="301">
        <f>CV40+7</f>
        <v>42348</v>
      </c>
      <c r="CY40" s="302"/>
      <c r="CZ40" s="301">
        <f>CX40+7</f>
        <v>42355</v>
      </c>
      <c r="DA40" s="302"/>
      <c r="DB40" s="301">
        <f>CZ40+7</f>
        <v>42362</v>
      </c>
      <c r="DC40" s="302"/>
      <c r="DD40" s="301">
        <f>DB40+7</f>
        <v>42369</v>
      </c>
      <c r="DE40" s="302"/>
      <c r="DF40" s="299">
        <v>2016</v>
      </c>
      <c r="DG40" s="300"/>
    </row>
    <row r="41" spans="1:113" ht="45.75" customHeight="1" x14ac:dyDescent="0.2">
      <c r="D41" s="303">
        <v>42370</v>
      </c>
      <c r="E41" s="304"/>
      <c r="F41" s="303">
        <f>D41+7</f>
        <v>42377</v>
      </c>
      <c r="G41" s="304"/>
      <c r="H41" s="303">
        <f>F41+7</f>
        <v>42384</v>
      </c>
      <c r="I41" s="304"/>
      <c r="J41" s="303">
        <f>H41+7</f>
        <v>42391</v>
      </c>
      <c r="K41" s="304"/>
      <c r="L41" s="303">
        <f>J41+7</f>
        <v>42398</v>
      </c>
      <c r="M41" s="304"/>
      <c r="N41" s="303">
        <f>L41+7</f>
        <v>42405</v>
      </c>
      <c r="O41" s="304"/>
      <c r="P41" s="303">
        <f>N41+7</f>
        <v>42412</v>
      </c>
      <c r="Q41" s="304"/>
      <c r="R41" s="303">
        <f>P41+7</f>
        <v>42419</v>
      </c>
      <c r="S41" s="304"/>
      <c r="T41" s="303">
        <f>R41+7</f>
        <v>42426</v>
      </c>
      <c r="U41" s="304"/>
      <c r="V41" s="303">
        <f>T41+7</f>
        <v>42433</v>
      </c>
      <c r="W41" s="304"/>
      <c r="X41" s="303">
        <f>V41+7</f>
        <v>42440</v>
      </c>
      <c r="Y41" s="304"/>
      <c r="Z41" s="303">
        <f>X41+7</f>
        <v>42447</v>
      </c>
      <c r="AA41" s="304"/>
      <c r="AB41" s="303">
        <f>Z41+7</f>
        <v>42454</v>
      </c>
      <c r="AC41" s="304"/>
      <c r="AD41" s="303">
        <f>AB41+7</f>
        <v>42461</v>
      </c>
      <c r="AE41" s="304"/>
      <c r="AF41" s="303">
        <f>AD41+7</f>
        <v>42468</v>
      </c>
      <c r="AG41" s="304"/>
      <c r="AH41" s="303">
        <f>AF41+7</f>
        <v>42475</v>
      </c>
      <c r="AI41" s="304"/>
      <c r="AJ41" s="303">
        <f>AH41+7</f>
        <v>42482</v>
      </c>
      <c r="AK41" s="304"/>
      <c r="AL41" s="303">
        <f>AJ41+7</f>
        <v>42489</v>
      </c>
      <c r="AM41" s="304"/>
      <c r="AN41" s="303">
        <f>AL41+7</f>
        <v>42496</v>
      </c>
      <c r="AO41" s="304"/>
      <c r="AP41" s="303">
        <f>AN41+7</f>
        <v>42503</v>
      </c>
      <c r="AQ41" s="304"/>
      <c r="AR41" s="303">
        <f>AP41+7</f>
        <v>42510</v>
      </c>
      <c r="AS41" s="304"/>
      <c r="AT41" s="303">
        <f>AR41+7</f>
        <v>42517</v>
      </c>
      <c r="AU41" s="304"/>
      <c r="AV41" s="303">
        <f>AT41+7</f>
        <v>42524</v>
      </c>
      <c r="AW41" s="304"/>
      <c r="AX41" s="303">
        <f>AV41+7</f>
        <v>42531</v>
      </c>
      <c r="AY41" s="304"/>
      <c r="AZ41" s="303">
        <f>AX41+7</f>
        <v>42538</v>
      </c>
      <c r="BA41" s="304"/>
      <c r="BB41" s="303">
        <f>AZ41+7</f>
        <v>42545</v>
      </c>
      <c r="BC41" s="304"/>
      <c r="BD41" s="303">
        <f>BB41+7</f>
        <v>42552</v>
      </c>
      <c r="BE41" s="304"/>
      <c r="BF41" s="303">
        <f>BD41+7</f>
        <v>42559</v>
      </c>
      <c r="BG41" s="304"/>
      <c r="BH41" s="303">
        <f>BF41+7</f>
        <v>42566</v>
      </c>
      <c r="BI41" s="304"/>
      <c r="BJ41" s="303">
        <f>BH41+7</f>
        <v>42573</v>
      </c>
      <c r="BK41" s="304"/>
      <c r="BL41" s="303">
        <f>BJ41+7</f>
        <v>42580</v>
      </c>
      <c r="BM41" s="304"/>
      <c r="BN41" s="303">
        <f>BL41+7</f>
        <v>42587</v>
      </c>
      <c r="BO41" s="304"/>
      <c r="BP41" s="303">
        <f>BN41+7</f>
        <v>42594</v>
      </c>
      <c r="BQ41" s="304"/>
      <c r="BR41" s="303">
        <f>BP41+7</f>
        <v>42601</v>
      </c>
      <c r="BS41" s="304"/>
      <c r="BT41" s="303">
        <f>BR41+7</f>
        <v>42608</v>
      </c>
      <c r="BU41" s="304"/>
      <c r="BV41" s="303">
        <f>BT41+7</f>
        <v>42615</v>
      </c>
      <c r="BW41" s="304"/>
      <c r="BX41" s="303">
        <f>BV41+7</f>
        <v>42622</v>
      </c>
      <c r="BY41" s="304"/>
      <c r="BZ41" s="303">
        <f>BX41+7</f>
        <v>42629</v>
      </c>
      <c r="CA41" s="304"/>
      <c r="CB41" s="303">
        <f>BZ41+7</f>
        <v>42636</v>
      </c>
      <c r="CC41" s="304"/>
      <c r="CD41" s="303">
        <f>CB41+7</f>
        <v>42643</v>
      </c>
      <c r="CE41" s="304"/>
      <c r="CF41" s="303">
        <f>CD41+7</f>
        <v>42650</v>
      </c>
      <c r="CG41" s="304"/>
      <c r="CH41" s="303">
        <f>CF41+7</f>
        <v>42657</v>
      </c>
      <c r="CI41" s="304"/>
      <c r="CJ41" s="303">
        <f>CH41+7</f>
        <v>42664</v>
      </c>
      <c r="CK41" s="304"/>
      <c r="CL41" s="303">
        <f>CJ41+7</f>
        <v>42671</v>
      </c>
      <c r="CM41" s="304"/>
      <c r="CN41" s="303">
        <f>CL41+7</f>
        <v>42678</v>
      </c>
      <c r="CO41" s="304"/>
      <c r="CP41" s="303">
        <f>CN41+7</f>
        <v>42685</v>
      </c>
      <c r="CQ41" s="304"/>
      <c r="CR41" s="303">
        <f>CP41+7</f>
        <v>42692</v>
      </c>
      <c r="CS41" s="304"/>
      <c r="CT41" s="303">
        <f>CR41+7</f>
        <v>42699</v>
      </c>
      <c r="CU41" s="304"/>
      <c r="CV41" s="303">
        <f>CT41+7</f>
        <v>42706</v>
      </c>
      <c r="CW41" s="304"/>
      <c r="CX41" s="303">
        <f>CV41+7</f>
        <v>42713</v>
      </c>
      <c r="CY41" s="304"/>
      <c r="CZ41" s="303">
        <f>CX41+7</f>
        <v>42720</v>
      </c>
      <c r="DA41" s="304"/>
      <c r="DB41" s="303">
        <f>CZ41+7</f>
        <v>42727</v>
      </c>
      <c r="DC41" s="304"/>
      <c r="DD41" s="303">
        <f>DB41+7</f>
        <v>42734</v>
      </c>
      <c r="DE41" s="304"/>
      <c r="DF41" s="297">
        <v>2017</v>
      </c>
      <c r="DG41" s="298"/>
    </row>
  </sheetData>
  <customSheetViews>
    <customSheetView guid="{FC643F0B-3E44-4304-9C6C-EBD35A45B8FD}" showGridLines="0" topLeftCell="A4">
      <selection activeCell="DH1" sqref="DH1"/>
      <pageMargins left="0" right="0" top="0" bottom="0" header="0" footer="0"/>
      <pageSetup paperSize="9" orientation="landscape" horizontalDpi="4294967294" verticalDpi="4294967294" r:id="rId1"/>
    </customSheetView>
    <customSheetView guid="{ECC56881-4CE2-4FBF-815D-85F544F885E8}" showPageBreaks="1" showGridLines="0" printArea="1">
      <selection activeCell="W9" sqref="W9"/>
      <pageMargins left="0" right="0" top="0" bottom="0" header="0" footer="0"/>
      <pageSetup paperSize="9" orientation="landscape" r:id="rId2"/>
    </customSheetView>
    <customSheetView guid="{40F11FFD-627B-4157-AFFE-E57E44CED524}" showGridLines="0">
      <selection activeCell="DH1" sqref="DH1"/>
      <pageMargins left="0" right="0" top="0" bottom="0" header="0" footer="0"/>
      <pageSetup paperSize="9" orientation="landscape" horizontalDpi="4294967294" verticalDpi="4294967294" r:id="rId3"/>
    </customSheetView>
  </customSheetViews>
  <mergeCells count="122">
    <mergeCell ref="AE6:AM36"/>
    <mergeCell ref="AN6:AV36"/>
    <mergeCell ref="D41:E41"/>
    <mergeCell ref="D40:E40"/>
    <mergeCell ref="F40:G40"/>
    <mergeCell ref="F41:G41"/>
    <mergeCell ref="H40:I40"/>
    <mergeCell ref="H41:I41"/>
    <mergeCell ref="AN40:AO40"/>
    <mergeCell ref="AP40:AQ40"/>
    <mergeCell ref="AR40:AS40"/>
    <mergeCell ref="AT40:AU40"/>
    <mergeCell ref="AV40:AW40"/>
    <mergeCell ref="AD40:AE40"/>
    <mergeCell ref="AF40:AG40"/>
    <mergeCell ref="AH40:AI40"/>
    <mergeCell ref="AJ40:AK40"/>
    <mergeCell ref="AL40:AM40"/>
    <mergeCell ref="AJ41:AK41"/>
    <mergeCell ref="AL41:AM41"/>
    <mergeCell ref="AN41:AO41"/>
    <mergeCell ref="AP41:AQ41"/>
    <mergeCell ref="AR41:AS41"/>
    <mergeCell ref="AB41:AC41"/>
    <mergeCell ref="H1:J1"/>
    <mergeCell ref="D6:M36"/>
    <mergeCell ref="N6:V36"/>
    <mergeCell ref="T40:U40"/>
    <mergeCell ref="V40:W40"/>
    <mergeCell ref="X40:Y40"/>
    <mergeCell ref="Z40:AA40"/>
    <mergeCell ref="AB40:AC40"/>
    <mergeCell ref="J40:K40"/>
    <mergeCell ref="L40:M40"/>
    <mergeCell ref="N40:O40"/>
    <mergeCell ref="P40:Q40"/>
    <mergeCell ref="R40:S40"/>
    <mergeCell ref="W6:AD36"/>
    <mergeCell ref="D1:F1"/>
    <mergeCell ref="CL40:CM40"/>
    <mergeCell ref="CN40:CO40"/>
    <mergeCell ref="CP40:CQ40"/>
    <mergeCell ref="CR40:CS40"/>
    <mergeCell ref="BD41:BE41"/>
    <mergeCell ref="BF41:BG41"/>
    <mergeCell ref="BH41:BI41"/>
    <mergeCell ref="BJ41:BK41"/>
    <mergeCell ref="BL41:BM41"/>
    <mergeCell ref="CB40:CC40"/>
    <mergeCell ref="CD40:CE40"/>
    <mergeCell ref="CF40:CG40"/>
    <mergeCell ref="CH40:CI40"/>
    <mergeCell ref="CJ40:CK40"/>
    <mergeCell ref="BR40:BS40"/>
    <mergeCell ref="BT40:BU40"/>
    <mergeCell ref="BV40:BW40"/>
    <mergeCell ref="BX40:BY40"/>
    <mergeCell ref="BZ40:CA40"/>
    <mergeCell ref="BH40:BI40"/>
    <mergeCell ref="CD41:CE41"/>
    <mergeCell ref="CF41:CG41"/>
    <mergeCell ref="BN41:BO41"/>
    <mergeCell ref="BP41:BQ41"/>
    <mergeCell ref="BR41:BS41"/>
    <mergeCell ref="BT41:BU41"/>
    <mergeCell ref="BV41:BW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D41:AE41"/>
    <mergeCell ref="AF41:AG41"/>
    <mergeCell ref="AH41:AI41"/>
    <mergeCell ref="AT41:AU41"/>
    <mergeCell ref="AW6:BD36"/>
    <mergeCell ref="BE6:BM36"/>
    <mergeCell ref="BN6:BU36"/>
    <mergeCell ref="BV6:CD36"/>
    <mergeCell ref="CE6:CM36"/>
    <mergeCell ref="CH41:CI41"/>
    <mergeCell ref="CJ41:CK41"/>
    <mergeCell ref="CL41:CM41"/>
    <mergeCell ref="BJ40:BK40"/>
    <mergeCell ref="BL40:BM40"/>
    <mergeCell ref="BN40:BO40"/>
    <mergeCell ref="BP40:BQ40"/>
    <mergeCell ref="AX40:AY40"/>
    <mergeCell ref="AZ40:BA40"/>
    <mergeCell ref="BB40:BC40"/>
    <mergeCell ref="BD40:BE40"/>
    <mergeCell ref="BF40:BG40"/>
    <mergeCell ref="AV41:AW41"/>
    <mergeCell ref="AX41:AY41"/>
    <mergeCell ref="AZ41:BA41"/>
    <mergeCell ref="BB41:BC41"/>
    <mergeCell ref="BX41:BY41"/>
    <mergeCell ref="BZ41:CA41"/>
    <mergeCell ref="CB41:CC41"/>
    <mergeCell ref="CN6:CV36"/>
    <mergeCell ref="CW6:DE36"/>
    <mergeCell ref="DF41:DG41"/>
    <mergeCell ref="DF40:DG40"/>
    <mergeCell ref="CV40:CW40"/>
    <mergeCell ref="CX40:CY40"/>
    <mergeCell ref="CZ40:DA40"/>
    <mergeCell ref="CV41:CW41"/>
    <mergeCell ref="CX41:CY41"/>
    <mergeCell ref="CZ41:DA41"/>
    <mergeCell ref="CR41:CS41"/>
    <mergeCell ref="CT41:CU41"/>
    <mergeCell ref="DB41:DC41"/>
    <mergeCell ref="DD41:DE41"/>
    <mergeCell ref="CN41:CO41"/>
    <mergeCell ref="CP41:CQ41"/>
    <mergeCell ref="DB40:DC40"/>
    <mergeCell ref="DD40:DE40"/>
    <mergeCell ref="CT40:CU40"/>
  </mergeCells>
  <pageMargins left="0.51181102362204722" right="0.51181102362204722" top="0.78740157480314965" bottom="0.78740157480314965" header="0.31496062992125984" footer="0.31496062992125984"/>
  <pageSetup paperSize="9" scale="92" orientation="landscape" horizontalDpi="1200" verticalDpi="1200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D58"/>
  <sheetViews>
    <sheetView zoomScaleNormal="100" workbookViewId="0">
      <selection activeCell="H26" sqref="H26"/>
    </sheetView>
  </sheetViews>
  <sheetFormatPr defaultRowHeight="12.75" x14ac:dyDescent="0.2"/>
  <cols>
    <col min="1" max="1" width="10.42578125" bestFit="1" customWidth="1"/>
    <col min="2" max="2" width="8.140625" bestFit="1" customWidth="1"/>
    <col min="3" max="3" width="10.42578125" bestFit="1" customWidth="1"/>
    <col min="22" max="22" width="5.140625" customWidth="1"/>
    <col min="42" max="42" width="17.5703125" customWidth="1"/>
    <col min="43" max="43" width="13.85546875" bestFit="1" customWidth="1"/>
    <col min="44" max="44" width="17.5703125" bestFit="1" customWidth="1"/>
    <col min="45" max="45" width="9.85546875" customWidth="1"/>
    <col min="46" max="46" width="15.42578125" bestFit="1" customWidth="1"/>
    <col min="54" max="54" width="10.42578125" bestFit="1" customWidth="1"/>
    <col min="62" max="63" width="10.42578125" bestFit="1" customWidth="1"/>
    <col min="64" max="81" width="9.140625" style="160"/>
  </cols>
  <sheetData>
    <row r="1" spans="2:82" x14ac:dyDescent="0.2">
      <c r="B1" s="78"/>
      <c r="C1" s="78"/>
      <c r="D1" s="103">
        <v>0</v>
      </c>
      <c r="E1" s="104">
        <v>9701</v>
      </c>
      <c r="F1" s="104">
        <v>9702</v>
      </c>
      <c r="G1" s="104">
        <v>9703</v>
      </c>
      <c r="H1" s="104">
        <v>9704</v>
      </c>
      <c r="I1" s="104">
        <v>9705</v>
      </c>
      <c r="J1" s="104">
        <v>9706</v>
      </c>
      <c r="K1" s="104">
        <v>9707</v>
      </c>
      <c r="L1" s="104">
        <v>9708</v>
      </c>
      <c r="M1" s="104">
        <v>9709</v>
      </c>
      <c r="N1" s="104">
        <v>9710</v>
      </c>
      <c r="O1" s="104">
        <v>9711</v>
      </c>
      <c r="P1" s="104">
        <v>9712</v>
      </c>
      <c r="Q1" s="104">
        <v>9713</v>
      </c>
      <c r="R1" s="104">
        <v>9714</v>
      </c>
      <c r="S1" s="104">
        <v>9715</v>
      </c>
      <c r="T1" s="104">
        <v>9716</v>
      </c>
      <c r="U1" s="105">
        <v>97001</v>
      </c>
      <c r="W1" s="103">
        <v>0</v>
      </c>
      <c r="X1" s="104">
        <v>9701</v>
      </c>
      <c r="Y1" s="104">
        <v>9702</v>
      </c>
      <c r="Z1" s="104">
        <v>9703</v>
      </c>
      <c r="AA1" s="104">
        <v>9704</v>
      </c>
      <c r="AB1" s="104">
        <v>9705</v>
      </c>
      <c r="AC1" s="104">
        <v>9706</v>
      </c>
      <c r="AD1" s="104">
        <v>9707</v>
      </c>
      <c r="AE1" s="104">
        <v>9708</v>
      </c>
      <c r="AF1" s="104">
        <v>9709</v>
      </c>
      <c r="AG1" s="104">
        <v>9710</v>
      </c>
      <c r="AH1" s="104">
        <v>9711</v>
      </c>
      <c r="AI1" s="104">
        <v>9712</v>
      </c>
      <c r="AJ1" s="104">
        <v>9713</v>
      </c>
      <c r="AK1" s="104">
        <v>9714</v>
      </c>
      <c r="AL1" s="104">
        <v>9715</v>
      </c>
      <c r="AM1" s="104">
        <v>9716</v>
      </c>
      <c r="AN1" s="105">
        <v>97001</v>
      </c>
      <c r="AP1" s="78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</row>
    <row r="2" spans="2:82" ht="38.25" x14ac:dyDescent="0.2">
      <c r="B2" s="78" t="s">
        <v>138</v>
      </c>
      <c r="C2" s="78" t="s">
        <v>78</v>
      </c>
      <c r="D2" s="106" t="str">
        <f>VLOOKUP(D1,'CÓD func.CAMPO'!$A$1:$B$18,2,0)</f>
        <v>MICROMEDIÇÃO</v>
      </c>
      <c r="E2" s="106">
        <v>9701</v>
      </c>
      <c r="F2" s="106">
        <v>9702</v>
      </c>
      <c r="G2" s="106">
        <v>9703</v>
      </c>
      <c r="H2" s="106">
        <v>9704</v>
      </c>
      <c r="I2" s="106">
        <v>9705</v>
      </c>
      <c r="J2" s="106">
        <v>9706</v>
      </c>
      <c r="K2" s="106">
        <v>9707</v>
      </c>
      <c r="L2" s="106">
        <v>9708</v>
      </c>
      <c r="M2" s="106">
        <v>9709</v>
      </c>
      <c r="N2" s="106">
        <v>9710</v>
      </c>
      <c r="O2" s="106">
        <v>9711</v>
      </c>
      <c r="P2" s="106">
        <v>9712</v>
      </c>
      <c r="Q2" s="106">
        <v>9713</v>
      </c>
      <c r="R2" s="106">
        <v>9714</v>
      </c>
      <c r="S2" s="106">
        <v>9715</v>
      </c>
      <c r="T2" s="106">
        <v>9716</v>
      </c>
      <c r="U2" s="106">
        <v>97001</v>
      </c>
      <c r="W2" s="106" t="str">
        <f>VLOOKUP(W1,'CÓD func.CAMPO'!$A$1:$B$18,2,0)</f>
        <v>MICROMEDIÇÃO</v>
      </c>
      <c r="X2" s="106" t="str">
        <f>VLOOKUP(X1,'CÓD func.CAMPO'!$A$1:$B$18,2,0)</f>
        <v>FRANCISCO GONZAGA</v>
      </c>
      <c r="Y2" s="106" t="str">
        <f>VLOOKUP(Y1,'CÓD func.CAMPO'!$A$1:$B$18,2,0)</f>
        <v>GUILHERME BEZERRA</v>
      </c>
      <c r="Z2" s="106" t="str">
        <f>VLOOKUP(Z1,'CÓD func.CAMPO'!$A$1:$B$18,2,0)</f>
        <v>GILSON DA SILVA</v>
      </c>
      <c r="AA2" s="106" t="str">
        <f>VLOOKUP(AA1,'CÓD func.CAMPO'!$A$1:$B$18,2,0)</f>
        <v>MATIAS LEITE</v>
      </c>
      <c r="AB2" s="106" t="str">
        <f>VLOOKUP(AB1,'CÓD func.CAMPO'!$A$1:$B$18,2,0)</f>
        <v>MARCOS BERNADINO</v>
      </c>
      <c r="AC2" s="106" t="str">
        <f>VLOOKUP(AC1,'CÓD func.CAMPO'!$A$1:$B$18,2,0)</f>
        <v>LUIZ GONZAGA</v>
      </c>
      <c r="AD2" s="106" t="str">
        <f>VLOOKUP(AD1,'CÓD func.CAMPO'!$A$1:$B$18,2,0)</f>
        <v>ELLIS REGINA</v>
      </c>
      <c r="AE2" s="106" t="str">
        <f>VLOOKUP(AE1,'CÓD func.CAMPO'!$A$1:$B$18,2,0)</f>
        <v>RAQUEL FERREIRA</v>
      </c>
      <c r="AF2" s="106" t="str">
        <f>VLOOKUP(AF1,'CÓD func.CAMPO'!$A$1:$B$18,2,0)</f>
        <v>ANTÔNIO MORAIS</v>
      </c>
      <c r="AG2" s="106" t="str">
        <f>VLOOKUP(AG1,'CÓD func.CAMPO'!$A$1:$B$18,2,0)</f>
        <v>GILVAM BATISTA</v>
      </c>
      <c r="AH2" s="106" t="str">
        <f>VLOOKUP(AH1,'CÓD func.CAMPO'!$A$1:$B$18,2,0)</f>
        <v>FRANCISCO EDNILSON</v>
      </c>
      <c r="AI2" s="106" t="str">
        <f>VLOOKUP(AI1,'CÓD func.CAMPO'!$A$1:$B$18,2,0)</f>
        <v>WILTON DA SILVA</v>
      </c>
      <c r="AJ2" s="106" t="str">
        <f>VLOOKUP(AJ1,'CÓD func.CAMPO'!$A$1:$B$18,2,0)</f>
        <v>JOSÉ ANTÔNIO</v>
      </c>
      <c r="AK2" s="106" t="str">
        <f>VLOOKUP(AK1,'CÓD func.CAMPO'!$A$1:$B$18,2,0)</f>
        <v>ANTÔNIO DA CRUZ</v>
      </c>
      <c r="AL2" s="106" t="str">
        <f>VLOOKUP(AL1,'CÓD func.CAMPO'!$A$1:$B$18,2,0)</f>
        <v>ROBERTO AKIRA</v>
      </c>
      <c r="AM2" s="106" t="str">
        <f>VLOOKUP(AM1,'CÓD func.CAMPO'!$A$1:$B$18,2,0)</f>
        <v>FERNANDO DA SILVA</v>
      </c>
      <c r="AN2" s="106" t="str">
        <f>VLOOKUP(AN1,'CÓD func.CAMPO'!$A$1:$B$18,2,0)</f>
        <v>GAÚCHO</v>
      </c>
      <c r="AP2" s="78"/>
      <c r="AQ2" s="102" t="s">
        <v>97</v>
      </c>
      <c r="AR2" s="102" t="s">
        <v>98</v>
      </c>
      <c r="AS2" s="102" t="s">
        <v>99</v>
      </c>
      <c r="AT2" s="102" t="s">
        <v>100</v>
      </c>
      <c r="AU2" s="102" t="s">
        <v>101</v>
      </c>
      <c r="AV2" s="102" t="s">
        <v>102</v>
      </c>
      <c r="AW2" s="102" t="s">
        <v>103</v>
      </c>
      <c r="AX2" s="102" t="s">
        <v>104</v>
      </c>
      <c r="AY2" s="102" t="s">
        <v>105</v>
      </c>
      <c r="AZ2" s="102" t="s">
        <v>106</v>
      </c>
      <c r="BA2" s="102" t="s">
        <v>107</v>
      </c>
      <c r="BB2" s="102" t="s">
        <v>94</v>
      </c>
      <c r="BC2" s="102" t="s">
        <v>108</v>
      </c>
      <c r="BD2" s="102" t="s">
        <v>109</v>
      </c>
      <c r="BE2" s="102" t="s">
        <v>110</v>
      </c>
      <c r="BF2" s="102" t="s">
        <v>111</v>
      </c>
      <c r="BG2" s="102" t="s">
        <v>112</v>
      </c>
      <c r="BH2" s="102" t="s">
        <v>113</v>
      </c>
      <c r="BI2" s="102"/>
      <c r="BJ2" s="169">
        <f>A30</f>
        <v>42522</v>
      </c>
      <c r="BK2" s="169" t="s">
        <v>97</v>
      </c>
      <c r="BL2" s="102" t="s">
        <v>98</v>
      </c>
      <c r="BM2" s="102" t="s">
        <v>99</v>
      </c>
      <c r="BN2" s="102" t="s">
        <v>100</v>
      </c>
      <c r="BO2" s="102" t="s">
        <v>101</v>
      </c>
      <c r="BP2" s="102" t="s">
        <v>102</v>
      </c>
      <c r="BQ2" s="102" t="s">
        <v>103</v>
      </c>
      <c r="BR2" s="102" t="s">
        <v>104</v>
      </c>
      <c r="BS2" s="102" t="s">
        <v>105</v>
      </c>
      <c r="BT2" s="102" t="s">
        <v>106</v>
      </c>
      <c r="BU2" s="102" t="s">
        <v>107</v>
      </c>
      <c r="BV2" s="102" t="s">
        <v>94</v>
      </c>
      <c r="BW2" s="102" t="s">
        <v>108</v>
      </c>
      <c r="BX2" s="102" t="s">
        <v>109</v>
      </c>
      <c r="BY2" s="102" t="s">
        <v>110</v>
      </c>
      <c r="BZ2" s="102" t="s">
        <v>111</v>
      </c>
      <c r="CA2" s="102" t="s">
        <v>112</v>
      </c>
      <c r="CB2" s="102" t="s">
        <v>113</v>
      </c>
      <c r="CC2" s="102"/>
      <c r="CD2" s="102"/>
    </row>
    <row r="3" spans="2:82" x14ac:dyDescent="0.2">
      <c r="B3" s="78">
        <f t="shared" ref="B3:B14" si="0">ANOPROD.</f>
        <v>2016</v>
      </c>
      <c r="C3" s="78">
        <v>1</v>
      </c>
      <c r="D3" s="82">
        <f>SUMIFS(BD.OS!$F:$F,BD.OS!$B:$B,'PROCV Prod.Total'!B3,BD.OS!$C:$C,'PROCV Prod.Total'!C3,BD.OS!$E:$E,"SIM")</f>
        <v>101</v>
      </c>
      <c r="E3" s="82">
        <f>SUMIFS(BD.OS!$G:$G,BD.OS!$B:$B,'PROCV Prod.Total'!B3,BD.OS!$C:$C,'PROCV Prod.Total'!C3,BD.OS!$E:$E,"SIM")</f>
        <v>2</v>
      </c>
      <c r="F3" s="82">
        <f>SUMIFS(BD.OS!$H:$H,BD.OS!$B:$B,'PROCV Prod.Total'!B3,BD.OS!$C:$C,'PROCV Prod.Total'!C3,BD.OS!$E:$E,"SIM")</f>
        <v>101</v>
      </c>
      <c r="G3" s="82">
        <f>SUMIFS(BD.OS!$I:$I,BD.OS!$B:$B,'PROCV Prod.Total'!B3,BD.OS!$C:$C,'PROCV Prod.Total'!C3,BD.OS!$E:$E,"SIM")</f>
        <v>119</v>
      </c>
      <c r="H3" s="82">
        <f>SUMIFS(BD.OS!$J:$J,BD.OS!$B:$B,'PROCV Prod.Total'!B3,BD.OS!$C:$C,'PROCV Prod.Total'!C3,BD.OS!$E:$E,"SIM")</f>
        <v>36</v>
      </c>
      <c r="I3" s="82">
        <f>SUMIFS(BD.OS!$K:$K,BD.OS!$B:$B,'PROCV Prod.Total'!B3,BD.OS!$C:$C,'PROCV Prod.Total'!C3,BD.OS!$E:$E,"SIM")</f>
        <v>0</v>
      </c>
      <c r="J3" s="82">
        <f>SUMIFS(BD.OS!$L:$L,BD.OS!$B:$B,'PROCV Prod.Total'!B3,BD.OS!$C:$C,'PROCV Prod.Total'!C3,BD.OS!$E:$E,"SIM")</f>
        <v>209</v>
      </c>
      <c r="K3" s="82">
        <f>SUMIFS(BD.OS!$M:$M,BD.OS!$B:$B,'PROCV Prod.Total'!B3,BD.OS!$C:$C,'PROCV Prod.Total'!C3,BD.OS!$E:$E,"SIM")</f>
        <v>0</v>
      </c>
      <c r="L3" s="82">
        <f>SUMIFS(BD.OS!$N:$N,BD.OS!$B:$B,'PROCV Prod.Total'!B3,BD.OS!$C:$C,'PROCV Prod.Total'!C3,BD.OS!$E:$E,"SIM")</f>
        <v>0</v>
      </c>
      <c r="M3" s="82">
        <f>SUMIFS(BD.OS!$O:$O,BD.OS!$B:$B,'PROCV Prod.Total'!B3,BD.OS!$C:$C,'PROCV Prod.Total'!C3,BD.OS!$E:$E,"SIM")</f>
        <v>0</v>
      </c>
      <c r="N3" s="82">
        <f>SUMIFS(BD.OS!$P:$P,BD.OS!$B:$B,'PROCV Prod.Total'!B3,BD.OS!$C:$C,'PROCV Prod.Total'!C3,BD.OS!$E:$E,"SIM")</f>
        <v>21</v>
      </c>
      <c r="O3" s="82">
        <f>SUMIFS(BD.OS!$Q:$Q,BD.OS!$B:$B,'PROCV Prod.Total'!B3,BD.OS!$C:$C,'PROCV Prod.Total'!C3,BD.OS!$E:$E,"SIM")</f>
        <v>3</v>
      </c>
      <c r="P3" s="82">
        <f>SUMIFS(BD.OS!$R:$R,BD.OS!$B:$B,'PROCV Prod.Total'!B3,BD.OS!$C:$C,'PROCV Prod.Total'!C3,BD.OS!$E:$E,"SIM")</f>
        <v>118</v>
      </c>
      <c r="Q3" s="82">
        <f>SUMIFS(BD.OS!$S:$S,BD.OS!$B:$B,'PROCV Prod.Total'!B3,BD.OS!$C:$C,'PROCV Prod.Total'!C3,BD.OS!$E:$E,"SIM")</f>
        <v>0</v>
      </c>
      <c r="R3" s="82">
        <f>SUMIFS(BD.OS!$T:$T,BD.OS!$B:$B,'PROCV Prod.Total'!B3,BD.OS!$C:$C,'PROCV Prod.Total'!C3,BD.OS!$E:$E,"SIM")</f>
        <v>129</v>
      </c>
      <c r="S3" s="82">
        <f>SUMIFS(BD.OS!$U:$U,BD.OS!$B:$B,'PROCV Prod.Total'!B3,BD.OS!$C:$C,'PROCV Prod.Total'!C3,BD.OS!$E:$E,"SIM")</f>
        <v>0</v>
      </c>
      <c r="T3" s="82">
        <f>SUMIFS(BD.OS!$V:$V,BD.OS!$B:$B,'PROCV Prod.Total'!B3,BD.OS!$C:$C,'PROCV Prod.Total'!C3,BD.OS!$E:$E,"SIM")</f>
        <v>75</v>
      </c>
      <c r="U3" s="82">
        <f>SUMIFS(BD.OS!$W:$W,BD.OS!$B:$B,'PROCV Prod.Total'!B3,BD.OS!$C:$C,'PROCV Prod.Total'!C3,BD.OS!$E:$E,"SIM")</f>
        <v>3</v>
      </c>
      <c r="W3" s="82">
        <f>SUMIFS(BD.OS!$F:$F,BD.OS!$B:$B,'PROCV Prod.Total'!B3,BD.OS!$C:$C,'PROCV Prod.Total'!C3,BD.OS!$E:$E,"NÃO")</f>
        <v>228</v>
      </c>
      <c r="X3" s="82">
        <f>SUMIFS(BD.OS!$G:$G,BD.OS!$B:$B,'PROCV Prod.Total'!B3,BD.OS!$C:$C,'PROCV Prod.Total'!C3,BD.OS!$E:$E,"NÃO")</f>
        <v>1</v>
      </c>
      <c r="Y3" s="82">
        <f>SUMIFS(BD.OS!$H:$H,BD.OS!$B:$B,'PROCV Prod.Total'!B3,BD.OS!$C:$C,'PROCV Prod.Total'!C3,BD.OS!$E:$E,"NÃO")</f>
        <v>40</v>
      </c>
      <c r="Z3" s="82">
        <f>SUMIFS(BD.OS!$I:$I,BD.OS!$B:$B,'PROCV Prod.Total'!B3,BD.OS!$C:$C,'PROCV Prod.Total'!C3,BD.OS!$E:$E,"NÃO")</f>
        <v>38</v>
      </c>
      <c r="AA3" s="82">
        <f>SUMIFS(BD.OS!$J:$J,BD.OS!$B:$B,'PROCV Prod.Total'!B3,BD.OS!$C:$C,'PROCV Prod.Total'!C3,BD.OS!$E:$E,"NÃO")</f>
        <v>7</v>
      </c>
      <c r="AB3" s="82">
        <f>SUMIFS(BD.OS!$K:$K,BD.OS!$B:$B,'PROCV Prod.Total'!B3,BD.OS!$C:$C,'PROCV Prod.Total'!C3,BD.OS!$E:$E,"NÃO")</f>
        <v>0</v>
      </c>
      <c r="AC3" s="82">
        <f>SUMIFS(BD.OS!$L:$L,BD.OS!$B:$B,'PROCV Prod.Total'!B3,BD.OS!$C:$C,'PROCV Prod.Total'!C3,BD.OS!$E:$E,"NÃO")</f>
        <v>53</v>
      </c>
      <c r="AD3" s="82">
        <f>SUMIFS(BD.OS!$M:$M,BD.OS!$B:$B,'PROCV Prod.Total'!B3,BD.OS!$C:$C,'PROCV Prod.Total'!C3,BD.OS!$E:$E,"NÃO")</f>
        <v>0</v>
      </c>
      <c r="AE3" s="82">
        <f>SUMIFS(BD.OS!$N:$N,BD.OS!$B:$B,'PROCV Prod.Total'!B3,BD.OS!$C:$C,'PROCV Prod.Total'!C3,BD.OS!$E:$E,"NÃO")</f>
        <v>0</v>
      </c>
      <c r="AF3" s="82">
        <f>SUMIFS(BD.OS!$O:$O,BD.OS!$B:$B,'PROCV Prod.Total'!B3,BD.OS!$C:$C,'PROCV Prod.Total'!C3,BD.OS!$E:$E,"NÃO")</f>
        <v>0</v>
      </c>
      <c r="AG3" s="82">
        <f>SUMIFS(BD.OS!$P:$P,BD.OS!$B:$B,'PROCV Prod.Total'!B3,BD.OS!$C:$C,'PROCV Prod.Total'!C3,BD.OS!$E:$E,"NÃO")</f>
        <v>7</v>
      </c>
      <c r="AH3" s="82">
        <f>SUMIFS(BD.OS!$Q:$Q,BD.OS!$B:$B,'PROCV Prod.Total'!B3,BD.OS!$C:$C,'PROCV Prod.Total'!C3,BD.OS!$E:$E,"NÃO")</f>
        <v>5</v>
      </c>
      <c r="AI3" s="82">
        <f>SUMIFS(BD.OS!$R:$R,BD.OS!$B:$B,'PROCV Prod.Total'!B3,BD.OS!$C:$C,'PROCV Prod.Total'!C3,BD.OS!$E:$E,"NÃO")</f>
        <v>78</v>
      </c>
      <c r="AJ3" s="82">
        <f>SUMIFS(BD.OS!$S:$S,BD.OS!$B:$B,'PROCV Prod.Total'!B3,BD.OS!$C:$C,'PROCV Prod.Total'!C3,BD.OS!$E:$E,"NÃO")</f>
        <v>0</v>
      </c>
      <c r="AK3" s="82">
        <f>SUMIFS(BD.OS!$T:$T,BD.OS!$B:$B,'PROCV Prod.Total'!B3,BD.OS!$C:$C,'PROCV Prod.Total'!C3,BD.OS!$E:$E,"NÃO")</f>
        <v>105</v>
      </c>
      <c r="AL3" s="82">
        <f>SUMIFS(BD.OS!$U:$U,BD.OS!$B:$B,'PROCV Prod.Total'!B3,BD.OS!$C:$C,'PROCV Prod.Total'!C3,BD.OS!$E:$E,"NÃO")</f>
        <v>0</v>
      </c>
      <c r="AM3" s="82">
        <f>SUMIFS(BD.OS!$V:$V,BD.OS!$B:$B,'PROCV Prod.Total'!B3,BD.OS!$C:$C,'PROCV Prod.Total'!C3,BD.OS!$E:$E,"NÃO")</f>
        <v>33</v>
      </c>
      <c r="AN3" s="82">
        <f>SUMIFS(BD.OS!$W:$W,BD.OS!$B:$B,'PROCV Prod.Total'!B3,BD.OS!$C:$C,'PROCV Prod.Total'!C3,BD.OS!$E:$E,"NÃO")</f>
        <v>8</v>
      </c>
      <c r="AO3" s="16"/>
      <c r="AP3" s="78" t="s">
        <v>139</v>
      </c>
      <c r="AQ3" s="102">
        <f>INDEX(D3:D14,'Prod. e Improd'!$F$8,1)</f>
        <v>17</v>
      </c>
      <c r="AR3" s="102">
        <f>INDEX(E3:E14,'Prod. e Improd'!$F$8,1)</f>
        <v>18</v>
      </c>
      <c r="AS3" s="102">
        <f>INDEX(F3:F14,'Prod. e Improd'!$F$8,1)</f>
        <v>24</v>
      </c>
      <c r="AT3" s="102">
        <f>INDEX(G3:G14,'Prod. e Improd'!$F$8,1)</f>
        <v>0</v>
      </c>
      <c r="AU3" s="102">
        <f>INDEX(H3:H14,'Prod. e Improd'!$F$8,1)</f>
        <v>0</v>
      </c>
      <c r="AV3" s="102">
        <f>INDEX(I3:I14,'Prod. e Improd'!$F$8,1)</f>
        <v>0</v>
      </c>
      <c r="AW3" s="102">
        <f>INDEX(J3:J14,'Prod. e Improd'!$F$8,1)</f>
        <v>75</v>
      </c>
      <c r="AX3" s="102">
        <f>INDEX(K3:K14,'Prod. e Improd'!$F$8,1)</f>
        <v>8</v>
      </c>
      <c r="AY3" s="102">
        <f>INDEX(L3:L14,'Prod. e Improd'!$F$8,1)</f>
        <v>4</v>
      </c>
      <c r="AZ3" s="102">
        <f>INDEX(M3:M14,'Prod. e Improd'!$F$8,1)</f>
        <v>0</v>
      </c>
      <c r="BA3" s="102">
        <f>INDEX(N3:N14,'Prod. e Improd'!$F$8,1)</f>
        <v>33</v>
      </c>
      <c r="BB3" s="102">
        <f>INDEX(O3:O14,'Prod. e Improd'!$F$8,1)</f>
        <v>10</v>
      </c>
      <c r="BC3" s="102">
        <f>INDEX(P3:P14,'Prod. e Improd'!$F$8,1)</f>
        <v>29</v>
      </c>
      <c r="BD3" s="102">
        <f>INDEX(Q3:Q14,'Prod. e Improd'!$F$8,1)</f>
        <v>0</v>
      </c>
      <c r="BE3" s="102">
        <f>INDEX(R3:R14,'Prod. e Improd'!$F$8,1)</f>
        <v>26</v>
      </c>
      <c r="BF3" s="102">
        <f>INDEX(S3:S14,'Prod. e Improd'!$F$8,1)</f>
        <v>1</v>
      </c>
      <c r="BG3" s="102">
        <f>INDEX(T3:T14,'Prod. e Improd'!$F$8,1)</f>
        <v>55</v>
      </c>
      <c r="BH3" s="102">
        <f>INDEX(U3:U14,'Prod. e Improd'!$F$8,1)</f>
        <v>0</v>
      </c>
      <c r="BI3" s="102"/>
      <c r="BJ3" s="169">
        <f t="shared" ref="BJ3:BJ15" si="1">A31</f>
        <v>42491</v>
      </c>
      <c r="BK3">
        <f>D31+W31</f>
        <v>198</v>
      </c>
      <c r="BL3">
        <f t="shared" ref="BL3:CB3" si="2">E31+X31</f>
        <v>34</v>
      </c>
      <c r="BM3">
        <f t="shared" si="2"/>
        <v>26</v>
      </c>
      <c r="BN3">
        <f t="shared" si="2"/>
        <v>0</v>
      </c>
      <c r="BO3">
        <f t="shared" si="2"/>
        <v>0</v>
      </c>
      <c r="BP3">
        <f t="shared" si="2"/>
        <v>0</v>
      </c>
      <c r="BQ3">
        <f t="shared" si="2"/>
        <v>102</v>
      </c>
      <c r="BR3">
        <f t="shared" si="2"/>
        <v>8</v>
      </c>
      <c r="BS3">
        <f t="shared" si="2"/>
        <v>22</v>
      </c>
      <c r="BT3">
        <f t="shared" si="2"/>
        <v>2</v>
      </c>
      <c r="BU3">
        <f t="shared" si="2"/>
        <v>47</v>
      </c>
      <c r="BV3">
        <f t="shared" si="2"/>
        <v>16</v>
      </c>
      <c r="BW3">
        <f t="shared" si="2"/>
        <v>51</v>
      </c>
      <c r="BX3">
        <f t="shared" si="2"/>
        <v>0</v>
      </c>
      <c r="BY3">
        <f t="shared" si="2"/>
        <v>36</v>
      </c>
      <c r="BZ3">
        <f t="shared" si="2"/>
        <v>1</v>
      </c>
      <c r="CA3">
        <f t="shared" si="2"/>
        <v>73</v>
      </c>
      <c r="CB3">
        <f t="shared" si="2"/>
        <v>1</v>
      </c>
      <c r="CC3" s="168"/>
      <c r="CD3" s="82"/>
    </row>
    <row r="4" spans="2:82" x14ac:dyDescent="0.2">
      <c r="B4" s="78">
        <f t="shared" si="0"/>
        <v>2016</v>
      </c>
      <c r="C4" s="78">
        <v>2</v>
      </c>
      <c r="D4" s="82">
        <f>SUMIFS(BD.OS!$F:$F,BD.OS!$B:$B,'PROCV Prod.Total'!B4,BD.OS!$C:$C,'PROCV Prod.Total'!C4,BD.OS!$E:$E,"SIM")</f>
        <v>49</v>
      </c>
      <c r="E4" s="82">
        <f>SUMIFS(BD.OS!$G:$G,BD.OS!$B:$B,'PROCV Prod.Total'!B4,BD.OS!$C:$C,'PROCV Prod.Total'!C4,BD.OS!$E:$E,"SIM")</f>
        <v>171</v>
      </c>
      <c r="F4" s="82">
        <f>SUMIFS(BD.OS!$H:$H,BD.OS!$B:$B,'PROCV Prod.Total'!B4,BD.OS!$C:$C,'PROCV Prod.Total'!C4,BD.OS!$E:$E,"SIM")</f>
        <v>116</v>
      </c>
      <c r="G4" s="82">
        <f>SUMIFS(BD.OS!$I:$I,BD.OS!$B:$B,'PROCV Prod.Total'!B4,BD.OS!$C:$C,'PROCV Prod.Total'!C4,BD.OS!$E:$E,"SIM")</f>
        <v>139</v>
      </c>
      <c r="H4" s="82">
        <f>SUMIFS(BD.OS!$J:$J,BD.OS!$B:$B,'PROCV Prod.Total'!B4,BD.OS!$C:$C,'PROCV Prod.Total'!C4,BD.OS!$E:$E,"SIM")</f>
        <v>4</v>
      </c>
      <c r="I4" s="82">
        <f>SUMIFS(BD.OS!$K:$K,BD.OS!$B:$B,'PROCV Prod.Total'!B4,BD.OS!$C:$C,'PROCV Prod.Total'!C4,BD.OS!$E:$E,"SIM")</f>
        <v>0</v>
      </c>
      <c r="J4" s="82">
        <f>SUMIFS(BD.OS!$L:$L,BD.OS!$B:$B,'PROCV Prod.Total'!B4,BD.OS!$C:$C,'PROCV Prod.Total'!C4,BD.OS!$E:$E,"SIM")</f>
        <v>142</v>
      </c>
      <c r="K4" s="82">
        <f>SUMIFS(BD.OS!$M:$M,BD.OS!$B:$B,'PROCV Prod.Total'!B4,BD.OS!$C:$C,'PROCV Prod.Total'!C4,BD.OS!$E:$E,"SIM")</f>
        <v>26</v>
      </c>
      <c r="L4" s="82">
        <f>SUMIFS(BD.OS!$N:$N,BD.OS!$B:$B,'PROCV Prod.Total'!B4,BD.OS!$C:$C,'PROCV Prod.Total'!C4,BD.OS!$E:$E,"SIM")</f>
        <v>0</v>
      </c>
      <c r="M4" s="82">
        <f>SUMIFS(BD.OS!$O:$O,BD.OS!$B:$B,'PROCV Prod.Total'!B4,BD.OS!$C:$C,'PROCV Prod.Total'!C4,BD.OS!$E:$E,"SIM")</f>
        <v>9</v>
      </c>
      <c r="N4" s="82">
        <f>SUMIFS(BD.OS!$P:$P,BD.OS!$B:$B,'PROCV Prod.Total'!B4,BD.OS!$C:$C,'PROCV Prod.Total'!C4,BD.OS!$E:$E,"SIM")</f>
        <v>68</v>
      </c>
      <c r="O4" s="82">
        <f>SUMIFS(BD.OS!$Q:$Q,BD.OS!$B:$B,'PROCV Prod.Total'!B4,BD.OS!$C:$C,'PROCV Prod.Total'!C4,BD.OS!$E:$E,"SIM")</f>
        <v>0</v>
      </c>
      <c r="P4" s="82">
        <f>SUMIFS(BD.OS!$R:$R,BD.OS!$B:$B,'PROCV Prod.Total'!B4,BD.OS!$C:$C,'PROCV Prod.Total'!C4,BD.OS!$E:$E,"SIM")</f>
        <v>166</v>
      </c>
      <c r="Q4" s="82">
        <f>SUMIFS(BD.OS!$S:$S,BD.OS!$B:$B,'PROCV Prod.Total'!B4,BD.OS!$C:$C,'PROCV Prod.Total'!C4,BD.OS!$E:$E,"SIM")</f>
        <v>0</v>
      </c>
      <c r="R4" s="82">
        <f>SUMIFS(BD.OS!$T:$T,BD.OS!$B:$B,'PROCV Prod.Total'!B4,BD.OS!$C:$C,'PROCV Prod.Total'!C4,BD.OS!$E:$E,"SIM")</f>
        <v>164</v>
      </c>
      <c r="S4" s="82">
        <f>SUMIFS(BD.OS!$U:$U,BD.OS!$B:$B,'PROCV Prod.Total'!B4,BD.OS!$C:$C,'PROCV Prod.Total'!C4,BD.OS!$E:$E,"SIM")</f>
        <v>31</v>
      </c>
      <c r="T4" s="82">
        <f>SUMIFS(BD.OS!$V:$V,BD.OS!$B:$B,'PROCV Prod.Total'!B4,BD.OS!$C:$C,'PROCV Prod.Total'!C4,BD.OS!$E:$E,"SIM")</f>
        <v>124</v>
      </c>
      <c r="U4" s="82">
        <f>SUMIFS(BD.OS!$W:$W,BD.OS!$B:$B,'PROCV Prod.Total'!B4,BD.OS!$C:$C,'PROCV Prod.Total'!C4,BD.OS!$E:$E,"SIM")</f>
        <v>1</v>
      </c>
      <c r="W4" s="82">
        <f>SUMIFS(BD.OS!$F:$F,BD.OS!$B:$B,'PROCV Prod.Total'!B4,BD.OS!$C:$C,'PROCV Prod.Total'!C4,BD.OS!$E:$E,"NÃO")</f>
        <v>82</v>
      </c>
      <c r="X4" s="82">
        <f>SUMIFS(BD.OS!$G:$G,BD.OS!$B:$B,'PROCV Prod.Total'!B4,BD.OS!$C:$C,'PROCV Prod.Total'!C4,BD.OS!$E:$E,"NÃO")</f>
        <v>79</v>
      </c>
      <c r="Y4" s="82">
        <f>SUMIFS(BD.OS!$H:$H,BD.OS!$B:$B,'PROCV Prod.Total'!B4,BD.OS!$C:$C,'PROCV Prod.Total'!C4,BD.OS!$E:$E,"NÃO")</f>
        <v>10</v>
      </c>
      <c r="Z4" s="82">
        <f>SUMIFS(BD.OS!$I:$I,BD.OS!$B:$B,'PROCV Prod.Total'!B4,BD.OS!$C:$C,'PROCV Prod.Total'!C4,BD.OS!$E:$E,"NÃO")</f>
        <v>34</v>
      </c>
      <c r="AA4" s="82">
        <f>SUMIFS(BD.OS!$J:$J,BD.OS!$B:$B,'PROCV Prod.Total'!B4,BD.OS!$C:$C,'PROCV Prod.Total'!C4,BD.OS!$E:$E,"NÃO")</f>
        <v>0</v>
      </c>
      <c r="AB4" s="82">
        <f>SUMIFS(BD.OS!$K:$K,BD.OS!$B:$B,'PROCV Prod.Total'!B4,BD.OS!$C:$C,'PROCV Prod.Total'!C4,BD.OS!$E:$E,"NÃO")</f>
        <v>0</v>
      </c>
      <c r="AC4" s="82">
        <f>SUMIFS(BD.OS!$L:$L,BD.OS!$B:$B,'PROCV Prod.Total'!B4,BD.OS!$C:$C,'PROCV Prod.Total'!C4,BD.OS!$E:$E,"NÃO")</f>
        <v>37</v>
      </c>
      <c r="AD4" s="82">
        <f>SUMIFS(BD.OS!$M:$M,BD.OS!$B:$B,'PROCV Prod.Total'!B4,BD.OS!$C:$C,'PROCV Prod.Total'!C4,BD.OS!$E:$E,"NÃO")</f>
        <v>39</v>
      </c>
      <c r="AE4" s="82">
        <f>SUMIFS(BD.OS!$N:$N,BD.OS!$B:$B,'PROCV Prod.Total'!B4,BD.OS!$C:$C,'PROCV Prod.Total'!C4,BD.OS!$E:$E,"NÃO")</f>
        <v>0</v>
      </c>
      <c r="AF4" s="82">
        <f>SUMIFS(BD.OS!$O:$O,BD.OS!$B:$B,'PROCV Prod.Total'!B4,BD.OS!$C:$C,'PROCV Prod.Total'!C4,BD.OS!$E:$E,"NÃO")</f>
        <v>24</v>
      </c>
      <c r="AG4" s="82">
        <f>SUMIFS(BD.OS!$P:$P,BD.OS!$B:$B,'PROCV Prod.Total'!B4,BD.OS!$C:$C,'PROCV Prod.Total'!C4,BD.OS!$E:$E,"NÃO")</f>
        <v>28</v>
      </c>
      <c r="AH4" s="82">
        <f>SUMIFS(BD.OS!$Q:$Q,BD.OS!$B:$B,'PROCV Prod.Total'!B4,BD.OS!$C:$C,'PROCV Prod.Total'!C4,BD.OS!$E:$E,"NÃO")</f>
        <v>1</v>
      </c>
      <c r="AI4" s="82">
        <f>SUMIFS(BD.OS!$R:$R,BD.OS!$B:$B,'PROCV Prod.Total'!B4,BD.OS!$C:$C,'PROCV Prod.Total'!C4,BD.OS!$E:$E,"NÃO")</f>
        <v>89</v>
      </c>
      <c r="AJ4" s="82">
        <f>SUMIFS(BD.OS!$S:$S,BD.OS!$B:$B,'PROCV Prod.Total'!B4,BD.OS!$C:$C,'PROCV Prod.Total'!C4,BD.OS!$E:$E,"NÃO")</f>
        <v>0</v>
      </c>
      <c r="AK4" s="82">
        <f>SUMIFS(BD.OS!$T:$T,BD.OS!$B:$B,'PROCV Prod.Total'!B4,BD.OS!$C:$C,'PROCV Prod.Total'!C4,BD.OS!$E:$E,"NÃO")</f>
        <v>47</v>
      </c>
      <c r="AL4" s="82">
        <f>SUMIFS(BD.OS!$U:$U,BD.OS!$B:$B,'PROCV Prod.Total'!B4,BD.OS!$C:$C,'PROCV Prod.Total'!C4,BD.OS!$E:$E,"NÃO")</f>
        <v>2</v>
      </c>
      <c r="AM4" s="82">
        <f>SUMIFS(BD.OS!$V:$V,BD.OS!$B:$B,'PROCV Prod.Total'!B4,BD.OS!$C:$C,'PROCV Prod.Total'!C4,BD.OS!$E:$E,"NÃO")</f>
        <v>54</v>
      </c>
      <c r="AN4" s="82">
        <f>SUMIFS(BD.OS!$W:$W,BD.OS!$B:$B,'PROCV Prod.Total'!B4,BD.OS!$C:$C,'PROCV Prod.Total'!C4,BD.OS!$E:$E,"NÃO")</f>
        <v>0</v>
      </c>
      <c r="AO4" s="16"/>
      <c r="AP4" s="78" t="s">
        <v>140</v>
      </c>
      <c r="AQ4" s="102">
        <f>INDEX(W3:AN14,'Prod. e Improd'!$F$8,1)</f>
        <v>181</v>
      </c>
      <c r="AR4" s="102">
        <f>INDEX(X3:AO14,'Prod. e Improd'!$F$8,1)</f>
        <v>16</v>
      </c>
      <c r="AS4" s="102">
        <f>INDEX(Y3:AP14,'Prod. e Improd'!$F$8,1)</f>
        <v>2</v>
      </c>
      <c r="AT4" s="102">
        <f>INDEX(Z3:AQ14,'Prod. e Improd'!$F$8,1)</f>
        <v>0</v>
      </c>
      <c r="AU4" s="102">
        <f>INDEX(AA3:AR14,'Prod. e Improd'!$F$8,1)</f>
        <v>0</v>
      </c>
      <c r="AV4" s="102">
        <f>INDEX(AB3:AS14,'Prod. e Improd'!$F$8,1)</f>
        <v>0</v>
      </c>
      <c r="AW4" s="102">
        <f>INDEX(AC3:AT14,'Prod. e Improd'!$F$8,1)</f>
        <v>27</v>
      </c>
      <c r="AX4" s="102">
        <f>INDEX(AD3:AU14,'Prod. e Improd'!$F$8,1)</f>
        <v>0</v>
      </c>
      <c r="AY4" s="102">
        <f>INDEX(AE3:AV14,'Prod. e Improd'!$F$8,1)</f>
        <v>18</v>
      </c>
      <c r="AZ4" s="102">
        <f>INDEX(AF3:AW14,'Prod. e Improd'!$F$8,1)</f>
        <v>2</v>
      </c>
      <c r="BA4" s="102">
        <f>INDEX(AG3:AX14,'Prod. e Improd'!$F$8,1)</f>
        <v>14</v>
      </c>
      <c r="BB4" s="102">
        <f>INDEX(AH3:AY14,'Prod. e Improd'!$F$8,1)</f>
        <v>6</v>
      </c>
      <c r="BC4" s="102">
        <f>INDEX(AI3:AZ14,'Prod. e Improd'!$F$8,1)</f>
        <v>22</v>
      </c>
      <c r="BD4" s="102">
        <f>INDEX(AJ3:BA14,'Prod. e Improd'!$F$8,1)</f>
        <v>0</v>
      </c>
      <c r="BE4" s="102">
        <f>INDEX(AK3:BB14,'Prod. e Improd'!$F$8,1)</f>
        <v>10</v>
      </c>
      <c r="BF4" s="102">
        <f>INDEX(AL3:BC14,'Prod. e Improd'!$F$8,1)</f>
        <v>0</v>
      </c>
      <c r="BG4" s="102">
        <f>INDEX(AM3:BD14,'Prod. e Improd'!$F$8,1)</f>
        <v>18</v>
      </c>
      <c r="BH4" s="102">
        <f>INDEX(AN3:BE14,'Prod. e Improd'!$F$8,1)</f>
        <v>1</v>
      </c>
      <c r="BI4" s="102"/>
      <c r="BJ4" s="169">
        <f t="shared" si="1"/>
        <v>42461</v>
      </c>
      <c r="BK4">
        <f t="shared" ref="BK4:BK15" si="3">D32+W32</f>
        <v>68</v>
      </c>
      <c r="BL4">
        <f t="shared" ref="BL4:BL15" si="4">E32+X32</f>
        <v>254</v>
      </c>
      <c r="BM4">
        <f t="shared" ref="BM4:BM15" si="5">F32+Y32</f>
        <v>98</v>
      </c>
      <c r="BN4">
        <f t="shared" ref="BN4:BN15" si="6">G32+Z32</f>
        <v>143</v>
      </c>
      <c r="BO4">
        <f t="shared" ref="BO4:BO15" si="7">H32+AA32</f>
        <v>0</v>
      </c>
      <c r="BP4">
        <f t="shared" ref="BP4:BP15" si="8">I32+AB32</f>
        <v>1</v>
      </c>
      <c r="BQ4">
        <f t="shared" ref="BQ4:BQ15" si="9">J32+AC32</f>
        <v>268</v>
      </c>
      <c r="BR4">
        <f t="shared" ref="BR4:BR15" si="10">K32+AD32</f>
        <v>41</v>
      </c>
      <c r="BS4">
        <f t="shared" ref="BS4:BS15" si="11">L32+AE32</f>
        <v>147</v>
      </c>
      <c r="BT4">
        <f t="shared" ref="BT4:BT15" si="12">M32+AF32</f>
        <v>46</v>
      </c>
      <c r="BU4">
        <f t="shared" ref="BU4:BU15" si="13">N32+AG32</f>
        <v>157</v>
      </c>
      <c r="BV4">
        <f t="shared" ref="BV4:BV15" si="14">O32+AH32</f>
        <v>53</v>
      </c>
      <c r="BW4">
        <f t="shared" ref="BW4:BW15" si="15">P32+AI32</f>
        <v>156</v>
      </c>
      <c r="BX4">
        <f t="shared" ref="BX4:BX15" si="16">Q32+AJ32</f>
        <v>0</v>
      </c>
      <c r="BY4">
        <f t="shared" ref="BY4:BY15" si="17">R32+AK32</f>
        <v>281</v>
      </c>
      <c r="BZ4">
        <f t="shared" ref="BZ4:BZ15" si="18">S32+AL32</f>
        <v>0</v>
      </c>
      <c r="CA4">
        <f t="shared" ref="CA4:CA15" si="19">T32+AM32</f>
        <v>100</v>
      </c>
      <c r="CB4">
        <f t="shared" ref="CB4:CB15" si="20">U32+AN32</f>
        <v>0</v>
      </c>
      <c r="CC4" s="168"/>
      <c r="CD4" s="82"/>
    </row>
    <row r="5" spans="2:82" x14ac:dyDescent="0.2">
      <c r="B5" s="78">
        <f t="shared" si="0"/>
        <v>2016</v>
      </c>
      <c r="C5" s="78">
        <v>3</v>
      </c>
      <c r="D5" s="82">
        <f>SUMIFS(BD.OS!$F:$F,BD.OS!$B:$B,'PROCV Prod.Total'!B5,BD.OS!$C:$C,'PROCV Prod.Total'!C5,BD.OS!$E:$E,"SIM")</f>
        <v>38</v>
      </c>
      <c r="E5" s="82">
        <f>SUMIFS(BD.OS!$G:$G,BD.OS!$B:$B,'PROCV Prod.Total'!B5,BD.OS!$C:$C,'PROCV Prod.Total'!C5,BD.OS!$E:$E,"SIM")</f>
        <v>170</v>
      </c>
      <c r="F5" s="82">
        <f>SUMIFS(BD.OS!$H:$H,BD.OS!$B:$B,'PROCV Prod.Total'!B5,BD.OS!$C:$C,'PROCV Prod.Total'!C5,BD.OS!$E:$E,"SIM")</f>
        <v>105</v>
      </c>
      <c r="G5" s="82">
        <f>SUMIFS(BD.OS!$I:$I,BD.OS!$B:$B,'PROCV Prod.Total'!B5,BD.OS!$C:$C,'PROCV Prod.Total'!C5,BD.OS!$E:$E,"SIM")</f>
        <v>133</v>
      </c>
      <c r="H5" s="82">
        <f>SUMIFS(BD.OS!$J:$J,BD.OS!$B:$B,'PROCV Prod.Total'!B5,BD.OS!$C:$C,'PROCV Prod.Total'!C5,BD.OS!$E:$E,"SIM")</f>
        <v>21</v>
      </c>
      <c r="I5" s="82">
        <f>SUMIFS(BD.OS!$K:$K,BD.OS!$B:$B,'PROCV Prod.Total'!B5,BD.OS!$C:$C,'PROCV Prod.Total'!C5,BD.OS!$E:$E,"SIM")</f>
        <v>0</v>
      </c>
      <c r="J5" s="82">
        <f>SUMIFS(BD.OS!$L:$L,BD.OS!$B:$B,'PROCV Prod.Total'!B5,BD.OS!$C:$C,'PROCV Prod.Total'!C5,BD.OS!$E:$E,"SIM")</f>
        <v>189</v>
      </c>
      <c r="K5" s="82">
        <f>SUMIFS(BD.OS!$M:$M,BD.OS!$B:$B,'PROCV Prod.Total'!B5,BD.OS!$C:$C,'PROCV Prod.Total'!C5,BD.OS!$E:$E,"SIM")</f>
        <v>74</v>
      </c>
      <c r="L5" s="82">
        <f>SUMIFS(BD.OS!$N:$N,BD.OS!$B:$B,'PROCV Prod.Total'!B5,BD.OS!$C:$C,'PROCV Prod.Total'!C5,BD.OS!$E:$E,"SIM")</f>
        <v>3</v>
      </c>
      <c r="M5" s="82">
        <f>SUMIFS(BD.OS!$O:$O,BD.OS!$B:$B,'PROCV Prod.Total'!B5,BD.OS!$C:$C,'PROCV Prod.Total'!C5,BD.OS!$E:$E,"SIM")</f>
        <v>1</v>
      </c>
      <c r="N5" s="82">
        <f>SUMIFS(BD.OS!$P:$P,BD.OS!$B:$B,'PROCV Prod.Total'!B5,BD.OS!$C:$C,'PROCV Prod.Total'!C5,BD.OS!$E:$E,"SIM")</f>
        <v>78</v>
      </c>
      <c r="O5" s="82">
        <f>SUMIFS(BD.OS!$Q:$Q,BD.OS!$B:$B,'PROCV Prod.Total'!B5,BD.OS!$C:$C,'PROCV Prod.Total'!C5,BD.OS!$E:$E,"SIM")</f>
        <v>0</v>
      </c>
      <c r="P5" s="82">
        <f>SUMIFS(BD.OS!$R:$R,BD.OS!$B:$B,'PROCV Prod.Total'!B5,BD.OS!$C:$C,'PROCV Prod.Total'!C5,BD.OS!$E:$E,"SIM")</f>
        <v>137</v>
      </c>
      <c r="Q5" s="82">
        <f>SUMIFS(BD.OS!$S:$S,BD.OS!$B:$B,'PROCV Prod.Total'!B5,BD.OS!$C:$C,'PROCV Prod.Total'!C5,BD.OS!$E:$E,"SIM")</f>
        <v>0</v>
      </c>
      <c r="R5" s="82">
        <f>SUMIFS(BD.OS!$T:$T,BD.OS!$B:$B,'PROCV Prod.Total'!B5,BD.OS!$C:$C,'PROCV Prod.Total'!C5,BD.OS!$E:$E,"SIM")</f>
        <v>111</v>
      </c>
      <c r="S5" s="82">
        <f>SUMIFS(BD.OS!$U:$U,BD.OS!$B:$B,'PROCV Prod.Total'!B5,BD.OS!$C:$C,'PROCV Prod.Total'!C5,BD.OS!$E:$E,"SIM")</f>
        <v>0</v>
      </c>
      <c r="T5" s="82">
        <f>SUMIFS(BD.OS!$V:$V,BD.OS!$B:$B,'PROCV Prod.Total'!B5,BD.OS!$C:$C,'PROCV Prod.Total'!C5,BD.OS!$E:$E,"SIM")</f>
        <v>72</v>
      </c>
      <c r="U5" s="82">
        <f>SUMIFS(BD.OS!$W:$W,BD.OS!$B:$B,'PROCV Prod.Total'!B5,BD.OS!$C:$C,'PROCV Prod.Total'!C5,BD.OS!$E:$E,"SIM")</f>
        <v>0</v>
      </c>
      <c r="W5" s="82">
        <f>SUMIFS(BD.OS!$F:$F,BD.OS!$B:$B,'PROCV Prod.Total'!B5,BD.OS!$C:$C,'PROCV Prod.Total'!C5,BD.OS!$E:$E,"NÃO")</f>
        <v>70</v>
      </c>
      <c r="X5" s="82">
        <f>SUMIFS(BD.OS!$G:$G,BD.OS!$B:$B,'PROCV Prod.Total'!B5,BD.OS!$C:$C,'PROCV Prod.Total'!C5,BD.OS!$E:$E,"NÃO")</f>
        <v>87</v>
      </c>
      <c r="Y5" s="82">
        <f>SUMIFS(BD.OS!$H:$H,BD.OS!$B:$B,'PROCV Prod.Total'!B5,BD.OS!$C:$C,'PROCV Prod.Total'!C5,BD.OS!$E:$E,"NÃO")</f>
        <v>8</v>
      </c>
      <c r="Z5" s="82">
        <f>SUMIFS(BD.OS!$I:$I,BD.OS!$B:$B,'PROCV Prod.Total'!B5,BD.OS!$C:$C,'PROCV Prod.Total'!C5,BD.OS!$E:$E,"NÃO")</f>
        <v>53</v>
      </c>
      <c r="AA5" s="82">
        <f>SUMIFS(BD.OS!$J:$J,BD.OS!$B:$B,'PROCV Prod.Total'!B5,BD.OS!$C:$C,'PROCV Prod.Total'!C5,BD.OS!$E:$E,"NÃO")</f>
        <v>9</v>
      </c>
      <c r="AB5" s="82">
        <f>SUMIFS(BD.OS!$K:$K,BD.OS!$B:$B,'PROCV Prod.Total'!B5,BD.OS!$C:$C,'PROCV Prod.Total'!C5,BD.OS!$E:$E,"NÃO")</f>
        <v>0</v>
      </c>
      <c r="AC5" s="82">
        <f>SUMIFS(BD.OS!$L:$L,BD.OS!$B:$B,'PROCV Prod.Total'!B5,BD.OS!$C:$C,'PROCV Prod.Total'!C5,BD.OS!$E:$E,"NÃO")</f>
        <v>73</v>
      </c>
      <c r="AD5" s="82">
        <f>SUMIFS(BD.OS!$M:$M,BD.OS!$B:$B,'PROCV Prod.Total'!B5,BD.OS!$C:$C,'PROCV Prod.Total'!C5,BD.OS!$E:$E,"NÃO")</f>
        <v>4</v>
      </c>
      <c r="AE5" s="82">
        <f>SUMIFS(BD.OS!$N:$N,BD.OS!$B:$B,'PROCV Prod.Total'!B5,BD.OS!$C:$C,'PROCV Prod.Total'!C5,BD.OS!$E:$E,"NÃO")</f>
        <v>0</v>
      </c>
      <c r="AF5" s="82">
        <f>SUMIFS(BD.OS!$O:$O,BD.OS!$B:$B,'PROCV Prod.Total'!B5,BD.OS!$C:$C,'PROCV Prod.Total'!C5,BD.OS!$E:$E,"NÃO")</f>
        <v>49</v>
      </c>
      <c r="AG5" s="82">
        <f>SUMIFS(BD.OS!$P:$P,BD.OS!$B:$B,'PROCV Prod.Total'!B5,BD.OS!$C:$C,'PROCV Prod.Total'!C5,BD.OS!$E:$E,"NÃO")</f>
        <v>34</v>
      </c>
      <c r="AH5" s="82">
        <f>SUMIFS(BD.OS!$Q:$Q,BD.OS!$B:$B,'PROCV Prod.Total'!B5,BD.OS!$C:$C,'PROCV Prod.Total'!C5,BD.OS!$E:$E,"NÃO")</f>
        <v>0</v>
      </c>
      <c r="AI5" s="82">
        <f>SUMIFS(BD.OS!$R:$R,BD.OS!$B:$B,'PROCV Prod.Total'!B5,BD.OS!$C:$C,'PROCV Prod.Total'!C5,BD.OS!$E:$E,"NÃO")</f>
        <v>64</v>
      </c>
      <c r="AJ5" s="82">
        <f>SUMIFS(BD.OS!$S:$S,BD.OS!$B:$B,'PROCV Prod.Total'!B5,BD.OS!$C:$C,'PROCV Prod.Total'!C5,BD.OS!$E:$E,"NÃO")</f>
        <v>0</v>
      </c>
      <c r="AK5" s="82">
        <f>SUMIFS(BD.OS!$T:$T,BD.OS!$B:$B,'PROCV Prod.Total'!B5,BD.OS!$C:$C,'PROCV Prod.Total'!C5,BD.OS!$E:$E,"NÃO")</f>
        <v>79</v>
      </c>
      <c r="AL5" s="82">
        <f>SUMIFS(BD.OS!$U:$U,BD.OS!$B:$B,'PROCV Prod.Total'!B5,BD.OS!$C:$C,'PROCV Prod.Total'!C5,BD.OS!$E:$E,"NÃO")</f>
        <v>0</v>
      </c>
      <c r="AM5" s="82">
        <f>SUMIFS(BD.OS!$V:$V,BD.OS!$B:$B,'PROCV Prod.Total'!B5,BD.OS!$C:$C,'PROCV Prod.Total'!C5,BD.OS!$E:$E,"NÃO")</f>
        <v>17</v>
      </c>
      <c r="AN5" s="82">
        <f>SUMIFS(BD.OS!$W:$W,BD.OS!$B:$B,'PROCV Prod.Total'!B5,BD.OS!$C:$C,'PROCV Prod.Total'!C5,BD.OS!$E:$E,"NÃO")</f>
        <v>0</v>
      </c>
      <c r="AO5" s="16"/>
      <c r="AP5" s="78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69">
        <f t="shared" si="1"/>
        <v>42430</v>
      </c>
      <c r="BK5">
        <f t="shared" si="3"/>
        <v>108</v>
      </c>
      <c r="BL5">
        <f t="shared" si="4"/>
        <v>257</v>
      </c>
      <c r="BM5">
        <f t="shared" si="5"/>
        <v>113</v>
      </c>
      <c r="BN5">
        <f t="shared" si="6"/>
        <v>186</v>
      </c>
      <c r="BO5">
        <f t="shared" si="7"/>
        <v>30</v>
      </c>
      <c r="BP5">
        <f t="shared" si="8"/>
        <v>0</v>
      </c>
      <c r="BQ5">
        <f t="shared" si="9"/>
        <v>262</v>
      </c>
      <c r="BR5">
        <f t="shared" si="10"/>
        <v>78</v>
      </c>
      <c r="BS5">
        <f t="shared" si="11"/>
        <v>3</v>
      </c>
      <c r="BT5">
        <f t="shared" si="12"/>
        <v>50</v>
      </c>
      <c r="BU5">
        <f t="shared" si="13"/>
        <v>112</v>
      </c>
      <c r="BV5">
        <f t="shared" si="14"/>
        <v>0</v>
      </c>
      <c r="BW5">
        <f t="shared" si="15"/>
        <v>201</v>
      </c>
      <c r="BX5">
        <f t="shared" si="16"/>
        <v>0</v>
      </c>
      <c r="BY5">
        <f t="shared" si="17"/>
        <v>190</v>
      </c>
      <c r="BZ5">
        <f t="shared" si="18"/>
        <v>0</v>
      </c>
      <c r="CA5">
        <f t="shared" si="19"/>
        <v>89</v>
      </c>
      <c r="CB5">
        <f t="shared" si="20"/>
        <v>0</v>
      </c>
      <c r="CC5" s="168"/>
      <c r="CD5" s="82"/>
    </row>
    <row r="6" spans="2:82" x14ac:dyDescent="0.2">
      <c r="B6" s="78">
        <f t="shared" si="0"/>
        <v>2016</v>
      </c>
      <c r="C6" s="78">
        <v>4</v>
      </c>
      <c r="D6" s="82">
        <f>SUMIFS(BD.OS!$F:$F,BD.OS!$B:$B,'PROCV Prod.Total'!B6,BD.OS!$C:$C,'PROCV Prod.Total'!C6,BD.OS!$E:$E,"SIM")</f>
        <v>24</v>
      </c>
      <c r="E6" s="82">
        <f>SUMIFS(BD.OS!$G:$G,BD.OS!$B:$B,'PROCV Prod.Total'!B6,BD.OS!$C:$C,'PROCV Prod.Total'!C6,BD.OS!$E:$E,"SIM")</f>
        <v>154</v>
      </c>
      <c r="F6" s="82">
        <f>SUMIFS(BD.OS!$H:$H,BD.OS!$B:$B,'PROCV Prod.Total'!B6,BD.OS!$C:$C,'PROCV Prod.Total'!C6,BD.OS!$E:$E,"SIM")</f>
        <v>89</v>
      </c>
      <c r="G6" s="82">
        <f>SUMIFS(BD.OS!$I:$I,BD.OS!$B:$B,'PROCV Prod.Total'!B6,BD.OS!$C:$C,'PROCV Prod.Total'!C6,BD.OS!$E:$E,"SIM")</f>
        <v>95</v>
      </c>
      <c r="H6" s="82">
        <f>SUMIFS(BD.OS!$J:$J,BD.OS!$B:$B,'PROCV Prod.Total'!B6,BD.OS!$C:$C,'PROCV Prod.Total'!C6,BD.OS!$E:$E,"SIM")</f>
        <v>0</v>
      </c>
      <c r="I6" s="82">
        <f>SUMIFS(BD.OS!$K:$K,BD.OS!$B:$B,'PROCV Prod.Total'!B6,BD.OS!$C:$C,'PROCV Prod.Total'!C6,BD.OS!$E:$E,"SIM")</f>
        <v>1</v>
      </c>
      <c r="J6" s="82">
        <f>SUMIFS(BD.OS!$L:$L,BD.OS!$B:$B,'PROCV Prod.Total'!B6,BD.OS!$C:$C,'PROCV Prod.Total'!C6,BD.OS!$E:$E,"SIM")</f>
        <v>187</v>
      </c>
      <c r="K6" s="82">
        <f>SUMIFS(BD.OS!$M:$M,BD.OS!$B:$B,'PROCV Prod.Total'!B6,BD.OS!$C:$C,'PROCV Prod.Total'!C6,BD.OS!$E:$E,"SIM")</f>
        <v>41</v>
      </c>
      <c r="L6" s="82">
        <f>SUMIFS(BD.OS!$N:$N,BD.OS!$B:$B,'PROCV Prod.Total'!B6,BD.OS!$C:$C,'PROCV Prod.Total'!C6,BD.OS!$E:$E,"SIM")</f>
        <v>25</v>
      </c>
      <c r="M6" s="82">
        <f>SUMIFS(BD.OS!$O:$O,BD.OS!$B:$B,'PROCV Prod.Total'!B6,BD.OS!$C:$C,'PROCV Prod.Total'!C6,BD.OS!$E:$E,"SIM")</f>
        <v>1</v>
      </c>
      <c r="N6" s="82">
        <f>SUMIFS(BD.OS!$P:$P,BD.OS!$B:$B,'PROCV Prod.Total'!B6,BD.OS!$C:$C,'PROCV Prod.Total'!C6,BD.OS!$E:$E,"SIM")</f>
        <v>90</v>
      </c>
      <c r="O6" s="82">
        <f>SUMIFS(BD.OS!$Q:$Q,BD.OS!$B:$B,'PROCV Prod.Total'!B6,BD.OS!$C:$C,'PROCV Prod.Total'!C6,BD.OS!$E:$E,"SIM")</f>
        <v>32</v>
      </c>
      <c r="P6" s="82">
        <f>SUMIFS(BD.OS!$R:$R,BD.OS!$B:$B,'PROCV Prod.Total'!B6,BD.OS!$C:$C,'PROCV Prod.Total'!C6,BD.OS!$E:$E,"SIM")</f>
        <v>83</v>
      </c>
      <c r="Q6" s="82">
        <f>SUMIFS(BD.OS!$S:$S,BD.OS!$B:$B,'PROCV Prod.Total'!B6,BD.OS!$C:$C,'PROCV Prod.Total'!C6,BD.OS!$E:$E,"SIM")</f>
        <v>0</v>
      </c>
      <c r="R6" s="82">
        <f>SUMIFS(BD.OS!$T:$T,BD.OS!$B:$B,'PROCV Prod.Total'!B6,BD.OS!$C:$C,'PROCV Prod.Total'!C6,BD.OS!$E:$E,"SIM")</f>
        <v>160</v>
      </c>
      <c r="S6" s="82">
        <f>SUMIFS(BD.OS!$U:$U,BD.OS!$B:$B,'PROCV Prod.Total'!B6,BD.OS!$C:$C,'PROCV Prod.Total'!C6,BD.OS!$E:$E,"SIM")</f>
        <v>0</v>
      </c>
      <c r="T6" s="82">
        <f>SUMIFS(BD.OS!$V:$V,BD.OS!$B:$B,'PROCV Prod.Total'!B6,BD.OS!$C:$C,'PROCV Prod.Total'!C6,BD.OS!$E:$E,"SIM")</f>
        <v>70</v>
      </c>
      <c r="U6" s="82">
        <f>SUMIFS(BD.OS!$W:$W,BD.OS!$B:$B,'PROCV Prod.Total'!B6,BD.OS!$C:$C,'PROCV Prod.Total'!C6,BD.OS!$E:$E,"SIM")</f>
        <v>0</v>
      </c>
      <c r="W6" s="82">
        <f>SUMIFS(BD.OS!$F:$F,BD.OS!$B:$B,'PROCV Prod.Total'!B6,BD.OS!$C:$C,'PROCV Prod.Total'!C6,BD.OS!$E:$E,"NÃO")</f>
        <v>44</v>
      </c>
      <c r="X6" s="82">
        <f>SUMIFS(BD.OS!$G:$G,BD.OS!$B:$B,'PROCV Prod.Total'!B6,BD.OS!$C:$C,'PROCV Prod.Total'!C6,BD.OS!$E:$E,"NÃO")</f>
        <v>100</v>
      </c>
      <c r="Y6" s="82">
        <f>SUMIFS(BD.OS!$H:$H,BD.OS!$B:$B,'PROCV Prod.Total'!B6,BD.OS!$C:$C,'PROCV Prod.Total'!C6,BD.OS!$E:$E,"NÃO")</f>
        <v>9</v>
      </c>
      <c r="Z6" s="82">
        <f>SUMIFS(BD.OS!$I:$I,BD.OS!$B:$B,'PROCV Prod.Total'!B6,BD.OS!$C:$C,'PROCV Prod.Total'!C6,BD.OS!$E:$E,"NÃO")</f>
        <v>48</v>
      </c>
      <c r="AA6" s="82">
        <f>SUMIFS(BD.OS!$J:$J,BD.OS!$B:$B,'PROCV Prod.Total'!B6,BD.OS!$C:$C,'PROCV Prod.Total'!C6,BD.OS!$E:$E,"NÃO")</f>
        <v>0</v>
      </c>
      <c r="AB6" s="82">
        <f>SUMIFS(BD.OS!$K:$K,BD.OS!$B:$B,'PROCV Prod.Total'!B6,BD.OS!$C:$C,'PROCV Prod.Total'!C6,BD.OS!$E:$E,"NÃO")</f>
        <v>0</v>
      </c>
      <c r="AC6" s="82">
        <f>SUMIFS(BD.OS!$L:$L,BD.OS!$B:$B,'PROCV Prod.Total'!B6,BD.OS!$C:$C,'PROCV Prod.Total'!C6,BD.OS!$E:$E,"NÃO")</f>
        <v>81</v>
      </c>
      <c r="AD6" s="82">
        <f>SUMIFS(BD.OS!$M:$M,BD.OS!$B:$B,'PROCV Prod.Total'!B6,BD.OS!$C:$C,'PROCV Prod.Total'!C6,BD.OS!$E:$E,"NÃO")</f>
        <v>0</v>
      </c>
      <c r="AE6" s="82">
        <f>SUMIFS(BD.OS!$N:$N,BD.OS!$B:$B,'PROCV Prod.Total'!B6,BD.OS!$C:$C,'PROCV Prod.Total'!C6,BD.OS!$E:$E,"NÃO")</f>
        <v>122</v>
      </c>
      <c r="AF6" s="82">
        <f>SUMIFS(BD.OS!$O:$O,BD.OS!$B:$B,'PROCV Prod.Total'!B6,BD.OS!$C:$C,'PROCV Prod.Total'!C6,BD.OS!$E:$E,"NÃO")</f>
        <v>45</v>
      </c>
      <c r="AG6" s="82">
        <f>SUMIFS(BD.OS!$P:$P,BD.OS!$B:$B,'PROCV Prod.Total'!B6,BD.OS!$C:$C,'PROCV Prod.Total'!C6,BD.OS!$E:$E,"NÃO")</f>
        <v>67</v>
      </c>
      <c r="AH6" s="82">
        <f>SUMIFS(BD.OS!$Q:$Q,BD.OS!$B:$B,'PROCV Prod.Total'!B6,BD.OS!$C:$C,'PROCV Prod.Total'!C6,BD.OS!$E:$E,"NÃO")</f>
        <v>21</v>
      </c>
      <c r="AI6" s="82">
        <f>SUMIFS(BD.OS!$R:$R,BD.OS!$B:$B,'PROCV Prod.Total'!B6,BD.OS!$C:$C,'PROCV Prod.Total'!C6,BD.OS!$E:$E,"NÃO")</f>
        <v>73</v>
      </c>
      <c r="AJ6" s="82">
        <f>SUMIFS(BD.OS!$S:$S,BD.OS!$B:$B,'PROCV Prod.Total'!B6,BD.OS!$C:$C,'PROCV Prod.Total'!C6,BD.OS!$E:$E,"NÃO")</f>
        <v>0</v>
      </c>
      <c r="AK6" s="82">
        <f>SUMIFS(BD.OS!$T:$T,BD.OS!$B:$B,'PROCV Prod.Total'!B6,BD.OS!$C:$C,'PROCV Prod.Total'!C6,BD.OS!$E:$E,"NÃO")</f>
        <v>121</v>
      </c>
      <c r="AL6" s="82">
        <f>SUMIFS(BD.OS!$U:$U,BD.OS!$B:$B,'PROCV Prod.Total'!B6,BD.OS!$C:$C,'PROCV Prod.Total'!C6,BD.OS!$E:$E,"NÃO")</f>
        <v>0</v>
      </c>
      <c r="AM6" s="82">
        <f>SUMIFS(BD.OS!$V:$V,BD.OS!$B:$B,'PROCV Prod.Total'!B6,BD.OS!$C:$C,'PROCV Prod.Total'!C6,BD.OS!$E:$E,"NÃO")</f>
        <v>30</v>
      </c>
      <c r="AN6" s="82">
        <f>SUMIFS(BD.OS!$W:$W,BD.OS!$B:$B,'PROCV Prod.Total'!B6,BD.OS!$C:$C,'PROCV Prod.Total'!C6,BD.OS!$E:$E,"NÃO")</f>
        <v>0</v>
      </c>
      <c r="AO6" s="16"/>
      <c r="AP6" s="78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69">
        <f t="shared" si="1"/>
        <v>42401</v>
      </c>
      <c r="BK6">
        <f t="shared" si="3"/>
        <v>131</v>
      </c>
      <c r="BL6">
        <f t="shared" si="4"/>
        <v>250</v>
      </c>
      <c r="BM6">
        <f t="shared" si="5"/>
        <v>126</v>
      </c>
      <c r="BN6">
        <f t="shared" si="6"/>
        <v>173</v>
      </c>
      <c r="BO6">
        <f t="shared" si="7"/>
        <v>4</v>
      </c>
      <c r="BP6">
        <f t="shared" si="8"/>
        <v>0</v>
      </c>
      <c r="BQ6">
        <f t="shared" si="9"/>
        <v>179</v>
      </c>
      <c r="BR6">
        <f t="shared" si="10"/>
        <v>65</v>
      </c>
      <c r="BS6">
        <f t="shared" si="11"/>
        <v>0</v>
      </c>
      <c r="BT6">
        <f t="shared" si="12"/>
        <v>33</v>
      </c>
      <c r="BU6">
        <f t="shared" si="13"/>
        <v>96</v>
      </c>
      <c r="BV6">
        <f t="shared" si="14"/>
        <v>1</v>
      </c>
      <c r="BW6">
        <f t="shared" si="15"/>
        <v>255</v>
      </c>
      <c r="BX6">
        <f t="shared" si="16"/>
        <v>0</v>
      </c>
      <c r="BY6">
        <f t="shared" si="17"/>
        <v>211</v>
      </c>
      <c r="BZ6">
        <f t="shared" si="18"/>
        <v>33</v>
      </c>
      <c r="CA6">
        <f t="shared" si="19"/>
        <v>178</v>
      </c>
      <c r="CB6">
        <f t="shared" si="20"/>
        <v>1</v>
      </c>
      <c r="CC6" s="168"/>
      <c r="CD6" s="82"/>
    </row>
    <row r="7" spans="2:82" x14ac:dyDescent="0.2">
      <c r="B7" s="78">
        <f t="shared" si="0"/>
        <v>2016</v>
      </c>
      <c r="C7" s="78">
        <v>5</v>
      </c>
      <c r="D7" s="82">
        <f>SUMIFS(BD.OS!$F:$F,BD.OS!$B:$B,'PROCV Prod.Total'!B7,BD.OS!$C:$C,'PROCV Prod.Total'!C7,BD.OS!$E:$E,"SIM")</f>
        <v>17</v>
      </c>
      <c r="E7" s="82">
        <f>SUMIFS(BD.OS!$G:$G,BD.OS!$B:$B,'PROCV Prod.Total'!B7,BD.OS!$C:$C,'PROCV Prod.Total'!C7,BD.OS!$E:$E,"SIM")</f>
        <v>18</v>
      </c>
      <c r="F7" s="82">
        <f>SUMIFS(BD.OS!$H:$H,BD.OS!$B:$B,'PROCV Prod.Total'!B7,BD.OS!$C:$C,'PROCV Prod.Total'!C7,BD.OS!$E:$E,"SIM")</f>
        <v>24</v>
      </c>
      <c r="G7" s="82">
        <f>SUMIFS(BD.OS!$I:$I,BD.OS!$B:$B,'PROCV Prod.Total'!B7,BD.OS!$C:$C,'PROCV Prod.Total'!C7,BD.OS!$E:$E,"SIM")</f>
        <v>0</v>
      </c>
      <c r="H7" s="82">
        <f>SUMIFS(BD.OS!$J:$J,BD.OS!$B:$B,'PROCV Prod.Total'!B7,BD.OS!$C:$C,'PROCV Prod.Total'!C7,BD.OS!$E:$E,"SIM")</f>
        <v>0</v>
      </c>
      <c r="I7" s="82">
        <f>SUMIFS(BD.OS!$K:$K,BD.OS!$B:$B,'PROCV Prod.Total'!B7,BD.OS!$C:$C,'PROCV Prod.Total'!C7,BD.OS!$E:$E,"SIM")</f>
        <v>0</v>
      </c>
      <c r="J7" s="82">
        <f>SUMIFS(BD.OS!$L:$L,BD.OS!$B:$B,'PROCV Prod.Total'!B7,BD.OS!$C:$C,'PROCV Prod.Total'!C7,BD.OS!$E:$E,"SIM")</f>
        <v>75</v>
      </c>
      <c r="K7" s="82">
        <f>SUMIFS(BD.OS!$M:$M,BD.OS!$B:$B,'PROCV Prod.Total'!B7,BD.OS!$C:$C,'PROCV Prod.Total'!C7,BD.OS!$E:$E,"SIM")</f>
        <v>8</v>
      </c>
      <c r="L7" s="82">
        <f>SUMIFS(BD.OS!$N:$N,BD.OS!$B:$B,'PROCV Prod.Total'!B7,BD.OS!$C:$C,'PROCV Prod.Total'!C7,BD.OS!$E:$E,"SIM")</f>
        <v>4</v>
      </c>
      <c r="M7" s="82">
        <f>SUMIFS(BD.OS!$O:$O,BD.OS!$B:$B,'PROCV Prod.Total'!B7,BD.OS!$C:$C,'PROCV Prod.Total'!C7,BD.OS!$E:$E,"SIM")</f>
        <v>0</v>
      </c>
      <c r="N7" s="82">
        <f>SUMIFS(BD.OS!$P:$P,BD.OS!$B:$B,'PROCV Prod.Total'!B7,BD.OS!$C:$C,'PROCV Prod.Total'!C7,BD.OS!$E:$E,"SIM")</f>
        <v>33</v>
      </c>
      <c r="O7" s="82">
        <f>SUMIFS(BD.OS!$Q:$Q,BD.OS!$B:$B,'PROCV Prod.Total'!B7,BD.OS!$C:$C,'PROCV Prod.Total'!C7,BD.OS!$E:$E,"SIM")</f>
        <v>10</v>
      </c>
      <c r="P7" s="82">
        <f>SUMIFS(BD.OS!$R:$R,BD.OS!$B:$B,'PROCV Prod.Total'!B7,BD.OS!$C:$C,'PROCV Prod.Total'!C7,BD.OS!$E:$E,"SIM")</f>
        <v>29</v>
      </c>
      <c r="Q7" s="82">
        <f>SUMIFS(BD.OS!$S:$S,BD.OS!$B:$B,'PROCV Prod.Total'!B7,BD.OS!$C:$C,'PROCV Prod.Total'!C7,BD.OS!$E:$E,"SIM")</f>
        <v>0</v>
      </c>
      <c r="R7" s="82">
        <f>SUMIFS(BD.OS!$T:$T,BD.OS!$B:$B,'PROCV Prod.Total'!B7,BD.OS!$C:$C,'PROCV Prod.Total'!C7,BD.OS!$E:$E,"SIM")</f>
        <v>26</v>
      </c>
      <c r="S7" s="82">
        <f>SUMIFS(BD.OS!$U:$U,BD.OS!$B:$B,'PROCV Prod.Total'!B7,BD.OS!$C:$C,'PROCV Prod.Total'!C7,BD.OS!$E:$E,"SIM")</f>
        <v>1</v>
      </c>
      <c r="T7" s="82">
        <f>SUMIFS(BD.OS!$V:$V,BD.OS!$B:$B,'PROCV Prod.Total'!B7,BD.OS!$C:$C,'PROCV Prod.Total'!C7,BD.OS!$E:$E,"SIM")</f>
        <v>55</v>
      </c>
      <c r="U7" s="82">
        <f>SUMIFS(BD.OS!$W:$W,BD.OS!$B:$B,'PROCV Prod.Total'!B7,BD.OS!$C:$C,'PROCV Prod.Total'!C7,BD.OS!$E:$E,"SIM")</f>
        <v>0</v>
      </c>
      <c r="W7" s="82">
        <f>SUMIFS(BD.OS!$F:$F,BD.OS!$B:$B,'PROCV Prod.Total'!B7,BD.OS!$C:$C,'PROCV Prod.Total'!C7,BD.OS!$E:$E,"NÃO")</f>
        <v>181</v>
      </c>
      <c r="X7" s="82">
        <f>SUMIFS(BD.OS!$G:$G,BD.OS!$B:$B,'PROCV Prod.Total'!B7,BD.OS!$C:$C,'PROCV Prod.Total'!C7,BD.OS!$E:$E,"NÃO")</f>
        <v>16</v>
      </c>
      <c r="Y7" s="82">
        <f>SUMIFS(BD.OS!$H:$H,BD.OS!$B:$B,'PROCV Prod.Total'!B7,BD.OS!$C:$C,'PROCV Prod.Total'!C7,BD.OS!$E:$E,"NÃO")</f>
        <v>2</v>
      </c>
      <c r="Z7" s="82">
        <f>SUMIFS(BD.OS!$I:$I,BD.OS!$B:$B,'PROCV Prod.Total'!B7,BD.OS!$C:$C,'PROCV Prod.Total'!C7,BD.OS!$E:$E,"NÃO")</f>
        <v>0</v>
      </c>
      <c r="AA7" s="82">
        <f>SUMIFS(BD.OS!$J:$J,BD.OS!$B:$B,'PROCV Prod.Total'!B7,BD.OS!$C:$C,'PROCV Prod.Total'!C7,BD.OS!$E:$E,"NÃO")</f>
        <v>0</v>
      </c>
      <c r="AB7" s="82">
        <f>SUMIFS(BD.OS!$K:$K,BD.OS!$B:$B,'PROCV Prod.Total'!B7,BD.OS!$C:$C,'PROCV Prod.Total'!C7,BD.OS!$E:$E,"NÃO")</f>
        <v>0</v>
      </c>
      <c r="AC7" s="82">
        <f>SUMIFS(BD.OS!$L:$L,BD.OS!$B:$B,'PROCV Prod.Total'!B7,BD.OS!$C:$C,'PROCV Prod.Total'!C7,BD.OS!$E:$E,"NÃO")</f>
        <v>27</v>
      </c>
      <c r="AD7" s="82">
        <f>SUMIFS(BD.OS!$M:$M,BD.OS!$B:$B,'PROCV Prod.Total'!B7,BD.OS!$C:$C,'PROCV Prod.Total'!C7,BD.OS!$E:$E,"NÃO")</f>
        <v>0</v>
      </c>
      <c r="AE7" s="82">
        <f>SUMIFS(BD.OS!$N:$N,BD.OS!$B:$B,'PROCV Prod.Total'!B7,BD.OS!$C:$C,'PROCV Prod.Total'!C7,BD.OS!$E:$E,"NÃO")</f>
        <v>18</v>
      </c>
      <c r="AF7" s="82">
        <f>SUMIFS(BD.OS!$O:$O,BD.OS!$B:$B,'PROCV Prod.Total'!B7,BD.OS!$C:$C,'PROCV Prod.Total'!C7,BD.OS!$E:$E,"NÃO")</f>
        <v>2</v>
      </c>
      <c r="AG7" s="82">
        <f>SUMIFS(BD.OS!$P:$P,BD.OS!$B:$B,'PROCV Prod.Total'!B7,BD.OS!$C:$C,'PROCV Prod.Total'!C7,BD.OS!$E:$E,"NÃO")</f>
        <v>14</v>
      </c>
      <c r="AH7" s="82">
        <f>SUMIFS(BD.OS!$Q:$Q,BD.OS!$B:$B,'PROCV Prod.Total'!B7,BD.OS!$C:$C,'PROCV Prod.Total'!C7,BD.OS!$E:$E,"NÃO")</f>
        <v>6</v>
      </c>
      <c r="AI7" s="82">
        <f>SUMIFS(BD.OS!$R:$R,BD.OS!$B:$B,'PROCV Prod.Total'!B7,BD.OS!$C:$C,'PROCV Prod.Total'!C7,BD.OS!$E:$E,"NÃO")</f>
        <v>22</v>
      </c>
      <c r="AJ7" s="82">
        <f>SUMIFS(BD.OS!$S:$S,BD.OS!$B:$B,'PROCV Prod.Total'!B7,BD.OS!$C:$C,'PROCV Prod.Total'!C7,BD.OS!$E:$E,"NÃO")</f>
        <v>0</v>
      </c>
      <c r="AK7" s="82">
        <f>SUMIFS(BD.OS!$T:$T,BD.OS!$B:$B,'PROCV Prod.Total'!B7,BD.OS!$C:$C,'PROCV Prod.Total'!C7,BD.OS!$E:$E,"NÃO")</f>
        <v>10</v>
      </c>
      <c r="AL7" s="82">
        <f>SUMIFS(BD.OS!$U:$U,BD.OS!$B:$B,'PROCV Prod.Total'!B7,BD.OS!$C:$C,'PROCV Prod.Total'!C7,BD.OS!$E:$E,"NÃO")</f>
        <v>0</v>
      </c>
      <c r="AM7" s="82">
        <f>SUMIFS(BD.OS!$V:$V,BD.OS!$B:$B,'PROCV Prod.Total'!B7,BD.OS!$C:$C,'PROCV Prod.Total'!C7,BD.OS!$E:$E,"NÃO")</f>
        <v>18</v>
      </c>
      <c r="AN7" s="82">
        <f>SUMIFS(BD.OS!$W:$W,BD.OS!$B:$B,'PROCV Prod.Total'!B7,BD.OS!$C:$C,'PROCV Prod.Total'!C7,BD.OS!$E:$E,"NÃO")</f>
        <v>1</v>
      </c>
      <c r="AO7" s="16"/>
      <c r="AP7" s="78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69">
        <f t="shared" si="1"/>
        <v>42370</v>
      </c>
      <c r="BK7">
        <f t="shared" si="3"/>
        <v>329</v>
      </c>
      <c r="BL7">
        <f t="shared" si="4"/>
        <v>3</v>
      </c>
      <c r="BM7">
        <f t="shared" si="5"/>
        <v>141</v>
      </c>
      <c r="BN7">
        <f t="shared" si="6"/>
        <v>157</v>
      </c>
      <c r="BO7">
        <f t="shared" si="7"/>
        <v>43</v>
      </c>
      <c r="BP7">
        <f t="shared" si="8"/>
        <v>0</v>
      </c>
      <c r="BQ7">
        <f t="shared" si="9"/>
        <v>262</v>
      </c>
      <c r="BR7">
        <f t="shared" si="10"/>
        <v>0</v>
      </c>
      <c r="BS7">
        <f t="shared" si="11"/>
        <v>0</v>
      </c>
      <c r="BT7">
        <f t="shared" si="12"/>
        <v>0</v>
      </c>
      <c r="BU7">
        <f t="shared" si="13"/>
        <v>28</v>
      </c>
      <c r="BV7">
        <f t="shared" si="14"/>
        <v>8</v>
      </c>
      <c r="BW7">
        <f t="shared" si="15"/>
        <v>196</v>
      </c>
      <c r="BX7">
        <f t="shared" si="16"/>
        <v>0</v>
      </c>
      <c r="BY7">
        <f t="shared" si="17"/>
        <v>234</v>
      </c>
      <c r="BZ7">
        <f t="shared" si="18"/>
        <v>0</v>
      </c>
      <c r="CA7">
        <f t="shared" si="19"/>
        <v>108</v>
      </c>
      <c r="CB7">
        <f t="shared" si="20"/>
        <v>11</v>
      </c>
      <c r="CC7" s="168"/>
      <c r="CD7" s="82"/>
    </row>
    <row r="8" spans="2:82" x14ac:dyDescent="0.2">
      <c r="B8" s="78">
        <f t="shared" si="0"/>
        <v>2016</v>
      </c>
      <c r="C8" s="78">
        <v>6</v>
      </c>
      <c r="D8" s="82">
        <f>SUMIFS(BD.OS!$F:$F,BD.OS!$B:$B,'PROCV Prod.Total'!B8,BD.OS!$C:$C,'PROCV Prod.Total'!C8,BD.OS!$E:$E,"SIM")</f>
        <v>0</v>
      </c>
      <c r="E8" s="82">
        <f>SUMIFS(BD.OS!$G:$G,BD.OS!$B:$B,'PROCV Prod.Total'!B8,BD.OS!$C:$C,'PROCV Prod.Total'!C8,BD.OS!$E:$E,"SIM")</f>
        <v>0</v>
      </c>
      <c r="F8" s="82">
        <f>SUMIFS(BD.OS!$H:$H,BD.OS!$B:$B,'PROCV Prod.Total'!B8,BD.OS!$C:$C,'PROCV Prod.Total'!C8,BD.OS!$E:$E,"SIM")</f>
        <v>0</v>
      </c>
      <c r="G8" s="82">
        <f>SUMIFS(BD.OS!$I:$I,BD.OS!$B:$B,'PROCV Prod.Total'!B8,BD.OS!$C:$C,'PROCV Prod.Total'!C8,BD.OS!$E:$E,"SIM")</f>
        <v>0</v>
      </c>
      <c r="H8" s="82">
        <f>SUMIFS(BD.OS!$J:$J,BD.OS!$B:$B,'PROCV Prod.Total'!B8,BD.OS!$C:$C,'PROCV Prod.Total'!C8,BD.OS!$E:$E,"SIM")</f>
        <v>0</v>
      </c>
      <c r="I8" s="82">
        <f>SUMIFS(BD.OS!$K:$K,BD.OS!$B:$B,'PROCV Prod.Total'!B8,BD.OS!$C:$C,'PROCV Prod.Total'!C8,BD.OS!$E:$E,"SIM")</f>
        <v>0</v>
      </c>
      <c r="J8" s="82">
        <f>SUMIFS(BD.OS!$L:$L,BD.OS!$B:$B,'PROCV Prod.Total'!B8,BD.OS!$C:$C,'PROCV Prod.Total'!C8,BD.OS!$E:$E,"SIM")</f>
        <v>0</v>
      </c>
      <c r="K8" s="82">
        <f>SUMIFS(BD.OS!$M:$M,BD.OS!$B:$B,'PROCV Prod.Total'!B8,BD.OS!$C:$C,'PROCV Prod.Total'!C8,BD.OS!$E:$E,"SIM")</f>
        <v>0</v>
      </c>
      <c r="L8" s="82">
        <f>SUMIFS(BD.OS!$N:$N,BD.OS!$B:$B,'PROCV Prod.Total'!B8,BD.OS!$C:$C,'PROCV Prod.Total'!C8,BD.OS!$E:$E,"SIM")</f>
        <v>0</v>
      </c>
      <c r="M8" s="82">
        <f>SUMIFS(BD.OS!$O:$O,BD.OS!$B:$B,'PROCV Prod.Total'!B8,BD.OS!$C:$C,'PROCV Prod.Total'!C8,BD.OS!$E:$E,"SIM")</f>
        <v>0</v>
      </c>
      <c r="N8" s="82">
        <f>SUMIFS(BD.OS!$P:$P,BD.OS!$B:$B,'PROCV Prod.Total'!B8,BD.OS!$C:$C,'PROCV Prod.Total'!C8,BD.OS!$E:$E,"SIM")</f>
        <v>0</v>
      </c>
      <c r="O8" s="82">
        <f>SUMIFS(BD.OS!$Q:$Q,BD.OS!$B:$B,'PROCV Prod.Total'!B8,BD.OS!$C:$C,'PROCV Prod.Total'!C8,BD.OS!$E:$E,"SIM")</f>
        <v>0</v>
      </c>
      <c r="P8" s="82">
        <f>SUMIFS(BD.OS!$R:$R,BD.OS!$B:$B,'PROCV Prod.Total'!B8,BD.OS!$C:$C,'PROCV Prod.Total'!C8,BD.OS!$E:$E,"SIM")</f>
        <v>0</v>
      </c>
      <c r="Q8" s="82">
        <f>SUMIFS(BD.OS!$S:$S,BD.OS!$B:$B,'PROCV Prod.Total'!B8,BD.OS!$C:$C,'PROCV Prod.Total'!C8,BD.OS!$E:$E,"SIM")</f>
        <v>0</v>
      </c>
      <c r="R8" s="82">
        <f>SUMIFS(BD.OS!$T:$T,BD.OS!$B:$B,'PROCV Prod.Total'!B8,BD.OS!$C:$C,'PROCV Prod.Total'!C8,BD.OS!$E:$E,"SIM")</f>
        <v>0</v>
      </c>
      <c r="S8" s="82">
        <f>SUMIFS(BD.OS!$U:$U,BD.OS!$B:$B,'PROCV Prod.Total'!B8,BD.OS!$C:$C,'PROCV Prod.Total'!C8,BD.OS!$E:$E,"SIM")</f>
        <v>0</v>
      </c>
      <c r="T8" s="82">
        <f>SUMIFS(BD.OS!$V:$V,BD.OS!$B:$B,'PROCV Prod.Total'!B8,BD.OS!$C:$C,'PROCV Prod.Total'!C8,BD.OS!$E:$E,"SIM")</f>
        <v>0</v>
      </c>
      <c r="U8" s="82">
        <f>SUMIFS(BD.OS!$W:$W,BD.OS!$B:$B,'PROCV Prod.Total'!B8,BD.OS!$C:$C,'PROCV Prod.Total'!C8,BD.OS!$E:$E,"SIM")</f>
        <v>0</v>
      </c>
      <c r="W8" s="82">
        <f>SUMIFS(BD.OS!$F:$F,BD.OS!$B:$B,'PROCV Prod.Total'!B8,BD.OS!$C:$C,'PROCV Prod.Total'!C8,BD.OS!$E:$E,"NÃO")</f>
        <v>0</v>
      </c>
      <c r="X8" s="82">
        <f>SUMIFS(BD.OS!$G:$G,BD.OS!$B:$B,'PROCV Prod.Total'!B8,BD.OS!$C:$C,'PROCV Prod.Total'!C8,BD.OS!$E:$E,"NÃO")</f>
        <v>0</v>
      </c>
      <c r="Y8" s="82">
        <f>SUMIFS(BD.OS!$H:$H,BD.OS!$B:$B,'PROCV Prod.Total'!B8,BD.OS!$C:$C,'PROCV Prod.Total'!C8,BD.OS!$E:$E,"NÃO")</f>
        <v>0</v>
      </c>
      <c r="Z8" s="82">
        <f>SUMIFS(BD.OS!$I:$I,BD.OS!$B:$B,'PROCV Prod.Total'!B8,BD.OS!$C:$C,'PROCV Prod.Total'!C8,BD.OS!$E:$E,"NÃO")</f>
        <v>0</v>
      </c>
      <c r="AA8" s="82">
        <f>SUMIFS(BD.OS!$J:$J,BD.OS!$B:$B,'PROCV Prod.Total'!B8,BD.OS!$C:$C,'PROCV Prod.Total'!C8,BD.OS!$E:$E,"NÃO")</f>
        <v>0</v>
      </c>
      <c r="AB8" s="82">
        <f>SUMIFS(BD.OS!$K:$K,BD.OS!$B:$B,'PROCV Prod.Total'!B8,BD.OS!$C:$C,'PROCV Prod.Total'!C8,BD.OS!$E:$E,"NÃO")</f>
        <v>0</v>
      </c>
      <c r="AC8" s="82">
        <f>SUMIFS(BD.OS!$L:$L,BD.OS!$B:$B,'PROCV Prod.Total'!B8,BD.OS!$C:$C,'PROCV Prod.Total'!C8,BD.OS!$E:$E,"NÃO")</f>
        <v>0</v>
      </c>
      <c r="AD8" s="82">
        <f>SUMIFS(BD.OS!$M:$M,BD.OS!$B:$B,'PROCV Prod.Total'!B8,BD.OS!$C:$C,'PROCV Prod.Total'!C8,BD.OS!$E:$E,"NÃO")</f>
        <v>0</v>
      </c>
      <c r="AE8" s="82">
        <f>SUMIFS(BD.OS!$N:$N,BD.OS!$B:$B,'PROCV Prod.Total'!B8,BD.OS!$C:$C,'PROCV Prod.Total'!C8,BD.OS!$E:$E,"NÃO")</f>
        <v>0</v>
      </c>
      <c r="AF8" s="82">
        <f>SUMIFS(BD.OS!$O:$O,BD.OS!$B:$B,'PROCV Prod.Total'!B8,BD.OS!$C:$C,'PROCV Prod.Total'!C8,BD.OS!$E:$E,"NÃO")</f>
        <v>0</v>
      </c>
      <c r="AG8" s="82">
        <f>SUMIFS(BD.OS!$P:$P,BD.OS!$B:$B,'PROCV Prod.Total'!B8,BD.OS!$C:$C,'PROCV Prod.Total'!C8,BD.OS!$E:$E,"NÃO")</f>
        <v>0</v>
      </c>
      <c r="AH8" s="82">
        <f>SUMIFS(BD.OS!$Q:$Q,BD.OS!$B:$B,'PROCV Prod.Total'!B8,BD.OS!$C:$C,'PROCV Prod.Total'!C8,BD.OS!$E:$E,"NÃO")</f>
        <v>0</v>
      </c>
      <c r="AI8" s="82">
        <f>SUMIFS(BD.OS!$R:$R,BD.OS!$B:$B,'PROCV Prod.Total'!B8,BD.OS!$C:$C,'PROCV Prod.Total'!C8,BD.OS!$E:$E,"NÃO")</f>
        <v>0</v>
      </c>
      <c r="AJ8" s="82">
        <f>SUMIFS(BD.OS!$S:$S,BD.OS!$B:$B,'PROCV Prod.Total'!B8,BD.OS!$C:$C,'PROCV Prod.Total'!C8,BD.OS!$E:$E,"NÃO")</f>
        <v>0</v>
      </c>
      <c r="AK8" s="82">
        <f>SUMIFS(BD.OS!$T:$T,BD.OS!$B:$B,'PROCV Prod.Total'!B8,BD.OS!$C:$C,'PROCV Prod.Total'!C8,BD.OS!$E:$E,"NÃO")</f>
        <v>0</v>
      </c>
      <c r="AL8" s="82">
        <f>SUMIFS(BD.OS!$U:$U,BD.OS!$B:$B,'PROCV Prod.Total'!B8,BD.OS!$C:$C,'PROCV Prod.Total'!C8,BD.OS!$E:$E,"NÃO")</f>
        <v>0</v>
      </c>
      <c r="AM8" s="82">
        <f>SUMIFS(BD.OS!$V:$V,BD.OS!$B:$B,'PROCV Prod.Total'!B8,BD.OS!$C:$C,'PROCV Prod.Total'!C8,BD.OS!$E:$E,"NÃO")</f>
        <v>0</v>
      </c>
      <c r="AN8" s="82">
        <f>SUMIFS(BD.OS!$W:$W,BD.OS!$B:$B,'PROCV Prod.Total'!B8,BD.OS!$C:$C,'PROCV Prod.Total'!C8,BD.OS!$E:$E,"NÃO")</f>
        <v>0</v>
      </c>
      <c r="AO8" s="16"/>
      <c r="AP8" s="78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69">
        <f t="shared" si="1"/>
        <v>42339</v>
      </c>
      <c r="BK8">
        <f t="shared" si="3"/>
        <v>261</v>
      </c>
      <c r="BL8">
        <f t="shared" si="4"/>
        <v>273</v>
      </c>
      <c r="BM8">
        <f t="shared" si="5"/>
        <v>86</v>
      </c>
      <c r="BN8">
        <f t="shared" si="6"/>
        <v>149</v>
      </c>
      <c r="BO8">
        <f t="shared" si="7"/>
        <v>36</v>
      </c>
      <c r="BP8">
        <f t="shared" si="8"/>
        <v>0</v>
      </c>
      <c r="BQ8">
        <f t="shared" si="9"/>
        <v>283</v>
      </c>
      <c r="BR8">
        <f t="shared" si="10"/>
        <v>0</v>
      </c>
      <c r="BS8">
        <f t="shared" si="11"/>
        <v>0</v>
      </c>
      <c r="BT8">
        <f t="shared" si="12"/>
        <v>7</v>
      </c>
      <c r="BU8">
        <f t="shared" si="13"/>
        <v>24</v>
      </c>
      <c r="BV8">
        <f t="shared" si="14"/>
        <v>0</v>
      </c>
      <c r="BW8">
        <f t="shared" si="15"/>
        <v>165</v>
      </c>
      <c r="BX8">
        <f t="shared" si="16"/>
        <v>0</v>
      </c>
      <c r="BY8">
        <f t="shared" si="17"/>
        <v>132</v>
      </c>
      <c r="BZ8">
        <f t="shared" si="18"/>
        <v>0</v>
      </c>
      <c r="CA8">
        <f t="shared" si="19"/>
        <v>192</v>
      </c>
      <c r="CB8">
        <f t="shared" si="20"/>
        <v>2</v>
      </c>
      <c r="CC8" s="168"/>
      <c r="CD8" s="82"/>
    </row>
    <row r="9" spans="2:82" x14ac:dyDescent="0.2">
      <c r="B9" s="78">
        <f t="shared" si="0"/>
        <v>2016</v>
      </c>
      <c r="C9" s="78">
        <v>7</v>
      </c>
      <c r="D9" s="82">
        <f>SUMIFS(BD.OS!$F:$F,BD.OS!$B:$B,'PROCV Prod.Total'!B9,BD.OS!$C:$C,'PROCV Prod.Total'!C9,BD.OS!$E:$E,"SIM")</f>
        <v>0</v>
      </c>
      <c r="E9" s="82">
        <f>SUMIFS(BD.OS!$G:$G,BD.OS!$B:$B,'PROCV Prod.Total'!B9,BD.OS!$C:$C,'PROCV Prod.Total'!C9,BD.OS!$E:$E,"SIM")</f>
        <v>0</v>
      </c>
      <c r="F9" s="82">
        <f>SUMIFS(BD.OS!$H:$H,BD.OS!$B:$B,'PROCV Prod.Total'!B9,BD.OS!$C:$C,'PROCV Prod.Total'!C9,BD.OS!$E:$E,"SIM")</f>
        <v>0</v>
      </c>
      <c r="G9" s="82">
        <f>SUMIFS(BD.OS!$I:$I,BD.OS!$B:$B,'PROCV Prod.Total'!B9,BD.OS!$C:$C,'PROCV Prod.Total'!C9,BD.OS!$E:$E,"SIM")</f>
        <v>0</v>
      </c>
      <c r="H9" s="82">
        <f>SUMIFS(BD.OS!$J:$J,BD.OS!$B:$B,'PROCV Prod.Total'!B9,BD.OS!$C:$C,'PROCV Prod.Total'!C9,BD.OS!$E:$E,"SIM")</f>
        <v>0</v>
      </c>
      <c r="I9" s="82">
        <f>SUMIFS(BD.OS!$K:$K,BD.OS!$B:$B,'PROCV Prod.Total'!B9,BD.OS!$C:$C,'PROCV Prod.Total'!C9,BD.OS!$E:$E,"SIM")</f>
        <v>0</v>
      </c>
      <c r="J9" s="82">
        <f>SUMIFS(BD.OS!$L:$L,BD.OS!$B:$B,'PROCV Prod.Total'!B9,BD.OS!$C:$C,'PROCV Prod.Total'!C9,BD.OS!$E:$E,"SIM")</f>
        <v>0</v>
      </c>
      <c r="K9" s="82">
        <f>SUMIFS(BD.OS!$M:$M,BD.OS!$B:$B,'PROCV Prod.Total'!B9,BD.OS!$C:$C,'PROCV Prod.Total'!C9,BD.OS!$E:$E,"SIM")</f>
        <v>0</v>
      </c>
      <c r="L9" s="82">
        <f>SUMIFS(BD.OS!$N:$N,BD.OS!$B:$B,'PROCV Prod.Total'!B9,BD.OS!$C:$C,'PROCV Prod.Total'!C9,BD.OS!$E:$E,"SIM")</f>
        <v>0</v>
      </c>
      <c r="M9" s="82">
        <f>SUMIFS(BD.OS!$O:$O,BD.OS!$B:$B,'PROCV Prod.Total'!B9,BD.OS!$C:$C,'PROCV Prod.Total'!C9,BD.OS!$E:$E,"SIM")</f>
        <v>0</v>
      </c>
      <c r="N9" s="82">
        <f>SUMIFS(BD.OS!$P:$P,BD.OS!$B:$B,'PROCV Prod.Total'!B9,BD.OS!$C:$C,'PROCV Prod.Total'!C9,BD.OS!$E:$E,"SIM")</f>
        <v>0</v>
      </c>
      <c r="O9" s="82">
        <f>SUMIFS(BD.OS!$Q:$Q,BD.OS!$B:$B,'PROCV Prod.Total'!B9,BD.OS!$C:$C,'PROCV Prod.Total'!C9,BD.OS!$E:$E,"SIM")</f>
        <v>0</v>
      </c>
      <c r="P9" s="82">
        <f>SUMIFS(BD.OS!$R:$R,BD.OS!$B:$B,'PROCV Prod.Total'!B9,BD.OS!$C:$C,'PROCV Prod.Total'!C9,BD.OS!$E:$E,"SIM")</f>
        <v>0</v>
      </c>
      <c r="Q9" s="82">
        <f>SUMIFS(BD.OS!$S:$S,BD.OS!$B:$B,'PROCV Prod.Total'!B9,BD.OS!$C:$C,'PROCV Prod.Total'!C9,BD.OS!$E:$E,"SIM")</f>
        <v>0</v>
      </c>
      <c r="R9" s="82">
        <f>SUMIFS(BD.OS!$T:$T,BD.OS!$B:$B,'PROCV Prod.Total'!B9,BD.OS!$C:$C,'PROCV Prod.Total'!C9,BD.OS!$E:$E,"SIM")</f>
        <v>0</v>
      </c>
      <c r="S9" s="82">
        <f>SUMIFS(BD.OS!$U:$U,BD.OS!$B:$B,'PROCV Prod.Total'!B9,BD.OS!$C:$C,'PROCV Prod.Total'!C9,BD.OS!$E:$E,"SIM")</f>
        <v>0</v>
      </c>
      <c r="T9" s="82">
        <f>SUMIFS(BD.OS!$V:$V,BD.OS!$B:$B,'PROCV Prod.Total'!B9,BD.OS!$C:$C,'PROCV Prod.Total'!C9,BD.OS!$E:$E,"SIM")</f>
        <v>0</v>
      </c>
      <c r="U9" s="82">
        <f>SUMIFS(BD.OS!$W:$W,BD.OS!$B:$B,'PROCV Prod.Total'!B9,BD.OS!$C:$C,'PROCV Prod.Total'!C9,BD.OS!$E:$E,"SIM")</f>
        <v>0</v>
      </c>
      <c r="W9" s="82">
        <f>SUMIFS(BD.OS!$F:$F,BD.OS!$B:$B,'PROCV Prod.Total'!B9,BD.OS!$C:$C,'PROCV Prod.Total'!C9,BD.OS!$E:$E,"NÃO")</f>
        <v>0</v>
      </c>
      <c r="X9" s="82">
        <f>SUMIFS(BD.OS!$G:$G,BD.OS!$B:$B,'PROCV Prod.Total'!B9,BD.OS!$C:$C,'PROCV Prod.Total'!C9,BD.OS!$E:$E,"NÃO")</f>
        <v>0</v>
      </c>
      <c r="Y9" s="82">
        <f>SUMIFS(BD.OS!$H:$H,BD.OS!$B:$B,'PROCV Prod.Total'!B9,BD.OS!$C:$C,'PROCV Prod.Total'!C9,BD.OS!$E:$E,"NÃO")</f>
        <v>0</v>
      </c>
      <c r="Z9" s="82">
        <f>SUMIFS(BD.OS!$I:$I,BD.OS!$B:$B,'PROCV Prod.Total'!B9,BD.OS!$C:$C,'PROCV Prod.Total'!C9,BD.OS!$E:$E,"NÃO")</f>
        <v>0</v>
      </c>
      <c r="AA9" s="82">
        <f>SUMIFS(BD.OS!$J:$J,BD.OS!$B:$B,'PROCV Prod.Total'!B9,BD.OS!$C:$C,'PROCV Prod.Total'!C9,BD.OS!$E:$E,"NÃO")</f>
        <v>0</v>
      </c>
      <c r="AB9" s="82">
        <f>SUMIFS(BD.OS!$K:$K,BD.OS!$B:$B,'PROCV Prod.Total'!B9,BD.OS!$C:$C,'PROCV Prod.Total'!C9,BD.OS!$E:$E,"NÃO")</f>
        <v>0</v>
      </c>
      <c r="AC9" s="82">
        <f>SUMIFS(BD.OS!$L:$L,BD.OS!$B:$B,'PROCV Prod.Total'!B9,BD.OS!$C:$C,'PROCV Prod.Total'!C9,BD.OS!$E:$E,"NÃO")</f>
        <v>0</v>
      </c>
      <c r="AD9" s="82">
        <f>SUMIFS(BD.OS!$M:$M,BD.OS!$B:$B,'PROCV Prod.Total'!B9,BD.OS!$C:$C,'PROCV Prod.Total'!C9,BD.OS!$E:$E,"NÃO")</f>
        <v>0</v>
      </c>
      <c r="AE9" s="82">
        <f>SUMIFS(BD.OS!$N:$N,BD.OS!$B:$B,'PROCV Prod.Total'!B9,BD.OS!$C:$C,'PROCV Prod.Total'!C9,BD.OS!$E:$E,"NÃO")</f>
        <v>0</v>
      </c>
      <c r="AF9" s="82">
        <f>SUMIFS(BD.OS!$O:$O,BD.OS!$B:$B,'PROCV Prod.Total'!B9,BD.OS!$C:$C,'PROCV Prod.Total'!C9,BD.OS!$E:$E,"NÃO")</f>
        <v>0</v>
      </c>
      <c r="AG9" s="82">
        <f>SUMIFS(BD.OS!$P:$P,BD.OS!$B:$B,'PROCV Prod.Total'!B9,BD.OS!$C:$C,'PROCV Prod.Total'!C9,BD.OS!$E:$E,"NÃO")</f>
        <v>0</v>
      </c>
      <c r="AH9" s="82">
        <f>SUMIFS(BD.OS!$Q:$Q,BD.OS!$B:$B,'PROCV Prod.Total'!B9,BD.OS!$C:$C,'PROCV Prod.Total'!C9,BD.OS!$E:$E,"NÃO")</f>
        <v>0</v>
      </c>
      <c r="AI9" s="82">
        <f>SUMIFS(BD.OS!$R:$R,BD.OS!$B:$B,'PROCV Prod.Total'!B9,BD.OS!$C:$C,'PROCV Prod.Total'!C9,BD.OS!$E:$E,"NÃO")</f>
        <v>0</v>
      </c>
      <c r="AJ9" s="82">
        <f>SUMIFS(BD.OS!$S:$S,BD.OS!$B:$B,'PROCV Prod.Total'!B9,BD.OS!$C:$C,'PROCV Prod.Total'!C9,BD.OS!$E:$E,"NÃO")</f>
        <v>0</v>
      </c>
      <c r="AK9" s="82">
        <f>SUMIFS(BD.OS!$T:$T,BD.OS!$B:$B,'PROCV Prod.Total'!B9,BD.OS!$C:$C,'PROCV Prod.Total'!C9,BD.OS!$E:$E,"NÃO")</f>
        <v>0</v>
      </c>
      <c r="AL9" s="82">
        <f>SUMIFS(BD.OS!$U:$U,BD.OS!$B:$B,'PROCV Prod.Total'!B9,BD.OS!$C:$C,'PROCV Prod.Total'!C9,BD.OS!$E:$E,"NÃO")</f>
        <v>0</v>
      </c>
      <c r="AM9" s="82">
        <f>SUMIFS(BD.OS!$V:$V,BD.OS!$B:$B,'PROCV Prod.Total'!B9,BD.OS!$C:$C,'PROCV Prod.Total'!C9,BD.OS!$E:$E,"NÃO")</f>
        <v>0</v>
      </c>
      <c r="AN9" s="82">
        <f>SUMIFS(BD.OS!$W:$W,BD.OS!$B:$B,'PROCV Prod.Total'!B9,BD.OS!$C:$C,'PROCV Prod.Total'!C9,BD.OS!$E:$E,"NÃO")</f>
        <v>0</v>
      </c>
      <c r="AO9" s="16"/>
      <c r="AP9" s="78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69">
        <f t="shared" si="1"/>
        <v>42309</v>
      </c>
      <c r="BK9">
        <f t="shared" si="3"/>
        <v>308</v>
      </c>
      <c r="BL9">
        <f t="shared" si="4"/>
        <v>316</v>
      </c>
      <c r="BM9">
        <f t="shared" si="5"/>
        <v>71</v>
      </c>
      <c r="BN9">
        <f t="shared" si="6"/>
        <v>149</v>
      </c>
      <c r="BO9">
        <f t="shared" si="7"/>
        <v>45</v>
      </c>
      <c r="BP9">
        <f t="shared" si="8"/>
        <v>0</v>
      </c>
      <c r="BQ9">
        <f t="shared" si="9"/>
        <v>252</v>
      </c>
      <c r="BR9">
        <f t="shared" si="10"/>
        <v>0</v>
      </c>
      <c r="BS9">
        <f t="shared" si="11"/>
        <v>0</v>
      </c>
      <c r="BT9">
        <f t="shared" si="12"/>
        <v>0</v>
      </c>
      <c r="BU9">
        <f t="shared" si="13"/>
        <v>22</v>
      </c>
      <c r="BV9">
        <f t="shared" si="14"/>
        <v>0</v>
      </c>
      <c r="BW9">
        <f t="shared" si="15"/>
        <v>181</v>
      </c>
      <c r="BX9">
        <f t="shared" si="16"/>
        <v>0</v>
      </c>
      <c r="BY9">
        <f t="shared" si="17"/>
        <v>228</v>
      </c>
      <c r="BZ9">
        <f t="shared" si="18"/>
        <v>0</v>
      </c>
      <c r="CA9">
        <f t="shared" si="19"/>
        <v>206</v>
      </c>
      <c r="CB9">
        <f t="shared" si="20"/>
        <v>8</v>
      </c>
      <c r="CC9" s="168"/>
      <c r="CD9" s="82"/>
    </row>
    <row r="10" spans="2:82" x14ac:dyDescent="0.2">
      <c r="B10" s="78">
        <f t="shared" si="0"/>
        <v>2016</v>
      </c>
      <c r="C10" s="78">
        <v>8</v>
      </c>
      <c r="D10" s="82">
        <f>SUMIFS(BD.OS!$F:$F,BD.OS!$B:$B,'PROCV Prod.Total'!B10,BD.OS!$C:$C,'PROCV Prod.Total'!C10,BD.OS!$E:$E,"SIM")</f>
        <v>0</v>
      </c>
      <c r="E10" s="82">
        <f>SUMIFS(BD.OS!$G:$G,BD.OS!$B:$B,'PROCV Prod.Total'!B10,BD.OS!$C:$C,'PROCV Prod.Total'!C10,BD.OS!$E:$E,"SIM")</f>
        <v>0</v>
      </c>
      <c r="F10" s="82">
        <f>SUMIFS(BD.OS!$H:$H,BD.OS!$B:$B,'PROCV Prod.Total'!B10,BD.OS!$C:$C,'PROCV Prod.Total'!C10,BD.OS!$E:$E,"SIM")</f>
        <v>0</v>
      </c>
      <c r="G10" s="82">
        <f>SUMIFS(BD.OS!$I:$I,BD.OS!$B:$B,'PROCV Prod.Total'!B10,BD.OS!$C:$C,'PROCV Prod.Total'!C10,BD.OS!$E:$E,"SIM")</f>
        <v>0</v>
      </c>
      <c r="H10" s="82">
        <f>SUMIFS(BD.OS!$J:$J,BD.OS!$B:$B,'PROCV Prod.Total'!B10,BD.OS!$C:$C,'PROCV Prod.Total'!C10,BD.OS!$E:$E,"SIM")</f>
        <v>0</v>
      </c>
      <c r="I10" s="82">
        <f>SUMIFS(BD.OS!$K:$K,BD.OS!$B:$B,'PROCV Prod.Total'!B10,BD.OS!$C:$C,'PROCV Prod.Total'!C10,BD.OS!$E:$E,"SIM")</f>
        <v>0</v>
      </c>
      <c r="J10" s="82">
        <f>SUMIFS(BD.OS!$L:$L,BD.OS!$B:$B,'PROCV Prod.Total'!B10,BD.OS!$C:$C,'PROCV Prod.Total'!C10,BD.OS!$E:$E,"SIM")</f>
        <v>0</v>
      </c>
      <c r="K10" s="82">
        <f>SUMIFS(BD.OS!$M:$M,BD.OS!$B:$B,'PROCV Prod.Total'!B10,BD.OS!$C:$C,'PROCV Prod.Total'!C10,BD.OS!$E:$E,"SIM")</f>
        <v>0</v>
      </c>
      <c r="L10" s="82">
        <f>SUMIFS(BD.OS!$N:$N,BD.OS!$B:$B,'PROCV Prod.Total'!B10,BD.OS!$C:$C,'PROCV Prod.Total'!C10,BD.OS!$E:$E,"SIM")</f>
        <v>0</v>
      </c>
      <c r="M10" s="82">
        <f>SUMIFS(BD.OS!$O:$O,BD.OS!$B:$B,'PROCV Prod.Total'!B10,BD.OS!$C:$C,'PROCV Prod.Total'!C10,BD.OS!$E:$E,"SIM")</f>
        <v>0</v>
      </c>
      <c r="N10" s="82">
        <f>SUMIFS(BD.OS!$P:$P,BD.OS!$B:$B,'PROCV Prod.Total'!B10,BD.OS!$C:$C,'PROCV Prod.Total'!C10,BD.OS!$E:$E,"SIM")</f>
        <v>0</v>
      </c>
      <c r="O10" s="82">
        <f>SUMIFS(BD.OS!$Q:$Q,BD.OS!$B:$B,'PROCV Prod.Total'!B10,BD.OS!$C:$C,'PROCV Prod.Total'!C10,BD.OS!$E:$E,"SIM")</f>
        <v>0</v>
      </c>
      <c r="P10" s="82">
        <f>SUMIFS(BD.OS!$R:$R,BD.OS!$B:$B,'PROCV Prod.Total'!B10,BD.OS!$C:$C,'PROCV Prod.Total'!C10,BD.OS!$E:$E,"SIM")</f>
        <v>0</v>
      </c>
      <c r="Q10" s="82">
        <f>SUMIFS(BD.OS!$S:$S,BD.OS!$B:$B,'PROCV Prod.Total'!B10,BD.OS!$C:$C,'PROCV Prod.Total'!C10,BD.OS!$E:$E,"SIM")</f>
        <v>0</v>
      </c>
      <c r="R10" s="82">
        <f>SUMIFS(BD.OS!$T:$T,BD.OS!$B:$B,'PROCV Prod.Total'!B10,BD.OS!$C:$C,'PROCV Prod.Total'!C10,BD.OS!$E:$E,"SIM")</f>
        <v>0</v>
      </c>
      <c r="S10" s="82">
        <f>SUMIFS(BD.OS!$U:$U,BD.OS!$B:$B,'PROCV Prod.Total'!B10,BD.OS!$C:$C,'PROCV Prod.Total'!C10,BD.OS!$E:$E,"SIM")</f>
        <v>0</v>
      </c>
      <c r="T10" s="82">
        <f>SUMIFS(BD.OS!$V:$V,BD.OS!$B:$B,'PROCV Prod.Total'!B10,BD.OS!$C:$C,'PROCV Prod.Total'!C10,BD.OS!$E:$E,"SIM")</f>
        <v>0</v>
      </c>
      <c r="U10" s="82">
        <f>SUMIFS(BD.OS!$W:$W,BD.OS!$B:$B,'PROCV Prod.Total'!B10,BD.OS!$C:$C,'PROCV Prod.Total'!C10,BD.OS!$E:$E,"SIM")</f>
        <v>0</v>
      </c>
      <c r="W10" s="82">
        <f>SUMIFS(BD.OS!$F:$F,BD.OS!$B:$B,'PROCV Prod.Total'!B10,BD.OS!$C:$C,'PROCV Prod.Total'!C10,BD.OS!$E:$E,"NÃO")</f>
        <v>0</v>
      </c>
      <c r="X10" s="82">
        <f>SUMIFS(BD.OS!$G:$G,BD.OS!$B:$B,'PROCV Prod.Total'!B10,BD.OS!$C:$C,'PROCV Prod.Total'!C10,BD.OS!$E:$E,"NÃO")</f>
        <v>0</v>
      </c>
      <c r="Y10" s="82">
        <f>SUMIFS(BD.OS!$H:$H,BD.OS!$B:$B,'PROCV Prod.Total'!B10,BD.OS!$C:$C,'PROCV Prod.Total'!C10,BD.OS!$E:$E,"NÃO")</f>
        <v>0</v>
      </c>
      <c r="Z10" s="82">
        <f>SUMIFS(BD.OS!$I:$I,BD.OS!$B:$B,'PROCV Prod.Total'!B10,BD.OS!$C:$C,'PROCV Prod.Total'!C10,BD.OS!$E:$E,"NÃO")</f>
        <v>0</v>
      </c>
      <c r="AA10" s="82">
        <f>SUMIFS(BD.OS!$J:$J,BD.OS!$B:$B,'PROCV Prod.Total'!B10,BD.OS!$C:$C,'PROCV Prod.Total'!C10,BD.OS!$E:$E,"NÃO")</f>
        <v>0</v>
      </c>
      <c r="AB10" s="82">
        <f>SUMIFS(BD.OS!$K:$K,BD.OS!$B:$B,'PROCV Prod.Total'!B10,BD.OS!$C:$C,'PROCV Prod.Total'!C10,BD.OS!$E:$E,"NÃO")</f>
        <v>0</v>
      </c>
      <c r="AC10" s="82">
        <f>SUMIFS(BD.OS!$L:$L,BD.OS!$B:$B,'PROCV Prod.Total'!B10,BD.OS!$C:$C,'PROCV Prod.Total'!C10,BD.OS!$E:$E,"NÃO")</f>
        <v>0</v>
      </c>
      <c r="AD10" s="82">
        <f>SUMIFS(BD.OS!$M:$M,BD.OS!$B:$B,'PROCV Prod.Total'!B10,BD.OS!$C:$C,'PROCV Prod.Total'!C10,BD.OS!$E:$E,"NÃO")</f>
        <v>0</v>
      </c>
      <c r="AE10" s="82">
        <f>SUMIFS(BD.OS!$N:$N,BD.OS!$B:$B,'PROCV Prod.Total'!B10,BD.OS!$C:$C,'PROCV Prod.Total'!C10,BD.OS!$E:$E,"NÃO")</f>
        <v>0</v>
      </c>
      <c r="AF10" s="82">
        <f>SUMIFS(BD.OS!$O:$O,BD.OS!$B:$B,'PROCV Prod.Total'!B10,BD.OS!$C:$C,'PROCV Prod.Total'!C10,BD.OS!$E:$E,"NÃO")</f>
        <v>0</v>
      </c>
      <c r="AG10" s="82">
        <f>SUMIFS(BD.OS!$P:$P,BD.OS!$B:$B,'PROCV Prod.Total'!B10,BD.OS!$C:$C,'PROCV Prod.Total'!C10,BD.OS!$E:$E,"NÃO")</f>
        <v>0</v>
      </c>
      <c r="AH10" s="82">
        <f>SUMIFS(BD.OS!$Q:$Q,BD.OS!$B:$B,'PROCV Prod.Total'!B10,BD.OS!$C:$C,'PROCV Prod.Total'!C10,BD.OS!$E:$E,"NÃO")</f>
        <v>0</v>
      </c>
      <c r="AI10" s="82">
        <f>SUMIFS(BD.OS!$R:$R,BD.OS!$B:$B,'PROCV Prod.Total'!B10,BD.OS!$C:$C,'PROCV Prod.Total'!C10,BD.OS!$E:$E,"NÃO")</f>
        <v>0</v>
      </c>
      <c r="AJ10" s="82">
        <f>SUMIFS(BD.OS!$S:$S,BD.OS!$B:$B,'PROCV Prod.Total'!B10,BD.OS!$C:$C,'PROCV Prod.Total'!C10,BD.OS!$E:$E,"NÃO")</f>
        <v>0</v>
      </c>
      <c r="AK10" s="82">
        <f>SUMIFS(BD.OS!$T:$T,BD.OS!$B:$B,'PROCV Prod.Total'!B10,BD.OS!$C:$C,'PROCV Prod.Total'!C10,BD.OS!$E:$E,"NÃO")</f>
        <v>0</v>
      </c>
      <c r="AL10" s="82">
        <f>SUMIFS(BD.OS!$U:$U,BD.OS!$B:$B,'PROCV Prod.Total'!B10,BD.OS!$C:$C,'PROCV Prod.Total'!C10,BD.OS!$E:$E,"NÃO")</f>
        <v>0</v>
      </c>
      <c r="AM10" s="82">
        <f>SUMIFS(BD.OS!$V:$V,BD.OS!$B:$B,'PROCV Prod.Total'!B10,BD.OS!$C:$C,'PROCV Prod.Total'!C10,BD.OS!$E:$E,"NÃO")</f>
        <v>0</v>
      </c>
      <c r="AN10" s="82">
        <f>SUMIFS(BD.OS!$W:$W,BD.OS!$B:$B,'PROCV Prod.Total'!B10,BD.OS!$C:$C,'PROCV Prod.Total'!C10,BD.OS!$E:$E,"NÃO")</f>
        <v>0</v>
      </c>
      <c r="AO10" s="16"/>
      <c r="AP10" s="78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69">
        <f t="shared" si="1"/>
        <v>42278</v>
      </c>
      <c r="BK10">
        <f t="shared" si="3"/>
        <v>915</v>
      </c>
      <c r="BL10">
        <f t="shared" si="4"/>
        <v>226</v>
      </c>
      <c r="BM10">
        <f t="shared" si="5"/>
        <v>83</v>
      </c>
      <c r="BN10">
        <f t="shared" si="6"/>
        <v>81</v>
      </c>
      <c r="BO10">
        <f t="shared" si="7"/>
        <v>0</v>
      </c>
      <c r="BP10">
        <f t="shared" si="8"/>
        <v>11</v>
      </c>
      <c r="BQ10">
        <f t="shared" si="9"/>
        <v>213</v>
      </c>
      <c r="BR10">
        <f t="shared" si="10"/>
        <v>0</v>
      </c>
      <c r="BS10">
        <f t="shared" si="11"/>
        <v>0</v>
      </c>
      <c r="BT10">
        <f t="shared" si="12"/>
        <v>4</v>
      </c>
      <c r="BU10">
        <f t="shared" si="13"/>
        <v>72</v>
      </c>
      <c r="BV10">
        <f t="shared" si="14"/>
        <v>0</v>
      </c>
      <c r="BW10">
        <f t="shared" si="15"/>
        <v>199</v>
      </c>
      <c r="BX10">
        <f t="shared" si="16"/>
        <v>0</v>
      </c>
      <c r="BY10">
        <f t="shared" si="17"/>
        <v>106</v>
      </c>
      <c r="BZ10">
        <f t="shared" si="18"/>
        <v>1</v>
      </c>
      <c r="CA10">
        <f t="shared" si="19"/>
        <v>25</v>
      </c>
      <c r="CB10">
        <f t="shared" si="20"/>
        <v>3</v>
      </c>
      <c r="CC10" s="168"/>
      <c r="CD10" s="82"/>
    </row>
    <row r="11" spans="2:82" x14ac:dyDescent="0.2">
      <c r="B11" s="78">
        <f t="shared" si="0"/>
        <v>2016</v>
      </c>
      <c r="C11" s="78">
        <v>9</v>
      </c>
      <c r="D11" s="82">
        <f>SUMIFS(BD.OS!$F:$F,BD.OS!$B:$B,'PROCV Prod.Total'!B11,BD.OS!$C:$C,'PROCV Prod.Total'!C11,BD.OS!$E:$E,"SIM")</f>
        <v>0</v>
      </c>
      <c r="E11" s="82">
        <f>SUMIFS(BD.OS!$G:$G,BD.OS!$B:$B,'PROCV Prod.Total'!B11,BD.OS!$C:$C,'PROCV Prod.Total'!C11,BD.OS!$E:$E,"SIM")</f>
        <v>0</v>
      </c>
      <c r="F11" s="82">
        <f>SUMIFS(BD.OS!$H:$H,BD.OS!$B:$B,'PROCV Prod.Total'!B11,BD.OS!$C:$C,'PROCV Prod.Total'!C11,BD.OS!$E:$E,"SIM")</f>
        <v>0</v>
      </c>
      <c r="G11" s="82">
        <f>SUMIFS(BD.OS!$I:$I,BD.OS!$B:$B,'PROCV Prod.Total'!B11,BD.OS!$C:$C,'PROCV Prod.Total'!C11,BD.OS!$E:$E,"SIM")</f>
        <v>0</v>
      </c>
      <c r="H11" s="82">
        <f>SUMIFS(BD.OS!$J:$J,BD.OS!$B:$B,'PROCV Prod.Total'!B11,BD.OS!$C:$C,'PROCV Prod.Total'!C11,BD.OS!$E:$E,"SIM")</f>
        <v>0</v>
      </c>
      <c r="I11" s="82">
        <f>SUMIFS(BD.OS!$K:$K,BD.OS!$B:$B,'PROCV Prod.Total'!B11,BD.OS!$C:$C,'PROCV Prod.Total'!C11,BD.OS!$E:$E,"SIM")</f>
        <v>0</v>
      </c>
      <c r="J11" s="82">
        <f>SUMIFS(BD.OS!$L:$L,BD.OS!$B:$B,'PROCV Prod.Total'!B11,BD.OS!$C:$C,'PROCV Prod.Total'!C11,BD.OS!$E:$E,"SIM")</f>
        <v>0</v>
      </c>
      <c r="K11" s="82">
        <f>SUMIFS(BD.OS!$M:$M,BD.OS!$B:$B,'PROCV Prod.Total'!B11,BD.OS!$C:$C,'PROCV Prod.Total'!C11,BD.OS!$E:$E,"SIM")</f>
        <v>0</v>
      </c>
      <c r="L11" s="82">
        <f>SUMIFS(BD.OS!$N:$N,BD.OS!$B:$B,'PROCV Prod.Total'!B11,BD.OS!$C:$C,'PROCV Prod.Total'!C11,BD.OS!$E:$E,"SIM")</f>
        <v>0</v>
      </c>
      <c r="M11" s="82">
        <f>SUMIFS(BD.OS!$O:$O,BD.OS!$B:$B,'PROCV Prod.Total'!B11,BD.OS!$C:$C,'PROCV Prod.Total'!C11,BD.OS!$E:$E,"SIM")</f>
        <v>0</v>
      </c>
      <c r="N11" s="82">
        <f>SUMIFS(BD.OS!$P:$P,BD.OS!$B:$B,'PROCV Prod.Total'!B11,BD.OS!$C:$C,'PROCV Prod.Total'!C11,BD.OS!$E:$E,"SIM")</f>
        <v>0</v>
      </c>
      <c r="O11" s="82">
        <f>SUMIFS(BD.OS!$Q:$Q,BD.OS!$B:$B,'PROCV Prod.Total'!B11,BD.OS!$C:$C,'PROCV Prod.Total'!C11,BD.OS!$E:$E,"SIM")</f>
        <v>0</v>
      </c>
      <c r="P11" s="82">
        <f>SUMIFS(BD.OS!$R:$R,BD.OS!$B:$B,'PROCV Prod.Total'!B11,BD.OS!$C:$C,'PROCV Prod.Total'!C11,BD.OS!$E:$E,"SIM")</f>
        <v>0</v>
      </c>
      <c r="Q11" s="82">
        <f>SUMIFS(BD.OS!$S:$S,BD.OS!$B:$B,'PROCV Prod.Total'!B11,BD.OS!$C:$C,'PROCV Prod.Total'!C11,BD.OS!$E:$E,"SIM")</f>
        <v>0</v>
      </c>
      <c r="R11" s="82">
        <f>SUMIFS(BD.OS!$T:$T,BD.OS!$B:$B,'PROCV Prod.Total'!B11,BD.OS!$C:$C,'PROCV Prod.Total'!C11,BD.OS!$E:$E,"SIM")</f>
        <v>0</v>
      </c>
      <c r="S11" s="82">
        <f>SUMIFS(BD.OS!$U:$U,BD.OS!$B:$B,'PROCV Prod.Total'!B11,BD.OS!$C:$C,'PROCV Prod.Total'!C11,BD.OS!$E:$E,"SIM")</f>
        <v>0</v>
      </c>
      <c r="T11" s="82">
        <f>SUMIFS(BD.OS!$V:$V,BD.OS!$B:$B,'PROCV Prod.Total'!B11,BD.OS!$C:$C,'PROCV Prod.Total'!C11,BD.OS!$E:$E,"SIM")</f>
        <v>0</v>
      </c>
      <c r="U11" s="82">
        <f>SUMIFS(BD.OS!$W:$W,BD.OS!$B:$B,'PROCV Prod.Total'!B11,BD.OS!$C:$C,'PROCV Prod.Total'!C11,BD.OS!$E:$E,"SIM")</f>
        <v>0</v>
      </c>
      <c r="W11" s="82">
        <f>SUMIFS(BD.OS!$F:$F,BD.OS!$B:$B,'PROCV Prod.Total'!B11,BD.OS!$C:$C,'PROCV Prod.Total'!C11,BD.OS!$E:$E,"NÃO")</f>
        <v>0</v>
      </c>
      <c r="X11" s="82">
        <f>SUMIFS(BD.OS!$G:$G,BD.OS!$B:$B,'PROCV Prod.Total'!B11,BD.OS!$C:$C,'PROCV Prod.Total'!C11,BD.OS!$E:$E,"NÃO")</f>
        <v>0</v>
      </c>
      <c r="Y11" s="82">
        <f>SUMIFS(BD.OS!$H:$H,BD.OS!$B:$B,'PROCV Prod.Total'!B11,BD.OS!$C:$C,'PROCV Prod.Total'!C11,BD.OS!$E:$E,"NÃO")</f>
        <v>0</v>
      </c>
      <c r="Z11" s="82">
        <f>SUMIFS(BD.OS!$I:$I,BD.OS!$B:$B,'PROCV Prod.Total'!B11,BD.OS!$C:$C,'PROCV Prod.Total'!C11,BD.OS!$E:$E,"NÃO")</f>
        <v>0</v>
      </c>
      <c r="AA11" s="82">
        <f>SUMIFS(BD.OS!$J:$J,BD.OS!$B:$B,'PROCV Prod.Total'!B11,BD.OS!$C:$C,'PROCV Prod.Total'!C11,BD.OS!$E:$E,"NÃO")</f>
        <v>0</v>
      </c>
      <c r="AB11" s="82">
        <f>SUMIFS(BD.OS!$K:$K,BD.OS!$B:$B,'PROCV Prod.Total'!B11,BD.OS!$C:$C,'PROCV Prod.Total'!C11,BD.OS!$E:$E,"NÃO")</f>
        <v>0</v>
      </c>
      <c r="AC11" s="82">
        <f>SUMIFS(BD.OS!$L:$L,BD.OS!$B:$B,'PROCV Prod.Total'!B11,BD.OS!$C:$C,'PROCV Prod.Total'!C11,BD.OS!$E:$E,"NÃO")</f>
        <v>0</v>
      </c>
      <c r="AD11" s="82">
        <f>SUMIFS(BD.OS!$M:$M,BD.OS!$B:$B,'PROCV Prod.Total'!B11,BD.OS!$C:$C,'PROCV Prod.Total'!C11,BD.OS!$E:$E,"NÃO")</f>
        <v>0</v>
      </c>
      <c r="AE11" s="82">
        <f>SUMIFS(BD.OS!$N:$N,BD.OS!$B:$B,'PROCV Prod.Total'!B11,BD.OS!$C:$C,'PROCV Prod.Total'!C11,BD.OS!$E:$E,"NÃO")</f>
        <v>0</v>
      </c>
      <c r="AF11" s="82">
        <f>SUMIFS(BD.OS!$O:$O,BD.OS!$B:$B,'PROCV Prod.Total'!B11,BD.OS!$C:$C,'PROCV Prod.Total'!C11,BD.OS!$E:$E,"NÃO")</f>
        <v>0</v>
      </c>
      <c r="AG11" s="82">
        <f>SUMIFS(BD.OS!$P:$P,BD.OS!$B:$B,'PROCV Prod.Total'!B11,BD.OS!$C:$C,'PROCV Prod.Total'!C11,BD.OS!$E:$E,"NÃO")</f>
        <v>0</v>
      </c>
      <c r="AH11" s="82">
        <f>SUMIFS(BD.OS!$Q:$Q,BD.OS!$B:$B,'PROCV Prod.Total'!B11,BD.OS!$C:$C,'PROCV Prod.Total'!C11,BD.OS!$E:$E,"NÃO")</f>
        <v>0</v>
      </c>
      <c r="AI11" s="82">
        <f>SUMIFS(BD.OS!$R:$R,BD.OS!$B:$B,'PROCV Prod.Total'!B11,BD.OS!$C:$C,'PROCV Prod.Total'!C11,BD.OS!$E:$E,"NÃO")</f>
        <v>0</v>
      </c>
      <c r="AJ11" s="82">
        <f>SUMIFS(BD.OS!$S:$S,BD.OS!$B:$B,'PROCV Prod.Total'!B11,BD.OS!$C:$C,'PROCV Prod.Total'!C11,BD.OS!$E:$E,"NÃO")</f>
        <v>0</v>
      </c>
      <c r="AK11" s="82">
        <f>SUMIFS(BD.OS!$T:$T,BD.OS!$B:$B,'PROCV Prod.Total'!B11,BD.OS!$C:$C,'PROCV Prod.Total'!C11,BD.OS!$E:$E,"NÃO")</f>
        <v>0</v>
      </c>
      <c r="AL11" s="82">
        <f>SUMIFS(BD.OS!$U:$U,BD.OS!$B:$B,'PROCV Prod.Total'!B11,BD.OS!$C:$C,'PROCV Prod.Total'!C11,BD.OS!$E:$E,"NÃO")</f>
        <v>0</v>
      </c>
      <c r="AM11" s="82">
        <f>SUMIFS(BD.OS!$V:$V,BD.OS!$B:$B,'PROCV Prod.Total'!B11,BD.OS!$C:$C,'PROCV Prod.Total'!C11,BD.OS!$E:$E,"NÃO")</f>
        <v>0</v>
      </c>
      <c r="AN11" s="82">
        <f>SUMIFS(BD.OS!$W:$W,BD.OS!$B:$B,'PROCV Prod.Total'!B11,BD.OS!$C:$C,'PROCV Prod.Total'!C11,BD.OS!$E:$E,"NÃO")</f>
        <v>0</v>
      </c>
      <c r="AO11" s="16"/>
      <c r="AP11" s="78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69">
        <f t="shared" si="1"/>
        <v>42248</v>
      </c>
      <c r="BK11">
        <f t="shared" si="3"/>
        <v>1441</v>
      </c>
      <c r="BL11">
        <f t="shared" si="4"/>
        <v>0</v>
      </c>
      <c r="BM11">
        <f t="shared" si="5"/>
        <v>4</v>
      </c>
      <c r="BN11">
        <f t="shared" si="6"/>
        <v>0</v>
      </c>
      <c r="BO11">
        <f t="shared" si="7"/>
        <v>0</v>
      </c>
      <c r="BP11">
        <f t="shared" si="8"/>
        <v>4</v>
      </c>
      <c r="BQ11">
        <f t="shared" si="9"/>
        <v>6</v>
      </c>
      <c r="BR11">
        <f t="shared" si="10"/>
        <v>0</v>
      </c>
      <c r="BS11">
        <f t="shared" si="11"/>
        <v>0</v>
      </c>
      <c r="BT11">
        <f t="shared" si="12"/>
        <v>1</v>
      </c>
      <c r="BU11">
        <f t="shared" si="13"/>
        <v>4</v>
      </c>
      <c r="BV11">
        <f t="shared" si="14"/>
        <v>0</v>
      </c>
      <c r="BW11">
        <f t="shared" si="15"/>
        <v>1</v>
      </c>
      <c r="BX11">
        <f t="shared" si="16"/>
        <v>0</v>
      </c>
      <c r="BY11">
        <f t="shared" si="17"/>
        <v>1</v>
      </c>
      <c r="BZ11">
        <f t="shared" si="18"/>
        <v>0</v>
      </c>
      <c r="CA11">
        <f t="shared" si="19"/>
        <v>1</v>
      </c>
      <c r="CB11">
        <f t="shared" si="20"/>
        <v>3</v>
      </c>
      <c r="CC11" s="168"/>
      <c r="CD11" s="82"/>
    </row>
    <row r="12" spans="2:82" x14ac:dyDescent="0.2">
      <c r="B12" s="78">
        <f t="shared" si="0"/>
        <v>2016</v>
      </c>
      <c r="C12" s="78">
        <v>10</v>
      </c>
      <c r="D12" s="82">
        <f>SUMIFS(BD.OS!$F:$F,BD.OS!$B:$B,'PROCV Prod.Total'!B12,BD.OS!$C:$C,'PROCV Prod.Total'!C12,BD.OS!$E:$E,"SIM")</f>
        <v>0</v>
      </c>
      <c r="E12" s="82">
        <f>SUMIFS(BD.OS!$G:$G,BD.OS!$B:$B,'PROCV Prod.Total'!B12,BD.OS!$C:$C,'PROCV Prod.Total'!C12,BD.OS!$E:$E,"SIM")</f>
        <v>0</v>
      </c>
      <c r="F12" s="82">
        <f>SUMIFS(BD.OS!$H:$H,BD.OS!$B:$B,'PROCV Prod.Total'!B12,BD.OS!$C:$C,'PROCV Prod.Total'!C12,BD.OS!$E:$E,"SIM")</f>
        <v>0</v>
      </c>
      <c r="G12" s="82">
        <f>SUMIFS(BD.OS!$I:$I,BD.OS!$B:$B,'PROCV Prod.Total'!B12,BD.OS!$C:$C,'PROCV Prod.Total'!C12,BD.OS!$E:$E,"SIM")</f>
        <v>0</v>
      </c>
      <c r="H12" s="82">
        <f>SUMIFS(BD.OS!$J:$J,BD.OS!$B:$B,'PROCV Prod.Total'!B12,BD.OS!$C:$C,'PROCV Prod.Total'!C12,BD.OS!$E:$E,"SIM")</f>
        <v>0</v>
      </c>
      <c r="I12" s="82">
        <f>SUMIFS(BD.OS!$K:$K,BD.OS!$B:$B,'PROCV Prod.Total'!B12,BD.OS!$C:$C,'PROCV Prod.Total'!C12,BD.OS!$E:$E,"SIM")</f>
        <v>0</v>
      </c>
      <c r="J12" s="82">
        <f>SUMIFS(BD.OS!$L:$L,BD.OS!$B:$B,'PROCV Prod.Total'!B12,BD.OS!$C:$C,'PROCV Prod.Total'!C12,BD.OS!$E:$E,"SIM")</f>
        <v>0</v>
      </c>
      <c r="K12" s="82">
        <f>SUMIFS(BD.OS!$M:$M,BD.OS!$B:$B,'PROCV Prod.Total'!B12,BD.OS!$C:$C,'PROCV Prod.Total'!C12,BD.OS!$E:$E,"SIM")</f>
        <v>0</v>
      </c>
      <c r="L12" s="82">
        <f>SUMIFS(BD.OS!$N:$N,BD.OS!$B:$B,'PROCV Prod.Total'!B12,BD.OS!$C:$C,'PROCV Prod.Total'!C12,BD.OS!$E:$E,"SIM")</f>
        <v>0</v>
      </c>
      <c r="M12" s="82">
        <f>SUMIFS(BD.OS!$O:$O,BD.OS!$B:$B,'PROCV Prod.Total'!B12,BD.OS!$C:$C,'PROCV Prod.Total'!C12,BD.OS!$E:$E,"SIM")</f>
        <v>0</v>
      </c>
      <c r="N12" s="82">
        <f>SUMIFS(BD.OS!$P:$P,BD.OS!$B:$B,'PROCV Prod.Total'!B12,BD.OS!$C:$C,'PROCV Prod.Total'!C12,BD.OS!$E:$E,"SIM")</f>
        <v>0</v>
      </c>
      <c r="O12" s="82">
        <f>SUMIFS(BD.OS!$Q:$Q,BD.OS!$B:$B,'PROCV Prod.Total'!B12,BD.OS!$C:$C,'PROCV Prod.Total'!C12,BD.OS!$E:$E,"SIM")</f>
        <v>0</v>
      </c>
      <c r="P12" s="82">
        <f>SUMIFS(BD.OS!$R:$R,BD.OS!$B:$B,'PROCV Prod.Total'!B12,BD.OS!$C:$C,'PROCV Prod.Total'!C12,BD.OS!$E:$E,"SIM")</f>
        <v>0</v>
      </c>
      <c r="Q12" s="82">
        <f>SUMIFS(BD.OS!$S:$S,BD.OS!$B:$B,'PROCV Prod.Total'!B12,BD.OS!$C:$C,'PROCV Prod.Total'!C12,BD.OS!$E:$E,"SIM")</f>
        <v>0</v>
      </c>
      <c r="R12" s="82">
        <f>SUMIFS(BD.OS!$T:$T,BD.OS!$B:$B,'PROCV Prod.Total'!B12,BD.OS!$C:$C,'PROCV Prod.Total'!C12,BD.OS!$E:$E,"SIM")</f>
        <v>0</v>
      </c>
      <c r="S12" s="82">
        <f>SUMIFS(BD.OS!$U:$U,BD.OS!$B:$B,'PROCV Prod.Total'!B12,BD.OS!$C:$C,'PROCV Prod.Total'!C12,BD.OS!$E:$E,"SIM")</f>
        <v>0</v>
      </c>
      <c r="T12" s="82">
        <f>SUMIFS(BD.OS!$V:$V,BD.OS!$B:$B,'PROCV Prod.Total'!B12,BD.OS!$C:$C,'PROCV Prod.Total'!C12,BD.OS!$E:$E,"SIM")</f>
        <v>0</v>
      </c>
      <c r="U12" s="82">
        <f>SUMIFS(BD.OS!$W:$W,BD.OS!$B:$B,'PROCV Prod.Total'!B12,BD.OS!$C:$C,'PROCV Prod.Total'!C12,BD.OS!$E:$E,"SIM")</f>
        <v>0</v>
      </c>
      <c r="W12" s="82">
        <f>SUMIFS(BD.OS!$F:$F,BD.OS!$B:$B,'PROCV Prod.Total'!B12,BD.OS!$C:$C,'PROCV Prod.Total'!C12,BD.OS!$E:$E,"NÃO")</f>
        <v>0</v>
      </c>
      <c r="X12" s="82">
        <f>SUMIFS(BD.OS!$G:$G,BD.OS!$B:$B,'PROCV Prod.Total'!B12,BD.OS!$C:$C,'PROCV Prod.Total'!C12,BD.OS!$E:$E,"NÃO")</f>
        <v>0</v>
      </c>
      <c r="Y12" s="82">
        <f>SUMIFS(BD.OS!$H:$H,BD.OS!$B:$B,'PROCV Prod.Total'!B12,BD.OS!$C:$C,'PROCV Prod.Total'!C12,BD.OS!$E:$E,"NÃO")</f>
        <v>0</v>
      </c>
      <c r="Z12" s="82">
        <f>SUMIFS(BD.OS!$I:$I,BD.OS!$B:$B,'PROCV Prod.Total'!B12,BD.OS!$C:$C,'PROCV Prod.Total'!C12,BD.OS!$E:$E,"NÃO")</f>
        <v>0</v>
      </c>
      <c r="AA12" s="82">
        <f>SUMIFS(BD.OS!$J:$J,BD.OS!$B:$B,'PROCV Prod.Total'!B12,BD.OS!$C:$C,'PROCV Prod.Total'!C12,BD.OS!$E:$E,"NÃO")</f>
        <v>0</v>
      </c>
      <c r="AB12" s="82">
        <f>SUMIFS(BD.OS!$K:$K,BD.OS!$B:$B,'PROCV Prod.Total'!B12,BD.OS!$C:$C,'PROCV Prod.Total'!C12,BD.OS!$E:$E,"NÃO")</f>
        <v>0</v>
      </c>
      <c r="AC12" s="82">
        <f>SUMIFS(BD.OS!$L:$L,BD.OS!$B:$B,'PROCV Prod.Total'!B12,BD.OS!$C:$C,'PROCV Prod.Total'!C12,BD.OS!$E:$E,"NÃO")</f>
        <v>0</v>
      </c>
      <c r="AD12" s="82">
        <f>SUMIFS(BD.OS!$M:$M,BD.OS!$B:$B,'PROCV Prod.Total'!B12,BD.OS!$C:$C,'PROCV Prod.Total'!C12,BD.OS!$E:$E,"NÃO")</f>
        <v>0</v>
      </c>
      <c r="AE12" s="82">
        <f>SUMIFS(BD.OS!$N:$N,BD.OS!$B:$B,'PROCV Prod.Total'!B12,BD.OS!$C:$C,'PROCV Prod.Total'!C12,BD.OS!$E:$E,"NÃO")</f>
        <v>0</v>
      </c>
      <c r="AF12" s="82">
        <f>SUMIFS(BD.OS!$O:$O,BD.OS!$B:$B,'PROCV Prod.Total'!B12,BD.OS!$C:$C,'PROCV Prod.Total'!C12,BD.OS!$E:$E,"NÃO")</f>
        <v>0</v>
      </c>
      <c r="AG12" s="82">
        <f>SUMIFS(BD.OS!$P:$P,BD.OS!$B:$B,'PROCV Prod.Total'!B12,BD.OS!$C:$C,'PROCV Prod.Total'!C12,BD.OS!$E:$E,"NÃO")</f>
        <v>0</v>
      </c>
      <c r="AH12" s="82">
        <f>SUMIFS(BD.OS!$Q:$Q,BD.OS!$B:$B,'PROCV Prod.Total'!B12,BD.OS!$C:$C,'PROCV Prod.Total'!C12,BD.OS!$E:$E,"NÃO")</f>
        <v>0</v>
      </c>
      <c r="AI12" s="82">
        <f>SUMIFS(BD.OS!$R:$R,BD.OS!$B:$B,'PROCV Prod.Total'!B12,BD.OS!$C:$C,'PROCV Prod.Total'!C12,BD.OS!$E:$E,"NÃO")</f>
        <v>0</v>
      </c>
      <c r="AJ12" s="82">
        <f>SUMIFS(BD.OS!$S:$S,BD.OS!$B:$B,'PROCV Prod.Total'!B12,BD.OS!$C:$C,'PROCV Prod.Total'!C12,BD.OS!$E:$E,"NÃO")</f>
        <v>0</v>
      </c>
      <c r="AK12" s="82">
        <f>SUMIFS(BD.OS!$T:$T,BD.OS!$B:$B,'PROCV Prod.Total'!B12,BD.OS!$C:$C,'PROCV Prod.Total'!C12,BD.OS!$E:$E,"NÃO")</f>
        <v>0</v>
      </c>
      <c r="AL12" s="82">
        <f>SUMIFS(BD.OS!$U:$U,BD.OS!$B:$B,'PROCV Prod.Total'!B12,BD.OS!$C:$C,'PROCV Prod.Total'!C12,BD.OS!$E:$E,"NÃO")</f>
        <v>0</v>
      </c>
      <c r="AM12" s="82">
        <f>SUMIFS(BD.OS!$V:$V,BD.OS!$B:$B,'PROCV Prod.Total'!B12,BD.OS!$C:$C,'PROCV Prod.Total'!C12,BD.OS!$E:$E,"NÃO")</f>
        <v>0</v>
      </c>
      <c r="AN12" s="82">
        <f>SUMIFS(BD.OS!$W:$W,BD.OS!$B:$B,'PROCV Prod.Total'!B12,BD.OS!$C:$C,'PROCV Prod.Total'!C12,BD.OS!$E:$E,"NÃO")</f>
        <v>0</v>
      </c>
      <c r="AO12" s="16"/>
      <c r="AP12" s="78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69">
        <f t="shared" si="1"/>
        <v>42217</v>
      </c>
      <c r="BK12">
        <f t="shared" si="3"/>
        <v>747</v>
      </c>
      <c r="BL12">
        <f t="shared" si="4"/>
        <v>1</v>
      </c>
      <c r="BM12">
        <f t="shared" si="5"/>
        <v>7</v>
      </c>
      <c r="BN12">
        <f t="shared" si="6"/>
        <v>9</v>
      </c>
      <c r="BO12">
        <f t="shared" si="7"/>
        <v>10</v>
      </c>
      <c r="BP12">
        <f t="shared" si="8"/>
        <v>0</v>
      </c>
      <c r="BQ12">
        <f t="shared" si="9"/>
        <v>102</v>
      </c>
      <c r="BR12">
        <f t="shared" si="10"/>
        <v>0</v>
      </c>
      <c r="BS12">
        <f t="shared" si="11"/>
        <v>0</v>
      </c>
      <c r="BT12">
        <f t="shared" si="12"/>
        <v>4</v>
      </c>
      <c r="BU12">
        <f t="shared" si="13"/>
        <v>4</v>
      </c>
      <c r="BV12">
        <f t="shared" si="14"/>
        <v>0</v>
      </c>
      <c r="BW12">
        <f t="shared" si="15"/>
        <v>1</v>
      </c>
      <c r="BX12">
        <f t="shared" si="16"/>
        <v>19</v>
      </c>
      <c r="BY12">
        <f t="shared" si="17"/>
        <v>4</v>
      </c>
      <c r="BZ12">
        <f t="shared" si="18"/>
        <v>1</v>
      </c>
      <c r="CA12">
        <f t="shared" si="19"/>
        <v>0</v>
      </c>
      <c r="CB12">
        <f t="shared" si="20"/>
        <v>0</v>
      </c>
      <c r="CC12" s="168"/>
      <c r="CD12" s="82"/>
    </row>
    <row r="13" spans="2:82" x14ac:dyDescent="0.2">
      <c r="B13" s="78">
        <f t="shared" si="0"/>
        <v>2016</v>
      </c>
      <c r="C13" s="78">
        <v>11</v>
      </c>
      <c r="D13" s="82">
        <f>SUMIFS(BD.OS!$F:$F,BD.OS!$B:$B,'PROCV Prod.Total'!B13,BD.OS!$C:$C,'PROCV Prod.Total'!C13,BD.OS!$E:$E,"SIM")</f>
        <v>0</v>
      </c>
      <c r="E13" s="82">
        <f>SUMIFS(BD.OS!$G:$G,BD.OS!$B:$B,'PROCV Prod.Total'!B13,BD.OS!$C:$C,'PROCV Prod.Total'!C13,BD.OS!$E:$E,"SIM")</f>
        <v>0</v>
      </c>
      <c r="F13" s="82">
        <f>SUMIFS(BD.OS!$H:$H,BD.OS!$B:$B,'PROCV Prod.Total'!B13,BD.OS!$C:$C,'PROCV Prod.Total'!C13,BD.OS!$E:$E,"SIM")</f>
        <v>0</v>
      </c>
      <c r="G13" s="82">
        <f>SUMIFS(BD.OS!$I:$I,BD.OS!$B:$B,'PROCV Prod.Total'!B13,BD.OS!$C:$C,'PROCV Prod.Total'!C13,BD.OS!$E:$E,"SIM")</f>
        <v>0</v>
      </c>
      <c r="H13" s="82">
        <f>SUMIFS(BD.OS!$J:$J,BD.OS!$B:$B,'PROCV Prod.Total'!B13,BD.OS!$C:$C,'PROCV Prod.Total'!C13,BD.OS!$E:$E,"SIM")</f>
        <v>0</v>
      </c>
      <c r="I13" s="82">
        <f>SUMIFS(BD.OS!$K:$K,BD.OS!$B:$B,'PROCV Prod.Total'!B13,BD.OS!$C:$C,'PROCV Prod.Total'!C13,BD.OS!$E:$E,"SIM")</f>
        <v>0</v>
      </c>
      <c r="J13" s="82">
        <f>SUMIFS(BD.OS!$L:$L,BD.OS!$B:$B,'PROCV Prod.Total'!B13,BD.OS!$C:$C,'PROCV Prod.Total'!C13,BD.OS!$E:$E,"SIM")</f>
        <v>0</v>
      </c>
      <c r="K13" s="82">
        <f>SUMIFS(BD.OS!$M:$M,BD.OS!$B:$B,'PROCV Prod.Total'!B13,BD.OS!$C:$C,'PROCV Prod.Total'!C13,BD.OS!$E:$E,"SIM")</f>
        <v>0</v>
      </c>
      <c r="L13" s="82">
        <f>SUMIFS(BD.OS!$N:$N,BD.OS!$B:$B,'PROCV Prod.Total'!B13,BD.OS!$C:$C,'PROCV Prod.Total'!C13,BD.OS!$E:$E,"SIM")</f>
        <v>0</v>
      </c>
      <c r="M13" s="82">
        <f>SUMIFS(BD.OS!$O:$O,BD.OS!$B:$B,'PROCV Prod.Total'!B13,BD.OS!$C:$C,'PROCV Prod.Total'!C13,BD.OS!$E:$E,"SIM")</f>
        <v>0</v>
      </c>
      <c r="N13" s="82">
        <f>SUMIFS(BD.OS!$P:$P,BD.OS!$B:$B,'PROCV Prod.Total'!B13,BD.OS!$C:$C,'PROCV Prod.Total'!C13,BD.OS!$E:$E,"SIM")</f>
        <v>0</v>
      </c>
      <c r="O13" s="82">
        <f>SUMIFS(BD.OS!$Q:$Q,BD.OS!$B:$B,'PROCV Prod.Total'!B13,BD.OS!$C:$C,'PROCV Prod.Total'!C13,BD.OS!$E:$E,"SIM")</f>
        <v>0</v>
      </c>
      <c r="P13" s="82">
        <f>SUMIFS(BD.OS!$R:$R,BD.OS!$B:$B,'PROCV Prod.Total'!B13,BD.OS!$C:$C,'PROCV Prod.Total'!C13,BD.OS!$E:$E,"SIM")</f>
        <v>0</v>
      </c>
      <c r="Q13" s="82">
        <f>SUMIFS(BD.OS!$S:$S,BD.OS!$B:$B,'PROCV Prod.Total'!B13,BD.OS!$C:$C,'PROCV Prod.Total'!C13,BD.OS!$E:$E,"SIM")</f>
        <v>0</v>
      </c>
      <c r="R13" s="82">
        <f>SUMIFS(BD.OS!$T:$T,BD.OS!$B:$B,'PROCV Prod.Total'!B13,BD.OS!$C:$C,'PROCV Prod.Total'!C13,BD.OS!$E:$E,"SIM")</f>
        <v>0</v>
      </c>
      <c r="S13" s="82">
        <f>SUMIFS(BD.OS!$U:$U,BD.OS!$B:$B,'PROCV Prod.Total'!B13,BD.OS!$C:$C,'PROCV Prod.Total'!C13,BD.OS!$E:$E,"SIM")</f>
        <v>0</v>
      </c>
      <c r="T13" s="82">
        <f>SUMIFS(BD.OS!$V:$V,BD.OS!$B:$B,'PROCV Prod.Total'!B13,BD.OS!$C:$C,'PROCV Prod.Total'!C13,BD.OS!$E:$E,"SIM")</f>
        <v>0</v>
      </c>
      <c r="U13" s="82">
        <f>SUMIFS(BD.OS!$W:$W,BD.OS!$B:$B,'PROCV Prod.Total'!B13,BD.OS!$C:$C,'PROCV Prod.Total'!C13,BD.OS!$E:$E,"SIM")</f>
        <v>0</v>
      </c>
      <c r="W13" s="82">
        <f>SUMIFS(BD.OS!$F:$F,BD.OS!$B:$B,'PROCV Prod.Total'!B13,BD.OS!$C:$C,'PROCV Prod.Total'!C13,BD.OS!$E:$E,"NÃO")</f>
        <v>0</v>
      </c>
      <c r="X13" s="82">
        <f>SUMIFS(BD.OS!$G:$G,BD.OS!$B:$B,'PROCV Prod.Total'!B13,BD.OS!$C:$C,'PROCV Prod.Total'!C13,BD.OS!$E:$E,"NÃO")</f>
        <v>0</v>
      </c>
      <c r="Y13" s="82">
        <f>SUMIFS(BD.OS!$H:$H,BD.OS!$B:$B,'PROCV Prod.Total'!B13,BD.OS!$C:$C,'PROCV Prod.Total'!C13,BD.OS!$E:$E,"NÃO")</f>
        <v>0</v>
      </c>
      <c r="Z13" s="82">
        <f>SUMIFS(BD.OS!$I:$I,BD.OS!$B:$B,'PROCV Prod.Total'!B13,BD.OS!$C:$C,'PROCV Prod.Total'!C13,BD.OS!$E:$E,"NÃO")</f>
        <v>0</v>
      </c>
      <c r="AA13" s="82">
        <f>SUMIFS(BD.OS!$J:$J,BD.OS!$B:$B,'PROCV Prod.Total'!B13,BD.OS!$C:$C,'PROCV Prod.Total'!C13,BD.OS!$E:$E,"NÃO")</f>
        <v>0</v>
      </c>
      <c r="AB13" s="82">
        <f>SUMIFS(BD.OS!$K:$K,BD.OS!$B:$B,'PROCV Prod.Total'!B13,BD.OS!$C:$C,'PROCV Prod.Total'!C13,BD.OS!$E:$E,"NÃO")</f>
        <v>0</v>
      </c>
      <c r="AC13" s="82">
        <f>SUMIFS(BD.OS!$L:$L,BD.OS!$B:$B,'PROCV Prod.Total'!B13,BD.OS!$C:$C,'PROCV Prod.Total'!C13,BD.OS!$E:$E,"NÃO")</f>
        <v>0</v>
      </c>
      <c r="AD13" s="82">
        <f>SUMIFS(BD.OS!$M:$M,BD.OS!$B:$B,'PROCV Prod.Total'!B13,BD.OS!$C:$C,'PROCV Prod.Total'!C13,BD.OS!$E:$E,"NÃO")</f>
        <v>0</v>
      </c>
      <c r="AE13" s="82">
        <f>SUMIFS(BD.OS!$N:$N,BD.OS!$B:$B,'PROCV Prod.Total'!B13,BD.OS!$C:$C,'PROCV Prod.Total'!C13,BD.OS!$E:$E,"NÃO")</f>
        <v>0</v>
      </c>
      <c r="AF13" s="82">
        <f>SUMIFS(BD.OS!$O:$O,BD.OS!$B:$B,'PROCV Prod.Total'!B13,BD.OS!$C:$C,'PROCV Prod.Total'!C13,BD.OS!$E:$E,"NÃO")</f>
        <v>0</v>
      </c>
      <c r="AG13" s="82">
        <f>SUMIFS(BD.OS!$P:$P,BD.OS!$B:$B,'PROCV Prod.Total'!B13,BD.OS!$C:$C,'PROCV Prod.Total'!C13,BD.OS!$E:$E,"NÃO")</f>
        <v>0</v>
      </c>
      <c r="AH13" s="82">
        <f>SUMIFS(BD.OS!$Q:$Q,BD.OS!$B:$B,'PROCV Prod.Total'!B13,BD.OS!$C:$C,'PROCV Prod.Total'!C13,BD.OS!$E:$E,"NÃO")</f>
        <v>0</v>
      </c>
      <c r="AI13" s="82">
        <f>SUMIFS(BD.OS!$R:$R,BD.OS!$B:$B,'PROCV Prod.Total'!B13,BD.OS!$C:$C,'PROCV Prod.Total'!C13,BD.OS!$E:$E,"NÃO")</f>
        <v>0</v>
      </c>
      <c r="AJ13" s="82">
        <f>SUMIFS(BD.OS!$S:$S,BD.OS!$B:$B,'PROCV Prod.Total'!B13,BD.OS!$C:$C,'PROCV Prod.Total'!C13,BD.OS!$E:$E,"NÃO")</f>
        <v>0</v>
      </c>
      <c r="AK13" s="82">
        <f>SUMIFS(BD.OS!$T:$T,BD.OS!$B:$B,'PROCV Prod.Total'!B13,BD.OS!$C:$C,'PROCV Prod.Total'!C13,BD.OS!$E:$E,"NÃO")</f>
        <v>0</v>
      </c>
      <c r="AL13" s="82">
        <f>SUMIFS(BD.OS!$U:$U,BD.OS!$B:$B,'PROCV Prod.Total'!B13,BD.OS!$C:$C,'PROCV Prod.Total'!C13,BD.OS!$E:$E,"NÃO")</f>
        <v>0</v>
      </c>
      <c r="AM13" s="82">
        <f>SUMIFS(BD.OS!$V:$V,BD.OS!$B:$B,'PROCV Prod.Total'!B13,BD.OS!$C:$C,'PROCV Prod.Total'!C13,BD.OS!$E:$E,"NÃO")</f>
        <v>0</v>
      </c>
      <c r="AN13" s="82">
        <f>SUMIFS(BD.OS!$W:$W,BD.OS!$B:$B,'PROCV Prod.Total'!B13,BD.OS!$C:$C,'PROCV Prod.Total'!C13,BD.OS!$E:$E,"NÃO")</f>
        <v>0</v>
      </c>
      <c r="AO13" s="16"/>
      <c r="AP13" s="78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69">
        <f t="shared" si="1"/>
        <v>42186</v>
      </c>
      <c r="BK13">
        <f t="shared" si="3"/>
        <v>1071</v>
      </c>
      <c r="BL13">
        <f t="shared" si="4"/>
        <v>0</v>
      </c>
      <c r="BM13">
        <f t="shared" si="5"/>
        <v>33</v>
      </c>
      <c r="BN13">
        <f t="shared" si="6"/>
        <v>0</v>
      </c>
      <c r="BO13">
        <f t="shared" si="7"/>
        <v>21</v>
      </c>
      <c r="BP13">
        <f t="shared" si="8"/>
        <v>1</v>
      </c>
      <c r="BQ13">
        <f t="shared" si="9"/>
        <v>108</v>
      </c>
      <c r="BR13">
        <f t="shared" si="10"/>
        <v>0</v>
      </c>
      <c r="BS13">
        <f t="shared" si="11"/>
        <v>0</v>
      </c>
      <c r="BT13">
        <f t="shared" si="12"/>
        <v>0</v>
      </c>
      <c r="BU13">
        <f t="shared" si="13"/>
        <v>52</v>
      </c>
      <c r="BV13">
        <f t="shared" si="14"/>
        <v>0</v>
      </c>
      <c r="BW13">
        <f t="shared" si="15"/>
        <v>21</v>
      </c>
      <c r="BX13">
        <f t="shared" si="16"/>
        <v>7</v>
      </c>
      <c r="BY13">
        <f t="shared" si="17"/>
        <v>5</v>
      </c>
      <c r="BZ13">
        <f t="shared" si="18"/>
        <v>1</v>
      </c>
      <c r="CA13">
        <f t="shared" si="19"/>
        <v>0</v>
      </c>
      <c r="CB13">
        <f t="shared" si="20"/>
        <v>3</v>
      </c>
      <c r="CC13" s="168"/>
      <c r="CD13" s="82"/>
    </row>
    <row r="14" spans="2:82" x14ac:dyDescent="0.2">
      <c r="B14" s="78">
        <f t="shared" si="0"/>
        <v>2016</v>
      </c>
      <c r="C14" s="78">
        <v>12</v>
      </c>
      <c r="D14" s="82">
        <f>SUMIFS(BD.OS!$F:$F,BD.OS!$B:$B,'PROCV Prod.Total'!B14,BD.OS!$C:$C,'PROCV Prod.Total'!C14,BD.OS!$E:$E,"SIM")</f>
        <v>0</v>
      </c>
      <c r="E14" s="82">
        <f>SUMIFS(BD.OS!$G:$G,BD.OS!$B:$B,'PROCV Prod.Total'!B14,BD.OS!$C:$C,'PROCV Prod.Total'!C14,BD.OS!$E:$E,"SIM")</f>
        <v>0</v>
      </c>
      <c r="F14" s="82">
        <f>SUMIFS(BD.OS!$H:$H,BD.OS!$B:$B,'PROCV Prod.Total'!B14,BD.OS!$C:$C,'PROCV Prod.Total'!C14,BD.OS!$E:$E,"SIM")</f>
        <v>0</v>
      </c>
      <c r="G14" s="82">
        <f>SUMIFS(BD.OS!$I:$I,BD.OS!$B:$B,'PROCV Prod.Total'!B14,BD.OS!$C:$C,'PROCV Prod.Total'!C14,BD.OS!$E:$E,"SIM")</f>
        <v>0</v>
      </c>
      <c r="H14" s="82">
        <f>SUMIFS(BD.OS!$J:$J,BD.OS!$B:$B,'PROCV Prod.Total'!B14,BD.OS!$C:$C,'PROCV Prod.Total'!C14,BD.OS!$E:$E,"SIM")</f>
        <v>0</v>
      </c>
      <c r="I14" s="82">
        <f>SUMIFS(BD.OS!$K:$K,BD.OS!$B:$B,'PROCV Prod.Total'!B14,BD.OS!$C:$C,'PROCV Prod.Total'!C14,BD.OS!$E:$E,"SIM")</f>
        <v>0</v>
      </c>
      <c r="J14" s="82">
        <f>SUMIFS(BD.OS!$L:$L,BD.OS!$B:$B,'PROCV Prod.Total'!B14,BD.OS!$C:$C,'PROCV Prod.Total'!C14,BD.OS!$E:$E,"SIM")</f>
        <v>0</v>
      </c>
      <c r="K14" s="82">
        <f>SUMIFS(BD.OS!$M:$M,BD.OS!$B:$B,'PROCV Prod.Total'!B14,BD.OS!$C:$C,'PROCV Prod.Total'!C14,BD.OS!$E:$E,"SIM")</f>
        <v>0</v>
      </c>
      <c r="L14" s="82">
        <f>SUMIFS(BD.OS!$N:$N,BD.OS!$B:$B,'PROCV Prod.Total'!B14,BD.OS!$C:$C,'PROCV Prod.Total'!C14,BD.OS!$E:$E,"SIM")</f>
        <v>0</v>
      </c>
      <c r="M14" s="82">
        <f>SUMIFS(BD.OS!$O:$O,BD.OS!$B:$B,'PROCV Prod.Total'!B14,BD.OS!$C:$C,'PROCV Prod.Total'!C14,BD.OS!$E:$E,"SIM")</f>
        <v>0</v>
      </c>
      <c r="N14" s="82">
        <f>SUMIFS(BD.OS!$P:$P,BD.OS!$B:$B,'PROCV Prod.Total'!B14,BD.OS!$C:$C,'PROCV Prod.Total'!C14,BD.OS!$E:$E,"SIM")</f>
        <v>0</v>
      </c>
      <c r="O14" s="82">
        <f>SUMIFS(BD.OS!$Q:$Q,BD.OS!$B:$B,'PROCV Prod.Total'!B14,BD.OS!$C:$C,'PROCV Prod.Total'!C14,BD.OS!$E:$E,"SIM")</f>
        <v>0</v>
      </c>
      <c r="P14" s="82">
        <f>SUMIFS(BD.OS!$R:$R,BD.OS!$B:$B,'PROCV Prod.Total'!B14,BD.OS!$C:$C,'PROCV Prod.Total'!C14,BD.OS!$E:$E,"SIM")</f>
        <v>0</v>
      </c>
      <c r="Q14" s="82">
        <f>SUMIFS(BD.OS!$S:$S,BD.OS!$B:$B,'PROCV Prod.Total'!B14,BD.OS!$C:$C,'PROCV Prod.Total'!C14,BD.OS!$E:$E,"SIM")</f>
        <v>0</v>
      </c>
      <c r="R14" s="82">
        <f>SUMIFS(BD.OS!$T:$T,BD.OS!$B:$B,'PROCV Prod.Total'!B14,BD.OS!$C:$C,'PROCV Prod.Total'!C14,BD.OS!$E:$E,"SIM")</f>
        <v>0</v>
      </c>
      <c r="S14" s="82">
        <f>SUMIFS(BD.OS!$U:$U,BD.OS!$B:$B,'PROCV Prod.Total'!B14,BD.OS!$C:$C,'PROCV Prod.Total'!C14,BD.OS!$E:$E,"SIM")</f>
        <v>0</v>
      </c>
      <c r="T14" s="82">
        <f>SUMIFS(BD.OS!$V:$V,BD.OS!$B:$B,'PROCV Prod.Total'!B14,BD.OS!$C:$C,'PROCV Prod.Total'!C14,BD.OS!$E:$E,"SIM")</f>
        <v>0</v>
      </c>
      <c r="U14" s="82">
        <f>SUMIFS(BD.OS!$W:$W,BD.OS!$B:$B,'PROCV Prod.Total'!B14,BD.OS!$C:$C,'PROCV Prod.Total'!C14,BD.OS!$E:$E,"SIM")</f>
        <v>0</v>
      </c>
      <c r="W14" s="82">
        <f>SUMIFS(BD.OS!$F:$F,BD.OS!$B:$B,'PROCV Prod.Total'!B14,BD.OS!$C:$C,'PROCV Prod.Total'!C14,BD.OS!$E:$E,"NÃO")</f>
        <v>0</v>
      </c>
      <c r="X14" s="82">
        <f>SUMIFS(BD.OS!$G:$G,BD.OS!$B:$B,'PROCV Prod.Total'!B14,BD.OS!$C:$C,'PROCV Prod.Total'!C14,BD.OS!$E:$E,"NÃO")</f>
        <v>0</v>
      </c>
      <c r="Y14" s="82">
        <f>SUMIFS(BD.OS!$H:$H,BD.OS!$B:$B,'PROCV Prod.Total'!B14,BD.OS!$C:$C,'PROCV Prod.Total'!C14,BD.OS!$E:$E,"NÃO")</f>
        <v>0</v>
      </c>
      <c r="Z14" s="82">
        <f>SUMIFS(BD.OS!$I:$I,BD.OS!$B:$B,'PROCV Prod.Total'!B14,BD.OS!$C:$C,'PROCV Prod.Total'!C14,BD.OS!$E:$E,"NÃO")</f>
        <v>0</v>
      </c>
      <c r="AA14" s="82">
        <f>SUMIFS(BD.OS!$J:$J,BD.OS!$B:$B,'PROCV Prod.Total'!B14,BD.OS!$C:$C,'PROCV Prod.Total'!C14,BD.OS!$E:$E,"NÃO")</f>
        <v>0</v>
      </c>
      <c r="AB14" s="82">
        <f>SUMIFS(BD.OS!$K:$K,BD.OS!$B:$B,'PROCV Prod.Total'!B14,BD.OS!$C:$C,'PROCV Prod.Total'!C14,BD.OS!$E:$E,"NÃO")</f>
        <v>0</v>
      </c>
      <c r="AC14" s="82">
        <f>SUMIFS(BD.OS!$L:$L,BD.OS!$B:$B,'PROCV Prod.Total'!B14,BD.OS!$C:$C,'PROCV Prod.Total'!C14,BD.OS!$E:$E,"NÃO")</f>
        <v>0</v>
      </c>
      <c r="AD14" s="82">
        <f>SUMIFS(BD.OS!$M:$M,BD.OS!$B:$B,'PROCV Prod.Total'!B14,BD.OS!$C:$C,'PROCV Prod.Total'!C14,BD.OS!$E:$E,"NÃO")</f>
        <v>0</v>
      </c>
      <c r="AE14" s="82">
        <f>SUMIFS(BD.OS!$N:$N,BD.OS!$B:$B,'PROCV Prod.Total'!B14,BD.OS!$C:$C,'PROCV Prod.Total'!C14,BD.OS!$E:$E,"NÃO")</f>
        <v>0</v>
      </c>
      <c r="AF14" s="82">
        <f>SUMIFS(BD.OS!$O:$O,BD.OS!$B:$B,'PROCV Prod.Total'!B14,BD.OS!$C:$C,'PROCV Prod.Total'!C14,BD.OS!$E:$E,"NÃO")</f>
        <v>0</v>
      </c>
      <c r="AG14" s="82">
        <f>SUMIFS(BD.OS!$P:$P,BD.OS!$B:$B,'PROCV Prod.Total'!B14,BD.OS!$C:$C,'PROCV Prod.Total'!C14,BD.OS!$E:$E,"NÃO")</f>
        <v>0</v>
      </c>
      <c r="AH14" s="82">
        <f>SUMIFS(BD.OS!$Q:$Q,BD.OS!$B:$B,'PROCV Prod.Total'!B14,BD.OS!$C:$C,'PROCV Prod.Total'!C14,BD.OS!$E:$E,"NÃO")</f>
        <v>0</v>
      </c>
      <c r="AI14" s="82">
        <f>SUMIFS(BD.OS!$R:$R,BD.OS!$B:$B,'PROCV Prod.Total'!B14,BD.OS!$C:$C,'PROCV Prod.Total'!C14,BD.OS!$E:$E,"NÃO")</f>
        <v>0</v>
      </c>
      <c r="AJ14" s="82">
        <f>SUMIFS(BD.OS!$S:$S,BD.OS!$B:$B,'PROCV Prod.Total'!B14,BD.OS!$C:$C,'PROCV Prod.Total'!C14,BD.OS!$E:$E,"NÃO")</f>
        <v>0</v>
      </c>
      <c r="AK14" s="82">
        <f>SUMIFS(BD.OS!$T:$T,BD.OS!$B:$B,'PROCV Prod.Total'!B14,BD.OS!$C:$C,'PROCV Prod.Total'!C14,BD.OS!$E:$E,"NÃO")</f>
        <v>0</v>
      </c>
      <c r="AL14" s="82">
        <f>SUMIFS(BD.OS!$U:$U,BD.OS!$B:$B,'PROCV Prod.Total'!B14,BD.OS!$C:$C,'PROCV Prod.Total'!C14,BD.OS!$E:$E,"NÃO")</f>
        <v>0</v>
      </c>
      <c r="AM14" s="82">
        <f>SUMIFS(BD.OS!$V:$V,BD.OS!$B:$B,'PROCV Prod.Total'!B14,BD.OS!$C:$C,'PROCV Prod.Total'!C14,BD.OS!$E:$E,"NÃO")</f>
        <v>0</v>
      </c>
      <c r="AN14" s="82">
        <f>SUMIFS(BD.OS!$W:$W,BD.OS!$B:$B,'PROCV Prod.Total'!B14,BD.OS!$C:$C,'PROCV Prod.Total'!C14,BD.OS!$E:$E,"NÃO")</f>
        <v>0</v>
      </c>
      <c r="AO14" s="16"/>
      <c r="AP14" s="78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69">
        <f t="shared" si="1"/>
        <v>42156</v>
      </c>
      <c r="BK14">
        <f t="shared" si="3"/>
        <v>749</v>
      </c>
      <c r="BL14">
        <f t="shared" si="4"/>
        <v>20</v>
      </c>
      <c r="BM14">
        <f t="shared" si="5"/>
        <v>104</v>
      </c>
      <c r="BN14">
        <f t="shared" si="6"/>
        <v>63</v>
      </c>
      <c r="BO14">
        <f t="shared" si="7"/>
        <v>141</v>
      </c>
      <c r="BP14">
        <f t="shared" si="8"/>
        <v>2</v>
      </c>
      <c r="BQ14">
        <f t="shared" si="9"/>
        <v>121</v>
      </c>
      <c r="BR14">
        <f t="shared" si="10"/>
        <v>0</v>
      </c>
      <c r="BS14">
        <f t="shared" si="11"/>
        <v>0</v>
      </c>
      <c r="BT14">
        <f t="shared" si="12"/>
        <v>0</v>
      </c>
      <c r="BU14">
        <f t="shared" si="13"/>
        <v>20</v>
      </c>
      <c r="BV14">
        <f t="shared" si="14"/>
        <v>40</v>
      </c>
      <c r="BW14">
        <f t="shared" si="15"/>
        <v>36</v>
      </c>
      <c r="BX14">
        <f t="shared" si="16"/>
        <v>0</v>
      </c>
      <c r="BY14">
        <f t="shared" si="17"/>
        <v>32</v>
      </c>
      <c r="BZ14">
        <f t="shared" si="18"/>
        <v>0</v>
      </c>
      <c r="CA14">
        <f t="shared" si="19"/>
        <v>0</v>
      </c>
      <c r="CB14">
        <f t="shared" si="20"/>
        <v>19</v>
      </c>
      <c r="CC14" s="168"/>
      <c r="CD14" s="82"/>
    </row>
    <row r="15" spans="2:82" x14ac:dyDescent="0.2">
      <c r="B15" s="78"/>
      <c r="C15" s="78"/>
      <c r="D15" s="82"/>
      <c r="W15" s="82"/>
      <c r="AO15" s="16"/>
      <c r="AP15" s="78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69">
        <f t="shared" si="1"/>
        <v>42125</v>
      </c>
      <c r="BK15">
        <f t="shared" si="3"/>
        <v>313</v>
      </c>
      <c r="BL15">
        <f t="shared" si="4"/>
        <v>146</v>
      </c>
      <c r="BM15">
        <f t="shared" si="5"/>
        <v>13</v>
      </c>
      <c r="BN15">
        <f t="shared" si="6"/>
        <v>7</v>
      </c>
      <c r="BO15">
        <f t="shared" si="7"/>
        <v>71</v>
      </c>
      <c r="BP15">
        <f t="shared" si="8"/>
        <v>13</v>
      </c>
      <c r="BQ15">
        <f t="shared" si="9"/>
        <v>122</v>
      </c>
      <c r="BR15">
        <f t="shared" si="10"/>
        <v>0</v>
      </c>
      <c r="BS15">
        <f t="shared" si="11"/>
        <v>0</v>
      </c>
      <c r="BT15">
        <f t="shared" si="12"/>
        <v>56</v>
      </c>
      <c r="BU15">
        <f t="shared" si="13"/>
        <v>30</v>
      </c>
      <c r="BV15">
        <f t="shared" si="14"/>
        <v>66</v>
      </c>
      <c r="BW15">
        <f t="shared" si="15"/>
        <v>142</v>
      </c>
      <c r="BX15">
        <f t="shared" si="16"/>
        <v>14</v>
      </c>
      <c r="BY15">
        <f t="shared" si="17"/>
        <v>66</v>
      </c>
      <c r="BZ15">
        <f t="shared" si="18"/>
        <v>0</v>
      </c>
      <c r="CA15">
        <f t="shared" si="19"/>
        <v>0</v>
      </c>
      <c r="CB15">
        <f t="shared" si="20"/>
        <v>6</v>
      </c>
    </row>
    <row r="16" spans="2:82" x14ac:dyDescent="0.2">
      <c r="B16" s="78" t="s">
        <v>141</v>
      </c>
      <c r="C16" s="78">
        <v>1</v>
      </c>
      <c r="D16" s="82">
        <f>SUM(D3:U3,W3:AN3)</f>
        <v>1520</v>
      </c>
      <c r="F16">
        <v>1</v>
      </c>
      <c r="G16" s="82">
        <f>SUM(D3:U3)</f>
        <v>917</v>
      </c>
      <c r="I16">
        <v>1</v>
      </c>
      <c r="J16" s="82">
        <f>SUM(W3:AN3)</f>
        <v>603</v>
      </c>
      <c r="K16" s="82"/>
      <c r="L16">
        <v>1</v>
      </c>
      <c r="M16" s="149">
        <f t="shared" ref="M16:M27" si="21">G16/D16</f>
        <v>0.60328947368421049</v>
      </c>
      <c r="O16">
        <v>1</v>
      </c>
      <c r="P16" s="149">
        <f t="shared" ref="P16:P27" si="22">J16/D16</f>
        <v>0.39671052631578946</v>
      </c>
      <c r="U16" s="82"/>
      <c r="AM16" s="16"/>
      <c r="AN16" s="78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J16" s="169"/>
    </row>
    <row r="17" spans="1:82" x14ac:dyDescent="0.2">
      <c r="B17" s="78" t="s">
        <v>141</v>
      </c>
      <c r="C17" s="78">
        <v>2</v>
      </c>
      <c r="D17" s="82">
        <f t="shared" ref="D17:D27" si="23">SUM(D4:U4,W4:AN4)</f>
        <v>1736</v>
      </c>
      <c r="F17">
        <v>2</v>
      </c>
      <c r="G17" s="82">
        <f t="shared" ref="G17:G27" si="24">SUM(D4:U4)</f>
        <v>1210</v>
      </c>
      <c r="I17">
        <v>2</v>
      </c>
      <c r="J17" s="82">
        <f t="shared" ref="J17:J27" si="25">SUM(W4:AN4)</f>
        <v>526</v>
      </c>
      <c r="K17" s="82"/>
      <c r="L17">
        <v>2</v>
      </c>
      <c r="M17" s="149">
        <f t="shared" si="21"/>
        <v>0.69700460829493083</v>
      </c>
      <c r="O17">
        <v>2</v>
      </c>
      <c r="P17" s="149">
        <f t="shared" si="22"/>
        <v>0.30299539170506912</v>
      </c>
      <c r="U17" s="82"/>
      <c r="AM17" s="16"/>
      <c r="AN17" s="78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J17" s="169"/>
    </row>
    <row r="18" spans="1:82" x14ac:dyDescent="0.2">
      <c r="B18" s="78" t="s">
        <v>141</v>
      </c>
      <c r="C18" s="78">
        <v>3</v>
      </c>
      <c r="D18" s="82">
        <f t="shared" si="23"/>
        <v>1679</v>
      </c>
      <c r="F18">
        <v>3</v>
      </c>
      <c r="G18" s="82">
        <f t="shared" si="24"/>
        <v>1132</v>
      </c>
      <c r="I18">
        <v>3</v>
      </c>
      <c r="J18" s="82">
        <f t="shared" si="25"/>
        <v>547</v>
      </c>
      <c r="K18" s="82"/>
      <c r="L18">
        <v>3</v>
      </c>
      <c r="M18" s="149">
        <f t="shared" si="21"/>
        <v>0.67421083978558671</v>
      </c>
      <c r="O18">
        <v>3</v>
      </c>
      <c r="P18" s="149">
        <f t="shared" si="22"/>
        <v>0.32578916021441334</v>
      </c>
      <c r="U18" s="82"/>
      <c r="AM18" s="16"/>
      <c r="AN18" s="78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</row>
    <row r="19" spans="1:82" x14ac:dyDescent="0.2">
      <c r="B19" s="78" t="s">
        <v>141</v>
      </c>
      <c r="C19" s="78">
        <v>4</v>
      </c>
      <c r="D19" s="82">
        <f t="shared" si="23"/>
        <v>1813</v>
      </c>
      <c r="F19">
        <v>4</v>
      </c>
      <c r="G19" s="82">
        <f t="shared" si="24"/>
        <v>1052</v>
      </c>
      <c r="I19">
        <v>4</v>
      </c>
      <c r="J19" s="82">
        <f t="shared" si="25"/>
        <v>761</v>
      </c>
      <c r="K19" s="82"/>
      <c r="L19">
        <v>4</v>
      </c>
      <c r="M19" s="149">
        <f t="shared" si="21"/>
        <v>0.58025372311086598</v>
      </c>
      <c r="O19">
        <v>4</v>
      </c>
      <c r="P19" s="149">
        <f t="shared" si="22"/>
        <v>0.41974627688913402</v>
      </c>
      <c r="U19" s="82"/>
      <c r="AM19" s="16"/>
      <c r="AN19" s="78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</row>
    <row r="20" spans="1:82" x14ac:dyDescent="0.2">
      <c r="B20" s="78" t="s">
        <v>141</v>
      </c>
      <c r="C20" s="78">
        <v>5</v>
      </c>
      <c r="D20" s="82">
        <f t="shared" si="23"/>
        <v>617</v>
      </c>
      <c r="F20">
        <v>5</v>
      </c>
      <c r="G20" s="82">
        <f t="shared" si="24"/>
        <v>300</v>
      </c>
      <c r="I20">
        <v>5</v>
      </c>
      <c r="J20" s="82">
        <f t="shared" si="25"/>
        <v>317</v>
      </c>
      <c r="K20" s="82"/>
      <c r="L20">
        <v>5</v>
      </c>
      <c r="M20" s="149">
        <f t="shared" si="21"/>
        <v>0.48622366288492708</v>
      </c>
      <c r="O20">
        <v>5</v>
      </c>
      <c r="P20" s="149">
        <f t="shared" si="22"/>
        <v>0.51377633711507298</v>
      </c>
      <c r="U20" s="82"/>
      <c r="AM20" s="16"/>
      <c r="AN20" s="78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</row>
    <row r="21" spans="1:82" x14ac:dyDescent="0.2">
      <c r="B21" s="78" t="s">
        <v>141</v>
      </c>
      <c r="C21" s="78">
        <v>6</v>
      </c>
      <c r="D21" s="82">
        <f t="shared" si="23"/>
        <v>0</v>
      </c>
      <c r="F21">
        <v>6</v>
      </c>
      <c r="G21" s="82">
        <f t="shared" si="24"/>
        <v>0</v>
      </c>
      <c r="I21">
        <v>6</v>
      </c>
      <c r="J21" s="82">
        <f t="shared" si="25"/>
        <v>0</v>
      </c>
      <c r="K21" s="82"/>
      <c r="L21">
        <v>6</v>
      </c>
      <c r="M21" s="149" t="e">
        <f t="shared" si="21"/>
        <v>#DIV/0!</v>
      </c>
      <c r="O21">
        <v>6</v>
      </c>
      <c r="P21" s="149" t="e">
        <f t="shared" si="22"/>
        <v>#DIV/0!</v>
      </c>
      <c r="U21" s="82"/>
      <c r="AM21" s="16"/>
      <c r="AN21" s="78"/>
      <c r="AO21" s="115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</row>
    <row r="22" spans="1:82" x14ac:dyDescent="0.2">
      <c r="B22" s="78" t="s">
        <v>141</v>
      </c>
      <c r="C22" s="78">
        <v>7</v>
      </c>
      <c r="D22" s="82">
        <f t="shared" si="23"/>
        <v>0</v>
      </c>
      <c r="F22">
        <v>7</v>
      </c>
      <c r="G22" s="82">
        <f t="shared" si="24"/>
        <v>0</v>
      </c>
      <c r="I22">
        <v>7</v>
      </c>
      <c r="J22" s="82">
        <f t="shared" si="25"/>
        <v>0</v>
      </c>
      <c r="K22" s="82"/>
      <c r="L22">
        <v>7</v>
      </c>
      <c r="M22" s="149" t="e">
        <f t="shared" si="21"/>
        <v>#DIV/0!</v>
      </c>
      <c r="O22">
        <v>7</v>
      </c>
      <c r="P22" s="149" t="e">
        <f t="shared" si="22"/>
        <v>#DIV/0!</v>
      </c>
      <c r="U22" s="82"/>
      <c r="AM22" s="16"/>
      <c r="AN22" s="78"/>
      <c r="AO22" s="115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</row>
    <row r="23" spans="1:82" x14ac:dyDescent="0.2">
      <c r="B23" s="78" t="s">
        <v>141</v>
      </c>
      <c r="C23" s="78">
        <v>8</v>
      </c>
      <c r="D23" s="82">
        <f t="shared" si="23"/>
        <v>0</v>
      </c>
      <c r="F23">
        <v>8</v>
      </c>
      <c r="G23" s="82">
        <f t="shared" si="24"/>
        <v>0</v>
      </c>
      <c r="I23">
        <v>8</v>
      </c>
      <c r="J23" s="82">
        <f t="shared" si="25"/>
        <v>0</v>
      </c>
      <c r="K23" s="82"/>
      <c r="L23">
        <v>8</v>
      </c>
      <c r="M23" s="149" t="e">
        <f t="shared" si="21"/>
        <v>#DIV/0!</v>
      </c>
      <c r="O23">
        <v>8</v>
      </c>
      <c r="P23" s="149" t="e">
        <f t="shared" si="22"/>
        <v>#DIV/0!</v>
      </c>
      <c r="U23" s="82"/>
      <c r="AM23" s="16"/>
      <c r="AN23" s="78"/>
      <c r="AO23" s="115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</row>
    <row r="24" spans="1:82" x14ac:dyDescent="0.2">
      <c r="B24" s="78" t="s">
        <v>141</v>
      </c>
      <c r="C24" s="78">
        <v>9</v>
      </c>
      <c r="D24" s="82">
        <f t="shared" si="23"/>
        <v>0</v>
      </c>
      <c r="F24">
        <v>9</v>
      </c>
      <c r="G24" s="82">
        <f t="shared" si="24"/>
        <v>0</v>
      </c>
      <c r="I24">
        <v>9</v>
      </c>
      <c r="J24" s="82">
        <f t="shared" si="25"/>
        <v>0</v>
      </c>
      <c r="K24" s="82"/>
      <c r="L24">
        <v>9</v>
      </c>
      <c r="M24" s="149" t="e">
        <f t="shared" si="21"/>
        <v>#DIV/0!</v>
      </c>
      <c r="O24">
        <v>9</v>
      </c>
      <c r="P24" s="149" t="e">
        <f t="shared" si="22"/>
        <v>#DIV/0!</v>
      </c>
      <c r="U24" s="82"/>
      <c r="AM24" s="16"/>
      <c r="AN24" s="78"/>
      <c r="AO24" s="115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</row>
    <row r="25" spans="1:82" x14ac:dyDescent="0.2">
      <c r="B25" s="78" t="s">
        <v>141</v>
      </c>
      <c r="C25" s="78">
        <v>10</v>
      </c>
      <c r="D25" s="82">
        <f t="shared" si="23"/>
        <v>0</v>
      </c>
      <c r="F25">
        <v>10</v>
      </c>
      <c r="G25" s="82">
        <f t="shared" si="24"/>
        <v>0</v>
      </c>
      <c r="I25">
        <v>10</v>
      </c>
      <c r="J25" s="82">
        <f t="shared" si="25"/>
        <v>0</v>
      </c>
      <c r="K25" s="82"/>
      <c r="L25">
        <v>10</v>
      </c>
      <c r="M25" s="149" t="e">
        <f t="shared" si="21"/>
        <v>#DIV/0!</v>
      </c>
      <c r="O25">
        <v>10</v>
      </c>
      <c r="P25" s="149" t="e">
        <f t="shared" si="22"/>
        <v>#DIV/0!</v>
      </c>
      <c r="U25" s="82"/>
      <c r="AM25" s="16"/>
      <c r="AN25" s="78"/>
      <c r="AO25" s="115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</row>
    <row r="26" spans="1:82" x14ac:dyDescent="0.2">
      <c r="B26" s="78" t="s">
        <v>141</v>
      </c>
      <c r="C26" s="78">
        <v>11</v>
      </c>
      <c r="D26" s="82">
        <f t="shared" si="23"/>
        <v>0</v>
      </c>
      <c r="F26">
        <v>11</v>
      </c>
      <c r="G26" s="82">
        <f t="shared" si="24"/>
        <v>0</v>
      </c>
      <c r="I26">
        <v>11</v>
      </c>
      <c r="J26" s="82">
        <f t="shared" si="25"/>
        <v>0</v>
      </c>
      <c r="K26" s="82"/>
      <c r="L26">
        <v>11</v>
      </c>
      <c r="M26" s="149" t="e">
        <f t="shared" si="21"/>
        <v>#DIV/0!</v>
      </c>
      <c r="O26">
        <v>11</v>
      </c>
      <c r="P26" s="149" t="e">
        <f t="shared" si="22"/>
        <v>#DIV/0!</v>
      </c>
      <c r="U26" s="82"/>
      <c r="AM26" s="16"/>
      <c r="AN26" s="78"/>
      <c r="AO26" s="115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</row>
    <row r="27" spans="1:82" x14ac:dyDescent="0.2">
      <c r="B27" s="78" t="s">
        <v>141</v>
      </c>
      <c r="C27" s="78">
        <v>12</v>
      </c>
      <c r="D27" s="82">
        <f t="shared" si="23"/>
        <v>0</v>
      </c>
      <c r="F27">
        <v>12</v>
      </c>
      <c r="G27" s="82">
        <f t="shared" si="24"/>
        <v>0</v>
      </c>
      <c r="I27">
        <v>12</v>
      </c>
      <c r="J27" s="82">
        <f t="shared" si="25"/>
        <v>0</v>
      </c>
      <c r="K27" s="82"/>
      <c r="L27">
        <v>12</v>
      </c>
      <c r="M27" s="149" t="e">
        <f t="shared" si="21"/>
        <v>#DIV/0!</v>
      </c>
      <c r="O27">
        <v>12</v>
      </c>
      <c r="P27" s="149" t="e">
        <f t="shared" si="22"/>
        <v>#DIV/0!</v>
      </c>
      <c r="U27" s="82"/>
      <c r="AM27" s="16"/>
      <c r="AN27" s="78"/>
      <c r="AO27" s="115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</row>
    <row r="28" spans="1:82" x14ac:dyDescent="0.2">
      <c r="B28" s="78"/>
      <c r="C28" s="78"/>
      <c r="D28" s="82"/>
      <c r="W28" s="82"/>
      <c r="AO28" s="16"/>
      <c r="AP28" s="159">
        <f>A30</f>
        <v>42522</v>
      </c>
      <c r="AQ28" s="115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</row>
    <row r="29" spans="1:82" x14ac:dyDescent="0.2">
      <c r="D29">
        <v>0</v>
      </c>
      <c r="E29">
        <v>9701</v>
      </c>
      <c r="F29">
        <v>9702</v>
      </c>
      <c r="G29">
        <v>9703</v>
      </c>
      <c r="H29">
        <v>9704</v>
      </c>
      <c r="I29">
        <v>9705</v>
      </c>
      <c r="J29">
        <v>9706</v>
      </c>
      <c r="K29">
        <v>9707</v>
      </c>
      <c r="L29">
        <v>9708</v>
      </c>
      <c r="M29">
        <v>9709</v>
      </c>
      <c r="N29">
        <v>9710</v>
      </c>
      <c r="O29">
        <v>9711</v>
      </c>
      <c r="P29">
        <v>9712</v>
      </c>
      <c r="Q29">
        <v>9713</v>
      </c>
      <c r="R29">
        <v>9714</v>
      </c>
      <c r="S29">
        <v>9715</v>
      </c>
      <c r="T29">
        <v>9716</v>
      </c>
      <c r="U29">
        <v>97001</v>
      </c>
      <c r="W29">
        <v>0</v>
      </c>
      <c r="X29">
        <v>9701</v>
      </c>
      <c r="Y29">
        <v>9702</v>
      </c>
      <c r="Z29">
        <v>9703</v>
      </c>
      <c r="AA29">
        <v>9704</v>
      </c>
      <c r="AB29">
        <v>9705</v>
      </c>
      <c r="AC29">
        <v>9706</v>
      </c>
      <c r="AD29">
        <v>9707</v>
      </c>
      <c r="AE29">
        <v>9708</v>
      </c>
      <c r="AF29">
        <v>9709</v>
      </c>
      <c r="AG29">
        <v>9710</v>
      </c>
      <c r="AH29">
        <v>9711</v>
      </c>
      <c r="AI29">
        <v>9712</v>
      </c>
      <c r="AJ29">
        <v>9713</v>
      </c>
      <c r="AK29">
        <v>9714</v>
      </c>
      <c r="AL29">
        <v>9715</v>
      </c>
      <c r="AM29">
        <v>9716</v>
      </c>
      <c r="AN29">
        <v>97001</v>
      </c>
      <c r="AP29" s="78"/>
    </row>
    <row r="30" spans="1:82" ht="38.25" x14ac:dyDescent="0.2">
      <c r="A30" s="26">
        <f>DATE(ANOPROD.,'Prod. e Improd'!$F$8+1,1)</f>
        <v>42522</v>
      </c>
      <c r="D30" t="s">
        <v>97</v>
      </c>
      <c r="E30">
        <v>9701</v>
      </c>
      <c r="F30">
        <v>9702</v>
      </c>
      <c r="G30">
        <v>9703</v>
      </c>
      <c r="H30">
        <v>9704</v>
      </c>
      <c r="I30">
        <v>9705</v>
      </c>
      <c r="J30">
        <v>9706</v>
      </c>
      <c r="K30">
        <v>9707</v>
      </c>
      <c r="L30">
        <v>9708</v>
      </c>
      <c r="M30">
        <v>9709</v>
      </c>
      <c r="N30">
        <v>9710</v>
      </c>
      <c r="O30">
        <v>9711</v>
      </c>
      <c r="P30">
        <v>9712</v>
      </c>
      <c r="Q30">
        <v>9713</v>
      </c>
      <c r="R30">
        <v>9714</v>
      </c>
      <c r="S30">
        <v>9715</v>
      </c>
      <c r="T30">
        <v>9716</v>
      </c>
      <c r="U30">
        <v>97001</v>
      </c>
      <c r="W30" t="s">
        <v>97</v>
      </c>
      <c r="X30" t="s">
        <v>98</v>
      </c>
      <c r="Y30" t="s">
        <v>99</v>
      </c>
      <c r="Z30" t="s">
        <v>100</v>
      </c>
      <c r="AA30" t="s">
        <v>101</v>
      </c>
      <c r="AB30" t="s">
        <v>102</v>
      </c>
      <c r="AC30" t="s">
        <v>103</v>
      </c>
      <c r="AD30" t="s">
        <v>104</v>
      </c>
      <c r="AE30" t="s">
        <v>105</v>
      </c>
      <c r="AF30" t="s">
        <v>106</v>
      </c>
      <c r="AG30" t="s">
        <v>107</v>
      </c>
      <c r="AH30" t="s">
        <v>94</v>
      </c>
      <c r="AI30" t="s">
        <v>108</v>
      </c>
      <c r="AJ30" t="s">
        <v>109</v>
      </c>
      <c r="AK30" t="s">
        <v>110</v>
      </c>
      <c r="AL30" t="s">
        <v>111</v>
      </c>
      <c r="AM30" t="s">
        <v>112</v>
      </c>
      <c r="AN30" t="s">
        <v>113</v>
      </c>
      <c r="AQ30" t="s">
        <v>139</v>
      </c>
      <c r="AR30" t="s">
        <v>140</v>
      </c>
      <c r="AS30" t="s">
        <v>142</v>
      </c>
      <c r="AT30" t="s">
        <v>143</v>
      </c>
      <c r="AU30" t="s">
        <v>15</v>
      </c>
      <c r="AW30" s="102"/>
      <c r="AX30" s="160" t="s">
        <v>144</v>
      </c>
      <c r="AY30" s="102" t="s">
        <v>118</v>
      </c>
      <c r="AZ30" s="102" t="s">
        <v>145</v>
      </c>
      <c r="BB30" s="159"/>
      <c r="BC30" s="102" t="s">
        <v>146</v>
      </c>
      <c r="BL30"/>
      <c r="CD30" s="160"/>
    </row>
    <row r="31" spans="1:82" x14ac:dyDescent="0.2">
      <c r="A31" s="26">
        <f>DATE(ANOPROD.,'Prod. e Improd'!$F$8,1)</f>
        <v>42491</v>
      </c>
      <c r="B31" s="78">
        <f>YEAR(A31)</f>
        <v>2016</v>
      </c>
      <c r="C31" s="78">
        <f>MONTH(A31)</f>
        <v>5</v>
      </c>
      <c r="D31">
        <f>SUMIFS(BD.OS!$F:$F,BD.OS!$B:$B,B31,BD.OS!$C:$C,C31,BD.OS!$E:$E,"SIM")</f>
        <v>17</v>
      </c>
      <c r="E31">
        <f>SUMIFS(BD.OS!$G:$G,BD.OS!$B:$B,B31,BD.OS!$C:$C,C31,BD.OS!$E:$E,"SIM")</f>
        <v>18</v>
      </c>
      <c r="F31">
        <f>SUMIFS(BD.OS!$H:$H,BD.OS!$B:$B,B31,BD.OS!$C:$C,C31,BD.OS!$E:$E,"SIM")</f>
        <v>24</v>
      </c>
      <c r="G31">
        <f>SUMIFS(BD.OS!$I:$I,BD.OS!$B:$B,B31,BD.OS!$C:$C,C31,BD.OS!$E:$E,"SIM")</f>
        <v>0</v>
      </c>
      <c r="H31">
        <f>SUMIFS(BD.OS!$J:$J,BD.OS!$B:$B,B31,BD.OS!$C:$C,C31,BD.OS!$E:$E,"SIM")</f>
        <v>0</v>
      </c>
      <c r="I31">
        <f>SUMIFS(BD.OS!$K:$K,BD.OS!$B:$B,B31,BD.OS!$C:$C,C31,BD.OS!$E:$E,"SIM")</f>
        <v>0</v>
      </c>
      <c r="J31">
        <f>SUMIFS(BD.OS!$L:$L,BD.OS!$B:$B,B31,BD.OS!$C:$C,C31,BD.OS!$E:$E,"SIM")</f>
        <v>75</v>
      </c>
      <c r="K31">
        <f>SUMIFS(BD.OS!$M:$M,BD.OS!$B:$B,B31,BD.OS!$C:$C,C31,BD.OS!$E:$E,"SIM")</f>
        <v>8</v>
      </c>
      <c r="L31">
        <f>SUMIFS(BD.OS!$N:$N,BD.OS!$B:$B,B31,BD.OS!$C:$C,C31,BD.OS!$E:$E,"SIM")</f>
        <v>4</v>
      </c>
      <c r="M31">
        <f>SUMIFS(BD.OS!$O:$O,BD.OS!$B:$B,B31,BD.OS!$C:$C,C31,BD.OS!$E:$E,"SIM")</f>
        <v>0</v>
      </c>
      <c r="N31">
        <f>SUMIFS(BD.OS!$P:$P,BD.OS!$B:$B,B31,BD.OS!$C:$C,C31,BD.OS!$E:$E,"SIM")</f>
        <v>33</v>
      </c>
      <c r="O31">
        <f>SUMIFS(BD.OS!$Q:$Q,BD.OS!$B:$B,B31,BD.OS!$C:$C,C31,BD.OS!$E:$E,"SIM")</f>
        <v>10</v>
      </c>
      <c r="P31">
        <f>SUMIFS(BD.OS!$R:$R,BD.OS!$B:$B,B31,BD.OS!$C:$C,C31,BD.OS!$E:$E,"SIM")</f>
        <v>29</v>
      </c>
      <c r="Q31">
        <f>SUMIFS(BD.OS!$S:$S,BD.OS!$B:$B,B31,BD.OS!$C:$C,C31,BD.OS!$E:$E,"SIM")</f>
        <v>0</v>
      </c>
      <c r="R31">
        <f>SUMIFS(BD.OS!$T:$T,BD.OS!$B:$B,B31,BD.OS!$C:$C,C31,BD.OS!$E:$E,"SIM")</f>
        <v>26</v>
      </c>
      <c r="S31">
        <f>SUMIFS(BD.OS!$U:$U,BD.OS!$B:$B,B31,BD.OS!$C:$C,C31,BD.OS!$E:$E,"SIM")</f>
        <v>1</v>
      </c>
      <c r="T31">
        <f>SUMIFS(BD.OS!$V:$V,BD.OS!$B:$B,B31,BD.OS!$C:$C,C31,BD.OS!$E:$E,"SIM")</f>
        <v>55</v>
      </c>
      <c r="U31">
        <f>SUMIFS(BD.OS!$W:$W,BD.OS!$B:$B,B31,BD.OS!$C:$C,C31,BD.OS!$E:$E,"SIM")</f>
        <v>0</v>
      </c>
      <c r="W31">
        <f>SUMIFS(BD.OS!$F:$F,BD.OS!$B:$B,B31,BD.OS!$C:$C,C31,BD.OS!$E:$E,"NÃO")</f>
        <v>181</v>
      </c>
      <c r="X31">
        <f>SUMIFS(BD.OS!$G:$G,BD.OS!$B:$B,B31,BD.OS!$C:$C,C31,BD.OS!$E:$E,"NÃO")</f>
        <v>16</v>
      </c>
      <c r="Y31">
        <f>SUMIFS(BD.OS!$H:$H,BD.OS!$B:$B,B31,BD.OS!$C:$C,C31,BD.OS!$E:$E,"NÃO")</f>
        <v>2</v>
      </c>
      <c r="Z31">
        <f>SUMIFS(BD.OS!$I:$I,BD.OS!$B:$B,B31,BD.OS!$C:$C,C31,BD.OS!$E:$E,"NÃO")</f>
        <v>0</v>
      </c>
      <c r="AA31">
        <f>SUMIFS(BD.OS!$J:$J,BD.OS!$B:$B,B31,BD.OS!$C:$C,C31,BD.OS!$E:$E,"NÃO")</f>
        <v>0</v>
      </c>
      <c r="AB31">
        <f>SUMIFS(BD.OS!$K:$K,BD.OS!$B:$B,B31,BD.OS!$C:$C,C31,BD.OS!$E:$E,"NÃO")</f>
        <v>0</v>
      </c>
      <c r="AC31">
        <f>SUMIFS(BD.OS!$L:$L,BD.OS!$B:$B,B31,BD.OS!$C:$C,C31,BD.OS!$E:$E,"NÃO")</f>
        <v>27</v>
      </c>
      <c r="AD31">
        <f>SUMIFS(BD.OS!$M:$M,BD.OS!$B:$B,B31,BD.OS!$C:$C,C31,BD.OS!$E:$E,"NÃO")</f>
        <v>0</v>
      </c>
      <c r="AE31">
        <f>SUMIFS(BD.OS!$N:$N,BD.OS!$B:$B,B31,BD.OS!$C:$C,C31,BD.OS!$E:$E,"NÃO")</f>
        <v>18</v>
      </c>
      <c r="AF31">
        <f>SUMIFS(BD.OS!$O:$O,BD.OS!$B:$B,B31,BD.OS!$C:$C,C31,BD.OS!$E:$E,"NÃO")</f>
        <v>2</v>
      </c>
      <c r="AG31">
        <f>SUMIFS(BD.OS!$P:$P,BD.OS!$B:$B,B31,BD.OS!$C:$C,C31,BD.OS!$E:$E,"NÃO")</f>
        <v>14</v>
      </c>
      <c r="AH31">
        <f>SUMIFS(BD.OS!$Q:$Q,BD.OS!$B:$B,B31,BD.OS!$C:$C,C31,BD.OS!$E:$E,"NÃO")</f>
        <v>6</v>
      </c>
      <c r="AI31">
        <f>SUMIFS(BD.OS!$R:$R,BD.OS!$B:$B,B31,BD.OS!$C:$C,C31,BD.OS!$E:$E,"NÃO")</f>
        <v>22</v>
      </c>
      <c r="AJ31">
        <f>SUMIFS(BD.OS!$S:$S,BD.OS!$B:$B,B31,BD.OS!$C:$C,C31,BD.OS!$E:$E,"NÃO")</f>
        <v>0</v>
      </c>
      <c r="AK31">
        <f>SUMIFS(BD.OS!$T:$T,BD.OS!$B:$B,B31,BD.OS!$C:$C,C31,BD.OS!$E:$E,"NÃO")</f>
        <v>10</v>
      </c>
      <c r="AL31">
        <f>SUMIFS(BD.OS!$U:$U,BD.OS!$B:$B,B31,BD.OS!$C:$C,C31,BD.OS!$E:$E,"NÃO")</f>
        <v>0</v>
      </c>
      <c r="AM31">
        <f>SUMIFS(BD.OS!$V:$V,BD.OS!$B:$B,B31,BD.OS!$C:$C,C31,BD.OS!$E:$E,"NÃO")</f>
        <v>18</v>
      </c>
      <c r="AN31">
        <f>SUMIFS(BD.OS!$W:$W,BD.OS!$B:$B,B31,BD.OS!$C:$C,C31,BD.OS!$E:$E,"NÃO")</f>
        <v>1</v>
      </c>
      <c r="AP31" s="159">
        <f>A31</f>
        <v>42491</v>
      </c>
      <c r="AQ31">
        <f>IF(AP31&gt;DATE(2016,1,1),SUM(E31:U31),SUM(D31:U31))</f>
        <v>283</v>
      </c>
      <c r="AR31">
        <f>IF(AP31&gt;DATE(2016,1,1),SUM(X31:AN31),SUM(W31:AN31))</f>
        <v>136</v>
      </c>
      <c r="AS31">
        <f>AQ31+AR31</f>
        <v>419</v>
      </c>
      <c r="AT31">
        <f>SUMIFS('Relatório GERAL'!$BR:$BR,'Relatório GERAL'!$AX:$AX,"&gt;="&amp;AP31,'Relatório GERAL'!$AX:$AX,"&lt;"&amp;AP28)+SUMIFS('Relatório Extra'!W:W,'Relatório Extra'!A:A,"&gt;="&amp;AP31,'Relatório Extra'!A:A,"&lt;"&amp;AP28)</f>
        <v>1276</v>
      </c>
      <c r="AU31">
        <f>VLOOKUP(AP31,'BD HORA EXTRA'!$B$2:$C$17,2,0)</f>
        <v>40</v>
      </c>
      <c r="AW31" s="167">
        <f>DATE(ANOPROD.-1,'Prod. e Improd'!F8,1)</f>
        <v>42125</v>
      </c>
      <c r="AX31" s="205" t="e">
        <f t="shared" ref="AX31:AX43" si="26">AZ31/(AZ31+AY31)</f>
        <v>#N/A</v>
      </c>
      <c r="AY31" s="78">
        <f>VLOOKUP(AW31,'PROCV Prod.Total'!$AP$31:$AT$43,5,0)</f>
        <v>2152</v>
      </c>
      <c r="AZ31" s="78" t="e">
        <f>VLOOKUP(AW31,'Relatório Extra'!BA:BB,2,0)</f>
        <v>#N/A</v>
      </c>
      <c r="BB31" s="159">
        <f>AW31</f>
        <v>42125</v>
      </c>
      <c r="BC31">
        <f>SUMIFS('BD OS''s Canceladas'!F:F,'BD OS''s Canceladas'!A:A,"&gt;="&amp;'PROCV Prod.Total'!BB31,'BD OS''s Canceladas'!A:A,"&lt;"&amp;'PROCV Prod.Total'!BB32)</f>
        <v>498</v>
      </c>
      <c r="BL31"/>
      <c r="CD31" s="160"/>
    </row>
    <row r="32" spans="1:82" x14ac:dyDescent="0.2">
      <c r="A32" s="26">
        <f>DATE(ANOPROD.,'Prod. e Improd'!$F$8-1,1)</f>
        <v>42461</v>
      </c>
      <c r="B32" s="78">
        <f t="shared" ref="B32:B43" si="27">YEAR(A32)</f>
        <v>2016</v>
      </c>
      <c r="C32" s="78">
        <f t="shared" ref="C32:C42" si="28">MONTH(A32)</f>
        <v>4</v>
      </c>
      <c r="D32">
        <f>SUMIFS(BD.OS!$F:$F,BD.OS!$B:$B,B32,BD.OS!$C:$C,C32,BD.OS!$E:$E,"SIM")</f>
        <v>24</v>
      </c>
      <c r="E32">
        <f>SUMIFS(BD.OS!$G:$G,BD.OS!$B:$B,B32,BD.OS!$C:$C,C32,BD.OS!$E:$E,"SIM")</f>
        <v>154</v>
      </c>
      <c r="F32">
        <f>SUMIFS(BD.OS!$H:$H,BD.OS!$B:$B,B32,BD.OS!$C:$C,C32,BD.OS!$E:$E,"SIM")</f>
        <v>89</v>
      </c>
      <c r="G32">
        <f>SUMIFS(BD.OS!$I:$I,BD.OS!$B:$B,B32,BD.OS!$C:$C,C32,BD.OS!$E:$E,"SIM")</f>
        <v>95</v>
      </c>
      <c r="H32">
        <f>SUMIFS(BD.OS!$J:$J,BD.OS!$B:$B,B32,BD.OS!$C:$C,C32,BD.OS!$E:$E,"SIM")</f>
        <v>0</v>
      </c>
      <c r="I32">
        <f>SUMIFS(BD.OS!$K:$K,BD.OS!$B:$B,B32,BD.OS!$C:$C,C32,BD.OS!$E:$E,"SIM")</f>
        <v>1</v>
      </c>
      <c r="J32">
        <f>SUMIFS(BD.OS!$L:$L,BD.OS!$B:$B,B32,BD.OS!$C:$C,C32,BD.OS!$E:$E,"SIM")</f>
        <v>187</v>
      </c>
      <c r="K32">
        <f>SUMIFS(BD.OS!$M:$M,BD.OS!$B:$B,B32,BD.OS!$C:$C,C32,BD.OS!$E:$E,"SIM")</f>
        <v>41</v>
      </c>
      <c r="L32">
        <f>SUMIFS(BD.OS!$N:$N,BD.OS!$B:$B,B32,BD.OS!$C:$C,C32,BD.OS!$E:$E,"SIM")</f>
        <v>25</v>
      </c>
      <c r="M32">
        <f>SUMIFS(BD.OS!$O:$O,BD.OS!$B:$B,B32,BD.OS!$C:$C,C32,BD.OS!$E:$E,"SIM")</f>
        <v>1</v>
      </c>
      <c r="N32">
        <f>SUMIFS(BD.OS!$P:$P,BD.OS!$B:$B,B32,BD.OS!$C:$C,C32,BD.OS!$E:$E,"SIM")</f>
        <v>90</v>
      </c>
      <c r="O32">
        <f>SUMIFS(BD.OS!$Q:$Q,BD.OS!$B:$B,B32,BD.OS!$C:$C,C32,BD.OS!$E:$E,"SIM")</f>
        <v>32</v>
      </c>
      <c r="P32">
        <f>SUMIFS(BD.OS!$R:$R,BD.OS!$B:$B,B32,BD.OS!$C:$C,C32,BD.OS!$E:$E,"SIM")</f>
        <v>83</v>
      </c>
      <c r="Q32">
        <f>SUMIFS(BD.OS!$S:$S,BD.OS!$B:$B,B32,BD.OS!$C:$C,C32,BD.OS!$E:$E,"SIM")</f>
        <v>0</v>
      </c>
      <c r="R32">
        <f>SUMIFS(BD.OS!$T:$T,BD.OS!$B:$B,B32,BD.OS!$C:$C,C32,BD.OS!$E:$E,"SIM")</f>
        <v>160</v>
      </c>
      <c r="S32">
        <f>SUMIFS(BD.OS!$U:$U,BD.OS!$B:$B,B32,BD.OS!$C:$C,C32,BD.OS!$E:$E,"SIM")</f>
        <v>0</v>
      </c>
      <c r="T32">
        <f>SUMIFS(BD.OS!$V:$V,BD.OS!$B:$B,B32,BD.OS!$C:$C,C32,BD.OS!$E:$E,"SIM")</f>
        <v>70</v>
      </c>
      <c r="U32">
        <f>SUMIFS(BD.OS!$W:$W,BD.OS!$B:$B,B32,BD.OS!$C:$C,C32,BD.OS!$E:$E,"SIM")</f>
        <v>0</v>
      </c>
      <c r="W32">
        <f>SUMIFS(BD.OS!$F:$F,BD.OS!$B:$B,B32,BD.OS!$C:$C,C32,BD.OS!$E:$E,"NÃO")</f>
        <v>44</v>
      </c>
      <c r="X32">
        <f>SUMIFS(BD.OS!$G:$G,BD.OS!$B:$B,B32,BD.OS!$C:$C,C32,BD.OS!$E:$E,"NÃO")</f>
        <v>100</v>
      </c>
      <c r="Y32">
        <f>SUMIFS(BD.OS!$H:$H,BD.OS!$B:$B,B32,BD.OS!$C:$C,C32,BD.OS!$E:$E,"NÃO")</f>
        <v>9</v>
      </c>
      <c r="Z32">
        <f>SUMIFS(BD.OS!$I:$I,BD.OS!$B:$B,B32,BD.OS!$C:$C,C32,BD.OS!$E:$E,"NÃO")</f>
        <v>48</v>
      </c>
      <c r="AA32">
        <f>SUMIFS(BD.OS!$J:$J,BD.OS!$B:$B,B32,BD.OS!$C:$C,C32,BD.OS!$E:$E,"NÃO")</f>
        <v>0</v>
      </c>
      <c r="AB32">
        <f>SUMIFS(BD.OS!$K:$K,BD.OS!$B:$B,B32,BD.OS!$C:$C,C32,BD.OS!$E:$E,"NÃO")</f>
        <v>0</v>
      </c>
      <c r="AC32">
        <f>SUMIFS(BD.OS!$L:$L,BD.OS!$B:$B,B32,BD.OS!$C:$C,C32,BD.OS!$E:$E,"NÃO")</f>
        <v>81</v>
      </c>
      <c r="AD32">
        <f>SUMIFS(BD.OS!$M:$M,BD.OS!$B:$B,B32,BD.OS!$C:$C,C32,BD.OS!$E:$E,"NÃO")</f>
        <v>0</v>
      </c>
      <c r="AE32">
        <f>SUMIFS(BD.OS!$N:$N,BD.OS!$B:$B,B32,BD.OS!$C:$C,C32,BD.OS!$E:$E,"NÃO")</f>
        <v>122</v>
      </c>
      <c r="AF32">
        <f>SUMIFS(BD.OS!$O:$O,BD.OS!$B:$B,B32,BD.OS!$C:$C,C32,BD.OS!$E:$E,"NÃO")</f>
        <v>45</v>
      </c>
      <c r="AG32">
        <f>SUMIFS(BD.OS!$P:$P,BD.OS!$B:$B,B32,BD.OS!$C:$C,C32,BD.OS!$E:$E,"NÃO")</f>
        <v>67</v>
      </c>
      <c r="AH32">
        <f>SUMIFS(BD.OS!$Q:$Q,BD.OS!$B:$B,B32,BD.OS!$C:$C,C32,BD.OS!$E:$E,"NÃO")</f>
        <v>21</v>
      </c>
      <c r="AI32">
        <f>SUMIFS(BD.OS!$R:$R,BD.OS!$B:$B,B32,BD.OS!$C:$C,C32,BD.OS!$E:$E,"NÃO")</f>
        <v>73</v>
      </c>
      <c r="AJ32">
        <f>SUMIFS(BD.OS!$S:$S,BD.OS!$B:$B,B32,BD.OS!$C:$C,C32,BD.OS!$E:$E,"NÃO")</f>
        <v>0</v>
      </c>
      <c r="AK32">
        <f>SUMIFS(BD.OS!$T:$T,BD.OS!$B:$B,B32,BD.OS!$C:$C,C32,BD.OS!$E:$E,"NÃO")</f>
        <v>121</v>
      </c>
      <c r="AL32">
        <f>SUMIFS(BD.OS!$U:$U,BD.OS!$B:$B,B32,BD.OS!$C:$C,C32,BD.OS!$E:$E,"NÃO")</f>
        <v>0</v>
      </c>
      <c r="AM32">
        <f>SUMIFS(BD.OS!$V:$V,BD.OS!$B:$B,B32,BD.OS!$C:$C,C32,BD.OS!$E:$E,"NÃO")</f>
        <v>30</v>
      </c>
      <c r="AN32">
        <f>SUMIFS(BD.OS!$W:$W,BD.OS!$B:$B,B32,BD.OS!$C:$C,C32,BD.OS!$E:$E,"NÃO")</f>
        <v>0</v>
      </c>
      <c r="AP32" s="159">
        <f t="shared" ref="AP32:AP42" si="29">A32</f>
        <v>42461</v>
      </c>
      <c r="AQ32">
        <f t="shared" ref="AQ32:AQ43" si="30">IF(AP32&gt;DATE(2016,1,1),SUM(E32:U32),SUM(D32:U32))</f>
        <v>1028</v>
      </c>
      <c r="AR32">
        <f t="shared" ref="AR32:AR43" si="31">IF(AP32&gt;DATE(2016,1,1),SUM(X32:AN32),SUM(W32:AN32))</f>
        <v>717</v>
      </c>
      <c r="AS32">
        <f t="shared" ref="AS32:AS43" si="32">AQ32+AR32</f>
        <v>1745</v>
      </c>
      <c r="AT32">
        <f>SUMIFS('Relatório GERAL'!$BR:$BR,'Relatório GERAL'!$AX:$AX,"&gt;="&amp;AP32,'Relatório GERAL'!$AX:$AX,"&lt;"&amp;AP31)+SUMIFS('Relatório Extra'!W:W,'Relatório Extra'!A:A,"&gt;="&amp;AP32,'Relatório Extra'!A:A,"&lt;"&amp;AP31)</f>
        <v>2464</v>
      </c>
      <c r="AU32">
        <f>VLOOKUP(AP32,'BD HORA EXTRA'!$B$2:$C$17,2,0)</f>
        <v>84</v>
      </c>
      <c r="AW32" s="167">
        <f>DATE(ANOPROD.-1,'Prod. e Improd'!F8+1,1)</f>
        <v>42156</v>
      </c>
      <c r="AX32" s="205" t="e">
        <f t="shared" si="26"/>
        <v>#N/A</v>
      </c>
      <c r="AY32" s="78">
        <f>VLOOKUP(AW32,'PROCV Prod.Total'!$AP$31:$AT$43,5,0)</f>
        <v>2530</v>
      </c>
      <c r="AZ32" s="78" t="e">
        <f>VLOOKUP(AW32,'Relatório Extra'!BA:BB,2,0)</f>
        <v>#N/A</v>
      </c>
      <c r="BB32" s="159">
        <f t="shared" ref="BB32:BB43" si="33">AW32</f>
        <v>42156</v>
      </c>
      <c r="BC32">
        <f>SUMIFS('BD OS''s Canceladas'!F:F,'BD OS''s Canceladas'!A:A,"&gt;="&amp;'PROCV Prod.Total'!BB32,'BD OS''s Canceladas'!A:A,"&lt;"&amp;'PROCV Prod.Total'!BB33)</f>
        <v>427</v>
      </c>
      <c r="BL32"/>
      <c r="CD32" s="160"/>
    </row>
    <row r="33" spans="1:82" x14ac:dyDescent="0.2">
      <c r="A33" s="26">
        <f>DATE(ANOPROD.,'Prod. e Improd'!$F$8-2,1)</f>
        <v>42430</v>
      </c>
      <c r="B33" s="78">
        <f t="shared" si="27"/>
        <v>2016</v>
      </c>
      <c r="C33" s="78">
        <f t="shared" si="28"/>
        <v>3</v>
      </c>
      <c r="D33">
        <f>SUMIFS(BD.OS!$F:$F,BD.OS!$B:$B,B33,BD.OS!$C:$C,C33,BD.OS!$E:$E,"SIM")</f>
        <v>38</v>
      </c>
      <c r="E33">
        <f>SUMIFS(BD.OS!$G:$G,BD.OS!$B:$B,B33,BD.OS!$C:$C,C33,BD.OS!$E:$E,"SIM")</f>
        <v>170</v>
      </c>
      <c r="F33">
        <f>SUMIFS(BD.OS!$H:$H,BD.OS!$B:$B,B33,BD.OS!$C:$C,C33,BD.OS!$E:$E,"SIM")</f>
        <v>105</v>
      </c>
      <c r="G33">
        <f>SUMIFS(BD.OS!$I:$I,BD.OS!$B:$B,B33,BD.OS!$C:$C,C33,BD.OS!$E:$E,"SIM")</f>
        <v>133</v>
      </c>
      <c r="H33">
        <f>SUMIFS(BD.OS!$J:$J,BD.OS!$B:$B,B33,BD.OS!$C:$C,C33,BD.OS!$E:$E,"SIM")</f>
        <v>21</v>
      </c>
      <c r="I33">
        <f>SUMIFS(BD.OS!$K:$K,BD.OS!$B:$B,B33,BD.OS!$C:$C,C33,BD.OS!$E:$E,"SIM")</f>
        <v>0</v>
      </c>
      <c r="J33">
        <f>SUMIFS(BD.OS!$L:$L,BD.OS!$B:$B,B33,BD.OS!$C:$C,C33,BD.OS!$E:$E,"SIM")</f>
        <v>189</v>
      </c>
      <c r="K33">
        <f>SUMIFS(BD.OS!$M:$M,BD.OS!$B:$B,B33,BD.OS!$C:$C,C33,BD.OS!$E:$E,"SIM")</f>
        <v>74</v>
      </c>
      <c r="L33">
        <f>SUMIFS(BD.OS!$N:$N,BD.OS!$B:$B,B33,BD.OS!$C:$C,C33,BD.OS!$E:$E,"SIM")</f>
        <v>3</v>
      </c>
      <c r="M33">
        <f>SUMIFS(BD.OS!$O:$O,BD.OS!$B:$B,B33,BD.OS!$C:$C,C33,BD.OS!$E:$E,"SIM")</f>
        <v>1</v>
      </c>
      <c r="N33">
        <f>SUMIFS(BD.OS!$P:$P,BD.OS!$B:$B,B33,BD.OS!$C:$C,C33,BD.OS!$E:$E,"SIM")</f>
        <v>78</v>
      </c>
      <c r="O33">
        <f>SUMIFS(BD.OS!$Q:$Q,BD.OS!$B:$B,B33,BD.OS!$C:$C,C33,BD.OS!$E:$E,"SIM")</f>
        <v>0</v>
      </c>
      <c r="P33">
        <f>SUMIFS(BD.OS!$R:$R,BD.OS!$B:$B,B33,BD.OS!$C:$C,C33,BD.OS!$E:$E,"SIM")</f>
        <v>137</v>
      </c>
      <c r="Q33">
        <f>SUMIFS(BD.OS!$S:$S,BD.OS!$B:$B,B33,BD.OS!$C:$C,C33,BD.OS!$E:$E,"SIM")</f>
        <v>0</v>
      </c>
      <c r="R33">
        <f>SUMIFS(BD.OS!$T:$T,BD.OS!$B:$B,B33,BD.OS!$C:$C,C33,BD.OS!$E:$E,"SIM")</f>
        <v>111</v>
      </c>
      <c r="S33">
        <f>SUMIFS(BD.OS!$U:$U,BD.OS!$B:$B,B33,BD.OS!$C:$C,C33,BD.OS!$E:$E,"SIM")</f>
        <v>0</v>
      </c>
      <c r="T33">
        <f>SUMIFS(BD.OS!$V:$V,BD.OS!$B:$B,B33,BD.OS!$C:$C,C33,BD.OS!$E:$E,"SIM")</f>
        <v>72</v>
      </c>
      <c r="U33">
        <f>SUMIFS(BD.OS!$W:$W,BD.OS!$B:$B,B33,BD.OS!$C:$C,C33,BD.OS!$E:$E,"SIM")</f>
        <v>0</v>
      </c>
      <c r="W33">
        <f>SUMIFS(BD.OS!$F:$F,BD.OS!$B:$B,B33,BD.OS!$C:$C,C33,BD.OS!$E:$E,"NÃO")</f>
        <v>70</v>
      </c>
      <c r="X33">
        <f>SUMIFS(BD.OS!$G:$G,BD.OS!$B:$B,B33,BD.OS!$C:$C,C33,BD.OS!$E:$E,"NÃO")</f>
        <v>87</v>
      </c>
      <c r="Y33">
        <f>SUMIFS(BD.OS!$H:$H,BD.OS!$B:$B,B33,BD.OS!$C:$C,C33,BD.OS!$E:$E,"NÃO")</f>
        <v>8</v>
      </c>
      <c r="Z33">
        <f>SUMIFS(BD.OS!$I:$I,BD.OS!$B:$B,B33,BD.OS!$C:$C,C33,BD.OS!$E:$E,"NÃO")</f>
        <v>53</v>
      </c>
      <c r="AA33">
        <f>SUMIFS(BD.OS!$J:$J,BD.OS!$B:$B,B33,BD.OS!$C:$C,C33,BD.OS!$E:$E,"NÃO")</f>
        <v>9</v>
      </c>
      <c r="AB33">
        <f>SUMIFS(BD.OS!$K:$K,BD.OS!$B:$B,B33,BD.OS!$C:$C,C33,BD.OS!$E:$E,"NÃO")</f>
        <v>0</v>
      </c>
      <c r="AC33">
        <f>SUMIFS(BD.OS!$L:$L,BD.OS!$B:$B,B33,BD.OS!$C:$C,C33,BD.OS!$E:$E,"NÃO")</f>
        <v>73</v>
      </c>
      <c r="AD33">
        <f>SUMIFS(BD.OS!$M:$M,BD.OS!$B:$B,B33,BD.OS!$C:$C,C33,BD.OS!$E:$E,"NÃO")</f>
        <v>4</v>
      </c>
      <c r="AE33">
        <f>SUMIFS(BD.OS!$N:$N,BD.OS!$B:$B,B33,BD.OS!$C:$C,C33,BD.OS!$E:$E,"NÃO")</f>
        <v>0</v>
      </c>
      <c r="AF33">
        <f>SUMIFS(BD.OS!$O:$O,BD.OS!$B:$B,B33,BD.OS!$C:$C,C33,BD.OS!$E:$E,"NÃO")</f>
        <v>49</v>
      </c>
      <c r="AG33">
        <f>SUMIFS(BD.OS!$P:$P,BD.OS!$B:$B,B33,BD.OS!$C:$C,C33,BD.OS!$E:$E,"NÃO")</f>
        <v>34</v>
      </c>
      <c r="AH33">
        <f>SUMIFS(BD.OS!$Q:$Q,BD.OS!$B:$B,B33,BD.OS!$C:$C,C33,BD.OS!$E:$E,"NÃO")</f>
        <v>0</v>
      </c>
      <c r="AI33">
        <f>SUMIFS(BD.OS!$R:$R,BD.OS!$B:$B,B33,BD.OS!$C:$C,C33,BD.OS!$E:$E,"NÃO")</f>
        <v>64</v>
      </c>
      <c r="AJ33">
        <f>SUMIFS(BD.OS!$S:$S,BD.OS!$B:$B,B33,BD.OS!$C:$C,C33,BD.OS!$E:$E,"NÃO")</f>
        <v>0</v>
      </c>
      <c r="AK33">
        <f>SUMIFS(BD.OS!$T:$T,BD.OS!$B:$B,B33,BD.OS!$C:$C,C33,BD.OS!$E:$E,"NÃO")</f>
        <v>79</v>
      </c>
      <c r="AL33">
        <f>SUMIFS(BD.OS!$U:$U,BD.OS!$B:$B,B33,BD.OS!$C:$C,C33,BD.OS!$E:$E,"NÃO")</f>
        <v>0</v>
      </c>
      <c r="AM33">
        <f>SUMIFS(BD.OS!$V:$V,BD.OS!$B:$B,B33,BD.OS!$C:$C,C33,BD.OS!$E:$E,"NÃO")</f>
        <v>17</v>
      </c>
      <c r="AN33">
        <f>SUMIFS(BD.OS!$W:$W,BD.OS!$B:$B,B33,BD.OS!$C:$C,C33,BD.OS!$E:$E,"NÃO")</f>
        <v>0</v>
      </c>
      <c r="AP33" s="159">
        <f t="shared" si="29"/>
        <v>42430</v>
      </c>
      <c r="AQ33">
        <f t="shared" si="30"/>
        <v>1094</v>
      </c>
      <c r="AR33">
        <f t="shared" si="31"/>
        <v>477</v>
      </c>
      <c r="AS33">
        <f t="shared" si="32"/>
        <v>1571</v>
      </c>
      <c r="AT33">
        <f>SUMIFS('Relatório GERAL'!$BR:$BR,'Relatório GERAL'!$AX:$AX,"&gt;="&amp;AP33,'Relatório GERAL'!$AX:$AX,"&lt;"&amp;AP32)+SUMIFS('Relatório Extra'!W:W,'Relatório Extra'!A:A,"&gt;="&amp;AP33,'Relatório Extra'!A:A,"&lt;"&amp;AP32)</f>
        <v>2398</v>
      </c>
      <c r="AU33">
        <f>VLOOKUP(AP33,'BD HORA EXTRA'!$B$2:$C$17,2,0)</f>
        <v>54</v>
      </c>
      <c r="AW33" s="167">
        <f>DATE(ANOPROD.-1,'Prod. e Improd'!F8+2,1)</f>
        <v>42186</v>
      </c>
      <c r="AX33" s="205" t="e">
        <f t="shared" si="26"/>
        <v>#N/A</v>
      </c>
      <c r="AY33" s="78">
        <f>VLOOKUP(AW33,'PROCV Prod.Total'!$AP$31:$AT$43,5,0)</f>
        <v>2186</v>
      </c>
      <c r="AZ33" s="78" t="e">
        <f>VLOOKUP(AW33,'Relatório Extra'!BA:BB,2,0)</f>
        <v>#N/A</v>
      </c>
      <c r="BB33" s="159">
        <f t="shared" si="33"/>
        <v>42186</v>
      </c>
      <c r="BC33">
        <f>SUMIFS('BD OS''s Canceladas'!F:F,'BD OS''s Canceladas'!A:A,"&gt;="&amp;'PROCV Prod.Total'!BB33,'BD OS''s Canceladas'!A:A,"&lt;"&amp;'PROCV Prod.Total'!BB34)</f>
        <v>85</v>
      </c>
      <c r="BL33"/>
      <c r="CD33" s="160"/>
    </row>
    <row r="34" spans="1:82" x14ac:dyDescent="0.2">
      <c r="A34" s="26">
        <f>DATE(ANOPROD.,'Prod. e Improd'!$F$8-3,1)</f>
        <v>42401</v>
      </c>
      <c r="B34" s="78">
        <f t="shared" si="27"/>
        <v>2016</v>
      </c>
      <c r="C34" s="78">
        <f t="shared" si="28"/>
        <v>2</v>
      </c>
      <c r="D34">
        <f>SUMIFS(BD.OS!$F:$F,BD.OS!$B:$B,B34,BD.OS!$C:$C,C34,BD.OS!$E:$E,"SIM")</f>
        <v>49</v>
      </c>
      <c r="E34">
        <f>SUMIFS(BD.OS!$G:$G,BD.OS!$B:$B,B34,BD.OS!$C:$C,C34,BD.OS!$E:$E,"SIM")</f>
        <v>171</v>
      </c>
      <c r="F34">
        <f>SUMIFS(BD.OS!$H:$H,BD.OS!$B:$B,B34,BD.OS!$C:$C,C34,BD.OS!$E:$E,"SIM")</f>
        <v>116</v>
      </c>
      <c r="G34">
        <f>SUMIFS(BD.OS!$I:$I,BD.OS!$B:$B,B34,BD.OS!$C:$C,C34,BD.OS!$E:$E,"SIM")</f>
        <v>139</v>
      </c>
      <c r="H34">
        <f>SUMIFS(BD.OS!$J:$J,BD.OS!$B:$B,B34,BD.OS!$C:$C,C34,BD.OS!$E:$E,"SIM")</f>
        <v>4</v>
      </c>
      <c r="I34">
        <f>SUMIFS(BD.OS!$K:$K,BD.OS!$B:$B,B34,BD.OS!$C:$C,C34,BD.OS!$E:$E,"SIM")</f>
        <v>0</v>
      </c>
      <c r="J34">
        <f>SUMIFS(BD.OS!$L:$L,BD.OS!$B:$B,B34,BD.OS!$C:$C,C34,BD.OS!$E:$E,"SIM")</f>
        <v>142</v>
      </c>
      <c r="K34">
        <f>SUMIFS(BD.OS!$M:$M,BD.OS!$B:$B,B34,BD.OS!$C:$C,C34,BD.OS!$E:$E,"SIM")</f>
        <v>26</v>
      </c>
      <c r="L34">
        <f>SUMIFS(BD.OS!$N:$N,BD.OS!$B:$B,B34,BD.OS!$C:$C,C34,BD.OS!$E:$E,"SIM")</f>
        <v>0</v>
      </c>
      <c r="M34">
        <f>SUMIFS(BD.OS!$O:$O,BD.OS!$B:$B,B34,BD.OS!$C:$C,C34,BD.OS!$E:$E,"SIM")</f>
        <v>9</v>
      </c>
      <c r="N34">
        <f>SUMIFS(BD.OS!$P:$P,BD.OS!$B:$B,B34,BD.OS!$C:$C,C34,BD.OS!$E:$E,"SIM")</f>
        <v>68</v>
      </c>
      <c r="O34">
        <f>SUMIFS(BD.OS!$Q:$Q,BD.OS!$B:$B,B34,BD.OS!$C:$C,C34,BD.OS!$E:$E,"SIM")</f>
        <v>0</v>
      </c>
      <c r="P34">
        <f>SUMIFS(BD.OS!$R:$R,BD.OS!$B:$B,B34,BD.OS!$C:$C,C34,BD.OS!$E:$E,"SIM")</f>
        <v>166</v>
      </c>
      <c r="Q34">
        <f>SUMIFS(BD.OS!$S:$S,BD.OS!$B:$B,B34,BD.OS!$C:$C,C34,BD.OS!$E:$E,"SIM")</f>
        <v>0</v>
      </c>
      <c r="R34">
        <f>SUMIFS(BD.OS!$T:$T,BD.OS!$B:$B,B34,BD.OS!$C:$C,C34,BD.OS!$E:$E,"SIM")</f>
        <v>164</v>
      </c>
      <c r="S34">
        <f>SUMIFS(BD.OS!$U:$U,BD.OS!$B:$B,B34,BD.OS!$C:$C,C34,BD.OS!$E:$E,"SIM")</f>
        <v>31</v>
      </c>
      <c r="T34">
        <f>SUMIFS(BD.OS!$V:$V,BD.OS!$B:$B,B34,BD.OS!$C:$C,C34,BD.OS!$E:$E,"SIM")</f>
        <v>124</v>
      </c>
      <c r="U34">
        <f>SUMIFS(BD.OS!$W:$W,BD.OS!$B:$B,B34,BD.OS!$C:$C,C34,BD.OS!$E:$E,"SIM")</f>
        <v>1</v>
      </c>
      <c r="W34">
        <f>SUMIFS(BD.OS!$F:$F,BD.OS!$B:$B,B34,BD.OS!$C:$C,C34,BD.OS!$E:$E,"NÃO")</f>
        <v>82</v>
      </c>
      <c r="X34">
        <f>SUMIFS(BD.OS!$G:$G,BD.OS!$B:$B,B34,BD.OS!$C:$C,C34,BD.OS!$E:$E,"NÃO")</f>
        <v>79</v>
      </c>
      <c r="Y34">
        <f>SUMIFS(BD.OS!$H:$H,BD.OS!$B:$B,B34,BD.OS!$C:$C,C34,BD.OS!$E:$E,"NÃO")</f>
        <v>10</v>
      </c>
      <c r="Z34">
        <f>SUMIFS(BD.OS!$I:$I,BD.OS!$B:$B,B34,BD.OS!$C:$C,C34,BD.OS!$E:$E,"NÃO")</f>
        <v>34</v>
      </c>
      <c r="AA34">
        <f>SUMIFS(BD.OS!$J:$J,BD.OS!$B:$B,B34,BD.OS!$C:$C,C34,BD.OS!$E:$E,"NÃO")</f>
        <v>0</v>
      </c>
      <c r="AB34">
        <f>SUMIFS(BD.OS!$K:$K,BD.OS!$B:$B,B34,BD.OS!$C:$C,C34,BD.OS!$E:$E,"NÃO")</f>
        <v>0</v>
      </c>
      <c r="AC34">
        <f>SUMIFS(BD.OS!$L:$L,BD.OS!$B:$B,B34,BD.OS!$C:$C,C34,BD.OS!$E:$E,"NÃO")</f>
        <v>37</v>
      </c>
      <c r="AD34">
        <f>SUMIFS(BD.OS!$M:$M,BD.OS!$B:$B,B34,BD.OS!$C:$C,C34,BD.OS!$E:$E,"NÃO")</f>
        <v>39</v>
      </c>
      <c r="AE34">
        <f>SUMIFS(BD.OS!$N:$N,BD.OS!$B:$B,B34,BD.OS!$C:$C,C34,BD.OS!$E:$E,"NÃO")</f>
        <v>0</v>
      </c>
      <c r="AF34">
        <f>SUMIFS(BD.OS!$O:$O,BD.OS!$B:$B,B34,BD.OS!$C:$C,C34,BD.OS!$E:$E,"NÃO")</f>
        <v>24</v>
      </c>
      <c r="AG34">
        <f>SUMIFS(BD.OS!$P:$P,BD.OS!$B:$B,B34,BD.OS!$C:$C,C34,BD.OS!$E:$E,"NÃO")</f>
        <v>28</v>
      </c>
      <c r="AH34">
        <f>SUMIFS(BD.OS!$Q:$Q,BD.OS!$B:$B,B34,BD.OS!$C:$C,C34,BD.OS!$E:$E,"NÃO")</f>
        <v>1</v>
      </c>
      <c r="AI34">
        <f>SUMIFS(BD.OS!$R:$R,BD.OS!$B:$B,B34,BD.OS!$C:$C,C34,BD.OS!$E:$E,"NÃO")</f>
        <v>89</v>
      </c>
      <c r="AJ34">
        <f>SUMIFS(BD.OS!$S:$S,BD.OS!$B:$B,B34,BD.OS!$C:$C,C34,BD.OS!$E:$E,"NÃO")</f>
        <v>0</v>
      </c>
      <c r="AK34">
        <f>SUMIFS(BD.OS!$T:$T,BD.OS!$B:$B,B34,BD.OS!$C:$C,C34,BD.OS!$E:$E,"NÃO")</f>
        <v>47</v>
      </c>
      <c r="AL34">
        <f>SUMIFS(BD.OS!$U:$U,BD.OS!$B:$B,B34,BD.OS!$C:$C,C34,BD.OS!$E:$E,"NÃO")</f>
        <v>2</v>
      </c>
      <c r="AM34">
        <f>SUMIFS(BD.OS!$V:$V,BD.OS!$B:$B,B34,BD.OS!$C:$C,C34,BD.OS!$E:$E,"NÃO")</f>
        <v>54</v>
      </c>
      <c r="AN34">
        <f>SUMIFS(BD.OS!$W:$W,BD.OS!$B:$B,B34,BD.OS!$C:$C,C34,BD.OS!$E:$E,"NÃO")</f>
        <v>0</v>
      </c>
      <c r="AP34" s="159">
        <f t="shared" si="29"/>
        <v>42401</v>
      </c>
      <c r="AQ34">
        <f t="shared" si="30"/>
        <v>1161</v>
      </c>
      <c r="AR34">
        <f t="shared" si="31"/>
        <v>444</v>
      </c>
      <c r="AS34">
        <f t="shared" si="32"/>
        <v>1605</v>
      </c>
      <c r="AT34">
        <f>SUMIFS('Relatório GERAL'!$BR:$BR,'Relatório GERAL'!$AX:$AX,"&gt;="&amp;AP34,'Relatório GERAL'!$AX:$AX,"&lt;"&amp;AP33)+SUMIFS('Relatório Extra'!W:W,'Relatório Extra'!A:A,"&gt;="&amp;AP34,'Relatório Extra'!A:A,"&lt;"&amp;AP33)</f>
        <v>2142</v>
      </c>
      <c r="AU34">
        <f>VLOOKUP(AP34,'BD HORA EXTRA'!$B$2:$C$17,2,0)</f>
        <v>100</v>
      </c>
      <c r="AW34" s="167">
        <f>DATE(ANOPROD.-1,'Prod. e Improd'!F8+3,1)</f>
        <v>42217</v>
      </c>
      <c r="AX34" s="205" t="e">
        <f t="shared" si="26"/>
        <v>#N/A</v>
      </c>
      <c r="AY34" s="78">
        <f>VLOOKUP(AW34,'PROCV Prod.Total'!$AP$31:$AT$43,5,0)</f>
        <v>1830</v>
      </c>
      <c r="AZ34" s="78" t="e">
        <f>VLOOKUP(AW34,'Relatório Extra'!BA:BB,2,0)</f>
        <v>#N/A</v>
      </c>
      <c r="BB34" s="159">
        <f t="shared" si="33"/>
        <v>42217</v>
      </c>
      <c r="BC34">
        <f>SUMIFS('BD OS''s Canceladas'!F:F,'BD OS''s Canceladas'!A:A,"&gt;="&amp;'PROCV Prod.Total'!BB34,'BD OS''s Canceladas'!A:A,"&lt;"&amp;'PROCV Prod.Total'!BB35)</f>
        <v>219</v>
      </c>
      <c r="BL34"/>
      <c r="CD34" s="160"/>
    </row>
    <row r="35" spans="1:82" x14ac:dyDescent="0.2">
      <c r="A35" s="26">
        <f>DATE(ANOPROD.,'Prod. e Improd'!$F$8-4,1)</f>
        <v>42370</v>
      </c>
      <c r="B35" s="78">
        <f t="shared" si="27"/>
        <v>2016</v>
      </c>
      <c r="C35" s="78">
        <f t="shared" si="28"/>
        <v>1</v>
      </c>
      <c r="D35">
        <f>SUMIFS(BD.OS!$F:$F,BD.OS!$B:$B,B35,BD.OS!$C:$C,C35,BD.OS!$E:$E,"SIM")</f>
        <v>101</v>
      </c>
      <c r="E35">
        <f>SUMIFS(BD.OS!$G:$G,BD.OS!$B:$B,B35,BD.OS!$C:$C,C35,BD.OS!$E:$E,"SIM")</f>
        <v>2</v>
      </c>
      <c r="F35">
        <f>SUMIFS(BD.OS!$H:$H,BD.OS!$B:$B,B35,BD.OS!$C:$C,C35,BD.OS!$E:$E,"SIM")</f>
        <v>101</v>
      </c>
      <c r="G35">
        <f>SUMIFS(BD.OS!$I:$I,BD.OS!$B:$B,B35,BD.OS!$C:$C,C35,BD.OS!$E:$E,"SIM")</f>
        <v>119</v>
      </c>
      <c r="H35">
        <f>SUMIFS(BD.OS!$J:$J,BD.OS!$B:$B,B35,BD.OS!$C:$C,C35,BD.OS!$E:$E,"SIM")</f>
        <v>36</v>
      </c>
      <c r="I35">
        <f>SUMIFS(BD.OS!$K:$K,BD.OS!$B:$B,B35,BD.OS!$C:$C,C35,BD.OS!$E:$E,"SIM")</f>
        <v>0</v>
      </c>
      <c r="J35">
        <f>SUMIFS(BD.OS!$L:$L,BD.OS!$B:$B,B35,BD.OS!$C:$C,C35,BD.OS!$E:$E,"SIM")</f>
        <v>209</v>
      </c>
      <c r="K35">
        <f>SUMIFS(BD.OS!$M:$M,BD.OS!$B:$B,B35,BD.OS!$C:$C,C35,BD.OS!$E:$E,"SIM")</f>
        <v>0</v>
      </c>
      <c r="L35">
        <f>SUMIFS(BD.OS!$N:$N,BD.OS!$B:$B,B35,BD.OS!$C:$C,C35,BD.OS!$E:$E,"SIM")</f>
        <v>0</v>
      </c>
      <c r="M35">
        <f>SUMIFS(BD.OS!$O:$O,BD.OS!$B:$B,B35,BD.OS!$C:$C,C35,BD.OS!$E:$E,"SIM")</f>
        <v>0</v>
      </c>
      <c r="N35">
        <f>SUMIFS(BD.OS!$P:$P,BD.OS!$B:$B,B35,BD.OS!$C:$C,C35,BD.OS!$E:$E,"SIM")</f>
        <v>21</v>
      </c>
      <c r="O35">
        <f>SUMIFS(BD.OS!$Q:$Q,BD.OS!$B:$B,B35,BD.OS!$C:$C,C35,BD.OS!$E:$E,"SIM")</f>
        <v>3</v>
      </c>
      <c r="P35">
        <f>SUMIFS(BD.OS!$R:$R,BD.OS!$B:$B,B35,BD.OS!$C:$C,C35,BD.OS!$E:$E,"SIM")</f>
        <v>118</v>
      </c>
      <c r="Q35">
        <f>SUMIFS(BD.OS!$S:$S,BD.OS!$B:$B,B35,BD.OS!$C:$C,C35,BD.OS!$E:$E,"SIM")</f>
        <v>0</v>
      </c>
      <c r="R35">
        <f>SUMIFS(BD.OS!$T:$T,BD.OS!$B:$B,B35,BD.OS!$C:$C,C35,BD.OS!$E:$E,"SIM")</f>
        <v>129</v>
      </c>
      <c r="S35">
        <f>SUMIFS(BD.OS!$U:$U,BD.OS!$B:$B,B35,BD.OS!$C:$C,C35,BD.OS!$E:$E,"SIM")</f>
        <v>0</v>
      </c>
      <c r="T35">
        <f>SUMIFS(BD.OS!$V:$V,BD.OS!$B:$B,B35,BD.OS!$C:$C,C35,BD.OS!$E:$E,"SIM")</f>
        <v>75</v>
      </c>
      <c r="U35">
        <f>SUMIFS(BD.OS!$W:$W,BD.OS!$B:$B,B35,BD.OS!$C:$C,C35,BD.OS!$E:$E,"SIM")</f>
        <v>3</v>
      </c>
      <c r="W35">
        <f>SUMIFS(BD.OS!$F:$F,BD.OS!$B:$B,B35,BD.OS!$C:$C,C35,BD.OS!$E:$E,"NÃO")</f>
        <v>228</v>
      </c>
      <c r="X35">
        <f>SUMIFS(BD.OS!$G:$G,BD.OS!$B:$B,B35,BD.OS!$C:$C,C35,BD.OS!$E:$E,"NÃO")</f>
        <v>1</v>
      </c>
      <c r="Y35">
        <f>SUMIFS(BD.OS!$H:$H,BD.OS!$B:$B,B35,BD.OS!$C:$C,C35,BD.OS!$E:$E,"NÃO")</f>
        <v>40</v>
      </c>
      <c r="Z35">
        <f>SUMIFS(BD.OS!$I:$I,BD.OS!$B:$B,B35,BD.OS!$C:$C,C35,BD.OS!$E:$E,"NÃO")</f>
        <v>38</v>
      </c>
      <c r="AA35">
        <f>SUMIFS(BD.OS!$J:$J,BD.OS!$B:$B,B35,BD.OS!$C:$C,C35,BD.OS!$E:$E,"NÃO")</f>
        <v>7</v>
      </c>
      <c r="AB35">
        <f>SUMIFS(BD.OS!$K:$K,BD.OS!$B:$B,B35,BD.OS!$C:$C,C35,BD.OS!$E:$E,"NÃO")</f>
        <v>0</v>
      </c>
      <c r="AC35">
        <f>SUMIFS(BD.OS!$L:$L,BD.OS!$B:$B,B35,BD.OS!$C:$C,C35,BD.OS!$E:$E,"NÃO")</f>
        <v>53</v>
      </c>
      <c r="AD35">
        <f>SUMIFS(BD.OS!$M:$M,BD.OS!$B:$B,B35,BD.OS!$C:$C,C35,BD.OS!$E:$E,"NÃO")</f>
        <v>0</v>
      </c>
      <c r="AE35">
        <f>SUMIFS(BD.OS!$N:$N,BD.OS!$B:$B,B35,BD.OS!$C:$C,C35,BD.OS!$E:$E,"NÃO")</f>
        <v>0</v>
      </c>
      <c r="AF35">
        <f>SUMIFS(BD.OS!$O:$O,BD.OS!$B:$B,B35,BD.OS!$C:$C,C35,BD.OS!$E:$E,"NÃO")</f>
        <v>0</v>
      </c>
      <c r="AG35">
        <f>SUMIFS(BD.OS!$P:$P,BD.OS!$B:$B,B35,BD.OS!$C:$C,C35,BD.OS!$E:$E,"NÃO")</f>
        <v>7</v>
      </c>
      <c r="AH35">
        <f>SUMIFS(BD.OS!$Q:$Q,BD.OS!$B:$B,B35,BD.OS!$C:$C,C35,BD.OS!$E:$E,"NÃO")</f>
        <v>5</v>
      </c>
      <c r="AI35">
        <f>SUMIFS(BD.OS!$R:$R,BD.OS!$B:$B,B35,BD.OS!$C:$C,C35,BD.OS!$E:$E,"NÃO")</f>
        <v>78</v>
      </c>
      <c r="AJ35">
        <f>SUMIFS(BD.OS!$S:$S,BD.OS!$B:$B,B35,BD.OS!$C:$C,C35,BD.OS!$E:$E,"NÃO")</f>
        <v>0</v>
      </c>
      <c r="AK35">
        <f>SUMIFS(BD.OS!$T:$T,BD.OS!$B:$B,B35,BD.OS!$C:$C,C35,BD.OS!$E:$E,"NÃO")</f>
        <v>105</v>
      </c>
      <c r="AL35">
        <f>SUMIFS(BD.OS!$U:$U,BD.OS!$B:$B,B35,BD.OS!$C:$C,C35,BD.OS!$E:$E,"NÃO")</f>
        <v>0</v>
      </c>
      <c r="AM35">
        <f>SUMIFS(BD.OS!$V:$V,BD.OS!$B:$B,B35,BD.OS!$C:$C,C35,BD.OS!$E:$E,"NÃO")</f>
        <v>33</v>
      </c>
      <c r="AN35">
        <f>SUMIFS(BD.OS!$W:$W,BD.OS!$B:$B,B35,BD.OS!$C:$C,C35,BD.OS!$E:$E,"NÃO")</f>
        <v>8</v>
      </c>
      <c r="AP35" s="159">
        <f t="shared" si="29"/>
        <v>42370</v>
      </c>
      <c r="AQ35">
        <f t="shared" si="30"/>
        <v>917</v>
      </c>
      <c r="AR35">
        <f t="shared" si="31"/>
        <v>603</v>
      </c>
      <c r="AS35">
        <f t="shared" si="32"/>
        <v>1520</v>
      </c>
      <c r="AT35">
        <f>SUMIFS('Relatório GERAL'!$BR:$BR,'Relatório GERAL'!$AX:$AX,"&gt;="&amp;AP35,'Relatório GERAL'!$AX:$AX,"&lt;"&amp;AP34)+SUMIFS('Relatório Extra'!W:W,'Relatório Extra'!A:A,"&gt;="&amp;AP35,'Relatório Extra'!A:A,"&lt;"&amp;AP34)</f>
        <v>2294</v>
      </c>
      <c r="AU35">
        <f>VLOOKUP(AP35,'BD HORA EXTRA'!$B$2:$C$17,2,0)</f>
        <v>72</v>
      </c>
      <c r="AW35" s="167">
        <f>DATE(ANOPROD.-1,'Prod. e Improd'!F8+4,1)</f>
        <v>42248</v>
      </c>
      <c r="AX35" s="205">
        <f t="shared" si="26"/>
        <v>1.279317697228145E-2</v>
      </c>
      <c r="AY35" s="78">
        <f>VLOOKUP(AW35,'PROCV Prod.Total'!$AP$31:$AT$43,5,0)</f>
        <v>1852</v>
      </c>
      <c r="AZ35" s="78">
        <f>VLOOKUP(AW35,'Relatório Extra'!BA:BB,2,0)</f>
        <v>24</v>
      </c>
      <c r="BB35" s="159">
        <f t="shared" si="33"/>
        <v>42248</v>
      </c>
      <c r="BC35">
        <f>SUMIFS('BD OS''s Canceladas'!F:F,'BD OS''s Canceladas'!A:A,"&gt;="&amp;'PROCV Prod.Total'!BB35,'BD OS''s Canceladas'!A:A,"&lt;"&amp;'PROCV Prod.Total'!BB36)</f>
        <v>102</v>
      </c>
      <c r="BL35"/>
      <c r="CD35" s="160"/>
    </row>
    <row r="36" spans="1:82" x14ac:dyDescent="0.2">
      <c r="A36" s="26">
        <f>DATE(ANOPROD.,'Prod. e Improd'!$F$8-5,1)</f>
        <v>42339</v>
      </c>
      <c r="B36" s="78">
        <f t="shared" si="27"/>
        <v>2015</v>
      </c>
      <c r="C36" s="78">
        <f t="shared" si="28"/>
        <v>12</v>
      </c>
      <c r="D36">
        <f>SUMIFS(BD.OS!$F:$F,BD.OS!$B:$B,B36,BD.OS!$C:$C,C36,BD.OS!$E:$E,"SIM")</f>
        <v>63</v>
      </c>
      <c r="E36">
        <f>SUMIFS(BD.OS!$G:$G,BD.OS!$B:$B,B36,BD.OS!$C:$C,C36,BD.OS!$E:$E,"SIM")</f>
        <v>76</v>
      </c>
      <c r="F36">
        <f>SUMIFS(BD.OS!$H:$H,BD.OS!$B:$B,B36,BD.OS!$C:$C,C36,BD.OS!$E:$E,"SIM")</f>
        <v>72</v>
      </c>
      <c r="G36">
        <f>SUMIFS(BD.OS!$I:$I,BD.OS!$B:$B,B36,BD.OS!$C:$C,C36,BD.OS!$E:$E,"SIM")</f>
        <v>108</v>
      </c>
      <c r="H36">
        <f>SUMIFS(BD.OS!$J:$J,BD.OS!$B:$B,B36,BD.OS!$C:$C,C36,BD.OS!$E:$E,"SIM")</f>
        <v>19</v>
      </c>
      <c r="I36">
        <f>SUMIFS(BD.OS!$K:$K,BD.OS!$B:$B,B36,BD.OS!$C:$C,C36,BD.OS!$E:$E,"SIM")</f>
        <v>0</v>
      </c>
      <c r="J36">
        <f>SUMIFS(BD.OS!$L:$L,BD.OS!$B:$B,B36,BD.OS!$C:$C,C36,BD.OS!$E:$E,"SIM")</f>
        <v>201</v>
      </c>
      <c r="K36">
        <f>SUMIFS(BD.OS!$M:$M,BD.OS!$B:$B,B36,BD.OS!$C:$C,C36,BD.OS!$E:$E,"SIM")</f>
        <v>0</v>
      </c>
      <c r="L36">
        <f>SUMIFS(BD.OS!$N:$N,BD.OS!$B:$B,B36,BD.OS!$C:$C,C36,BD.OS!$E:$E,"SIM")</f>
        <v>0</v>
      </c>
      <c r="M36">
        <f>SUMIFS(BD.OS!$O:$O,BD.OS!$B:$B,B36,BD.OS!$C:$C,C36,BD.OS!$E:$E,"SIM")</f>
        <v>2</v>
      </c>
      <c r="N36">
        <f>SUMIFS(BD.OS!$P:$P,BD.OS!$B:$B,B36,BD.OS!$C:$C,C36,BD.OS!$E:$E,"SIM")</f>
        <v>10</v>
      </c>
      <c r="O36">
        <f>SUMIFS(BD.OS!$Q:$Q,BD.OS!$B:$B,B36,BD.OS!$C:$C,C36,BD.OS!$E:$E,"SIM")</f>
        <v>0</v>
      </c>
      <c r="P36">
        <f>SUMIFS(BD.OS!$R:$R,BD.OS!$B:$B,B36,BD.OS!$C:$C,C36,BD.OS!$E:$E,"SIM")</f>
        <v>83</v>
      </c>
      <c r="Q36">
        <f>SUMIFS(BD.OS!$S:$S,BD.OS!$B:$B,B36,BD.OS!$C:$C,C36,BD.OS!$E:$E,"SIM")</f>
        <v>0</v>
      </c>
      <c r="R36">
        <f>SUMIFS(BD.OS!$T:$T,BD.OS!$B:$B,B36,BD.OS!$C:$C,C36,BD.OS!$E:$E,"SIM")</f>
        <v>38</v>
      </c>
      <c r="S36">
        <f>SUMIFS(BD.OS!$U:$U,BD.OS!$B:$B,B36,BD.OS!$C:$C,C36,BD.OS!$E:$E,"SIM")</f>
        <v>0</v>
      </c>
      <c r="T36">
        <f>SUMIFS(BD.OS!$V:$V,BD.OS!$B:$B,B36,BD.OS!$C:$C,C36,BD.OS!$E:$E,"SIM")</f>
        <v>122</v>
      </c>
      <c r="U36">
        <f>SUMIFS(BD.OS!$W:$W,BD.OS!$B:$B,B36,BD.OS!$C:$C,C36,BD.OS!$E:$E,"SIM")</f>
        <v>1</v>
      </c>
      <c r="W36">
        <f>SUMIFS(BD.OS!$F:$F,BD.OS!$B:$B,B36,BD.OS!$C:$C,C36,BD.OS!$E:$E,"NÃO")</f>
        <v>198</v>
      </c>
      <c r="X36">
        <f>SUMIFS(BD.OS!$G:$G,BD.OS!$B:$B,B36,BD.OS!$C:$C,C36,BD.OS!$E:$E,"NÃO")</f>
        <v>197</v>
      </c>
      <c r="Y36">
        <f>SUMIFS(BD.OS!$H:$H,BD.OS!$B:$B,B36,BD.OS!$C:$C,C36,BD.OS!$E:$E,"NÃO")</f>
        <v>14</v>
      </c>
      <c r="Z36">
        <f>SUMIFS(BD.OS!$I:$I,BD.OS!$B:$B,B36,BD.OS!$C:$C,C36,BD.OS!$E:$E,"NÃO")</f>
        <v>41</v>
      </c>
      <c r="AA36">
        <f>SUMIFS(BD.OS!$J:$J,BD.OS!$B:$B,B36,BD.OS!$C:$C,C36,BD.OS!$E:$E,"NÃO")</f>
        <v>17</v>
      </c>
      <c r="AB36">
        <f>SUMIFS(BD.OS!$K:$K,BD.OS!$B:$B,B36,BD.OS!$C:$C,C36,BD.OS!$E:$E,"NÃO")</f>
        <v>0</v>
      </c>
      <c r="AC36">
        <f>SUMIFS(BD.OS!$L:$L,BD.OS!$B:$B,B36,BD.OS!$C:$C,C36,BD.OS!$E:$E,"NÃO")</f>
        <v>82</v>
      </c>
      <c r="AD36">
        <f>SUMIFS(BD.OS!$M:$M,BD.OS!$B:$B,B36,BD.OS!$C:$C,C36,BD.OS!$E:$E,"NÃO")</f>
        <v>0</v>
      </c>
      <c r="AE36">
        <f>SUMIFS(BD.OS!$N:$N,BD.OS!$B:$B,B36,BD.OS!$C:$C,C36,BD.OS!$E:$E,"NÃO")</f>
        <v>0</v>
      </c>
      <c r="AF36">
        <f>SUMIFS(BD.OS!$O:$O,BD.OS!$B:$B,B36,BD.OS!$C:$C,C36,BD.OS!$E:$E,"NÃO")</f>
        <v>5</v>
      </c>
      <c r="AG36">
        <f>SUMIFS(BD.OS!$P:$P,BD.OS!$B:$B,B36,BD.OS!$C:$C,C36,BD.OS!$E:$E,"NÃO")</f>
        <v>14</v>
      </c>
      <c r="AH36">
        <f>SUMIFS(BD.OS!$Q:$Q,BD.OS!$B:$B,B36,BD.OS!$C:$C,C36,BD.OS!$E:$E,"NÃO")</f>
        <v>0</v>
      </c>
      <c r="AI36">
        <f>SUMIFS(BD.OS!$R:$R,BD.OS!$B:$B,B36,BD.OS!$C:$C,C36,BD.OS!$E:$E,"NÃO")</f>
        <v>82</v>
      </c>
      <c r="AJ36">
        <f>SUMIFS(BD.OS!$S:$S,BD.OS!$B:$B,B36,BD.OS!$C:$C,C36,BD.OS!$E:$E,"NÃO")</f>
        <v>0</v>
      </c>
      <c r="AK36">
        <f>SUMIFS(BD.OS!$T:$T,BD.OS!$B:$B,B36,BD.OS!$C:$C,C36,BD.OS!$E:$E,"NÃO")</f>
        <v>94</v>
      </c>
      <c r="AL36">
        <f>SUMIFS(BD.OS!$U:$U,BD.OS!$B:$B,B36,BD.OS!$C:$C,C36,BD.OS!$E:$E,"NÃO")</f>
        <v>0</v>
      </c>
      <c r="AM36">
        <f>SUMIFS(BD.OS!$V:$V,BD.OS!$B:$B,B36,BD.OS!$C:$C,C36,BD.OS!$E:$E,"NÃO")</f>
        <v>70</v>
      </c>
      <c r="AN36">
        <f>SUMIFS(BD.OS!$W:$W,BD.OS!$B:$B,B36,BD.OS!$C:$C,C36,BD.OS!$E:$E,"NÃO")</f>
        <v>1</v>
      </c>
      <c r="AP36" s="159">
        <f t="shared" si="29"/>
        <v>42339</v>
      </c>
      <c r="AQ36">
        <f t="shared" si="30"/>
        <v>795</v>
      </c>
      <c r="AR36">
        <f t="shared" si="31"/>
        <v>815</v>
      </c>
      <c r="AS36">
        <f t="shared" si="32"/>
        <v>1610</v>
      </c>
      <c r="AT36">
        <f>SUMIFS('Relatório GERAL'!$BR:$BR,'Relatório GERAL'!$AX:$AX,"&gt;="&amp;AP36,'Relatório GERAL'!$AX:$AX,"&lt;"&amp;AP35)+SUMIFS('Relatório Extra'!W:W,'Relatório Extra'!A:A,"&gt;="&amp;AP36,'Relatório Extra'!A:A,"&lt;"&amp;AP35)</f>
        <v>2266</v>
      </c>
      <c r="AU36">
        <f>VLOOKUP(AP36,'BD HORA EXTRA'!$B$2:$C$17,2,0)</f>
        <v>78</v>
      </c>
      <c r="AW36" s="167">
        <f>DATE(ANOPROD.-1,'Prod. e Improd'!F8+5,1)</f>
        <v>42278</v>
      </c>
      <c r="AX36" s="205">
        <f t="shared" si="26"/>
        <v>4.2358803986710963E-2</v>
      </c>
      <c r="AY36" s="78">
        <f>VLOOKUP(AW36,'PROCV Prod.Total'!$AP$31:$AT$43,5,0)</f>
        <v>2306</v>
      </c>
      <c r="AZ36" s="78">
        <f>VLOOKUP(AW36,'Relatório Extra'!BA:BB,2,0)</f>
        <v>102</v>
      </c>
      <c r="BB36" s="159">
        <f t="shared" si="33"/>
        <v>42278</v>
      </c>
      <c r="BC36">
        <f>SUMIFS('BD OS''s Canceladas'!F:F,'BD OS''s Canceladas'!A:A,"&gt;="&amp;'PROCV Prod.Total'!BB36,'BD OS''s Canceladas'!A:A,"&lt;"&amp;'PROCV Prod.Total'!BB37)</f>
        <v>37</v>
      </c>
      <c r="BL36"/>
      <c r="CD36" s="160"/>
    </row>
    <row r="37" spans="1:82" x14ac:dyDescent="0.2">
      <c r="A37" s="26">
        <f>DATE(ANOPROD.,'Prod. e Improd'!$F$8-6,1)</f>
        <v>42309</v>
      </c>
      <c r="B37" s="78">
        <f t="shared" si="27"/>
        <v>2015</v>
      </c>
      <c r="C37" s="78">
        <f t="shared" si="28"/>
        <v>11</v>
      </c>
      <c r="D37">
        <f>SUMIFS(BD.OS!$F:$F,BD.OS!$B:$B,B37,BD.OS!$C:$C,C37,BD.OS!$E:$E,"SIM")</f>
        <v>57</v>
      </c>
      <c r="E37">
        <f>SUMIFS(BD.OS!$G:$G,BD.OS!$B:$B,B37,BD.OS!$C:$C,C37,BD.OS!$E:$E,"SIM")</f>
        <v>141</v>
      </c>
      <c r="F37">
        <f>SUMIFS(BD.OS!$H:$H,BD.OS!$B:$B,B37,BD.OS!$C:$C,C37,BD.OS!$E:$E,"SIM")</f>
        <v>60</v>
      </c>
      <c r="G37">
        <f>SUMIFS(BD.OS!$I:$I,BD.OS!$B:$B,B37,BD.OS!$C:$C,C37,BD.OS!$E:$E,"SIM")</f>
        <v>105</v>
      </c>
      <c r="H37">
        <f>SUMIFS(BD.OS!$J:$J,BD.OS!$B:$B,B37,BD.OS!$C:$C,C37,BD.OS!$E:$E,"SIM")</f>
        <v>33</v>
      </c>
      <c r="I37">
        <f>SUMIFS(BD.OS!$K:$K,BD.OS!$B:$B,B37,BD.OS!$C:$C,C37,BD.OS!$E:$E,"SIM")</f>
        <v>0</v>
      </c>
      <c r="J37">
        <f>SUMIFS(BD.OS!$L:$L,BD.OS!$B:$B,B37,BD.OS!$C:$C,C37,BD.OS!$E:$E,"SIM")</f>
        <v>181</v>
      </c>
      <c r="K37">
        <f>SUMIFS(BD.OS!$M:$M,BD.OS!$B:$B,B37,BD.OS!$C:$C,C37,BD.OS!$E:$E,"SIM")</f>
        <v>0</v>
      </c>
      <c r="L37">
        <f>SUMIFS(BD.OS!$N:$N,BD.OS!$B:$B,B37,BD.OS!$C:$C,C37,BD.OS!$E:$E,"SIM")</f>
        <v>0</v>
      </c>
      <c r="M37">
        <f>SUMIFS(BD.OS!$O:$O,BD.OS!$B:$B,B37,BD.OS!$C:$C,C37,BD.OS!$E:$E,"SIM")</f>
        <v>0</v>
      </c>
      <c r="N37">
        <f>SUMIFS(BD.OS!$P:$P,BD.OS!$B:$B,B37,BD.OS!$C:$C,C37,BD.OS!$E:$E,"SIM")</f>
        <v>6</v>
      </c>
      <c r="O37">
        <f>SUMIFS(BD.OS!$Q:$Q,BD.OS!$B:$B,B37,BD.OS!$C:$C,C37,BD.OS!$E:$E,"SIM")</f>
        <v>0</v>
      </c>
      <c r="P37">
        <f>SUMIFS(BD.OS!$R:$R,BD.OS!$B:$B,B37,BD.OS!$C:$C,C37,BD.OS!$E:$E,"SIM")</f>
        <v>95</v>
      </c>
      <c r="Q37">
        <f>SUMIFS(BD.OS!$S:$S,BD.OS!$B:$B,B37,BD.OS!$C:$C,C37,BD.OS!$E:$E,"SIM")</f>
        <v>0</v>
      </c>
      <c r="R37">
        <f>SUMIFS(BD.OS!$T:$T,BD.OS!$B:$B,B37,BD.OS!$C:$C,C37,BD.OS!$E:$E,"SIM")</f>
        <v>122</v>
      </c>
      <c r="S37">
        <f>SUMIFS(BD.OS!$U:$U,BD.OS!$B:$B,B37,BD.OS!$C:$C,C37,BD.OS!$E:$E,"SIM")</f>
        <v>0</v>
      </c>
      <c r="T37">
        <f>SUMIFS(BD.OS!$V:$V,BD.OS!$B:$B,B37,BD.OS!$C:$C,C37,BD.OS!$E:$E,"SIM")</f>
        <v>155</v>
      </c>
      <c r="U37">
        <f>SUMIFS(BD.OS!$W:$W,BD.OS!$B:$B,B37,BD.OS!$C:$C,C37,BD.OS!$E:$E,"SIM")</f>
        <v>2</v>
      </c>
      <c r="W37">
        <f>SUMIFS(BD.OS!$F:$F,BD.OS!$B:$B,B37,BD.OS!$C:$C,C37,BD.OS!$E:$E,"NÃO")</f>
        <v>251</v>
      </c>
      <c r="X37">
        <f>SUMIFS(BD.OS!$G:$G,BD.OS!$B:$B,B37,BD.OS!$C:$C,C37,BD.OS!$E:$E,"NÃO")</f>
        <v>175</v>
      </c>
      <c r="Y37">
        <f>SUMIFS(BD.OS!$H:$H,BD.OS!$B:$B,B37,BD.OS!$C:$C,C37,BD.OS!$E:$E,"NÃO")</f>
        <v>11</v>
      </c>
      <c r="Z37">
        <f>SUMIFS(BD.OS!$I:$I,BD.OS!$B:$B,B37,BD.OS!$C:$C,C37,BD.OS!$E:$E,"NÃO")</f>
        <v>44</v>
      </c>
      <c r="AA37">
        <f>SUMIFS(BD.OS!$J:$J,BD.OS!$B:$B,B37,BD.OS!$C:$C,C37,BD.OS!$E:$E,"NÃO")</f>
        <v>12</v>
      </c>
      <c r="AB37">
        <f>SUMIFS(BD.OS!$K:$K,BD.OS!$B:$B,B37,BD.OS!$C:$C,C37,BD.OS!$E:$E,"NÃO")</f>
        <v>0</v>
      </c>
      <c r="AC37">
        <f>SUMIFS(BD.OS!$L:$L,BD.OS!$B:$B,B37,BD.OS!$C:$C,C37,BD.OS!$E:$E,"NÃO")</f>
        <v>71</v>
      </c>
      <c r="AD37">
        <f>SUMIFS(BD.OS!$M:$M,BD.OS!$B:$B,B37,BD.OS!$C:$C,C37,BD.OS!$E:$E,"NÃO")</f>
        <v>0</v>
      </c>
      <c r="AE37">
        <f>SUMIFS(BD.OS!$N:$N,BD.OS!$B:$B,B37,BD.OS!$C:$C,C37,BD.OS!$E:$E,"NÃO")</f>
        <v>0</v>
      </c>
      <c r="AF37">
        <f>SUMIFS(BD.OS!$O:$O,BD.OS!$B:$B,B37,BD.OS!$C:$C,C37,BD.OS!$E:$E,"NÃO")</f>
        <v>0</v>
      </c>
      <c r="AG37">
        <f>SUMIFS(BD.OS!$P:$P,BD.OS!$B:$B,B37,BD.OS!$C:$C,C37,BD.OS!$E:$E,"NÃO")</f>
        <v>16</v>
      </c>
      <c r="AH37">
        <f>SUMIFS(BD.OS!$Q:$Q,BD.OS!$B:$B,B37,BD.OS!$C:$C,C37,BD.OS!$E:$E,"NÃO")</f>
        <v>0</v>
      </c>
      <c r="AI37">
        <f>SUMIFS(BD.OS!$R:$R,BD.OS!$B:$B,B37,BD.OS!$C:$C,C37,BD.OS!$E:$E,"NÃO")</f>
        <v>86</v>
      </c>
      <c r="AJ37">
        <f>SUMIFS(BD.OS!$S:$S,BD.OS!$B:$B,B37,BD.OS!$C:$C,C37,BD.OS!$E:$E,"NÃO")</f>
        <v>0</v>
      </c>
      <c r="AK37">
        <f>SUMIFS(BD.OS!$T:$T,BD.OS!$B:$B,B37,BD.OS!$C:$C,C37,BD.OS!$E:$E,"NÃO")</f>
        <v>106</v>
      </c>
      <c r="AL37">
        <f>SUMIFS(BD.OS!$U:$U,BD.OS!$B:$B,B37,BD.OS!$C:$C,C37,BD.OS!$E:$E,"NÃO")</f>
        <v>0</v>
      </c>
      <c r="AM37">
        <f>SUMIFS(BD.OS!$V:$V,BD.OS!$B:$B,B37,BD.OS!$C:$C,C37,BD.OS!$E:$E,"NÃO")</f>
        <v>51</v>
      </c>
      <c r="AN37">
        <f>SUMIFS(BD.OS!$W:$W,BD.OS!$B:$B,B37,BD.OS!$C:$C,C37,BD.OS!$E:$E,"NÃO")</f>
        <v>6</v>
      </c>
      <c r="AP37" s="159">
        <f t="shared" si="29"/>
        <v>42309</v>
      </c>
      <c r="AQ37">
        <f t="shared" si="30"/>
        <v>957</v>
      </c>
      <c r="AR37">
        <f t="shared" si="31"/>
        <v>829</v>
      </c>
      <c r="AS37">
        <f t="shared" si="32"/>
        <v>1786</v>
      </c>
      <c r="AT37">
        <f>SUMIFS('Relatório GERAL'!$BR:$BR,'Relatório GERAL'!$AX:$AX,"&gt;="&amp;AP37,'Relatório GERAL'!$AX:$AX,"&lt;"&amp;AP36)+SUMIFS('Relatório Extra'!W:W,'Relatório Extra'!A:A,"&gt;="&amp;AP37,'Relatório Extra'!A:A,"&lt;"&amp;AP36)</f>
        <v>2460</v>
      </c>
      <c r="AU37">
        <f>VLOOKUP(AP37,'BD HORA EXTRA'!$B$2:$C$17,2,0)</f>
        <v>174</v>
      </c>
      <c r="AW37" s="167">
        <f>DATE(ANOPROD.-1,'Prod. e Improd'!F8+6,1)</f>
        <v>42309</v>
      </c>
      <c r="AX37" s="205">
        <f t="shared" si="26"/>
        <v>6.6059225512528477E-2</v>
      </c>
      <c r="AY37" s="78">
        <f>VLOOKUP(AW37,'PROCV Prod.Total'!$AP$31:$AT$43,5,0)</f>
        <v>2460</v>
      </c>
      <c r="AZ37" s="78">
        <f>VLOOKUP(AW37,'Relatório Extra'!BA:BB,2,0)</f>
        <v>174</v>
      </c>
      <c r="BB37" s="159">
        <f t="shared" si="33"/>
        <v>42309</v>
      </c>
      <c r="BC37">
        <f>SUMIFS('BD OS''s Canceladas'!F:F,'BD OS''s Canceladas'!A:A,"&gt;="&amp;'PROCV Prod.Total'!BB37,'BD OS''s Canceladas'!A:A,"&lt;"&amp;'PROCV Prod.Total'!BB38)</f>
        <v>102</v>
      </c>
      <c r="BL37"/>
      <c r="CD37" s="160"/>
    </row>
    <row r="38" spans="1:82" x14ac:dyDescent="0.2">
      <c r="A38" s="26">
        <f>DATE(ANOPROD.,'Prod. e Improd'!$F$8-7,1)</f>
        <v>42278</v>
      </c>
      <c r="B38" s="78">
        <f t="shared" si="27"/>
        <v>2015</v>
      </c>
      <c r="C38" s="78">
        <f t="shared" si="28"/>
        <v>10</v>
      </c>
      <c r="D38">
        <f>SUMIFS(BD.OS!$F:$F,BD.OS!$B:$B,B38,BD.OS!$C:$C,C38,BD.OS!$E:$E,"SIM")</f>
        <v>314</v>
      </c>
      <c r="E38">
        <f>SUMIFS(BD.OS!$G:$G,BD.OS!$B:$B,B38,BD.OS!$C:$C,C38,BD.OS!$E:$E,"SIM")</f>
        <v>160</v>
      </c>
      <c r="F38">
        <f>SUMIFS(BD.OS!$H:$H,BD.OS!$B:$B,B38,BD.OS!$C:$C,C38,BD.OS!$E:$E,"SIM")</f>
        <v>77</v>
      </c>
      <c r="G38">
        <f>SUMIFS(BD.OS!$I:$I,BD.OS!$B:$B,B38,BD.OS!$C:$C,C38,BD.OS!$E:$E,"SIM")</f>
        <v>68</v>
      </c>
      <c r="H38">
        <f>SUMIFS(BD.OS!$J:$J,BD.OS!$B:$B,B38,BD.OS!$C:$C,C38,BD.OS!$E:$E,"SIM")</f>
        <v>0</v>
      </c>
      <c r="I38">
        <f>SUMIFS(BD.OS!$K:$K,BD.OS!$B:$B,B38,BD.OS!$C:$C,C38,BD.OS!$E:$E,"SIM")</f>
        <v>11</v>
      </c>
      <c r="J38">
        <f>SUMIFS(BD.OS!$L:$L,BD.OS!$B:$B,B38,BD.OS!$C:$C,C38,BD.OS!$E:$E,"SIM")</f>
        <v>179</v>
      </c>
      <c r="K38">
        <f>SUMIFS(BD.OS!$M:$M,BD.OS!$B:$B,B38,BD.OS!$C:$C,C38,BD.OS!$E:$E,"SIM")</f>
        <v>0</v>
      </c>
      <c r="L38">
        <f>SUMIFS(BD.OS!$N:$N,BD.OS!$B:$B,B38,BD.OS!$C:$C,C38,BD.OS!$E:$E,"SIM")</f>
        <v>0</v>
      </c>
      <c r="M38">
        <f>SUMIFS(BD.OS!$O:$O,BD.OS!$B:$B,B38,BD.OS!$C:$C,C38,BD.OS!$E:$E,"SIM")</f>
        <v>3</v>
      </c>
      <c r="N38">
        <f>SUMIFS(BD.OS!$P:$P,BD.OS!$B:$B,B38,BD.OS!$C:$C,C38,BD.OS!$E:$E,"SIM")</f>
        <v>61</v>
      </c>
      <c r="O38">
        <f>SUMIFS(BD.OS!$Q:$Q,BD.OS!$B:$B,B38,BD.OS!$C:$C,C38,BD.OS!$E:$E,"SIM")</f>
        <v>0</v>
      </c>
      <c r="P38">
        <f>SUMIFS(BD.OS!$R:$R,BD.OS!$B:$B,B38,BD.OS!$C:$C,C38,BD.OS!$E:$E,"SIM")</f>
        <v>88</v>
      </c>
      <c r="Q38">
        <f>SUMIFS(BD.OS!$S:$S,BD.OS!$B:$B,B38,BD.OS!$C:$C,C38,BD.OS!$E:$E,"SIM")</f>
        <v>0</v>
      </c>
      <c r="R38">
        <f>SUMIFS(BD.OS!$T:$T,BD.OS!$B:$B,B38,BD.OS!$C:$C,C38,BD.OS!$E:$E,"SIM")</f>
        <v>61</v>
      </c>
      <c r="S38">
        <f>SUMIFS(BD.OS!$U:$U,BD.OS!$B:$B,B38,BD.OS!$C:$C,C38,BD.OS!$E:$E,"SIM")</f>
        <v>1</v>
      </c>
      <c r="T38">
        <f>SUMIFS(BD.OS!$V:$V,BD.OS!$B:$B,B38,BD.OS!$C:$C,C38,BD.OS!$E:$E,"SIM")</f>
        <v>21</v>
      </c>
      <c r="U38">
        <f>SUMIFS(BD.OS!$W:$W,BD.OS!$B:$B,B38,BD.OS!$C:$C,C38,BD.OS!$E:$E,"SIM")</f>
        <v>0</v>
      </c>
      <c r="W38">
        <f>SUMIFS(BD.OS!$F:$F,BD.OS!$B:$B,B38,BD.OS!$C:$C,C38,BD.OS!$E:$E,"NÃO")</f>
        <v>601</v>
      </c>
      <c r="X38">
        <f>SUMIFS(BD.OS!$G:$G,BD.OS!$B:$B,B38,BD.OS!$C:$C,C38,BD.OS!$E:$E,"NÃO")</f>
        <v>66</v>
      </c>
      <c r="Y38">
        <f>SUMIFS(BD.OS!$H:$H,BD.OS!$B:$B,B38,BD.OS!$C:$C,C38,BD.OS!$E:$E,"NÃO")</f>
        <v>6</v>
      </c>
      <c r="Z38">
        <f>SUMIFS(BD.OS!$I:$I,BD.OS!$B:$B,B38,BD.OS!$C:$C,C38,BD.OS!$E:$E,"NÃO")</f>
        <v>13</v>
      </c>
      <c r="AA38">
        <f>SUMIFS(BD.OS!$J:$J,BD.OS!$B:$B,B38,BD.OS!$C:$C,C38,BD.OS!$E:$E,"NÃO")</f>
        <v>0</v>
      </c>
      <c r="AB38">
        <f>SUMIFS(BD.OS!$K:$K,BD.OS!$B:$B,B38,BD.OS!$C:$C,C38,BD.OS!$E:$E,"NÃO")</f>
        <v>0</v>
      </c>
      <c r="AC38">
        <f>SUMIFS(BD.OS!$L:$L,BD.OS!$B:$B,B38,BD.OS!$C:$C,C38,BD.OS!$E:$E,"NÃO")</f>
        <v>34</v>
      </c>
      <c r="AD38">
        <f>SUMIFS(BD.OS!$M:$M,BD.OS!$B:$B,B38,BD.OS!$C:$C,C38,BD.OS!$E:$E,"NÃO")</f>
        <v>0</v>
      </c>
      <c r="AE38">
        <f>SUMIFS(BD.OS!$N:$N,BD.OS!$B:$B,B38,BD.OS!$C:$C,C38,BD.OS!$E:$E,"NÃO")</f>
        <v>0</v>
      </c>
      <c r="AF38">
        <f>SUMIFS(BD.OS!$O:$O,BD.OS!$B:$B,B38,BD.OS!$C:$C,C38,BD.OS!$E:$E,"NÃO")</f>
        <v>1</v>
      </c>
      <c r="AG38">
        <f>SUMIFS(BD.OS!$P:$P,BD.OS!$B:$B,B38,BD.OS!$C:$C,C38,BD.OS!$E:$E,"NÃO")</f>
        <v>11</v>
      </c>
      <c r="AH38">
        <f>SUMIFS(BD.OS!$Q:$Q,BD.OS!$B:$B,B38,BD.OS!$C:$C,C38,BD.OS!$E:$E,"NÃO")</f>
        <v>0</v>
      </c>
      <c r="AI38">
        <f>SUMIFS(BD.OS!$R:$R,BD.OS!$B:$B,B38,BD.OS!$C:$C,C38,BD.OS!$E:$E,"NÃO")</f>
        <v>111</v>
      </c>
      <c r="AJ38">
        <f>SUMIFS(BD.OS!$S:$S,BD.OS!$B:$B,B38,BD.OS!$C:$C,C38,BD.OS!$E:$E,"NÃO")</f>
        <v>0</v>
      </c>
      <c r="AK38">
        <f>SUMIFS(BD.OS!$T:$T,BD.OS!$B:$B,B38,BD.OS!$C:$C,C38,BD.OS!$E:$E,"NÃO")</f>
        <v>45</v>
      </c>
      <c r="AL38">
        <f>SUMIFS(BD.OS!$U:$U,BD.OS!$B:$B,B38,BD.OS!$C:$C,C38,BD.OS!$E:$E,"NÃO")</f>
        <v>0</v>
      </c>
      <c r="AM38">
        <f>SUMIFS(BD.OS!$V:$V,BD.OS!$B:$B,B38,BD.OS!$C:$C,C38,BD.OS!$E:$E,"NÃO")</f>
        <v>4</v>
      </c>
      <c r="AN38">
        <f>SUMIFS(BD.OS!$W:$W,BD.OS!$B:$B,B38,BD.OS!$C:$C,C38,BD.OS!$E:$E,"NÃO")</f>
        <v>3</v>
      </c>
      <c r="AP38" s="159">
        <f t="shared" si="29"/>
        <v>42278</v>
      </c>
      <c r="AQ38">
        <f t="shared" si="30"/>
        <v>1044</v>
      </c>
      <c r="AR38">
        <f t="shared" si="31"/>
        <v>895</v>
      </c>
      <c r="AS38">
        <f t="shared" si="32"/>
        <v>1939</v>
      </c>
      <c r="AT38">
        <f>SUMIFS('Relatório GERAL'!$BR:$BR,'Relatório GERAL'!$AX:$AX,"&gt;="&amp;AP38,'Relatório GERAL'!$AX:$AX,"&lt;"&amp;AP37)+SUMIFS('Relatório Extra'!W:W,'Relatório Extra'!A:A,"&gt;="&amp;AP38,'Relatório Extra'!A:A,"&lt;"&amp;AP37)</f>
        <v>2306</v>
      </c>
      <c r="AU38">
        <f>VLOOKUP(AP38,'BD HORA EXTRA'!$B$2:$C$17,2,0)</f>
        <v>102</v>
      </c>
      <c r="AW38" s="167">
        <f>DATE(ANOPROD.-1,'Prod. e Improd'!F8+7,1)</f>
        <v>42339</v>
      </c>
      <c r="AX38" s="205">
        <f t="shared" si="26"/>
        <v>3.3276450511945395E-2</v>
      </c>
      <c r="AY38" s="78">
        <f>VLOOKUP(AW38,'PROCV Prod.Total'!$AP$31:$AT$43,5,0)</f>
        <v>2266</v>
      </c>
      <c r="AZ38" s="78">
        <f>VLOOKUP(AW38,'Relatório Extra'!BA:BB,2,0)</f>
        <v>78</v>
      </c>
      <c r="BB38" s="159">
        <f t="shared" si="33"/>
        <v>42339</v>
      </c>
      <c r="BC38">
        <f>SUMIFS('BD OS''s Canceladas'!F:F,'BD OS''s Canceladas'!A:A,"&gt;="&amp;'PROCV Prod.Total'!BB38,'BD OS''s Canceladas'!A:A,"&lt;"&amp;'PROCV Prod.Total'!BB39)</f>
        <v>12</v>
      </c>
      <c r="BL38"/>
      <c r="CD38" s="160"/>
    </row>
    <row r="39" spans="1:82" x14ac:dyDescent="0.2">
      <c r="A39" s="26">
        <f>DATE(ANOPROD.,'Prod. e Improd'!$F$8-8,1)</f>
        <v>42248</v>
      </c>
      <c r="B39" s="78">
        <f t="shared" si="27"/>
        <v>2015</v>
      </c>
      <c r="C39" s="78">
        <f t="shared" si="28"/>
        <v>9</v>
      </c>
      <c r="D39">
        <f>SUMIFS(BD.OS!$F:$F,BD.OS!$B:$B,B39,BD.OS!$C:$C,C39,BD.OS!$E:$E,"SIM")</f>
        <v>538</v>
      </c>
      <c r="E39">
        <f>SUMIFS(BD.OS!$G:$G,BD.OS!$B:$B,B39,BD.OS!$C:$C,C39,BD.OS!$E:$E,"SIM")</f>
        <v>0</v>
      </c>
      <c r="F39">
        <f>SUMIFS(BD.OS!$H:$H,BD.OS!$B:$B,B39,BD.OS!$C:$C,C39,BD.OS!$E:$E,"SIM")</f>
        <v>3</v>
      </c>
      <c r="G39">
        <f>SUMIFS(BD.OS!$I:$I,BD.OS!$B:$B,B39,BD.OS!$C:$C,C39,BD.OS!$E:$E,"SIM")</f>
        <v>0</v>
      </c>
      <c r="H39">
        <f>SUMIFS(BD.OS!$J:$J,BD.OS!$B:$B,B39,BD.OS!$C:$C,C39,BD.OS!$E:$E,"SIM")</f>
        <v>0</v>
      </c>
      <c r="I39">
        <f>SUMIFS(BD.OS!$K:$K,BD.OS!$B:$B,B39,BD.OS!$C:$C,C39,BD.OS!$E:$E,"SIM")</f>
        <v>4</v>
      </c>
      <c r="J39">
        <f>SUMIFS(BD.OS!$L:$L,BD.OS!$B:$B,B39,BD.OS!$C:$C,C39,BD.OS!$E:$E,"SIM")</f>
        <v>5</v>
      </c>
      <c r="K39">
        <f>SUMIFS(BD.OS!$M:$M,BD.OS!$B:$B,B39,BD.OS!$C:$C,C39,BD.OS!$E:$E,"SIM")</f>
        <v>0</v>
      </c>
      <c r="L39">
        <f>SUMIFS(BD.OS!$N:$N,BD.OS!$B:$B,B39,BD.OS!$C:$C,C39,BD.OS!$E:$E,"SIM")</f>
        <v>0</v>
      </c>
      <c r="M39">
        <f>SUMIFS(BD.OS!$O:$O,BD.OS!$B:$B,B39,BD.OS!$C:$C,C39,BD.OS!$E:$E,"SIM")</f>
        <v>1</v>
      </c>
      <c r="N39">
        <f>SUMIFS(BD.OS!$P:$P,BD.OS!$B:$B,B39,BD.OS!$C:$C,C39,BD.OS!$E:$E,"SIM")</f>
        <v>3</v>
      </c>
      <c r="O39">
        <f>SUMIFS(BD.OS!$Q:$Q,BD.OS!$B:$B,B39,BD.OS!$C:$C,C39,BD.OS!$E:$E,"SIM")</f>
        <v>0</v>
      </c>
      <c r="P39">
        <f>SUMIFS(BD.OS!$R:$R,BD.OS!$B:$B,B39,BD.OS!$C:$C,C39,BD.OS!$E:$E,"SIM")</f>
        <v>0</v>
      </c>
      <c r="Q39">
        <f>SUMIFS(BD.OS!$S:$S,BD.OS!$B:$B,B39,BD.OS!$C:$C,C39,BD.OS!$E:$E,"SIM")</f>
        <v>0</v>
      </c>
      <c r="R39">
        <f>SUMIFS(BD.OS!$T:$T,BD.OS!$B:$B,B39,BD.OS!$C:$C,C39,BD.OS!$E:$E,"SIM")</f>
        <v>1</v>
      </c>
      <c r="S39">
        <f>SUMIFS(BD.OS!$U:$U,BD.OS!$B:$B,B39,BD.OS!$C:$C,C39,BD.OS!$E:$E,"SIM")</f>
        <v>0</v>
      </c>
      <c r="T39">
        <f>SUMIFS(BD.OS!$V:$V,BD.OS!$B:$B,B39,BD.OS!$C:$C,C39,BD.OS!$E:$E,"SIM")</f>
        <v>1</v>
      </c>
      <c r="U39">
        <f>SUMIFS(BD.OS!$W:$W,BD.OS!$B:$B,B39,BD.OS!$C:$C,C39,BD.OS!$E:$E,"SIM")</f>
        <v>0</v>
      </c>
      <c r="W39">
        <f>SUMIFS(BD.OS!$F:$F,BD.OS!$B:$B,B39,BD.OS!$C:$C,C39,BD.OS!$E:$E,"NÃO")</f>
        <v>903</v>
      </c>
      <c r="X39">
        <f>SUMIFS(BD.OS!$G:$G,BD.OS!$B:$B,B39,BD.OS!$C:$C,C39,BD.OS!$E:$E,"NÃO")</f>
        <v>0</v>
      </c>
      <c r="Y39">
        <f>SUMIFS(BD.OS!$H:$H,BD.OS!$B:$B,B39,BD.OS!$C:$C,C39,BD.OS!$E:$E,"NÃO")</f>
        <v>1</v>
      </c>
      <c r="Z39">
        <f>SUMIFS(BD.OS!$I:$I,BD.OS!$B:$B,B39,BD.OS!$C:$C,C39,BD.OS!$E:$E,"NÃO")</f>
        <v>0</v>
      </c>
      <c r="AA39">
        <f>SUMIFS(BD.OS!$J:$J,BD.OS!$B:$B,B39,BD.OS!$C:$C,C39,BD.OS!$E:$E,"NÃO")</f>
        <v>0</v>
      </c>
      <c r="AB39">
        <f>SUMIFS(BD.OS!$K:$K,BD.OS!$B:$B,B39,BD.OS!$C:$C,C39,BD.OS!$E:$E,"NÃO")</f>
        <v>0</v>
      </c>
      <c r="AC39">
        <f>SUMIFS(BD.OS!$L:$L,BD.OS!$B:$B,B39,BD.OS!$C:$C,C39,BD.OS!$E:$E,"NÃO")</f>
        <v>1</v>
      </c>
      <c r="AD39">
        <f>SUMIFS(BD.OS!$M:$M,BD.OS!$B:$B,B39,BD.OS!$C:$C,C39,BD.OS!$E:$E,"NÃO")</f>
        <v>0</v>
      </c>
      <c r="AE39">
        <f>SUMIFS(BD.OS!$N:$N,BD.OS!$B:$B,B39,BD.OS!$C:$C,C39,BD.OS!$E:$E,"NÃO")</f>
        <v>0</v>
      </c>
      <c r="AF39">
        <f>SUMIFS(BD.OS!$O:$O,BD.OS!$B:$B,B39,BD.OS!$C:$C,C39,BD.OS!$E:$E,"NÃO")</f>
        <v>0</v>
      </c>
      <c r="AG39">
        <f>SUMIFS(BD.OS!$P:$P,BD.OS!$B:$B,B39,BD.OS!$C:$C,C39,BD.OS!$E:$E,"NÃO")</f>
        <v>1</v>
      </c>
      <c r="AH39">
        <f>SUMIFS(BD.OS!$Q:$Q,BD.OS!$B:$B,B39,BD.OS!$C:$C,C39,BD.OS!$E:$E,"NÃO")</f>
        <v>0</v>
      </c>
      <c r="AI39">
        <f>SUMIFS(BD.OS!$R:$R,BD.OS!$B:$B,B39,BD.OS!$C:$C,C39,BD.OS!$E:$E,"NÃO")</f>
        <v>1</v>
      </c>
      <c r="AJ39">
        <f>SUMIFS(BD.OS!$S:$S,BD.OS!$B:$B,B39,BD.OS!$C:$C,C39,BD.OS!$E:$E,"NÃO")</f>
        <v>0</v>
      </c>
      <c r="AK39">
        <f>SUMIFS(BD.OS!$T:$T,BD.OS!$B:$B,B39,BD.OS!$C:$C,C39,BD.OS!$E:$E,"NÃO")</f>
        <v>0</v>
      </c>
      <c r="AL39">
        <f>SUMIFS(BD.OS!$U:$U,BD.OS!$B:$B,B39,BD.OS!$C:$C,C39,BD.OS!$E:$E,"NÃO")</f>
        <v>0</v>
      </c>
      <c r="AM39">
        <f>SUMIFS(BD.OS!$V:$V,BD.OS!$B:$B,B39,BD.OS!$C:$C,C39,BD.OS!$E:$E,"NÃO")</f>
        <v>0</v>
      </c>
      <c r="AN39">
        <f>SUMIFS(BD.OS!$W:$W,BD.OS!$B:$B,B39,BD.OS!$C:$C,C39,BD.OS!$E:$E,"NÃO")</f>
        <v>3</v>
      </c>
      <c r="AP39" s="159">
        <f t="shared" si="29"/>
        <v>42248</v>
      </c>
      <c r="AQ39">
        <f t="shared" si="30"/>
        <v>556</v>
      </c>
      <c r="AR39">
        <f t="shared" si="31"/>
        <v>910</v>
      </c>
      <c r="AS39">
        <f t="shared" si="32"/>
        <v>1466</v>
      </c>
      <c r="AT39">
        <f>SUMIFS('Relatório GERAL'!$BR:$BR,'Relatório GERAL'!$AX:$AX,"&gt;="&amp;AP39,'Relatório GERAL'!$AX:$AX,"&lt;"&amp;AP38)+SUMIFS('Relatório Extra'!W:W,'Relatório Extra'!A:A,"&gt;="&amp;AP39,'Relatório Extra'!A:A,"&lt;"&amp;AP38)</f>
        <v>1852</v>
      </c>
      <c r="AU39">
        <f>VLOOKUP(AP39,'BD HORA EXTRA'!$B$2:$C$17,2,0)</f>
        <v>24</v>
      </c>
      <c r="AW39" s="167">
        <f>DATE(ANOPROD.-1,'Prod. e Improd'!F8+8,1)</f>
        <v>42370</v>
      </c>
      <c r="AX39" s="205">
        <f t="shared" si="26"/>
        <v>3.0431107354184278E-2</v>
      </c>
      <c r="AY39" s="78">
        <f>VLOOKUP(AW39,'PROCV Prod.Total'!$AP$31:$AT$43,5,0)</f>
        <v>2294</v>
      </c>
      <c r="AZ39" s="78">
        <f>VLOOKUP(AW39,'Relatório Extra'!BA:BB,2,0)</f>
        <v>72</v>
      </c>
      <c r="BB39" s="159">
        <f t="shared" si="33"/>
        <v>42370</v>
      </c>
      <c r="BC39">
        <f>SUMIFS('BD OS''s Canceladas'!F:F,'BD OS''s Canceladas'!A:A,"&gt;="&amp;'PROCV Prod.Total'!BB39,'BD OS''s Canceladas'!A:A,"&lt;"&amp;'PROCV Prod.Total'!BB40)</f>
        <v>50</v>
      </c>
      <c r="BL39"/>
      <c r="CD39" s="160"/>
    </row>
    <row r="40" spans="1:82" x14ac:dyDescent="0.2">
      <c r="A40" s="26">
        <f>DATE(ANOPROD.,'Prod. e Improd'!$F$8-9,1)</f>
        <v>42217</v>
      </c>
      <c r="B40" s="78">
        <f t="shared" si="27"/>
        <v>2015</v>
      </c>
      <c r="C40" s="78">
        <f t="shared" si="28"/>
        <v>8</v>
      </c>
      <c r="D40">
        <f>SUMIFS(BD.OS!$F:$F,BD.OS!$B:$B,B40,BD.OS!$C:$C,C40,BD.OS!$E:$E,"SIM")</f>
        <v>514</v>
      </c>
      <c r="E40">
        <f>SUMIFS(BD.OS!$G:$G,BD.OS!$B:$B,B40,BD.OS!$C:$C,C40,BD.OS!$E:$E,"SIM")</f>
        <v>0</v>
      </c>
      <c r="F40">
        <f>SUMIFS(BD.OS!$H:$H,BD.OS!$B:$B,B40,BD.OS!$C:$C,C40,BD.OS!$E:$E,"SIM")</f>
        <v>0</v>
      </c>
      <c r="G40">
        <f>SUMIFS(BD.OS!$I:$I,BD.OS!$B:$B,B40,BD.OS!$C:$C,C40,BD.OS!$E:$E,"SIM")</f>
        <v>6</v>
      </c>
      <c r="H40">
        <f>SUMIFS(BD.OS!$J:$J,BD.OS!$B:$B,B40,BD.OS!$C:$C,C40,BD.OS!$E:$E,"SIM")</f>
        <v>2</v>
      </c>
      <c r="I40">
        <f>SUMIFS(BD.OS!$K:$K,BD.OS!$B:$B,B40,BD.OS!$C:$C,C40,BD.OS!$E:$E,"SIM")</f>
        <v>0</v>
      </c>
      <c r="J40">
        <f>SUMIFS(BD.OS!$L:$L,BD.OS!$B:$B,B40,BD.OS!$C:$C,C40,BD.OS!$E:$E,"SIM")</f>
        <v>72</v>
      </c>
      <c r="K40">
        <f>SUMIFS(BD.OS!$M:$M,BD.OS!$B:$B,B40,BD.OS!$C:$C,C40,BD.OS!$E:$E,"SIM")</f>
        <v>0</v>
      </c>
      <c r="L40">
        <f>SUMIFS(BD.OS!$N:$N,BD.OS!$B:$B,B40,BD.OS!$C:$C,C40,BD.OS!$E:$E,"SIM")</f>
        <v>0</v>
      </c>
      <c r="M40">
        <f>SUMIFS(BD.OS!$O:$O,BD.OS!$B:$B,B40,BD.OS!$C:$C,C40,BD.OS!$E:$E,"SIM")</f>
        <v>2</v>
      </c>
      <c r="N40">
        <f>SUMIFS(BD.OS!$P:$P,BD.OS!$B:$B,B40,BD.OS!$C:$C,C40,BD.OS!$E:$E,"SIM")</f>
        <v>3</v>
      </c>
      <c r="O40">
        <f>SUMIFS(BD.OS!$Q:$Q,BD.OS!$B:$B,B40,BD.OS!$C:$C,C40,BD.OS!$E:$E,"SIM")</f>
        <v>0</v>
      </c>
      <c r="P40">
        <f>SUMIFS(BD.OS!$R:$R,BD.OS!$B:$B,B40,BD.OS!$C:$C,C40,BD.OS!$E:$E,"SIM")</f>
        <v>0</v>
      </c>
      <c r="Q40">
        <f>SUMIFS(BD.OS!$S:$S,BD.OS!$B:$B,B40,BD.OS!$C:$C,C40,BD.OS!$E:$E,"SIM")</f>
        <v>14</v>
      </c>
      <c r="R40">
        <f>SUMIFS(BD.OS!$T:$T,BD.OS!$B:$B,B40,BD.OS!$C:$C,C40,BD.OS!$E:$E,"SIM")</f>
        <v>2</v>
      </c>
      <c r="S40">
        <f>SUMIFS(BD.OS!$U:$U,BD.OS!$B:$B,B40,BD.OS!$C:$C,C40,BD.OS!$E:$E,"SIM")</f>
        <v>1</v>
      </c>
      <c r="T40">
        <f>SUMIFS(BD.OS!$V:$V,BD.OS!$B:$B,B40,BD.OS!$C:$C,C40,BD.OS!$E:$E,"SIM")</f>
        <v>0</v>
      </c>
      <c r="U40">
        <f>SUMIFS(BD.OS!$W:$W,BD.OS!$B:$B,B40,BD.OS!$C:$C,C40,BD.OS!$E:$E,"SIM")</f>
        <v>0</v>
      </c>
      <c r="W40">
        <f>SUMIFS(BD.OS!$F:$F,BD.OS!$B:$B,B40,BD.OS!$C:$C,C40,BD.OS!$E:$E,"NÃO")</f>
        <v>233</v>
      </c>
      <c r="X40">
        <f>SUMIFS(BD.OS!$G:$G,BD.OS!$B:$B,B40,BD.OS!$C:$C,C40,BD.OS!$E:$E,"NÃO")</f>
        <v>1</v>
      </c>
      <c r="Y40">
        <f>SUMIFS(BD.OS!$H:$H,BD.OS!$B:$B,B40,BD.OS!$C:$C,C40,BD.OS!$E:$E,"NÃO")</f>
        <v>7</v>
      </c>
      <c r="Z40">
        <f>SUMIFS(BD.OS!$I:$I,BD.OS!$B:$B,B40,BD.OS!$C:$C,C40,BD.OS!$E:$E,"NÃO")</f>
        <v>3</v>
      </c>
      <c r="AA40">
        <f>SUMIFS(BD.OS!$J:$J,BD.OS!$B:$B,B40,BD.OS!$C:$C,C40,BD.OS!$E:$E,"NÃO")</f>
        <v>8</v>
      </c>
      <c r="AB40">
        <f>SUMIFS(BD.OS!$K:$K,BD.OS!$B:$B,B40,BD.OS!$C:$C,C40,BD.OS!$E:$E,"NÃO")</f>
        <v>0</v>
      </c>
      <c r="AC40">
        <f>SUMIFS(BD.OS!$L:$L,BD.OS!$B:$B,B40,BD.OS!$C:$C,C40,BD.OS!$E:$E,"NÃO")</f>
        <v>30</v>
      </c>
      <c r="AD40">
        <f>SUMIFS(BD.OS!$M:$M,BD.OS!$B:$B,B40,BD.OS!$C:$C,C40,BD.OS!$E:$E,"NÃO")</f>
        <v>0</v>
      </c>
      <c r="AE40">
        <f>SUMIFS(BD.OS!$N:$N,BD.OS!$B:$B,B40,BD.OS!$C:$C,C40,BD.OS!$E:$E,"NÃO")</f>
        <v>0</v>
      </c>
      <c r="AF40">
        <f>SUMIFS(BD.OS!$O:$O,BD.OS!$B:$B,B40,BD.OS!$C:$C,C40,BD.OS!$E:$E,"NÃO")</f>
        <v>2</v>
      </c>
      <c r="AG40">
        <f>SUMIFS(BD.OS!$P:$P,BD.OS!$B:$B,B40,BD.OS!$C:$C,C40,BD.OS!$E:$E,"NÃO")</f>
        <v>1</v>
      </c>
      <c r="AH40">
        <f>SUMIFS(BD.OS!$Q:$Q,BD.OS!$B:$B,B40,BD.OS!$C:$C,C40,BD.OS!$E:$E,"NÃO")</f>
        <v>0</v>
      </c>
      <c r="AI40">
        <f>SUMIFS(BD.OS!$R:$R,BD.OS!$B:$B,B40,BD.OS!$C:$C,C40,BD.OS!$E:$E,"NÃO")</f>
        <v>1</v>
      </c>
      <c r="AJ40">
        <f>SUMIFS(BD.OS!$S:$S,BD.OS!$B:$B,B40,BD.OS!$C:$C,C40,BD.OS!$E:$E,"NÃO")</f>
        <v>5</v>
      </c>
      <c r="AK40">
        <f>SUMIFS(BD.OS!$T:$T,BD.OS!$B:$B,B40,BD.OS!$C:$C,C40,BD.OS!$E:$E,"NÃO")</f>
        <v>2</v>
      </c>
      <c r="AL40">
        <f>SUMIFS(BD.OS!$U:$U,BD.OS!$B:$B,B40,BD.OS!$C:$C,C40,BD.OS!$E:$E,"NÃO")</f>
        <v>0</v>
      </c>
      <c r="AM40">
        <f>SUMIFS(BD.OS!$V:$V,BD.OS!$B:$B,B40,BD.OS!$C:$C,C40,BD.OS!$E:$E,"NÃO")</f>
        <v>0</v>
      </c>
      <c r="AN40">
        <f>SUMIFS(BD.OS!$W:$W,BD.OS!$B:$B,B40,BD.OS!$C:$C,C40,BD.OS!$E:$E,"NÃO")</f>
        <v>0</v>
      </c>
      <c r="AP40" s="159">
        <f t="shared" si="29"/>
        <v>42217</v>
      </c>
      <c r="AQ40">
        <f t="shared" si="30"/>
        <v>616</v>
      </c>
      <c r="AR40">
        <f t="shared" si="31"/>
        <v>293</v>
      </c>
      <c r="AS40">
        <f t="shared" si="32"/>
        <v>909</v>
      </c>
      <c r="AT40">
        <f>SUMIFS('Relatório GERAL'!$BR:$BR,'Relatório GERAL'!$AX:$AX,"&gt;="&amp;AP40,'Relatório GERAL'!$AX:$AX,"&lt;"&amp;AP39)+SUMIFS('Relatório Extra'!W:W,'Relatório Extra'!A:A,"&gt;="&amp;AP40,'Relatório Extra'!A:A,"&lt;"&amp;AP39)</f>
        <v>1830</v>
      </c>
      <c r="AU40" t="e">
        <f>VLOOKUP(AP40,'BD HORA EXTRA'!$B$2:$C$17,2,0)</f>
        <v>#N/A</v>
      </c>
      <c r="AW40" s="167">
        <f>DATE(ANOPROD.-1,'Prod. e Improd'!F8+9,1)</f>
        <v>42401</v>
      </c>
      <c r="AX40" s="205">
        <f t="shared" si="26"/>
        <v>4.4603033006244422E-2</v>
      </c>
      <c r="AY40" s="78">
        <f>VLOOKUP(AW40,'PROCV Prod.Total'!$AP$31:$AT$43,5,0)</f>
        <v>2142</v>
      </c>
      <c r="AZ40" s="78">
        <f>VLOOKUP(AW40,'Relatório Extra'!BA:BB,2,0)</f>
        <v>100</v>
      </c>
      <c r="BB40" s="159">
        <f t="shared" si="33"/>
        <v>42401</v>
      </c>
      <c r="BC40">
        <f>SUMIFS('BD OS''s Canceladas'!F:F,'BD OS''s Canceladas'!A:A,"&gt;="&amp;'PROCV Prod.Total'!BB40,'BD OS''s Canceladas'!A:A,"&lt;"&amp;'PROCV Prod.Total'!BB41)</f>
        <v>81</v>
      </c>
      <c r="BL40"/>
      <c r="CD40" s="160"/>
    </row>
    <row r="41" spans="1:82" x14ac:dyDescent="0.2">
      <c r="A41" s="26">
        <f>DATE(ANOPROD.,'Prod. e Improd'!$F$8-10,1)</f>
        <v>42186</v>
      </c>
      <c r="B41" s="78">
        <f t="shared" si="27"/>
        <v>2015</v>
      </c>
      <c r="C41" s="78">
        <f t="shared" si="28"/>
        <v>7</v>
      </c>
      <c r="D41">
        <f>SUMIFS(BD.OS!$F:$F,BD.OS!$B:$B,B41,BD.OS!$C:$C,C41,BD.OS!$E:$E,"SIM")</f>
        <v>711</v>
      </c>
      <c r="E41">
        <f>SUMIFS(BD.OS!$G:$G,BD.OS!$B:$B,B41,BD.OS!$C:$C,C41,BD.OS!$E:$E,"SIM")</f>
        <v>0</v>
      </c>
      <c r="F41">
        <f>SUMIFS(BD.OS!$H:$H,BD.OS!$B:$B,B41,BD.OS!$C:$C,C41,BD.OS!$E:$E,"SIM")</f>
        <v>26</v>
      </c>
      <c r="G41">
        <f>SUMIFS(BD.OS!$I:$I,BD.OS!$B:$B,B41,BD.OS!$C:$C,C41,BD.OS!$E:$E,"SIM")</f>
        <v>0</v>
      </c>
      <c r="H41">
        <f>SUMIFS(BD.OS!$J:$J,BD.OS!$B:$B,B41,BD.OS!$C:$C,C41,BD.OS!$E:$E,"SIM")</f>
        <v>16</v>
      </c>
      <c r="I41">
        <f>SUMIFS(BD.OS!$K:$K,BD.OS!$B:$B,B41,BD.OS!$C:$C,C41,BD.OS!$E:$E,"SIM")</f>
        <v>0</v>
      </c>
      <c r="J41">
        <f>SUMIFS(BD.OS!$L:$L,BD.OS!$B:$B,B41,BD.OS!$C:$C,C41,BD.OS!$E:$E,"SIM")</f>
        <v>78</v>
      </c>
      <c r="K41">
        <f>SUMIFS(BD.OS!$M:$M,BD.OS!$B:$B,B41,BD.OS!$C:$C,C41,BD.OS!$E:$E,"SIM")</f>
        <v>0</v>
      </c>
      <c r="L41">
        <f>SUMIFS(BD.OS!$N:$N,BD.OS!$B:$B,B41,BD.OS!$C:$C,C41,BD.OS!$E:$E,"SIM")</f>
        <v>0</v>
      </c>
      <c r="M41">
        <f>SUMIFS(BD.OS!$O:$O,BD.OS!$B:$B,B41,BD.OS!$C:$C,C41,BD.OS!$E:$E,"SIM")</f>
        <v>0</v>
      </c>
      <c r="N41">
        <f>SUMIFS(BD.OS!$P:$P,BD.OS!$B:$B,B41,BD.OS!$C:$C,C41,BD.OS!$E:$E,"SIM")</f>
        <v>42</v>
      </c>
      <c r="O41">
        <f>SUMIFS(BD.OS!$Q:$Q,BD.OS!$B:$B,B41,BD.OS!$C:$C,C41,BD.OS!$E:$E,"SIM")</f>
        <v>0</v>
      </c>
      <c r="P41">
        <f>SUMIFS(BD.OS!$R:$R,BD.OS!$B:$B,B41,BD.OS!$C:$C,C41,BD.OS!$E:$E,"SIM")</f>
        <v>11</v>
      </c>
      <c r="Q41">
        <f>SUMIFS(BD.OS!$S:$S,BD.OS!$B:$B,B41,BD.OS!$C:$C,C41,BD.OS!$E:$E,"SIM")</f>
        <v>6</v>
      </c>
      <c r="R41">
        <f>SUMIFS(BD.OS!$T:$T,BD.OS!$B:$B,B41,BD.OS!$C:$C,C41,BD.OS!$E:$E,"SIM")</f>
        <v>1</v>
      </c>
      <c r="S41">
        <f>SUMIFS(BD.OS!$U:$U,BD.OS!$B:$B,B41,BD.OS!$C:$C,C41,BD.OS!$E:$E,"SIM")</f>
        <v>1</v>
      </c>
      <c r="T41">
        <f>SUMIFS(BD.OS!$V:$V,BD.OS!$B:$B,B41,BD.OS!$C:$C,C41,BD.OS!$E:$E,"SIM")</f>
        <v>0</v>
      </c>
      <c r="U41">
        <f>SUMIFS(BD.OS!$W:$W,BD.OS!$B:$B,B41,BD.OS!$C:$C,C41,BD.OS!$E:$E,"SIM")</f>
        <v>1</v>
      </c>
      <c r="W41">
        <f>SUMIFS(BD.OS!$F:$F,BD.OS!$B:$B,B41,BD.OS!$C:$C,C41,BD.OS!$E:$E,"NÃO")</f>
        <v>360</v>
      </c>
      <c r="X41">
        <f>SUMIFS(BD.OS!$G:$G,BD.OS!$B:$B,B41,BD.OS!$C:$C,C41,BD.OS!$E:$E,"NÃO")</f>
        <v>0</v>
      </c>
      <c r="Y41">
        <f>SUMIFS(BD.OS!$H:$H,BD.OS!$B:$B,B41,BD.OS!$C:$C,C41,BD.OS!$E:$E,"NÃO")</f>
        <v>7</v>
      </c>
      <c r="Z41">
        <f>SUMIFS(BD.OS!$I:$I,BD.OS!$B:$B,B41,BD.OS!$C:$C,C41,BD.OS!$E:$E,"NÃO")</f>
        <v>0</v>
      </c>
      <c r="AA41">
        <f>SUMIFS(BD.OS!$J:$J,BD.OS!$B:$B,B41,BD.OS!$C:$C,C41,BD.OS!$E:$E,"NÃO")</f>
        <v>5</v>
      </c>
      <c r="AB41">
        <f>SUMIFS(BD.OS!$K:$K,BD.OS!$B:$B,B41,BD.OS!$C:$C,C41,BD.OS!$E:$E,"NÃO")</f>
        <v>1</v>
      </c>
      <c r="AC41">
        <f>SUMIFS(BD.OS!$L:$L,BD.OS!$B:$B,B41,BD.OS!$C:$C,C41,BD.OS!$E:$E,"NÃO")</f>
        <v>30</v>
      </c>
      <c r="AD41">
        <f>SUMIFS(BD.OS!$M:$M,BD.OS!$B:$B,B41,BD.OS!$C:$C,C41,BD.OS!$E:$E,"NÃO")</f>
        <v>0</v>
      </c>
      <c r="AE41">
        <f>SUMIFS(BD.OS!$N:$N,BD.OS!$B:$B,B41,BD.OS!$C:$C,C41,BD.OS!$E:$E,"NÃO")</f>
        <v>0</v>
      </c>
      <c r="AF41">
        <f>SUMIFS(BD.OS!$O:$O,BD.OS!$B:$B,B41,BD.OS!$C:$C,C41,BD.OS!$E:$E,"NÃO")</f>
        <v>0</v>
      </c>
      <c r="AG41">
        <f>SUMIFS(BD.OS!$P:$P,BD.OS!$B:$B,B41,BD.OS!$C:$C,C41,BD.OS!$E:$E,"NÃO")</f>
        <v>10</v>
      </c>
      <c r="AH41">
        <f>SUMIFS(BD.OS!$Q:$Q,BD.OS!$B:$B,B41,BD.OS!$C:$C,C41,BD.OS!$E:$E,"NÃO")</f>
        <v>0</v>
      </c>
      <c r="AI41">
        <f>SUMIFS(BD.OS!$R:$R,BD.OS!$B:$B,B41,BD.OS!$C:$C,C41,BD.OS!$E:$E,"NÃO")</f>
        <v>10</v>
      </c>
      <c r="AJ41">
        <f>SUMIFS(BD.OS!$S:$S,BD.OS!$B:$B,B41,BD.OS!$C:$C,C41,BD.OS!$E:$E,"NÃO")</f>
        <v>1</v>
      </c>
      <c r="AK41">
        <f>SUMIFS(BD.OS!$T:$T,BD.OS!$B:$B,B41,BD.OS!$C:$C,C41,BD.OS!$E:$E,"NÃO")</f>
        <v>4</v>
      </c>
      <c r="AL41">
        <f>SUMIFS(BD.OS!$U:$U,BD.OS!$B:$B,B41,BD.OS!$C:$C,C41,BD.OS!$E:$E,"NÃO")</f>
        <v>0</v>
      </c>
      <c r="AM41">
        <f>SUMIFS(BD.OS!$V:$V,BD.OS!$B:$B,B41,BD.OS!$C:$C,C41,BD.OS!$E:$E,"NÃO")</f>
        <v>0</v>
      </c>
      <c r="AN41">
        <f>SUMIFS(BD.OS!$W:$W,BD.OS!$B:$B,B41,BD.OS!$C:$C,C41,BD.OS!$E:$E,"NÃO")</f>
        <v>2</v>
      </c>
      <c r="AP41" s="159">
        <f t="shared" si="29"/>
        <v>42186</v>
      </c>
      <c r="AQ41">
        <f t="shared" si="30"/>
        <v>893</v>
      </c>
      <c r="AR41">
        <f t="shared" si="31"/>
        <v>430</v>
      </c>
      <c r="AS41">
        <f t="shared" si="32"/>
        <v>1323</v>
      </c>
      <c r="AT41">
        <f>SUMIFS('Relatório GERAL'!$BR:$BR,'Relatório GERAL'!$AX:$AX,"&gt;="&amp;AP41,'Relatório GERAL'!$AX:$AX,"&lt;"&amp;AP40)+SUMIFS('Relatório Extra'!W:W,'Relatório Extra'!A:A,"&gt;="&amp;AP41,'Relatório Extra'!A:A,"&lt;"&amp;AP40)</f>
        <v>2186</v>
      </c>
      <c r="AU41" t="e">
        <f>VLOOKUP(AP41,'BD HORA EXTRA'!$B$2:$C$17,2,0)</f>
        <v>#N/A</v>
      </c>
      <c r="AW41" s="167">
        <f>DATE(ANOPROD.-1,'Prod. e Improd'!F8+10,1)</f>
        <v>42430</v>
      </c>
      <c r="AX41" s="205">
        <f t="shared" si="26"/>
        <v>2.2022838499184339E-2</v>
      </c>
      <c r="AY41" s="78">
        <f>VLOOKUP(AW41,'PROCV Prod.Total'!$AP$31:$AT$43,5,0)</f>
        <v>2398</v>
      </c>
      <c r="AZ41" s="78">
        <f>VLOOKUP(AW41,'Relatório Extra'!BA:BB,2,0)</f>
        <v>54</v>
      </c>
      <c r="BB41" s="159">
        <f t="shared" si="33"/>
        <v>42430</v>
      </c>
      <c r="BC41">
        <f>SUMIFS('BD OS''s Canceladas'!F:F,'BD OS''s Canceladas'!A:A,"&gt;="&amp;'PROCV Prod.Total'!BB41,'BD OS''s Canceladas'!A:A,"&lt;"&amp;'PROCV Prod.Total'!BB42)</f>
        <v>6</v>
      </c>
      <c r="BL41"/>
      <c r="CD41" s="160"/>
    </row>
    <row r="42" spans="1:82" x14ac:dyDescent="0.2">
      <c r="A42" s="26">
        <f>DATE(ANOPROD.,'Prod. e Improd'!$F$8-11,1)</f>
        <v>42156</v>
      </c>
      <c r="B42" s="78">
        <f t="shared" si="27"/>
        <v>2015</v>
      </c>
      <c r="C42" s="78">
        <f t="shared" si="28"/>
        <v>6</v>
      </c>
      <c r="D42">
        <f>SUMIFS(BD.OS!$F:$F,BD.OS!$B:$B,B42,BD.OS!$C:$C,C42,BD.OS!$E:$E,"SIM")</f>
        <v>358</v>
      </c>
      <c r="E42">
        <f>SUMIFS(BD.OS!$G:$G,BD.OS!$B:$B,B42,BD.OS!$C:$C,C42,BD.OS!$E:$E,"SIM")</f>
        <v>13</v>
      </c>
      <c r="F42">
        <f>SUMIFS(BD.OS!$H:$H,BD.OS!$B:$B,B42,BD.OS!$C:$C,C42,BD.OS!$E:$E,"SIM")</f>
        <v>47</v>
      </c>
      <c r="G42">
        <f>SUMIFS(BD.OS!$I:$I,BD.OS!$B:$B,B42,BD.OS!$C:$C,C42,BD.OS!$E:$E,"SIM")</f>
        <v>17</v>
      </c>
      <c r="H42">
        <f>SUMIFS(BD.OS!$J:$J,BD.OS!$B:$B,B42,BD.OS!$C:$C,C42,BD.OS!$E:$E,"SIM")</f>
        <v>41</v>
      </c>
      <c r="I42">
        <f>SUMIFS(BD.OS!$K:$K,BD.OS!$B:$B,B42,BD.OS!$C:$C,C42,BD.OS!$E:$E,"SIM")</f>
        <v>2</v>
      </c>
      <c r="J42">
        <f>SUMIFS(BD.OS!$L:$L,BD.OS!$B:$B,B42,BD.OS!$C:$C,C42,BD.OS!$E:$E,"SIM")</f>
        <v>76</v>
      </c>
      <c r="K42">
        <f>SUMIFS(BD.OS!$M:$M,BD.OS!$B:$B,B42,BD.OS!$C:$C,C42,BD.OS!$E:$E,"SIM")</f>
        <v>0</v>
      </c>
      <c r="L42">
        <f>SUMIFS(BD.OS!$N:$N,BD.OS!$B:$B,B42,BD.OS!$C:$C,C42,BD.OS!$E:$E,"SIM")</f>
        <v>0</v>
      </c>
      <c r="M42">
        <f>SUMIFS(BD.OS!$O:$O,BD.OS!$B:$B,B42,BD.OS!$C:$C,C42,BD.OS!$E:$E,"SIM")</f>
        <v>0</v>
      </c>
      <c r="N42">
        <f>SUMIFS(BD.OS!$P:$P,BD.OS!$B:$B,B42,BD.OS!$C:$C,C42,BD.OS!$E:$E,"SIM")</f>
        <v>14</v>
      </c>
      <c r="O42">
        <f>SUMIFS(BD.OS!$Q:$Q,BD.OS!$B:$B,B42,BD.OS!$C:$C,C42,BD.OS!$E:$E,"SIM")</f>
        <v>22</v>
      </c>
      <c r="P42">
        <f>SUMIFS(BD.OS!$R:$R,BD.OS!$B:$B,B42,BD.OS!$C:$C,C42,BD.OS!$E:$E,"SIM")</f>
        <v>16</v>
      </c>
      <c r="Q42">
        <f>SUMIFS(BD.OS!$S:$S,BD.OS!$B:$B,B42,BD.OS!$C:$C,C42,BD.OS!$E:$E,"SIM")</f>
        <v>0</v>
      </c>
      <c r="R42">
        <f>SUMIFS(BD.OS!$T:$T,BD.OS!$B:$B,B42,BD.OS!$C:$C,C42,BD.OS!$E:$E,"SIM")</f>
        <v>15</v>
      </c>
      <c r="S42">
        <f>SUMIFS(BD.OS!$U:$U,BD.OS!$B:$B,B42,BD.OS!$C:$C,C42,BD.OS!$E:$E,"SIM")</f>
        <v>0</v>
      </c>
      <c r="T42">
        <f>SUMIFS(BD.OS!$V:$V,BD.OS!$B:$B,B42,BD.OS!$C:$C,C42,BD.OS!$E:$E,"SIM")</f>
        <v>0</v>
      </c>
      <c r="U42">
        <f>SUMIFS(BD.OS!$W:$W,BD.OS!$B:$B,B42,BD.OS!$C:$C,C42,BD.OS!$E:$E,"SIM")</f>
        <v>2</v>
      </c>
      <c r="W42">
        <f>SUMIFS(BD.OS!$F:$F,BD.OS!$B:$B,B42,BD.OS!$C:$C,C42,BD.OS!$E:$E,"NÃO")</f>
        <v>391</v>
      </c>
      <c r="X42">
        <f>SUMIFS(BD.OS!$G:$G,BD.OS!$B:$B,B42,BD.OS!$C:$C,C42,BD.OS!$E:$E,"NÃO")</f>
        <v>7</v>
      </c>
      <c r="Y42">
        <f>SUMIFS(BD.OS!$H:$H,BD.OS!$B:$B,B42,BD.OS!$C:$C,C42,BD.OS!$E:$E,"NÃO")</f>
        <v>57</v>
      </c>
      <c r="Z42">
        <f>SUMIFS(BD.OS!$I:$I,BD.OS!$B:$B,B42,BD.OS!$C:$C,C42,BD.OS!$E:$E,"NÃO")</f>
        <v>46</v>
      </c>
      <c r="AA42">
        <f>SUMIFS(BD.OS!$J:$J,BD.OS!$B:$B,B42,BD.OS!$C:$C,C42,BD.OS!$E:$E,"NÃO")</f>
        <v>100</v>
      </c>
      <c r="AB42">
        <f>SUMIFS(BD.OS!$K:$K,BD.OS!$B:$B,B42,BD.OS!$C:$C,C42,BD.OS!$E:$E,"NÃO")</f>
        <v>0</v>
      </c>
      <c r="AC42">
        <f>SUMIFS(BD.OS!$L:$L,BD.OS!$B:$B,B42,BD.OS!$C:$C,C42,BD.OS!$E:$E,"NÃO")</f>
        <v>45</v>
      </c>
      <c r="AD42">
        <f>SUMIFS(BD.OS!$M:$M,BD.OS!$B:$B,B42,BD.OS!$C:$C,C42,BD.OS!$E:$E,"NÃO")</f>
        <v>0</v>
      </c>
      <c r="AE42">
        <f>SUMIFS(BD.OS!$N:$N,BD.OS!$B:$B,B42,BD.OS!$C:$C,C42,BD.OS!$E:$E,"NÃO")</f>
        <v>0</v>
      </c>
      <c r="AF42">
        <f>SUMIFS(BD.OS!$O:$O,BD.OS!$B:$B,B42,BD.OS!$C:$C,C42,BD.OS!$E:$E,"NÃO")</f>
        <v>0</v>
      </c>
      <c r="AG42">
        <f>SUMIFS(BD.OS!$P:$P,BD.OS!$B:$B,B42,BD.OS!$C:$C,C42,BD.OS!$E:$E,"NÃO")</f>
        <v>6</v>
      </c>
      <c r="AH42">
        <f>SUMIFS(BD.OS!$Q:$Q,BD.OS!$B:$B,B42,BD.OS!$C:$C,C42,BD.OS!$E:$E,"NÃO")</f>
        <v>18</v>
      </c>
      <c r="AI42">
        <f>SUMIFS(BD.OS!$R:$R,BD.OS!$B:$B,B42,BD.OS!$C:$C,C42,BD.OS!$E:$E,"NÃO")</f>
        <v>20</v>
      </c>
      <c r="AJ42">
        <f>SUMIFS(BD.OS!$S:$S,BD.OS!$B:$B,B42,BD.OS!$C:$C,C42,BD.OS!$E:$E,"NÃO")</f>
        <v>0</v>
      </c>
      <c r="AK42">
        <f>SUMIFS(BD.OS!$T:$T,BD.OS!$B:$B,B42,BD.OS!$C:$C,C42,BD.OS!$E:$E,"NÃO")</f>
        <v>17</v>
      </c>
      <c r="AL42">
        <f>SUMIFS(BD.OS!$U:$U,BD.OS!$B:$B,B42,BD.OS!$C:$C,C42,BD.OS!$E:$E,"NÃO")</f>
        <v>0</v>
      </c>
      <c r="AM42">
        <f>SUMIFS(BD.OS!$V:$V,BD.OS!$B:$B,B42,BD.OS!$C:$C,C42,BD.OS!$E:$E,"NÃO")</f>
        <v>0</v>
      </c>
      <c r="AN42">
        <f>SUMIFS(BD.OS!$W:$W,BD.OS!$B:$B,B42,BD.OS!$C:$C,C42,BD.OS!$E:$E,"NÃO")</f>
        <v>17</v>
      </c>
      <c r="AP42" s="159">
        <f t="shared" si="29"/>
        <v>42156</v>
      </c>
      <c r="AQ42">
        <f t="shared" si="30"/>
        <v>623</v>
      </c>
      <c r="AR42">
        <f t="shared" si="31"/>
        <v>724</v>
      </c>
      <c r="AS42">
        <f t="shared" si="32"/>
        <v>1347</v>
      </c>
      <c r="AT42">
        <f>SUMIFS('Relatório GERAL'!$BR:$BR,'Relatório GERAL'!$AX:$AX,"&gt;="&amp;AP42,'Relatório GERAL'!$AX:$AX,"&lt;"&amp;AP41)+SUMIFS('Relatório Extra'!W:W,'Relatório Extra'!A:A,"&gt;="&amp;AP42,'Relatório Extra'!A:A,"&lt;"&amp;AP41)</f>
        <v>2530</v>
      </c>
      <c r="AU42" t="e">
        <f>VLOOKUP(AP42,'BD HORA EXTRA'!$B$2:$C$17,2,0)</f>
        <v>#N/A</v>
      </c>
      <c r="AW42" s="167">
        <f>DATE(ANOPROD.-1,'Prod. e Improd'!F8+11,1)</f>
        <v>42461</v>
      </c>
      <c r="AX42" s="205">
        <f t="shared" si="26"/>
        <v>3.2967032967032968E-2</v>
      </c>
      <c r="AY42" s="78">
        <f>VLOOKUP(AW42,'PROCV Prod.Total'!$AP$31:$AT$43,5,0)</f>
        <v>2464</v>
      </c>
      <c r="AZ42" s="78">
        <f>VLOOKUP(AW42,'Relatório Extra'!BA:BB,2,0)</f>
        <v>84</v>
      </c>
      <c r="BB42" s="159">
        <f t="shared" si="33"/>
        <v>42461</v>
      </c>
      <c r="BC42">
        <f>SUMIFS('BD OS''s Canceladas'!F:F,'BD OS''s Canceladas'!A:A,"&gt;="&amp;'PROCV Prod.Total'!BB42,'BD OS''s Canceladas'!A:A,"&lt;"&amp;'PROCV Prod.Total'!BB43)</f>
        <v>175</v>
      </c>
      <c r="BL42"/>
      <c r="CD42" s="160"/>
    </row>
    <row r="43" spans="1:82" x14ac:dyDescent="0.2">
      <c r="A43" s="26">
        <f>DATE(ANOPROD.,'Prod. e Improd'!$F$8-12,1)</f>
        <v>42125</v>
      </c>
      <c r="B43" s="78">
        <f t="shared" si="27"/>
        <v>2015</v>
      </c>
      <c r="C43" s="78">
        <f>MONTH(A43)</f>
        <v>5</v>
      </c>
      <c r="D43">
        <f>SUMIFS(BD.OS!$F:$F,BD.OS!$B:$B,B43,BD.OS!$C:$C,C43,BD.OS!$E:$E,"SIM")</f>
        <v>166</v>
      </c>
      <c r="E43">
        <f>SUMIFS(BD.OS!$G:$G,BD.OS!$B:$B,B43,BD.OS!$C:$C,C43,BD.OS!$E:$E,"SIM")</f>
        <v>117</v>
      </c>
      <c r="F43">
        <f>SUMIFS(BD.OS!$H:$H,BD.OS!$B:$B,B43,BD.OS!$C:$C,C43,BD.OS!$E:$E,"SIM")</f>
        <v>5</v>
      </c>
      <c r="G43">
        <f>SUMIFS(BD.OS!$I:$I,BD.OS!$B:$B,B43,BD.OS!$C:$C,C43,BD.OS!$E:$E,"SIM")</f>
        <v>5</v>
      </c>
      <c r="H43">
        <f>SUMIFS(BD.OS!$J:$J,BD.OS!$B:$B,B43,BD.OS!$C:$C,C43,BD.OS!$E:$E,"SIM")</f>
        <v>61</v>
      </c>
      <c r="I43">
        <f>SUMIFS(BD.OS!$K:$K,BD.OS!$B:$B,B43,BD.OS!$C:$C,C43,BD.OS!$E:$E,"SIM")</f>
        <v>12</v>
      </c>
      <c r="J43">
        <f>SUMIFS(BD.OS!$L:$L,BD.OS!$B:$B,B43,BD.OS!$C:$C,C43,BD.OS!$E:$E,"SIM")</f>
        <v>98</v>
      </c>
      <c r="K43">
        <f>SUMIFS(BD.OS!$M:$M,BD.OS!$B:$B,B43,BD.OS!$C:$C,C43,BD.OS!$E:$E,"SIM")</f>
        <v>0</v>
      </c>
      <c r="L43">
        <f>SUMIFS(BD.OS!$N:$N,BD.OS!$B:$B,B43,BD.OS!$C:$C,C43,BD.OS!$E:$E,"SIM")</f>
        <v>0</v>
      </c>
      <c r="M43">
        <f>SUMIFS(BD.OS!$O:$O,BD.OS!$B:$B,B43,BD.OS!$C:$C,C43,BD.OS!$E:$E,"SIM")</f>
        <v>55</v>
      </c>
      <c r="N43">
        <f>SUMIFS(BD.OS!$P:$P,BD.OS!$B:$B,B43,BD.OS!$C:$C,C43,BD.OS!$E:$E,"SIM")</f>
        <v>24</v>
      </c>
      <c r="O43">
        <f>SUMIFS(BD.OS!$Q:$Q,BD.OS!$B:$B,B43,BD.OS!$C:$C,C43,BD.OS!$E:$E,"SIM")</f>
        <v>46</v>
      </c>
      <c r="P43">
        <f>SUMIFS(BD.OS!$R:$R,BD.OS!$B:$B,B43,BD.OS!$C:$C,C43,BD.OS!$E:$E,"SIM")</f>
        <v>100</v>
      </c>
      <c r="Q43">
        <f>SUMIFS(BD.OS!$S:$S,BD.OS!$B:$B,B43,BD.OS!$C:$C,C43,BD.OS!$E:$E,"SIM")</f>
        <v>13</v>
      </c>
      <c r="R43">
        <f>SUMIFS(BD.OS!$T:$T,BD.OS!$B:$B,B43,BD.OS!$C:$C,C43,BD.OS!$E:$E,"SIM")</f>
        <v>39</v>
      </c>
      <c r="S43">
        <f>SUMIFS(BD.OS!$U:$U,BD.OS!$B:$B,B43,BD.OS!$C:$C,C43,BD.OS!$E:$E,"SIM")</f>
        <v>0</v>
      </c>
      <c r="T43">
        <f>SUMIFS(BD.OS!$V:$V,BD.OS!$B:$B,B43,BD.OS!$C:$C,C43,BD.OS!$E:$E,"SIM")</f>
        <v>0</v>
      </c>
      <c r="U43">
        <f>SUMIFS(BD.OS!$W:$W,BD.OS!$B:$B,B43,BD.OS!$C:$C,C43,BD.OS!$E:$E,"SIM")</f>
        <v>0</v>
      </c>
      <c r="W43">
        <f>SUMIFS(BD.OS!$F:$F,BD.OS!$B:$B,B43,BD.OS!$C:$C,C43,BD.OS!$E:$E,"NÃO")</f>
        <v>147</v>
      </c>
      <c r="X43">
        <f>SUMIFS(BD.OS!$G:$G,BD.OS!$B:$B,B43,BD.OS!$C:$C,C43,BD.OS!$E:$E,"NÃO")</f>
        <v>29</v>
      </c>
      <c r="Y43">
        <f>SUMIFS(BD.OS!$H:$H,BD.OS!$B:$B,B43,BD.OS!$C:$C,C43,BD.OS!$E:$E,"NÃO")</f>
        <v>8</v>
      </c>
      <c r="Z43">
        <f>SUMIFS(BD.OS!$I:$I,BD.OS!$B:$B,B43,BD.OS!$C:$C,C43,BD.OS!$E:$E,"NÃO")</f>
        <v>2</v>
      </c>
      <c r="AA43">
        <f>SUMIFS(BD.OS!$J:$J,BD.OS!$B:$B,B43,BD.OS!$C:$C,C43,BD.OS!$E:$E,"NÃO")</f>
        <v>10</v>
      </c>
      <c r="AB43">
        <f>SUMIFS(BD.OS!$K:$K,BD.OS!$B:$B,B43,BD.OS!$C:$C,C43,BD.OS!$E:$E,"NÃO")</f>
        <v>1</v>
      </c>
      <c r="AC43">
        <f>SUMIFS(BD.OS!$L:$L,BD.OS!$B:$B,B43,BD.OS!$C:$C,C43,BD.OS!$E:$E,"NÃO")</f>
        <v>24</v>
      </c>
      <c r="AD43">
        <f>SUMIFS(BD.OS!$M:$M,BD.OS!$B:$B,B43,BD.OS!$C:$C,C43,BD.OS!$E:$E,"NÃO")</f>
        <v>0</v>
      </c>
      <c r="AE43">
        <f>SUMIFS(BD.OS!$N:$N,BD.OS!$B:$B,B43,BD.OS!$C:$C,C43,BD.OS!$E:$E,"NÃO")</f>
        <v>0</v>
      </c>
      <c r="AF43">
        <f>SUMIFS(BD.OS!$O:$O,BD.OS!$B:$B,B43,BD.OS!$C:$C,C43,BD.OS!$E:$E,"NÃO")</f>
        <v>1</v>
      </c>
      <c r="AG43">
        <f>SUMIFS(BD.OS!$P:$P,BD.OS!$B:$B,B43,BD.OS!$C:$C,C43,BD.OS!$E:$E,"NÃO")</f>
        <v>6</v>
      </c>
      <c r="AH43">
        <f>SUMIFS(BD.OS!$Q:$Q,BD.OS!$B:$B,B43,BD.OS!$C:$C,C43,BD.OS!$E:$E,"NÃO")</f>
        <v>20</v>
      </c>
      <c r="AI43">
        <f>SUMIFS(BD.OS!$R:$R,BD.OS!$B:$B,B43,BD.OS!$C:$C,C43,BD.OS!$E:$E,"NÃO")</f>
        <v>42</v>
      </c>
      <c r="AJ43">
        <f>SUMIFS(BD.OS!$S:$S,BD.OS!$B:$B,B43,BD.OS!$C:$C,C43,BD.OS!$E:$E,"NÃO")</f>
        <v>1</v>
      </c>
      <c r="AK43">
        <f>SUMIFS(BD.OS!$T:$T,BD.OS!$B:$B,B43,BD.OS!$C:$C,C43,BD.OS!$E:$E,"NÃO")</f>
        <v>27</v>
      </c>
      <c r="AL43">
        <f>SUMIFS(BD.OS!$U:$U,BD.OS!$B:$B,B43,BD.OS!$C:$C,C43,BD.OS!$E:$E,"NÃO")</f>
        <v>0</v>
      </c>
      <c r="AM43">
        <f>SUMIFS(BD.OS!$V:$V,BD.OS!$B:$B,B43,BD.OS!$C:$C,C43,BD.OS!$E:$E,"NÃO")</f>
        <v>0</v>
      </c>
      <c r="AN43">
        <f>SUMIFS(BD.OS!$W:$W,BD.OS!$B:$B,B43,BD.OS!$C:$C,C43,BD.OS!$E:$E,"NÃO")</f>
        <v>6</v>
      </c>
      <c r="AP43" s="159">
        <f>A43</f>
        <v>42125</v>
      </c>
      <c r="AQ43">
        <f t="shared" si="30"/>
        <v>741</v>
      </c>
      <c r="AR43">
        <f t="shared" si="31"/>
        <v>324</v>
      </c>
      <c r="AS43">
        <f t="shared" si="32"/>
        <v>1065</v>
      </c>
      <c r="AT43">
        <f>SUMIFS('Relatório GERAL'!$BR:$BR,'Relatório GERAL'!$AX:$AX,"&gt;="&amp;AP43,'Relatório GERAL'!$AX:$AX,"&lt;"&amp;AP42)+SUMIFS('Relatório Extra'!W:W,'Relatório Extra'!A:A,"&gt;="&amp;AP43,'Relatório Extra'!A:A,"&lt;"&amp;AP42)</f>
        <v>2152</v>
      </c>
      <c r="AU43" t="e">
        <f>VLOOKUP(AP43,'BD HORA EXTRA'!$B$2:$C$17,2,0)</f>
        <v>#N/A</v>
      </c>
      <c r="AW43" s="167">
        <f>DATE(ANOPROD.-1,'Prod. e Improd'!F8+12,1)</f>
        <v>42491</v>
      </c>
      <c r="AX43" s="205">
        <f t="shared" si="26"/>
        <v>3.0395136778115502E-2</v>
      </c>
      <c r="AY43" s="78">
        <f>VLOOKUP(AW43,'PROCV Prod.Total'!$AP$31:$AT$43,5,0)</f>
        <v>1276</v>
      </c>
      <c r="AZ43" s="78">
        <f>VLOOKUP(AW43,'Relatório Extra'!BA:BB,2,0)</f>
        <v>40</v>
      </c>
      <c r="BB43" s="159">
        <f t="shared" si="33"/>
        <v>42491</v>
      </c>
      <c r="BC43">
        <f>SUMIFS('BD OS''s Canceladas'!F:F,'BD OS''s Canceladas'!A:A,"&gt;="&amp;'PROCV Prod.Total'!BB43,'BD OS''s Canceladas'!A:A,"&lt;"&amp;'PROCV Prod.Total'!BB44)</f>
        <v>32</v>
      </c>
      <c r="BL43"/>
      <c r="CD43" s="160"/>
    </row>
    <row r="44" spans="1:82" x14ac:dyDescent="0.2">
      <c r="A44" s="26"/>
      <c r="B44" s="78"/>
      <c r="C44" s="78"/>
      <c r="BB44" s="159">
        <f>DATE(ANOPROD.,'Prod. e Improd'!F8+1,1)</f>
        <v>42522</v>
      </c>
    </row>
    <row r="45" spans="1:82" ht="24.95" customHeight="1" x14ac:dyDescent="0.2">
      <c r="B45" s="102" t="s">
        <v>139</v>
      </c>
      <c r="C45" s="102" t="s">
        <v>140</v>
      </c>
    </row>
    <row r="46" spans="1:82" x14ac:dyDescent="0.2">
      <c r="A46" s="159">
        <f>DATE(ANOPROD.,'Prod. e Improd'!$F$8,1)</f>
        <v>42491</v>
      </c>
      <c r="B46" s="149">
        <f>IF(A46&gt;DATE(2016,1,1),(SUM(E31:U31)/SUM(E31:U31,X31:AN31)),(SUM(D31:U31)/SUM(D31:U31,W31:AN31)))</f>
        <v>0.67541766109785206</v>
      </c>
      <c r="C46" s="149">
        <f>IF(A46&gt;DATE(2016,1,1),(SUM(X31:AN31)/SUM(E31:U31,X31:AN31)),(SUM(W31:AN31)/SUM(D31:U31,W31:AN31)))</f>
        <v>0.32458233890214799</v>
      </c>
    </row>
    <row r="47" spans="1:82" x14ac:dyDescent="0.2">
      <c r="A47" s="159">
        <f>DATE(ANOPROD.,'Prod. e Improd'!$F$8-1,1)</f>
        <v>42461</v>
      </c>
      <c r="B47" s="149">
        <f t="shared" ref="B47:B58" si="34">IF(A47&gt;DATE(2016,1,1),(SUM(E32:U32)/SUM(E32:U32,X32:AN32)),(SUM(D32:U32)/SUM(D32:U32,W32:AN32)))</f>
        <v>0.58911174785100284</v>
      </c>
      <c r="C47" s="149">
        <f t="shared" ref="C47:C58" si="35">IF(A47&gt;DATE(2016,1,1),(SUM(X32:AN32)/SUM(E32:U32,X32:AN32)),(SUM(W32:AN32)/SUM(D32:U32,W32:AN32)))</f>
        <v>0.41088825214899716</v>
      </c>
    </row>
    <row r="48" spans="1:82" x14ac:dyDescent="0.2">
      <c r="A48" s="159">
        <f>DATE(ANOPROD.,'Prod. e Improd'!$F$8-2,1)</f>
        <v>42430</v>
      </c>
      <c r="B48" s="149">
        <f t="shared" si="34"/>
        <v>0.69637173774665817</v>
      </c>
      <c r="C48" s="149">
        <f t="shared" si="35"/>
        <v>0.30362826225334183</v>
      </c>
    </row>
    <row r="49" spans="1:3" x14ac:dyDescent="0.2">
      <c r="A49" s="159">
        <f>DATE(ANOPROD.,'Prod. e Improd'!$F$8-3,1)</f>
        <v>42401</v>
      </c>
      <c r="B49" s="149">
        <f t="shared" si="34"/>
        <v>0.72336448598130842</v>
      </c>
      <c r="C49" s="149">
        <f t="shared" si="35"/>
        <v>0.27663551401869158</v>
      </c>
    </row>
    <row r="50" spans="1:3" x14ac:dyDescent="0.2">
      <c r="A50" s="159">
        <f>DATE(ANOPROD.,'Prod. e Improd'!$F$8-4,1)</f>
        <v>42370</v>
      </c>
      <c r="B50" s="149">
        <f t="shared" si="34"/>
        <v>0.60328947368421049</v>
      </c>
      <c r="C50" s="149">
        <f t="shared" si="35"/>
        <v>0.39671052631578946</v>
      </c>
    </row>
    <row r="51" spans="1:3" x14ac:dyDescent="0.2">
      <c r="A51" s="159">
        <f>DATE(ANOPROD.,'Prod. e Improd'!$F$8-5,1)</f>
        <v>42339</v>
      </c>
      <c r="B51" s="149">
        <f t="shared" si="34"/>
        <v>0.49378881987577639</v>
      </c>
      <c r="C51" s="149">
        <f t="shared" si="35"/>
        <v>0.50621118012422361</v>
      </c>
    </row>
    <row r="52" spans="1:3" x14ac:dyDescent="0.2">
      <c r="A52" s="159">
        <f>DATE(ANOPROD.,'Prod. e Improd'!$F$8-6,1)</f>
        <v>42309</v>
      </c>
      <c r="B52" s="149">
        <f t="shared" si="34"/>
        <v>0.53583426651735722</v>
      </c>
      <c r="C52" s="149">
        <f t="shared" si="35"/>
        <v>0.46416573348264278</v>
      </c>
    </row>
    <row r="53" spans="1:3" x14ac:dyDescent="0.2">
      <c r="A53" s="159">
        <f>DATE(ANOPROD.,'Prod. e Improd'!$F$8-7,1)</f>
        <v>42278</v>
      </c>
      <c r="B53" s="149">
        <f t="shared" si="34"/>
        <v>0.53842186694172256</v>
      </c>
      <c r="C53" s="149">
        <f t="shared" si="35"/>
        <v>0.46157813305827744</v>
      </c>
    </row>
    <row r="54" spans="1:3" x14ac:dyDescent="0.2">
      <c r="A54" s="159">
        <f>DATE(ANOPROD.,'Prod. e Improd'!$F$8-8,1)</f>
        <v>42248</v>
      </c>
      <c r="B54" s="149">
        <f t="shared" si="34"/>
        <v>0.3792633015006821</v>
      </c>
      <c r="C54" s="149">
        <f t="shared" si="35"/>
        <v>0.6207366984993179</v>
      </c>
    </row>
    <row r="55" spans="1:3" x14ac:dyDescent="0.2">
      <c r="A55" s="159">
        <f>DATE(ANOPROD.,'Prod. e Improd'!$F$8-9,1)</f>
        <v>42217</v>
      </c>
      <c r="B55" s="149">
        <f t="shared" si="34"/>
        <v>0.67766776677667762</v>
      </c>
      <c r="C55" s="149">
        <f t="shared" si="35"/>
        <v>0.32233223322332233</v>
      </c>
    </row>
    <row r="56" spans="1:3" x14ac:dyDescent="0.2">
      <c r="A56" s="159">
        <f>DATE(ANOPROD.,'Prod. e Improd'!$F$8-10,1)</f>
        <v>42186</v>
      </c>
      <c r="B56" s="149">
        <f t="shared" si="34"/>
        <v>0.67498110355253216</v>
      </c>
      <c r="C56" s="149">
        <f t="shared" si="35"/>
        <v>0.3250188964474679</v>
      </c>
    </row>
    <row r="57" spans="1:3" x14ac:dyDescent="0.2">
      <c r="A57" s="159">
        <f>DATE(ANOPROD.,'Prod. e Improd'!$F$8-11,1)</f>
        <v>42156</v>
      </c>
      <c r="B57" s="149">
        <f t="shared" si="34"/>
        <v>0.46250927988121754</v>
      </c>
      <c r="C57" s="149">
        <f t="shared" si="35"/>
        <v>0.53749072011878252</v>
      </c>
    </row>
    <row r="58" spans="1:3" x14ac:dyDescent="0.2">
      <c r="A58" s="159">
        <f>DATE(ANOPROD.,'Prod. e Improd'!$F$8-12,1)</f>
        <v>42125</v>
      </c>
      <c r="B58" s="149">
        <f t="shared" si="34"/>
        <v>0.6957746478873239</v>
      </c>
      <c r="C58" s="149">
        <f t="shared" si="35"/>
        <v>0.30422535211267604</v>
      </c>
    </row>
  </sheetData>
  <customSheetViews>
    <customSheetView guid="{FC643F0B-3E44-4304-9C6C-EBD35A45B8FD}" topLeftCell="Z13">
      <selection activeCell="AS26" sqref="AS26"/>
      <pageMargins left="0" right="0" top="0" bottom="0" header="0" footer="0"/>
      <pageSetup paperSize="9" orientation="portrait" r:id="rId1"/>
    </customSheetView>
    <customSheetView guid="{ECC56881-4CE2-4FBF-815D-85F544F885E8}" state="hidden">
      <selection activeCell="AC3" sqref="AC3"/>
      <pageMargins left="0" right="0" top="0" bottom="0" header="0" footer="0"/>
      <pageSetup paperSize="9" orientation="portrait" r:id="rId2"/>
    </customSheetView>
    <customSheetView guid="{40F11FFD-627B-4157-AFFE-E57E44CED524}" topLeftCell="Z13">
      <selection activeCell="AS26" sqref="AS26"/>
      <pageMargins left="0" right="0" top="0" bottom="0" header="0" footer="0"/>
      <pageSetup paperSize="9" orientation="portrait" r:id="rId3"/>
    </customSheetView>
  </customSheetView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1"/>
  <dimension ref="A1:Z2000"/>
  <sheetViews>
    <sheetView workbookViewId="0">
      <pane ySplit="1" topLeftCell="A2" activePane="bottomLeft" state="frozen"/>
      <selection activeCell="B1" sqref="B1"/>
      <selection pane="bottomLeft" activeCell="J14" sqref="J14"/>
    </sheetView>
  </sheetViews>
  <sheetFormatPr defaultRowHeight="12.75" x14ac:dyDescent="0.2"/>
  <cols>
    <col min="1" max="1" width="10.42578125" customWidth="1"/>
    <col min="2" max="2" width="9.140625" style="107"/>
    <col min="3" max="3" width="3.85546875" style="107" bestFit="1" customWidth="1"/>
    <col min="4" max="4" width="3.85546875" style="107" customWidth="1"/>
    <col min="5" max="5" width="8.5703125" style="107" customWidth="1"/>
    <col min="6" max="6" width="4.85546875" style="107" bestFit="1" customWidth="1"/>
    <col min="7" max="7" width="5.7109375" style="107" customWidth="1"/>
    <col min="8" max="8" width="5.5703125" style="107" customWidth="1"/>
    <col min="9" max="9" width="4.85546875" style="107" bestFit="1" customWidth="1"/>
    <col min="10" max="10" width="4.42578125" style="107" customWidth="1"/>
    <col min="11" max="11" width="4.42578125" style="107" bestFit="1" customWidth="1"/>
    <col min="12" max="12" width="4.85546875" style="107" bestFit="1" customWidth="1"/>
    <col min="13" max="17" width="4.42578125" style="107" bestFit="1" customWidth="1"/>
    <col min="18" max="18" width="4.85546875" style="107" bestFit="1" customWidth="1"/>
    <col min="19" max="19" width="4.42578125" style="107" bestFit="1" customWidth="1"/>
    <col min="20" max="20" width="5.140625" style="107" customWidth="1"/>
    <col min="21" max="22" width="4.42578125" style="107" bestFit="1" customWidth="1"/>
    <col min="23" max="23" width="5.28515625" bestFit="1" customWidth="1"/>
    <col min="24" max="24" width="5.7109375" bestFit="1" customWidth="1"/>
    <col min="25" max="25" width="15.28515625" bestFit="1" customWidth="1"/>
  </cols>
  <sheetData>
    <row r="1" spans="1:26" x14ac:dyDescent="0.2">
      <c r="A1" s="222" t="s">
        <v>147</v>
      </c>
      <c r="B1" s="222" t="s">
        <v>138</v>
      </c>
      <c r="C1" s="222" t="s">
        <v>78</v>
      </c>
      <c r="D1" s="222" t="s">
        <v>148</v>
      </c>
      <c r="E1" s="223" t="s">
        <v>149</v>
      </c>
      <c r="F1" s="224">
        <v>0</v>
      </c>
      <c r="G1" s="224">
        <v>9701</v>
      </c>
      <c r="H1" s="224">
        <v>9702</v>
      </c>
      <c r="I1" s="224">
        <v>9703</v>
      </c>
      <c r="J1" s="224">
        <v>9704</v>
      </c>
      <c r="K1" s="224">
        <v>9705</v>
      </c>
      <c r="L1" s="224">
        <v>9706</v>
      </c>
      <c r="M1" s="224">
        <v>9707</v>
      </c>
      <c r="N1" s="224">
        <v>9708</v>
      </c>
      <c r="O1" s="224">
        <v>9709</v>
      </c>
      <c r="P1" s="224">
        <v>9710</v>
      </c>
      <c r="Q1" s="224">
        <v>9711</v>
      </c>
      <c r="R1" s="224">
        <v>9712</v>
      </c>
      <c r="S1" s="224">
        <v>9713</v>
      </c>
      <c r="T1" s="224">
        <v>9714</v>
      </c>
      <c r="U1" s="224">
        <v>9715</v>
      </c>
      <c r="V1" s="224">
        <v>9716</v>
      </c>
      <c r="W1" s="224">
        <v>97001</v>
      </c>
      <c r="X1" s="152" t="s">
        <v>96</v>
      </c>
      <c r="Y1" s="220" t="s">
        <v>150</v>
      </c>
      <c r="Z1" t="s">
        <v>151</v>
      </c>
    </row>
    <row r="2" spans="1:26" x14ac:dyDescent="0.2">
      <c r="A2" s="26">
        <f>DATE(B2,C2,D2)</f>
        <v>42006</v>
      </c>
      <c r="B2" s="216">
        <v>2015</v>
      </c>
      <c r="C2" s="216">
        <v>1</v>
      </c>
      <c r="D2" s="216">
        <v>2</v>
      </c>
      <c r="E2" s="216" t="s">
        <v>152</v>
      </c>
      <c r="F2" s="217"/>
      <c r="G2" s="217"/>
      <c r="H2" s="217">
        <v>1</v>
      </c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8">
        <v>1</v>
      </c>
      <c r="Y2" s="221">
        <f>SUM(G2:W2)</f>
        <v>1</v>
      </c>
      <c r="Z2">
        <f t="shared" ref="Z2:Z65" si="0">IF(AND(WEEKDAY(A2,2)=6,E2="Sim"),X2,0)</f>
        <v>0</v>
      </c>
    </row>
    <row r="3" spans="1:26" x14ac:dyDescent="0.2">
      <c r="A3" s="26">
        <f t="shared" ref="A3:A66" si="1">DATE(B3,C3,D3)</f>
        <v>42009</v>
      </c>
      <c r="B3" s="216">
        <v>2015</v>
      </c>
      <c r="C3" s="216">
        <v>1</v>
      </c>
      <c r="D3" s="216">
        <v>5</v>
      </c>
      <c r="E3" s="216" t="s">
        <v>152</v>
      </c>
      <c r="F3" s="217"/>
      <c r="G3" s="217"/>
      <c r="H3" s="217"/>
      <c r="I3" s="217"/>
      <c r="J3" s="217">
        <v>3</v>
      </c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8">
        <v>3</v>
      </c>
      <c r="Y3" s="221">
        <f t="shared" ref="Y3:Y66" si="2">SUM(G3:W3)</f>
        <v>3</v>
      </c>
      <c r="Z3">
        <f t="shared" si="0"/>
        <v>0</v>
      </c>
    </row>
    <row r="4" spans="1:26" x14ac:dyDescent="0.2">
      <c r="A4" s="26">
        <f t="shared" si="1"/>
        <v>42009</v>
      </c>
      <c r="B4" s="216">
        <v>2015</v>
      </c>
      <c r="C4" s="216">
        <v>1</v>
      </c>
      <c r="D4" s="216">
        <v>5</v>
      </c>
      <c r="E4" s="216" t="s">
        <v>153</v>
      </c>
      <c r="F4" s="217"/>
      <c r="G4" s="217"/>
      <c r="H4" s="217">
        <v>6</v>
      </c>
      <c r="I4" s="217">
        <v>7</v>
      </c>
      <c r="J4" s="217">
        <v>6</v>
      </c>
      <c r="K4" s="217"/>
      <c r="L4" s="217">
        <v>6</v>
      </c>
      <c r="M4" s="217">
        <v>1</v>
      </c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8">
        <v>26</v>
      </c>
      <c r="Y4" s="221">
        <f t="shared" si="2"/>
        <v>26</v>
      </c>
      <c r="Z4">
        <f t="shared" si="0"/>
        <v>0</v>
      </c>
    </row>
    <row r="5" spans="1:26" x14ac:dyDescent="0.2">
      <c r="A5" s="26">
        <f t="shared" si="1"/>
        <v>42010</v>
      </c>
      <c r="B5" s="216">
        <v>2015</v>
      </c>
      <c r="C5" s="216">
        <v>1</v>
      </c>
      <c r="D5" s="216">
        <v>6</v>
      </c>
      <c r="E5" s="216" t="s">
        <v>152</v>
      </c>
      <c r="F5" s="217">
        <v>1</v>
      </c>
      <c r="G5" s="217"/>
      <c r="H5" s="217"/>
      <c r="I5" s="217">
        <v>2</v>
      </c>
      <c r="J5" s="217">
        <v>1</v>
      </c>
      <c r="K5" s="217"/>
      <c r="L5" s="217">
        <v>2</v>
      </c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8">
        <v>6</v>
      </c>
      <c r="Y5" s="221">
        <f t="shared" si="2"/>
        <v>5</v>
      </c>
      <c r="Z5">
        <f t="shared" si="0"/>
        <v>0</v>
      </c>
    </row>
    <row r="6" spans="1:26" x14ac:dyDescent="0.2">
      <c r="A6" s="26">
        <f t="shared" si="1"/>
        <v>42010</v>
      </c>
      <c r="B6" s="216">
        <v>2015</v>
      </c>
      <c r="C6" s="216">
        <v>1</v>
      </c>
      <c r="D6" s="216">
        <v>6</v>
      </c>
      <c r="E6" s="216" t="s">
        <v>153</v>
      </c>
      <c r="F6" s="217">
        <v>2</v>
      </c>
      <c r="G6" s="217"/>
      <c r="H6" s="217"/>
      <c r="I6" s="217">
        <v>5</v>
      </c>
      <c r="J6" s="217">
        <v>2</v>
      </c>
      <c r="K6" s="217"/>
      <c r="L6" s="217">
        <v>5</v>
      </c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8">
        <v>14</v>
      </c>
      <c r="Y6" s="221">
        <f t="shared" si="2"/>
        <v>12</v>
      </c>
      <c r="Z6">
        <f t="shared" si="0"/>
        <v>0</v>
      </c>
    </row>
    <row r="7" spans="1:26" x14ac:dyDescent="0.2">
      <c r="A7" s="26">
        <f t="shared" si="1"/>
        <v>42011</v>
      </c>
      <c r="B7" s="216">
        <v>2015</v>
      </c>
      <c r="C7" s="216">
        <v>1</v>
      </c>
      <c r="D7" s="216">
        <v>7</v>
      </c>
      <c r="E7" s="216" t="s">
        <v>152</v>
      </c>
      <c r="F7" s="217">
        <v>1</v>
      </c>
      <c r="G7" s="217"/>
      <c r="H7" s="217"/>
      <c r="I7" s="217">
        <v>5</v>
      </c>
      <c r="J7" s="217">
        <v>4</v>
      </c>
      <c r="K7" s="217"/>
      <c r="L7" s="217">
        <v>3</v>
      </c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8">
        <v>13</v>
      </c>
      <c r="Y7" s="221">
        <f t="shared" si="2"/>
        <v>12</v>
      </c>
      <c r="Z7">
        <f t="shared" si="0"/>
        <v>0</v>
      </c>
    </row>
    <row r="8" spans="1:26" x14ac:dyDescent="0.2">
      <c r="A8" s="26">
        <f t="shared" si="1"/>
        <v>42011</v>
      </c>
      <c r="B8" s="216">
        <v>2015</v>
      </c>
      <c r="C8" s="216">
        <v>1</v>
      </c>
      <c r="D8" s="216">
        <v>7</v>
      </c>
      <c r="E8" s="216" t="s">
        <v>153</v>
      </c>
      <c r="F8" s="217">
        <v>1</v>
      </c>
      <c r="G8" s="217"/>
      <c r="H8" s="217"/>
      <c r="I8" s="217">
        <v>14</v>
      </c>
      <c r="J8" s="217">
        <v>12</v>
      </c>
      <c r="K8" s="217"/>
      <c r="L8" s="217">
        <v>15</v>
      </c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>
        <v>1</v>
      </c>
      <c r="X8" s="218">
        <v>43</v>
      </c>
      <c r="Y8" s="221">
        <f t="shared" si="2"/>
        <v>42</v>
      </c>
      <c r="Z8">
        <f t="shared" si="0"/>
        <v>0</v>
      </c>
    </row>
    <row r="9" spans="1:26" x14ac:dyDescent="0.2">
      <c r="A9" s="26">
        <f t="shared" si="1"/>
        <v>42012</v>
      </c>
      <c r="B9" s="216">
        <v>2015</v>
      </c>
      <c r="C9" s="216">
        <v>1</v>
      </c>
      <c r="D9" s="216">
        <v>8</v>
      </c>
      <c r="E9" s="216" t="s">
        <v>152</v>
      </c>
      <c r="F9" s="217"/>
      <c r="G9" s="217"/>
      <c r="H9" s="217">
        <v>5</v>
      </c>
      <c r="I9" s="217">
        <v>3</v>
      </c>
      <c r="J9" s="217">
        <v>2</v>
      </c>
      <c r="K9" s="217"/>
      <c r="L9" s="217">
        <v>8</v>
      </c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>
        <v>3</v>
      </c>
      <c r="X9" s="218">
        <v>21</v>
      </c>
      <c r="Y9" s="221">
        <f t="shared" si="2"/>
        <v>21</v>
      </c>
      <c r="Z9">
        <f t="shared" si="0"/>
        <v>0</v>
      </c>
    </row>
    <row r="10" spans="1:26" x14ac:dyDescent="0.2">
      <c r="A10" s="26">
        <f t="shared" si="1"/>
        <v>42012</v>
      </c>
      <c r="B10" s="216">
        <v>2015</v>
      </c>
      <c r="C10" s="216">
        <v>1</v>
      </c>
      <c r="D10" s="216">
        <v>8</v>
      </c>
      <c r="E10" s="216" t="s">
        <v>153</v>
      </c>
      <c r="F10" s="217">
        <v>2</v>
      </c>
      <c r="G10" s="217"/>
      <c r="H10" s="217">
        <v>21</v>
      </c>
      <c r="I10" s="217">
        <v>9</v>
      </c>
      <c r="J10" s="217">
        <v>6</v>
      </c>
      <c r="K10" s="217"/>
      <c r="L10" s="217">
        <v>15</v>
      </c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8">
        <v>53</v>
      </c>
      <c r="Y10" s="221">
        <f t="shared" si="2"/>
        <v>51</v>
      </c>
      <c r="Z10">
        <f t="shared" si="0"/>
        <v>0</v>
      </c>
    </row>
    <row r="11" spans="1:26" x14ac:dyDescent="0.2">
      <c r="A11" s="26">
        <f t="shared" si="1"/>
        <v>42013</v>
      </c>
      <c r="B11" s="216">
        <v>2015</v>
      </c>
      <c r="C11" s="216">
        <v>1</v>
      </c>
      <c r="D11" s="216">
        <v>9</v>
      </c>
      <c r="E11" s="216" t="s">
        <v>152</v>
      </c>
      <c r="F11" s="217"/>
      <c r="G11" s="217"/>
      <c r="H11" s="217">
        <v>1</v>
      </c>
      <c r="I11" s="217">
        <v>3</v>
      </c>
      <c r="J11" s="217">
        <v>8</v>
      </c>
      <c r="K11" s="217"/>
      <c r="L11" s="217">
        <v>4</v>
      </c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8">
        <v>16</v>
      </c>
      <c r="Y11" s="221">
        <f t="shared" si="2"/>
        <v>16</v>
      </c>
      <c r="Z11">
        <f t="shared" si="0"/>
        <v>0</v>
      </c>
    </row>
    <row r="12" spans="1:26" x14ac:dyDescent="0.2">
      <c r="A12" s="26">
        <f t="shared" si="1"/>
        <v>42013</v>
      </c>
      <c r="B12" s="216">
        <v>2015</v>
      </c>
      <c r="C12" s="216">
        <v>1</v>
      </c>
      <c r="D12" s="216">
        <v>9</v>
      </c>
      <c r="E12" s="216" t="s">
        <v>153</v>
      </c>
      <c r="F12" s="217">
        <v>1</v>
      </c>
      <c r="G12" s="217"/>
      <c r="H12" s="217">
        <v>2</v>
      </c>
      <c r="I12" s="217">
        <v>4</v>
      </c>
      <c r="J12" s="217">
        <v>9</v>
      </c>
      <c r="K12" s="217"/>
      <c r="L12" s="217">
        <v>8</v>
      </c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>
        <v>5</v>
      </c>
      <c r="X12" s="218">
        <v>29</v>
      </c>
      <c r="Y12" s="221">
        <f t="shared" si="2"/>
        <v>28</v>
      </c>
      <c r="Z12">
        <f t="shared" si="0"/>
        <v>0</v>
      </c>
    </row>
    <row r="13" spans="1:26" x14ac:dyDescent="0.2">
      <c r="A13" s="26">
        <f t="shared" si="1"/>
        <v>42016</v>
      </c>
      <c r="B13" s="216">
        <v>2015</v>
      </c>
      <c r="C13" s="216">
        <v>1</v>
      </c>
      <c r="D13" s="216">
        <v>12</v>
      </c>
      <c r="E13" s="216" t="s">
        <v>152</v>
      </c>
      <c r="F13" s="217">
        <v>1</v>
      </c>
      <c r="G13" s="217"/>
      <c r="H13" s="217"/>
      <c r="I13" s="217">
        <v>4</v>
      </c>
      <c r="J13" s="217">
        <v>3</v>
      </c>
      <c r="K13" s="217"/>
      <c r="L13" s="217">
        <v>4</v>
      </c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8">
        <v>12</v>
      </c>
      <c r="Y13" s="221">
        <f t="shared" si="2"/>
        <v>11</v>
      </c>
      <c r="Z13">
        <f t="shared" si="0"/>
        <v>0</v>
      </c>
    </row>
    <row r="14" spans="1:26" x14ac:dyDescent="0.2">
      <c r="A14" s="26">
        <f t="shared" si="1"/>
        <v>42016</v>
      </c>
      <c r="B14" s="216">
        <v>2015</v>
      </c>
      <c r="C14" s="216">
        <v>1</v>
      </c>
      <c r="D14" s="216">
        <v>12</v>
      </c>
      <c r="E14" s="216" t="s">
        <v>153</v>
      </c>
      <c r="F14" s="217"/>
      <c r="G14" s="217"/>
      <c r="H14" s="217">
        <v>8</v>
      </c>
      <c r="I14" s="217">
        <v>14</v>
      </c>
      <c r="J14" s="217">
        <v>14</v>
      </c>
      <c r="K14" s="217"/>
      <c r="L14" s="217">
        <v>21</v>
      </c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8">
        <v>57</v>
      </c>
      <c r="Y14" s="221">
        <f t="shared" si="2"/>
        <v>57</v>
      </c>
      <c r="Z14">
        <f t="shared" si="0"/>
        <v>0</v>
      </c>
    </row>
    <row r="15" spans="1:26" x14ac:dyDescent="0.2">
      <c r="A15" s="26">
        <f t="shared" si="1"/>
        <v>42017</v>
      </c>
      <c r="B15" s="216">
        <v>2015</v>
      </c>
      <c r="C15" s="216">
        <v>1</v>
      </c>
      <c r="D15" s="216">
        <v>13</v>
      </c>
      <c r="E15" s="216" t="s">
        <v>152</v>
      </c>
      <c r="F15" s="217">
        <v>2</v>
      </c>
      <c r="G15" s="217"/>
      <c r="H15" s="217"/>
      <c r="I15" s="217">
        <v>6</v>
      </c>
      <c r="J15" s="217">
        <v>6</v>
      </c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8">
        <v>14</v>
      </c>
      <c r="Y15" s="221">
        <f t="shared" si="2"/>
        <v>12</v>
      </c>
      <c r="Z15">
        <f t="shared" si="0"/>
        <v>0</v>
      </c>
    </row>
    <row r="16" spans="1:26" x14ac:dyDescent="0.2">
      <c r="A16" s="26">
        <f t="shared" si="1"/>
        <v>42017</v>
      </c>
      <c r="B16" s="216">
        <v>2015</v>
      </c>
      <c r="C16" s="216">
        <v>1</v>
      </c>
      <c r="D16" s="216">
        <v>13</v>
      </c>
      <c r="E16" s="216" t="s">
        <v>153</v>
      </c>
      <c r="F16" s="217"/>
      <c r="G16" s="217"/>
      <c r="H16" s="217">
        <v>6</v>
      </c>
      <c r="I16" s="217">
        <v>6</v>
      </c>
      <c r="J16" s="217">
        <v>19</v>
      </c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8">
        <v>31</v>
      </c>
      <c r="Y16" s="221">
        <f t="shared" si="2"/>
        <v>31</v>
      </c>
      <c r="Z16">
        <f t="shared" si="0"/>
        <v>0</v>
      </c>
    </row>
    <row r="17" spans="1:26" x14ac:dyDescent="0.2">
      <c r="A17" s="26">
        <f t="shared" si="1"/>
        <v>42018</v>
      </c>
      <c r="B17" s="216">
        <v>2015</v>
      </c>
      <c r="C17" s="216">
        <v>1</v>
      </c>
      <c r="D17" s="216">
        <v>14</v>
      </c>
      <c r="E17" s="216" t="s">
        <v>152</v>
      </c>
      <c r="F17" s="217"/>
      <c r="G17" s="217"/>
      <c r="H17" s="217"/>
      <c r="I17" s="217">
        <v>5</v>
      </c>
      <c r="J17" s="217">
        <v>21</v>
      </c>
      <c r="K17" s="217"/>
      <c r="L17" s="217">
        <v>5</v>
      </c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>
        <v>1</v>
      </c>
      <c r="X17" s="218">
        <v>32</v>
      </c>
      <c r="Y17" s="221">
        <f t="shared" si="2"/>
        <v>32</v>
      </c>
      <c r="Z17">
        <f t="shared" si="0"/>
        <v>0</v>
      </c>
    </row>
    <row r="18" spans="1:26" x14ac:dyDescent="0.2">
      <c r="A18" s="26">
        <f t="shared" si="1"/>
        <v>42018</v>
      </c>
      <c r="B18" s="216">
        <v>2015</v>
      </c>
      <c r="C18" s="216">
        <v>1</v>
      </c>
      <c r="D18" s="216">
        <v>14</v>
      </c>
      <c r="E18" s="216" t="s">
        <v>153</v>
      </c>
      <c r="F18" s="217">
        <v>1</v>
      </c>
      <c r="G18" s="217"/>
      <c r="H18" s="217">
        <v>5</v>
      </c>
      <c r="I18" s="217">
        <v>14</v>
      </c>
      <c r="J18" s="217">
        <v>26</v>
      </c>
      <c r="K18" s="217"/>
      <c r="L18" s="217">
        <v>3</v>
      </c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8">
        <v>49</v>
      </c>
      <c r="Y18" s="221">
        <f t="shared" si="2"/>
        <v>48</v>
      </c>
      <c r="Z18">
        <f t="shared" si="0"/>
        <v>0</v>
      </c>
    </row>
    <row r="19" spans="1:26" x14ac:dyDescent="0.2">
      <c r="A19" s="26">
        <f t="shared" si="1"/>
        <v>42019</v>
      </c>
      <c r="B19" s="216">
        <v>2015</v>
      </c>
      <c r="C19" s="216">
        <v>1</v>
      </c>
      <c r="D19" s="216">
        <v>15</v>
      </c>
      <c r="E19" s="216" t="s">
        <v>152</v>
      </c>
      <c r="F19" s="217">
        <v>1</v>
      </c>
      <c r="G19" s="217"/>
      <c r="H19" s="217"/>
      <c r="I19" s="217">
        <v>3</v>
      </c>
      <c r="J19" s="217">
        <v>9</v>
      </c>
      <c r="K19" s="217"/>
      <c r="L19" s="217">
        <v>3</v>
      </c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8">
        <v>16</v>
      </c>
      <c r="Y19" s="221">
        <f t="shared" si="2"/>
        <v>15</v>
      </c>
      <c r="Z19">
        <f t="shared" si="0"/>
        <v>0</v>
      </c>
    </row>
    <row r="20" spans="1:26" x14ac:dyDescent="0.2">
      <c r="A20" s="26">
        <f t="shared" si="1"/>
        <v>42019</v>
      </c>
      <c r="B20" s="216">
        <v>2015</v>
      </c>
      <c r="C20" s="216">
        <v>1</v>
      </c>
      <c r="D20" s="216">
        <v>15</v>
      </c>
      <c r="E20" s="216" t="s">
        <v>153</v>
      </c>
      <c r="F20" s="217"/>
      <c r="G20" s="217"/>
      <c r="H20" s="217"/>
      <c r="I20" s="217">
        <v>8</v>
      </c>
      <c r="J20" s="217">
        <v>15</v>
      </c>
      <c r="K20" s="217"/>
      <c r="L20" s="217">
        <v>2</v>
      </c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8">
        <v>25</v>
      </c>
      <c r="Y20" s="221">
        <f t="shared" si="2"/>
        <v>25</v>
      </c>
      <c r="Z20">
        <f t="shared" si="0"/>
        <v>0</v>
      </c>
    </row>
    <row r="21" spans="1:26" x14ac:dyDescent="0.2">
      <c r="A21" s="26">
        <f t="shared" si="1"/>
        <v>42020</v>
      </c>
      <c r="B21" s="216">
        <v>2015</v>
      </c>
      <c r="C21" s="216">
        <v>1</v>
      </c>
      <c r="D21" s="216">
        <v>16</v>
      </c>
      <c r="E21" s="216" t="s">
        <v>152</v>
      </c>
      <c r="F21" s="217">
        <v>2</v>
      </c>
      <c r="G21" s="217"/>
      <c r="H21" s="217">
        <v>4</v>
      </c>
      <c r="I21" s="217">
        <v>1</v>
      </c>
      <c r="J21" s="217">
        <v>13</v>
      </c>
      <c r="K21" s="217"/>
      <c r="L21" s="217">
        <v>4</v>
      </c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8">
        <v>24</v>
      </c>
      <c r="Y21" s="221">
        <f t="shared" si="2"/>
        <v>22</v>
      </c>
      <c r="Z21">
        <f t="shared" si="0"/>
        <v>0</v>
      </c>
    </row>
    <row r="22" spans="1:26" x14ac:dyDescent="0.2">
      <c r="A22" s="26">
        <f t="shared" si="1"/>
        <v>42020</v>
      </c>
      <c r="B22" s="216">
        <v>2015</v>
      </c>
      <c r="C22" s="216">
        <v>1</v>
      </c>
      <c r="D22" s="216">
        <v>16</v>
      </c>
      <c r="E22" s="216" t="s">
        <v>153</v>
      </c>
      <c r="F22" s="217">
        <v>1</v>
      </c>
      <c r="G22" s="217"/>
      <c r="H22" s="217">
        <v>1</v>
      </c>
      <c r="I22" s="217">
        <v>9</v>
      </c>
      <c r="J22" s="217">
        <v>9</v>
      </c>
      <c r="K22" s="217"/>
      <c r="L22" s="217">
        <v>7</v>
      </c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8">
        <v>27</v>
      </c>
      <c r="Y22" s="221">
        <f t="shared" si="2"/>
        <v>26</v>
      </c>
      <c r="Z22">
        <f t="shared" si="0"/>
        <v>0</v>
      </c>
    </row>
    <row r="23" spans="1:26" x14ac:dyDescent="0.2">
      <c r="A23" s="26">
        <f t="shared" si="1"/>
        <v>42021</v>
      </c>
      <c r="B23" s="216">
        <v>2015</v>
      </c>
      <c r="C23" s="216">
        <v>1</v>
      </c>
      <c r="D23" s="216">
        <v>17</v>
      </c>
      <c r="E23" s="216" t="s">
        <v>152</v>
      </c>
      <c r="F23" s="217">
        <v>5</v>
      </c>
      <c r="G23" s="217"/>
      <c r="H23" s="217"/>
      <c r="I23" s="217"/>
      <c r="J23" s="217"/>
      <c r="K23" s="217"/>
      <c r="L23" s="217">
        <v>4</v>
      </c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8">
        <v>9</v>
      </c>
      <c r="Y23" s="221">
        <f t="shared" si="2"/>
        <v>4</v>
      </c>
      <c r="Z23">
        <f t="shared" si="0"/>
        <v>0</v>
      </c>
    </row>
    <row r="24" spans="1:26" x14ac:dyDescent="0.2">
      <c r="A24" s="26">
        <f t="shared" si="1"/>
        <v>42021</v>
      </c>
      <c r="B24" s="216">
        <v>2015</v>
      </c>
      <c r="C24" s="216">
        <v>1</v>
      </c>
      <c r="D24" s="216">
        <v>17</v>
      </c>
      <c r="E24" s="216" t="s">
        <v>153</v>
      </c>
      <c r="F24" s="217"/>
      <c r="G24" s="217"/>
      <c r="H24" s="217">
        <v>8</v>
      </c>
      <c r="I24" s="217">
        <v>9</v>
      </c>
      <c r="J24" s="217">
        <v>9</v>
      </c>
      <c r="K24" s="217"/>
      <c r="L24" s="217">
        <v>12</v>
      </c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8">
        <v>38</v>
      </c>
      <c r="Y24" s="221">
        <f t="shared" si="2"/>
        <v>38</v>
      </c>
      <c r="Z24">
        <f t="shared" si="0"/>
        <v>38</v>
      </c>
    </row>
    <row r="25" spans="1:26" x14ac:dyDescent="0.2">
      <c r="A25" s="26">
        <f t="shared" si="1"/>
        <v>42023</v>
      </c>
      <c r="B25" s="216">
        <v>2015</v>
      </c>
      <c r="C25" s="216">
        <v>1</v>
      </c>
      <c r="D25" s="216">
        <v>19</v>
      </c>
      <c r="E25" s="216" t="s">
        <v>152</v>
      </c>
      <c r="F25" s="217"/>
      <c r="G25" s="217"/>
      <c r="H25" s="217">
        <v>1</v>
      </c>
      <c r="I25" s="217">
        <v>3</v>
      </c>
      <c r="J25" s="217">
        <v>1</v>
      </c>
      <c r="K25" s="217"/>
      <c r="L25" s="217">
        <v>6</v>
      </c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8">
        <v>11</v>
      </c>
      <c r="Y25" s="221">
        <f t="shared" si="2"/>
        <v>11</v>
      </c>
      <c r="Z25">
        <f t="shared" si="0"/>
        <v>0</v>
      </c>
    </row>
    <row r="26" spans="1:26" x14ac:dyDescent="0.2">
      <c r="A26" s="26">
        <f t="shared" si="1"/>
        <v>42023</v>
      </c>
      <c r="B26" s="216">
        <v>2015</v>
      </c>
      <c r="C26" s="216">
        <v>1</v>
      </c>
      <c r="D26" s="216">
        <v>19</v>
      </c>
      <c r="E26" s="216" t="s">
        <v>153</v>
      </c>
      <c r="F26" s="217">
        <v>2</v>
      </c>
      <c r="G26" s="217"/>
      <c r="H26" s="217">
        <v>2</v>
      </c>
      <c r="I26" s="217">
        <v>5</v>
      </c>
      <c r="J26" s="217"/>
      <c r="K26" s="217"/>
      <c r="L26" s="217">
        <v>18</v>
      </c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8">
        <v>27</v>
      </c>
      <c r="Y26" s="221">
        <f t="shared" si="2"/>
        <v>25</v>
      </c>
      <c r="Z26">
        <f t="shared" si="0"/>
        <v>0</v>
      </c>
    </row>
    <row r="27" spans="1:26" x14ac:dyDescent="0.2">
      <c r="A27" s="26">
        <f t="shared" si="1"/>
        <v>42024</v>
      </c>
      <c r="B27" s="216">
        <v>2015</v>
      </c>
      <c r="C27" s="216">
        <v>1</v>
      </c>
      <c r="D27" s="216">
        <v>20</v>
      </c>
      <c r="E27" s="216" t="s">
        <v>152</v>
      </c>
      <c r="F27" s="217">
        <v>1</v>
      </c>
      <c r="G27" s="217"/>
      <c r="H27" s="217"/>
      <c r="I27" s="217">
        <v>2</v>
      </c>
      <c r="J27" s="217">
        <v>1</v>
      </c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8">
        <v>4</v>
      </c>
      <c r="Y27" s="221">
        <f t="shared" si="2"/>
        <v>3</v>
      </c>
      <c r="Z27">
        <f t="shared" si="0"/>
        <v>0</v>
      </c>
    </row>
    <row r="28" spans="1:26" x14ac:dyDescent="0.2">
      <c r="A28" s="26">
        <f t="shared" si="1"/>
        <v>42024</v>
      </c>
      <c r="B28" s="216">
        <v>2015</v>
      </c>
      <c r="C28" s="216">
        <v>1</v>
      </c>
      <c r="D28" s="216">
        <v>20</v>
      </c>
      <c r="E28" s="216" t="s">
        <v>153</v>
      </c>
      <c r="F28" s="217">
        <v>2</v>
      </c>
      <c r="G28" s="217"/>
      <c r="H28" s="217"/>
      <c r="I28" s="217">
        <v>3</v>
      </c>
      <c r="J28" s="217">
        <v>2</v>
      </c>
      <c r="K28" s="217"/>
      <c r="L28" s="217">
        <v>1</v>
      </c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8">
        <v>8</v>
      </c>
      <c r="Y28" s="221">
        <f t="shared" si="2"/>
        <v>6</v>
      </c>
      <c r="Z28">
        <f t="shared" si="0"/>
        <v>0</v>
      </c>
    </row>
    <row r="29" spans="1:26" x14ac:dyDescent="0.2">
      <c r="A29" s="26">
        <f t="shared" si="1"/>
        <v>42025</v>
      </c>
      <c r="B29" s="216">
        <v>2015</v>
      </c>
      <c r="C29" s="216">
        <v>1</v>
      </c>
      <c r="D29" s="216">
        <v>21</v>
      </c>
      <c r="E29" s="216" t="s">
        <v>152</v>
      </c>
      <c r="F29" s="217"/>
      <c r="G29" s="217"/>
      <c r="H29" s="217">
        <v>3</v>
      </c>
      <c r="I29" s="217"/>
      <c r="J29" s="217"/>
      <c r="K29" s="217"/>
      <c r="L29" s="217">
        <v>1</v>
      </c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8">
        <v>4</v>
      </c>
      <c r="Y29" s="221">
        <f t="shared" si="2"/>
        <v>4</v>
      </c>
      <c r="Z29">
        <f t="shared" si="0"/>
        <v>0</v>
      </c>
    </row>
    <row r="30" spans="1:26" x14ac:dyDescent="0.2">
      <c r="A30" s="26">
        <f t="shared" si="1"/>
        <v>42025</v>
      </c>
      <c r="B30" s="216">
        <v>2015</v>
      </c>
      <c r="C30" s="216">
        <v>1</v>
      </c>
      <c r="D30" s="216">
        <v>21</v>
      </c>
      <c r="E30" s="216" t="s">
        <v>153</v>
      </c>
      <c r="F30" s="217">
        <v>4</v>
      </c>
      <c r="G30" s="217"/>
      <c r="H30" s="217">
        <v>12</v>
      </c>
      <c r="I30" s="217"/>
      <c r="J30" s="217"/>
      <c r="K30" s="217"/>
      <c r="L30" s="217">
        <v>13</v>
      </c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8">
        <v>29</v>
      </c>
      <c r="Y30" s="221">
        <f t="shared" si="2"/>
        <v>25</v>
      </c>
      <c r="Z30">
        <f t="shared" si="0"/>
        <v>0</v>
      </c>
    </row>
    <row r="31" spans="1:26" x14ac:dyDescent="0.2">
      <c r="A31" s="26">
        <f t="shared" si="1"/>
        <v>42026</v>
      </c>
      <c r="B31" s="216">
        <v>2015</v>
      </c>
      <c r="C31" s="216">
        <v>1</v>
      </c>
      <c r="D31" s="216">
        <v>22</v>
      </c>
      <c r="E31" s="216" t="s">
        <v>152</v>
      </c>
      <c r="F31" s="217"/>
      <c r="G31" s="217"/>
      <c r="H31" s="217">
        <v>3</v>
      </c>
      <c r="I31" s="217"/>
      <c r="J31" s="217"/>
      <c r="K31" s="217"/>
      <c r="L31" s="217">
        <v>1</v>
      </c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8">
        <v>4</v>
      </c>
      <c r="Y31" s="221">
        <f t="shared" si="2"/>
        <v>4</v>
      </c>
      <c r="Z31">
        <f t="shared" si="0"/>
        <v>0</v>
      </c>
    </row>
    <row r="32" spans="1:26" x14ac:dyDescent="0.2">
      <c r="A32" s="26">
        <f t="shared" si="1"/>
        <v>42026</v>
      </c>
      <c r="B32" s="216">
        <v>2015</v>
      </c>
      <c r="C32" s="216">
        <v>1</v>
      </c>
      <c r="D32" s="216">
        <v>22</v>
      </c>
      <c r="E32" s="216" t="s">
        <v>153</v>
      </c>
      <c r="F32" s="217">
        <v>1</v>
      </c>
      <c r="G32" s="217"/>
      <c r="H32" s="217">
        <v>9</v>
      </c>
      <c r="I32" s="217"/>
      <c r="J32" s="217"/>
      <c r="K32" s="217"/>
      <c r="L32" s="217">
        <v>4</v>
      </c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8">
        <v>14</v>
      </c>
      <c r="Y32" s="221">
        <f t="shared" si="2"/>
        <v>13</v>
      </c>
      <c r="Z32">
        <f t="shared" si="0"/>
        <v>0</v>
      </c>
    </row>
    <row r="33" spans="1:26" x14ac:dyDescent="0.2">
      <c r="A33" s="26">
        <f t="shared" si="1"/>
        <v>42027</v>
      </c>
      <c r="B33" s="216">
        <v>2015</v>
      </c>
      <c r="C33" s="216">
        <v>1</v>
      </c>
      <c r="D33" s="216">
        <v>23</v>
      </c>
      <c r="E33" s="216" t="s">
        <v>152</v>
      </c>
      <c r="F33" s="217"/>
      <c r="G33" s="217"/>
      <c r="H33" s="217">
        <v>10</v>
      </c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8">
        <v>10</v>
      </c>
      <c r="Y33" s="221">
        <f t="shared" si="2"/>
        <v>10</v>
      </c>
      <c r="Z33">
        <f t="shared" si="0"/>
        <v>0</v>
      </c>
    </row>
    <row r="34" spans="1:26" x14ac:dyDescent="0.2">
      <c r="A34" s="26">
        <f t="shared" si="1"/>
        <v>42027</v>
      </c>
      <c r="B34" s="216">
        <v>2015</v>
      </c>
      <c r="C34" s="216">
        <v>1</v>
      </c>
      <c r="D34" s="216">
        <v>23</v>
      </c>
      <c r="E34" s="216" t="s">
        <v>153</v>
      </c>
      <c r="F34" s="217">
        <v>1</v>
      </c>
      <c r="G34" s="217"/>
      <c r="H34" s="217">
        <v>11</v>
      </c>
      <c r="I34" s="217"/>
      <c r="J34" s="217"/>
      <c r="K34" s="217"/>
      <c r="L34" s="217">
        <v>1</v>
      </c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8">
        <v>13</v>
      </c>
      <c r="Y34" s="221">
        <f t="shared" si="2"/>
        <v>12</v>
      </c>
      <c r="Z34">
        <f t="shared" si="0"/>
        <v>0</v>
      </c>
    </row>
    <row r="35" spans="1:26" x14ac:dyDescent="0.2">
      <c r="A35" s="26">
        <f t="shared" si="1"/>
        <v>42030</v>
      </c>
      <c r="B35" s="216">
        <v>2015</v>
      </c>
      <c r="C35" s="216">
        <v>1</v>
      </c>
      <c r="D35" s="216">
        <v>26</v>
      </c>
      <c r="E35" s="216" t="s">
        <v>152</v>
      </c>
      <c r="F35" s="217"/>
      <c r="G35" s="217"/>
      <c r="H35" s="217">
        <v>1</v>
      </c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8">
        <v>1</v>
      </c>
      <c r="Y35" s="221">
        <f t="shared" si="2"/>
        <v>1</v>
      </c>
      <c r="Z35">
        <f t="shared" si="0"/>
        <v>0</v>
      </c>
    </row>
    <row r="36" spans="1:26" x14ac:dyDescent="0.2">
      <c r="A36" s="26">
        <f t="shared" si="1"/>
        <v>42030</v>
      </c>
      <c r="B36" s="216">
        <v>2015</v>
      </c>
      <c r="C36" s="216">
        <v>1</v>
      </c>
      <c r="D36" s="216">
        <v>26</v>
      </c>
      <c r="E36" s="216" t="s">
        <v>153</v>
      </c>
      <c r="F36" s="217">
        <v>4</v>
      </c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8">
        <v>4</v>
      </c>
      <c r="Y36" s="221">
        <f t="shared" si="2"/>
        <v>0</v>
      </c>
      <c r="Z36">
        <f t="shared" si="0"/>
        <v>0</v>
      </c>
    </row>
    <row r="37" spans="1:26" x14ac:dyDescent="0.2">
      <c r="A37" s="26">
        <f t="shared" si="1"/>
        <v>42031</v>
      </c>
      <c r="B37" s="216">
        <v>2015</v>
      </c>
      <c r="C37" s="216">
        <v>1</v>
      </c>
      <c r="D37" s="216">
        <v>27</v>
      </c>
      <c r="E37" s="216" t="s">
        <v>152</v>
      </c>
      <c r="F37" s="217">
        <v>1</v>
      </c>
      <c r="G37" s="217"/>
      <c r="H37" s="217">
        <v>2</v>
      </c>
      <c r="I37" s="217">
        <v>2</v>
      </c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8">
        <v>5</v>
      </c>
      <c r="Y37" s="221">
        <f t="shared" si="2"/>
        <v>4</v>
      </c>
      <c r="Z37">
        <f t="shared" si="0"/>
        <v>0</v>
      </c>
    </row>
    <row r="38" spans="1:26" x14ac:dyDescent="0.2">
      <c r="A38" s="26">
        <f t="shared" si="1"/>
        <v>42031</v>
      </c>
      <c r="B38" s="216">
        <v>2015</v>
      </c>
      <c r="C38" s="216">
        <v>1</v>
      </c>
      <c r="D38" s="216">
        <v>27</v>
      </c>
      <c r="E38" s="216" t="s">
        <v>153</v>
      </c>
      <c r="F38" s="217">
        <v>30</v>
      </c>
      <c r="G38" s="217"/>
      <c r="H38" s="217">
        <v>2</v>
      </c>
      <c r="I38" s="217">
        <v>1</v>
      </c>
      <c r="J38" s="217">
        <v>1</v>
      </c>
      <c r="K38" s="217"/>
      <c r="L38" s="217">
        <v>1</v>
      </c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8">
        <v>35</v>
      </c>
      <c r="Y38" s="221">
        <f t="shared" si="2"/>
        <v>5</v>
      </c>
      <c r="Z38">
        <f t="shared" si="0"/>
        <v>0</v>
      </c>
    </row>
    <row r="39" spans="1:26" x14ac:dyDescent="0.2">
      <c r="A39" s="26">
        <f t="shared" si="1"/>
        <v>42032</v>
      </c>
      <c r="B39" s="216">
        <v>2015</v>
      </c>
      <c r="C39" s="216">
        <v>1</v>
      </c>
      <c r="D39" s="216">
        <v>28</v>
      </c>
      <c r="E39" s="216" t="s">
        <v>152</v>
      </c>
      <c r="F39" s="217">
        <v>5</v>
      </c>
      <c r="G39" s="217"/>
      <c r="H39" s="217">
        <v>7</v>
      </c>
      <c r="I39" s="217"/>
      <c r="J39" s="217">
        <v>1</v>
      </c>
      <c r="K39" s="217"/>
      <c r="L39" s="217">
        <v>1</v>
      </c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>
        <v>1</v>
      </c>
      <c r="X39" s="218">
        <v>15</v>
      </c>
      <c r="Y39" s="221">
        <f t="shared" si="2"/>
        <v>10</v>
      </c>
      <c r="Z39">
        <f t="shared" si="0"/>
        <v>0</v>
      </c>
    </row>
    <row r="40" spans="1:26" x14ac:dyDescent="0.2">
      <c r="A40" s="26">
        <f t="shared" si="1"/>
        <v>42032</v>
      </c>
      <c r="B40" s="216">
        <v>2015</v>
      </c>
      <c r="C40" s="216">
        <v>1</v>
      </c>
      <c r="D40" s="216">
        <v>28</v>
      </c>
      <c r="E40" s="216" t="s">
        <v>153</v>
      </c>
      <c r="F40" s="217">
        <v>11</v>
      </c>
      <c r="G40" s="217"/>
      <c r="H40" s="217">
        <v>2</v>
      </c>
      <c r="I40" s="217">
        <v>9</v>
      </c>
      <c r="J40" s="217">
        <v>4</v>
      </c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>
        <v>1</v>
      </c>
      <c r="W40" s="217"/>
      <c r="X40" s="218">
        <v>27</v>
      </c>
      <c r="Y40" s="221">
        <f t="shared" si="2"/>
        <v>16</v>
      </c>
      <c r="Z40">
        <f t="shared" si="0"/>
        <v>0</v>
      </c>
    </row>
    <row r="41" spans="1:26" x14ac:dyDescent="0.2">
      <c r="A41" s="26">
        <f t="shared" si="1"/>
        <v>42033</v>
      </c>
      <c r="B41" s="216">
        <v>2015</v>
      </c>
      <c r="C41" s="216">
        <v>1</v>
      </c>
      <c r="D41" s="216">
        <v>29</v>
      </c>
      <c r="E41" s="216" t="s">
        <v>152</v>
      </c>
      <c r="F41" s="217">
        <v>1</v>
      </c>
      <c r="G41" s="217"/>
      <c r="H41" s="217">
        <v>1</v>
      </c>
      <c r="I41" s="217">
        <v>3</v>
      </c>
      <c r="J41" s="217">
        <v>3</v>
      </c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8">
        <v>8</v>
      </c>
      <c r="Y41" s="221">
        <f t="shared" si="2"/>
        <v>7</v>
      </c>
      <c r="Z41">
        <f t="shared" si="0"/>
        <v>0</v>
      </c>
    </row>
    <row r="42" spans="1:26" x14ac:dyDescent="0.2">
      <c r="A42" s="26">
        <f t="shared" si="1"/>
        <v>42033</v>
      </c>
      <c r="B42" s="216">
        <v>2015</v>
      </c>
      <c r="C42" s="216">
        <v>1</v>
      </c>
      <c r="D42" s="216">
        <v>29</v>
      </c>
      <c r="E42" s="216" t="s">
        <v>153</v>
      </c>
      <c r="F42" s="217">
        <v>6</v>
      </c>
      <c r="G42" s="217"/>
      <c r="H42" s="217">
        <v>11</v>
      </c>
      <c r="I42" s="217">
        <v>11</v>
      </c>
      <c r="J42" s="217">
        <v>8</v>
      </c>
      <c r="K42" s="217"/>
      <c r="L42" s="217">
        <v>11</v>
      </c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8">
        <v>47</v>
      </c>
      <c r="Y42" s="221">
        <f t="shared" si="2"/>
        <v>41</v>
      </c>
      <c r="Z42">
        <f t="shared" si="0"/>
        <v>0</v>
      </c>
    </row>
    <row r="43" spans="1:26" x14ac:dyDescent="0.2">
      <c r="A43" s="26">
        <f t="shared" si="1"/>
        <v>42034</v>
      </c>
      <c r="B43" s="216">
        <v>2015</v>
      </c>
      <c r="C43" s="216">
        <v>1</v>
      </c>
      <c r="D43" s="216">
        <v>30</v>
      </c>
      <c r="E43" s="216" t="s">
        <v>152</v>
      </c>
      <c r="F43" s="217"/>
      <c r="G43" s="217"/>
      <c r="H43" s="217">
        <v>13</v>
      </c>
      <c r="I43" s="217"/>
      <c r="J43" s="217">
        <v>9</v>
      </c>
      <c r="K43" s="217"/>
      <c r="L43" s="217">
        <v>2</v>
      </c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>
        <v>4</v>
      </c>
      <c r="X43" s="218">
        <v>28</v>
      </c>
      <c r="Y43" s="221">
        <f t="shared" si="2"/>
        <v>28</v>
      </c>
      <c r="Z43">
        <f t="shared" si="0"/>
        <v>0</v>
      </c>
    </row>
    <row r="44" spans="1:26" x14ac:dyDescent="0.2">
      <c r="A44" s="26">
        <f t="shared" si="1"/>
        <v>42034</v>
      </c>
      <c r="B44" s="216">
        <v>2015</v>
      </c>
      <c r="C44" s="216">
        <v>1</v>
      </c>
      <c r="D44" s="216">
        <v>30</v>
      </c>
      <c r="E44" s="216" t="s">
        <v>153</v>
      </c>
      <c r="F44" s="217">
        <v>1</v>
      </c>
      <c r="G44" s="217"/>
      <c r="H44" s="217">
        <v>6</v>
      </c>
      <c r="I44" s="217">
        <v>4</v>
      </c>
      <c r="J44" s="217">
        <v>4</v>
      </c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8">
        <v>15</v>
      </c>
      <c r="Y44" s="221">
        <f t="shared" si="2"/>
        <v>14</v>
      </c>
      <c r="Z44">
        <f t="shared" si="0"/>
        <v>0</v>
      </c>
    </row>
    <row r="45" spans="1:26" x14ac:dyDescent="0.2">
      <c r="A45" s="26">
        <f t="shared" si="1"/>
        <v>42037</v>
      </c>
      <c r="B45" s="216">
        <v>2015</v>
      </c>
      <c r="C45" s="216">
        <v>2</v>
      </c>
      <c r="D45" s="216">
        <v>2</v>
      </c>
      <c r="E45" s="216" t="s">
        <v>152</v>
      </c>
      <c r="F45" s="217">
        <v>5</v>
      </c>
      <c r="G45" s="217"/>
      <c r="H45" s="217">
        <v>1</v>
      </c>
      <c r="I45" s="217">
        <v>2</v>
      </c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8">
        <v>8</v>
      </c>
      <c r="Y45" s="221">
        <f t="shared" si="2"/>
        <v>3</v>
      </c>
      <c r="Z45">
        <f t="shared" si="0"/>
        <v>0</v>
      </c>
    </row>
    <row r="46" spans="1:26" x14ac:dyDescent="0.2">
      <c r="A46" s="26">
        <f t="shared" si="1"/>
        <v>42037</v>
      </c>
      <c r="B46" s="216">
        <v>2015</v>
      </c>
      <c r="C46" s="216">
        <v>2</v>
      </c>
      <c r="D46" s="216">
        <v>2</v>
      </c>
      <c r="E46" s="216" t="s">
        <v>153</v>
      </c>
      <c r="F46" s="217">
        <v>5</v>
      </c>
      <c r="G46" s="217"/>
      <c r="H46" s="217">
        <v>2</v>
      </c>
      <c r="I46" s="217">
        <v>5</v>
      </c>
      <c r="J46" s="217">
        <v>4</v>
      </c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8">
        <v>16</v>
      </c>
      <c r="Y46" s="221">
        <f t="shared" si="2"/>
        <v>11</v>
      </c>
      <c r="Z46">
        <f t="shared" si="0"/>
        <v>0</v>
      </c>
    </row>
    <row r="47" spans="1:26" x14ac:dyDescent="0.2">
      <c r="A47" s="26">
        <f t="shared" si="1"/>
        <v>42038</v>
      </c>
      <c r="B47" s="216">
        <v>2015</v>
      </c>
      <c r="C47" s="216">
        <v>2</v>
      </c>
      <c r="D47" s="216">
        <v>3</v>
      </c>
      <c r="E47" s="216" t="s">
        <v>152</v>
      </c>
      <c r="F47" s="217"/>
      <c r="G47" s="217"/>
      <c r="H47" s="217"/>
      <c r="I47" s="217"/>
      <c r="J47" s="217"/>
      <c r="K47" s="217"/>
      <c r="L47" s="217">
        <v>6</v>
      </c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8">
        <v>6</v>
      </c>
      <c r="Y47" s="221">
        <f t="shared" si="2"/>
        <v>6</v>
      </c>
      <c r="Z47">
        <f t="shared" si="0"/>
        <v>0</v>
      </c>
    </row>
    <row r="48" spans="1:26" x14ac:dyDescent="0.2">
      <c r="A48" s="26">
        <f t="shared" si="1"/>
        <v>42038</v>
      </c>
      <c r="B48" s="216">
        <v>2015</v>
      </c>
      <c r="C48" s="216">
        <v>2</v>
      </c>
      <c r="D48" s="216">
        <v>3</v>
      </c>
      <c r="E48" s="216" t="s">
        <v>153</v>
      </c>
      <c r="F48" s="217">
        <v>4</v>
      </c>
      <c r="G48" s="217"/>
      <c r="H48" s="217">
        <v>5</v>
      </c>
      <c r="I48" s="217">
        <v>9</v>
      </c>
      <c r="J48" s="217">
        <v>4</v>
      </c>
      <c r="K48" s="217"/>
      <c r="L48" s="217">
        <v>8</v>
      </c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8">
        <v>30</v>
      </c>
      <c r="Y48" s="221">
        <f t="shared" si="2"/>
        <v>26</v>
      </c>
      <c r="Z48">
        <f t="shared" si="0"/>
        <v>0</v>
      </c>
    </row>
    <row r="49" spans="1:26" x14ac:dyDescent="0.2">
      <c r="A49" s="26">
        <f t="shared" si="1"/>
        <v>42039</v>
      </c>
      <c r="B49" s="216">
        <v>2015</v>
      </c>
      <c r="C49" s="216">
        <v>2</v>
      </c>
      <c r="D49" s="216">
        <v>4</v>
      </c>
      <c r="E49" s="216" t="s">
        <v>152</v>
      </c>
      <c r="F49" s="217">
        <v>3</v>
      </c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8">
        <v>3</v>
      </c>
      <c r="Y49" s="221">
        <f t="shared" si="2"/>
        <v>0</v>
      </c>
      <c r="Z49">
        <f t="shared" si="0"/>
        <v>0</v>
      </c>
    </row>
    <row r="50" spans="1:26" x14ac:dyDescent="0.2">
      <c r="A50" s="26">
        <f t="shared" si="1"/>
        <v>42039</v>
      </c>
      <c r="B50" s="216">
        <v>2015</v>
      </c>
      <c r="C50" s="216">
        <v>2</v>
      </c>
      <c r="D50" s="216">
        <v>4</v>
      </c>
      <c r="E50" s="216" t="s">
        <v>153</v>
      </c>
      <c r="F50" s="217"/>
      <c r="G50" s="217"/>
      <c r="H50" s="217">
        <v>2</v>
      </c>
      <c r="I50" s="217">
        <v>9</v>
      </c>
      <c r="J50" s="217">
        <v>1</v>
      </c>
      <c r="K50" s="217"/>
      <c r="L50" s="217">
        <v>17</v>
      </c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8">
        <v>29</v>
      </c>
      <c r="Y50" s="221">
        <f t="shared" si="2"/>
        <v>29</v>
      </c>
      <c r="Z50">
        <f t="shared" si="0"/>
        <v>0</v>
      </c>
    </row>
    <row r="51" spans="1:26" x14ac:dyDescent="0.2">
      <c r="A51" s="26">
        <f t="shared" si="1"/>
        <v>42040</v>
      </c>
      <c r="B51" s="216">
        <v>2015</v>
      </c>
      <c r="C51" s="216">
        <v>2</v>
      </c>
      <c r="D51" s="216">
        <v>5</v>
      </c>
      <c r="E51" s="216" t="s">
        <v>152</v>
      </c>
      <c r="F51" s="217"/>
      <c r="G51" s="217"/>
      <c r="H51" s="217"/>
      <c r="I51" s="217">
        <v>1</v>
      </c>
      <c r="J51" s="217">
        <v>7</v>
      </c>
      <c r="K51" s="217"/>
      <c r="L51" s="217">
        <v>7</v>
      </c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8">
        <v>15</v>
      </c>
      <c r="Y51" s="221">
        <f t="shared" si="2"/>
        <v>15</v>
      </c>
      <c r="Z51">
        <f t="shared" si="0"/>
        <v>0</v>
      </c>
    </row>
    <row r="52" spans="1:26" x14ac:dyDescent="0.2">
      <c r="A52" s="26">
        <f t="shared" si="1"/>
        <v>42040</v>
      </c>
      <c r="B52" s="216">
        <v>2015</v>
      </c>
      <c r="C52" s="216">
        <v>2</v>
      </c>
      <c r="D52" s="216">
        <v>5</v>
      </c>
      <c r="E52" s="216" t="s">
        <v>153</v>
      </c>
      <c r="F52" s="217">
        <v>3</v>
      </c>
      <c r="G52" s="217"/>
      <c r="H52" s="217">
        <v>3</v>
      </c>
      <c r="I52" s="217"/>
      <c r="J52" s="217">
        <v>14</v>
      </c>
      <c r="K52" s="217"/>
      <c r="L52" s="217">
        <v>12</v>
      </c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8">
        <v>32</v>
      </c>
      <c r="Y52" s="221">
        <f t="shared" si="2"/>
        <v>29</v>
      </c>
      <c r="Z52">
        <f t="shared" si="0"/>
        <v>0</v>
      </c>
    </row>
    <row r="53" spans="1:26" x14ac:dyDescent="0.2">
      <c r="A53" s="26">
        <f t="shared" si="1"/>
        <v>42041</v>
      </c>
      <c r="B53" s="216">
        <v>2015</v>
      </c>
      <c r="C53" s="216">
        <v>2</v>
      </c>
      <c r="D53" s="216">
        <v>6</v>
      </c>
      <c r="E53" s="216" t="s">
        <v>152</v>
      </c>
      <c r="F53" s="217"/>
      <c r="G53" s="217"/>
      <c r="H53" s="217"/>
      <c r="I53" s="217">
        <v>2</v>
      </c>
      <c r="J53" s="217">
        <v>3</v>
      </c>
      <c r="K53" s="217"/>
      <c r="L53" s="217">
        <v>1</v>
      </c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8">
        <v>6</v>
      </c>
      <c r="Y53" s="221">
        <f t="shared" si="2"/>
        <v>6</v>
      </c>
      <c r="Z53">
        <f t="shared" si="0"/>
        <v>0</v>
      </c>
    </row>
    <row r="54" spans="1:26" x14ac:dyDescent="0.2">
      <c r="A54" s="26">
        <f t="shared" si="1"/>
        <v>42041</v>
      </c>
      <c r="B54" s="216">
        <v>2015</v>
      </c>
      <c r="C54" s="216">
        <v>2</v>
      </c>
      <c r="D54" s="216">
        <v>6</v>
      </c>
      <c r="E54" s="216" t="s">
        <v>153</v>
      </c>
      <c r="F54" s="217">
        <v>1</v>
      </c>
      <c r="G54" s="217"/>
      <c r="H54" s="217">
        <v>5</v>
      </c>
      <c r="I54" s="217">
        <v>4</v>
      </c>
      <c r="J54" s="217">
        <v>15</v>
      </c>
      <c r="K54" s="217"/>
      <c r="L54" s="217">
        <v>5</v>
      </c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8">
        <v>30</v>
      </c>
      <c r="Y54" s="221">
        <f t="shared" si="2"/>
        <v>29</v>
      </c>
      <c r="Z54">
        <f t="shared" si="0"/>
        <v>0</v>
      </c>
    </row>
    <row r="55" spans="1:26" x14ac:dyDescent="0.2">
      <c r="A55" s="26">
        <f t="shared" si="1"/>
        <v>42042</v>
      </c>
      <c r="B55" s="216">
        <v>2015</v>
      </c>
      <c r="C55" s="216">
        <v>2</v>
      </c>
      <c r="D55" s="216">
        <v>7</v>
      </c>
      <c r="E55" s="216" t="s">
        <v>153</v>
      </c>
      <c r="F55" s="217"/>
      <c r="G55" s="217"/>
      <c r="H55" s="217">
        <v>2</v>
      </c>
      <c r="I55" s="217"/>
      <c r="J55" s="217">
        <v>1</v>
      </c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8">
        <v>3</v>
      </c>
      <c r="Y55" s="221">
        <f t="shared" si="2"/>
        <v>3</v>
      </c>
      <c r="Z55">
        <f t="shared" si="0"/>
        <v>3</v>
      </c>
    </row>
    <row r="56" spans="1:26" x14ac:dyDescent="0.2">
      <c r="A56" s="26">
        <f t="shared" si="1"/>
        <v>42044</v>
      </c>
      <c r="B56" s="216">
        <v>2015</v>
      </c>
      <c r="C56" s="216">
        <v>2</v>
      </c>
      <c r="D56" s="216">
        <v>9</v>
      </c>
      <c r="E56" s="216" t="s">
        <v>152</v>
      </c>
      <c r="F56" s="217"/>
      <c r="G56" s="217"/>
      <c r="H56" s="217">
        <v>1</v>
      </c>
      <c r="I56" s="217">
        <v>1</v>
      </c>
      <c r="J56" s="217">
        <v>1</v>
      </c>
      <c r="K56" s="217"/>
      <c r="L56" s="217">
        <v>2</v>
      </c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8">
        <v>5</v>
      </c>
      <c r="Y56" s="221">
        <f t="shared" si="2"/>
        <v>5</v>
      </c>
      <c r="Z56">
        <f t="shared" si="0"/>
        <v>0</v>
      </c>
    </row>
    <row r="57" spans="1:26" x14ac:dyDescent="0.2">
      <c r="A57" s="26">
        <f t="shared" si="1"/>
        <v>42044</v>
      </c>
      <c r="B57" s="216">
        <v>2015</v>
      </c>
      <c r="C57" s="216">
        <v>2</v>
      </c>
      <c r="D57" s="216">
        <v>9</v>
      </c>
      <c r="E57" s="216" t="s">
        <v>153</v>
      </c>
      <c r="F57" s="217">
        <v>3</v>
      </c>
      <c r="G57" s="217"/>
      <c r="H57" s="217">
        <v>6</v>
      </c>
      <c r="I57" s="217">
        <v>13</v>
      </c>
      <c r="J57" s="217">
        <v>5</v>
      </c>
      <c r="K57" s="217"/>
      <c r="L57" s="217">
        <v>5</v>
      </c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8">
        <v>32</v>
      </c>
      <c r="Y57" s="221">
        <f t="shared" si="2"/>
        <v>29</v>
      </c>
      <c r="Z57">
        <f t="shared" si="0"/>
        <v>0</v>
      </c>
    </row>
    <row r="58" spans="1:26" x14ac:dyDescent="0.2">
      <c r="A58" s="26">
        <f t="shared" si="1"/>
        <v>42045</v>
      </c>
      <c r="B58" s="216">
        <v>2015</v>
      </c>
      <c r="C58" s="216">
        <v>2</v>
      </c>
      <c r="D58" s="216">
        <v>10</v>
      </c>
      <c r="E58" s="216" t="s">
        <v>152</v>
      </c>
      <c r="F58" s="217"/>
      <c r="G58" s="217"/>
      <c r="H58" s="217"/>
      <c r="I58" s="217">
        <v>3</v>
      </c>
      <c r="J58" s="217">
        <v>1</v>
      </c>
      <c r="K58" s="217"/>
      <c r="L58" s="217">
        <v>1</v>
      </c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8">
        <v>5</v>
      </c>
      <c r="Y58" s="221">
        <f t="shared" si="2"/>
        <v>5</v>
      </c>
      <c r="Z58">
        <f t="shared" si="0"/>
        <v>0</v>
      </c>
    </row>
    <row r="59" spans="1:26" x14ac:dyDescent="0.2">
      <c r="A59" s="26">
        <f t="shared" si="1"/>
        <v>42045</v>
      </c>
      <c r="B59" s="216">
        <v>2015</v>
      </c>
      <c r="C59" s="216">
        <v>2</v>
      </c>
      <c r="D59" s="216">
        <v>10</v>
      </c>
      <c r="E59" s="216" t="s">
        <v>153</v>
      </c>
      <c r="F59" s="217">
        <v>1</v>
      </c>
      <c r="G59" s="217"/>
      <c r="H59" s="217">
        <v>3</v>
      </c>
      <c r="I59" s="217">
        <v>6</v>
      </c>
      <c r="J59" s="217">
        <v>6</v>
      </c>
      <c r="K59" s="217"/>
      <c r="L59" s="217">
        <v>6</v>
      </c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8">
        <v>22</v>
      </c>
      <c r="Y59" s="221">
        <f t="shared" si="2"/>
        <v>21</v>
      </c>
      <c r="Z59">
        <f t="shared" si="0"/>
        <v>0</v>
      </c>
    </row>
    <row r="60" spans="1:26" x14ac:dyDescent="0.2">
      <c r="A60" s="26">
        <f t="shared" si="1"/>
        <v>42046</v>
      </c>
      <c r="B60" s="216">
        <v>2015</v>
      </c>
      <c r="C60" s="216">
        <v>2</v>
      </c>
      <c r="D60" s="216">
        <v>11</v>
      </c>
      <c r="E60" s="216" t="s">
        <v>153</v>
      </c>
      <c r="F60" s="217"/>
      <c r="G60" s="217"/>
      <c r="H60" s="217">
        <v>2</v>
      </c>
      <c r="I60" s="217">
        <v>6</v>
      </c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8">
        <v>8</v>
      </c>
      <c r="Y60" s="221">
        <f t="shared" si="2"/>
        <v>8</v>
      </c>
      <c r="Z60">
        <f t="shared" si="0"/>
        <v>0</v>
      </c>
    </row>
    <row r="61" spans="1:26" x14ac:dyDescent="0.2">
      <c r="A61" s="26">
        <f t="shared" si="1"/>
        <v>42047</v>
      </c>
      <c r="B61" s="216">
        <v>2015</v>
      </c>
      <c r="C61" s="216">
        <v>2</v>
      </c>
      <c r="D61" s="216">
        <v>12</v>
      </c>
      <c r="E61" s="216" t="s">
        <v>152</v>
      </c>
      <c r="F61" s="217"/>
      <c r="G61" s="217"/>
      <c r="H61" s="217"/>
      <c r="I61" s="217">
        <v>3</v>
      </c>
      <c r="J61" s="217">
        <v>9</v>
      </c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8">
        <v>12</v>
      </c>
      <c r="Y61" s="221">
        <f t="shared" si="2"/>
        <v>12</v>
      </c>
      <c r="Z61">
        <f t="shared" si="0"/>
        <v>0</v>
      </c>
    </row>
    <row r="62" spans="1:26" x14ac:dyDescent="0.2">
      <c r="A62" s="26">
        <f t="shared" si="1"/>
        <v>42047</v>
      </c>
      <c r="B62" s="216">
        <v>2015</v>
      </c>
      <c r="C62" s="216">
        <v>2</v>
      </c>
      <c r="D62" s="216">
        <v>12</v>
      </c>
      <c r="E62" s="216" t="s">
        <v>153</v>
      </c>
      <c r="F62" s="217">
        <v>1</v>
      </c>
      <c r="G62" s="217"/>
      <c r="H62" s="217">
        <v>4</v>
      </c>
      <c r="I62" s="217">
        <v>9</v>
      </c>
      <c r="J62" s="217">
        <v>17</v>
      </c>
      <c r="K62" s="217"/>
      <c r="L62" s="217">
        <v>6</v>
      </c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8">
        <v>37</v>
      </c>
      <c r="Y62" s="221">
        <f t="shared" si="2"/>
        <v>36</v>
      </c>
      <c r="Z62">
        <f t="shared" si="0"/>
        <v>0</v>
      </c>
    </row>
    <row r="63" spans="1:26" x14ac:dyDescent="0.2">
      <c r="A63" s="26">
        <f t="shared" si="1"/>
        <v>42048</v>
      </c>
      <c r="B63" s="216">
        <v>2015</v>
      </c>
      <c r="C63" s="216">
        <v>2</v>
      </c>
      <c r="D63" s="216">
        <v>13</v>
      </c>
      <c r="E63" s="216" t="s">
        <v>152</v>
      </c>
      <c r="F63" s="217"/>
      <c r="G63" s="217"/>
      <c r="H63" s="217"/>
      <c r="I63" s="217">
        <v>5</v>
      </c>
      <c r="J63" s="217"/>
      <c r="K63" s="217"/>
      <c r="L63" s="217">
        <v>4</v>
      </c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8">
        <v>9</v>
      </c>
      <c r="Y63" s="221">
        <f t="shared" si="2"/>
        <v>9</v>
      </c>
      <c r="Z63">
        <f t="shared" si="0"/>
        <v>0</v>
      </c>
    </row>
    <row r="64" spans="1:26" x14ac:dyDescent="0.2">
      <c r="A64" s="26">
        <f t="shared" si="1"/>
        <v>42048</v>
      </c>
      <c r="B64" s="216">
        <v>2015</v>
      </c>
      <c r="C64" s="216">
        <v>2</v>
      </c>
      <c r="D64" s="216">
        <v>13</v>
      </c>
      <c r="E64" s="216" t="s">
        <v>153</v>
      </c>
      <c r="F64" s="217"/>
      <c r="G64" s="217"/>
      <c r="H64" s="217">
        <v>2</v>
      </c>
      <c r="I64" s="217">
        <v>4</v>
      </c>
      <c r="J64" s="217">
        <v>5</v>
      </c>
      <c r="K64" s="217"/>
      <c r="L64" s="217">
        <v>10</v>
      </c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8">
        <v>21</v>
      </c>
      <c r="Y64" s="221">
        <f t="shared" si="2"/>
        <v>21</v>
      </c>
      <c r="Z64">
        <f t="shared" si="0"/>
        <v>0</v>
      </c>
    </row>
    <row r="65" spans="1:26" x14ac:dyDescent="0.2">
      <c r="A65" s="26">
        <f t="shared" si="1"/>
        <v>42053</v>
      </c>
      <c r="B65" s="216">
        <v>2015</v>
      </c>
      <c r="C65" s="216">
        <v>2</v>
      </c>
      <c r="D65" s="216">
        <v>18</v>
      </c>
      <c r="E65" s="216" t="s">
        <v>153</v>
      </c>
      <c r="F65" s="217"/>
      <c r="G65" s="217"/>
      <c r="H65" s="217">
        <v>5</v>
      </c>
      <c r="I65" s="217"/>
      <c r="J65" s="217">
        <v>7</v>
      </c>
      <c r="K65" s="217"/>
      <c r="L65" s="217">
        <v>4</v>
      </c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8">
        <v>16</v>
      </c>
      <c r="Y65" s="221">
        <f t="shared" si="2"/>
        <v>16</v>
      </c>
      <c r="Z65">
        <f t="shared" si="0"/>
        <v>0</v>
      </c>
    </row>
    <row r="66" spans="1:26" x14ac:dyDescent="0.2">
      <c r="A66" s="26">
        <f t="shared" si="1"/>
        <v>42054</v>
      </c>
      <c r="B66" s="216">
        <v>2015</v>
      </c>
      <c r="C66" s="216">
        <v>2</v>
      </c>
      <c r="D66" s="216">
        <v>19</v>
      </c>
      <c r="E66" s="216" t="s">
        <v>152</v>
      </c>
      <c r="F66" s="217"/>
      <c r="G66" s="217"/>
      <c r="H66" s="217"/>
      <c r="I66" s="217">
        <v>1</v>
      </c>
      <c r="J66" s="217">
        <v>11</v>
      </c>
      <c r="K66" s="217"/>
      <c r="L66" s="217">
        <v>5</v>
      </c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8">
        <v>17</v>
      </c>
      <c r="Y66" s="221">
        <f t="shared" si="2"/>
        <v>17</v>
      </c>
      <c r="Z66">
        <f t="shared" ref="Z66:Z129" si="3">IF(AND(WEEKDAY(A66,2)=6,E66="Sim"),X66,0)</f>
        <v>0</v>
      </c>
    </row>
    <row r="67" spans="1:26" x14ac:dyDescent="0.2">
      <c r="A67" s="26">
        <f t="shared" ref="A67:A130" si="4">DATE(B67,C67,D67)</f>
        <v>42054</v>
      </c>
      <c r="B67" s="216">
        <v>2015</v>
      </c>
      <c r="C67" s="216">
        <v>2</v>
      </c>
      <c r="D67" s="216">
        <v>19</v>
      </c>
      <c r="E67" s="216" t="s">
        <v>153</v>
      </c>
      <c r="F67" s="217">
        <v>4</v>
      </c>
      <c r="G67" s="217"/>
      <c r="H67" s="217">
        <v>1</v>
      </c>
      <c r="I67" s="217">
        <v>6</v>
      </c>
      <c r="J67" s="217">
        <v>15</v>
      </c>
      <c r="K67" s="217"/>
      <c r="L67" s="217">
        <v>18</v>
      </c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8">
        <v>44</v>
      </c>
      <c r="Y67" s="221">
        <f t="shared" ref="Y67:Y130" si="5">SUM(G67:W67)</f>
        <v>40</v>
      </c>
      <c r="Z67">
        <f t="shared" si="3"/>
        <v>0</v>
      </c>
    </row>
    <row r="68" spans="1:26" x14ac:dyDescent="0.2">
      <c r="A68" s="26">
        <f t="shared" si="4"/>
        <v>42055</v>
      </c>
      <c r="B68" s="216">
        <v>2015</v>
      </c>
      <c r="C68" s="216">
        <v>2</v>
      </c>
      <c r="D68" s="216">
        <v>20</v>
      </c>
      <c r="E68" s="216" t="s">
        <v>152</v>
      </c>
      <c r="F68" s="217">
        <v>1</v>
      </c>
      <c r="G68" s="217"/>
      <c r="H68" s="217"/>
      <c r="I68" s="217">
        <v>5</v>
      </c>
      <c r="J68" s="217">
        <v>5</v>
      </c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8">
        <v>11</v>
      </c>
      <c r="Y68" s="221">
        <f t="shared" si="5"/>
        <v>10</v>
      </c>
      <c r="Z68">
        <f t="shared" si="3"/>
        <v>0</v>
      </c>
    </row>
    <row r="69" spans="1:26" x14ac:dyDescent="0.2">
      <c r="A69" s="26">
        <f t="shared" si="4"/>
        <v>42055</v>
      </c>
      <c r="B69" s="216">
        <v>2015</v>
      </c>
      <c r="C69" s="216">
        <v>2</v>
      </c>
      <c r="D69" s="216">
        <v>20</v>
      </c>
      <c r="E69" s="216" t="s">
        <v>153</v>
      </c>
      <c r="F69" s="217"/>
      <c r="G69" s="217"/>
      <c r="H69" s="217">
        <v>3</v>
      </c>
      <c r="I69" s="217">
        <v>8</v>
      </c>
      <c r="J69" s="217">
        <v>11</v>
      </c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8">
        <v>22</v>
      </c>
      <c r="Y69" s="221">
        <f t="shared" si="5"/>
        <v>22</v>
      </c>
      <c r="Z69">
        <f t="shared" si="3"/>
        <v>0</v>
      </c>
    </row>
    <row r="70" spans="1:26" x14ac:dyDescent="0.2">
      <c r="A70" s="26">
        <f t="shared" si="4"/>
        <v>42058</v>
      </c>
      <c r="B70" s="216">
        <v>2015</v>
      </c>
      <c r="C70" s="216">
        <v>2</v>
      </c>
      <c r="D70" s="216">
        <v>23</v>
      </c>
      <c r="E70" s="216" t="s">
        <v>152</v>
      </c>
      <c r="F70" s="217"/>
      <c r="G70" s="217"/>
      <c r="H70" s="217"/>
      <c r="I70" s="217"/>
      <c r="J70" s="217">
        <v>10</v>
      </c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8">
        <v>10</v>
      </c>
      <c r="Y70" s="221">
        <f t="shared" si="5"/>
        <v>10</v>
      </c>
      <c r="Z70">
        <f t="shared" si="3"/>
        <v>0</v>
      </c>
    </row>
    <row r="71" spans="1:26" x14ac:dyDescent="0.2">
      <c r="A71" s="26">
        <f t="shared" si="4"/>
        <v>42058</v>
      </c>
      <c r="B71" s="216">
        <v>2015</v>
      </c>
      <c r="C71" s="216">
        <v>2</v>
      </c>
      <c r="D71" s="216">
        <v>23</v>
      </c>
      <c r="E71" s="216" t="s">
        <v>153</v>
      </c>
      <c r="F71" s="217">
        <v>2</v>
      </c>
      <c r="G71" s="217"/>
      <c r="H71" s="217"/>
      <c r="I71" s="217"/>
      <c r="J71" s="217">
        <v>11</v>
      </c>
      <c r="K71" s="217"/>
      <c r="L71" s="217">
        <v>4</v>
      </c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8">
        <v>17</v>
      </c>
      <c r="Y71" s="221">
        <f t="shared" si="5"/>
        <v>15</v>
      </c>
      <c r="Z71">
        <f t="shared" si="3"/>
        <v>0</v>
      </c>
    </row>
    <row r="72" spans="1:26" x14ac:dyDescent="0.2">
      <c r="A72" s="26">
        <f t="shared" si="4"/>
        <v>42059</v>
      </c>
      <c r="B72" s="216">
        <v>2015</v>
      </c>
      <c r="C72" s="216">
        <v>2</v>
      </c>
      <c r="D72" s="216">
        <v>24</v>
      </c>
      <c r="E72" s="216" t="s">
        <v>152</v>
      </c>
      <c r="F72" s="217"/>
      <c r="G72" s="217"/>
      <c r="H72" s="217">
        <v>1</v>
      </c>
      <c r="I72" s="217">
        <v>4</v>
      </c>
      <c r="J72" s="217">
        <v>4</v>
      </c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8">
        <v>9</v>
      </c>
      <c r="Y72" s="221">
        <f t="shared" si="5"/>
        <v>9</v>
      </c>
      <c r="Z72">
        <f t="shared" si="3"/>
        <v>0</v>
      </c>
    </row>
    <row r="73" spans="1:26" x14ac:dyDescent="0.2">
      <c r="A73" s="26">
        <f t="shared" si="4"/>
        <v>42059</v>
      </c>
      <c r="B73" s="216">
        <v>2015</v>
      </c>
      <c r="C73" s="216">
        <v>2</v>
      </c>
      <c r="D73" s="216">
        <v>24</v>
      </c>
      <c r="E73" s="216" t="s">
        <v>153</v>
      </c>
      <c r="F73" s="217">
        <v>2</v>
      </c>
      <c r="G73" s="217"/>
      <c r="H73" s="217">
        <v>2</v>
      </c>
      <c r="I73" s="217">
        <v>10</v>
      </c>
      <c r="J73" s="217">
        <v>9</v>
      </c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8">
        <v>23</v>
      </c>
      <c r="Y73" s="221">
        <f t="shared" si="5"/>
        <v>21</v>
      </c>
      <c r="Z73">
        <f t="shared" si="3"/>
        <v>0</v>
      </c>
    </row>
    <row r="74" spans="1:26" x14ac:dyDescent="0.2">
      <c r="A74" s="26">
        <f t="shared" si="4"/>
        <v>42060</v>
      </c>
      <c r="B74" s="216">
        <v>2015</v>
      </c>
      <c r="C74" s="216">
        <v>2</v>
      </c>
      <c r="D74" s="216">
        <v>25</v>
      </c>
      <c r="E74" s="216" t="s">
        <v>152</v>
      </c>
      <c r="F74" s="217">
        <v>2</v>
      </c>
      <c r="G74" s="217"/>
      <c r="H74" s="217"/>
      <c r="I74" s="217">
        <v>1</v>
      </c>
      <c r="J74" s="217">
        <v>4</v>
      </c>
      <c r="K74" s="217"/>
      <c r="L74" s="217">
        <v>6</v>
      </c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8">
        <v>13</v>
      </c>
      <c r="Y74" s="221">
        <f t="shared" si="5"/>
        <v>11</v>
      </c>
      <c r="Z74">
        <f t="shared" si="3"/>
        <v>0</v>
      </c>
    </row>
    <row r="75" spans="1:26" x14ac:dyDescent="0.2">
      <c r="A75" s="26">
        <f t="shared" si="4"/>
        <v>42060</v>
      </c>
      <c r="B75" s="216">
        <v>2015</v>
      </c>
      <c r="C75" s="216">
        <v>2</v>
      </c>
      <c r="D75" s="216">
        <v>25</v>
      </c>
      <c r="E75" s="216" t="s">
        <v>153</v>
      </c>
      <c r="F75" s="217"/>
      <c r="G75" s="217"/>
      <c r="H75" s="217"/>
      <c r="I75" s="217"/>
      <c r="J75" s="217">
        <v>6</v>
      </c>
      <c r="K75" s="217"/>
      <c r="L75" s="217">
        <v>14</v>
      </c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8">
        <v>20</v>
      </c>
      <c r="Y75" s="221">
        <f t="shared" si="5"/>
        <v>20</v>
      </c>
      <c r="Z75">
        <f t="shared" si="3"/>
        <v>0</v>
      </c>
    </row>
    <row r="76" spans="1:26" x14ac:dyDescent="0.2">
      <c r="A76" s="26">
        <f t="shared" si="4"/>
        <v>42061</v>
      </c>
      <c r="B76" s="216">
        <v>2015</v>
      </c>
      <c r="C76" s="216">
        <v>2</v>
      </c>
      <c r="D76" s="216">
        <v>26</v>
      </c>
      <c r="E76" s="216" t="s">
        <v>152</v>
      </c>
      <c r="F76" s="217">
        <v>1</v>
      </c>
      <c r="G76" s="217"/>
      <c r="H76" s="217"/>
      <c r="I76" s="217">
        <v>1</v>
      </c>
      <c r="J76" s="217">
        <v>1</v>
      </c>
      <c r="K76" s="217"/>
      <c r="L76" s="217">
        <v>5</v>
      </c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>
        <v>1</v>
      </c>
      <c r="X76" s="218">
        <v>9</v>
      </c>
      <c r="Y76" s="221">
        <f t="shared" si="5"/>
        <v>8</v>
      </c>
      <c r="Z76">
        <f t="shared" si="3"/>
        <v>0</v>
      </c>
    </row>
    <row r="77" spans="1:26" x14ac:dyDescent="0.2">
      <c r="A77" s="26">
        <f t="shared" si="4"/>
        <v>42061</v>
      </c>
      <c r="B77" s="216">
        <v>2015</v>
      </c>
      <c r="C77" s="216">
        <v>2</v>
      </c>
      <c r="D77" s="216">
        <v>26</v>
      </c>
      <c r="E77" s="216" t="s">
        <v>153</v>
      </c>
      <c r="F77" s="217"/>
      <c r="G77" s="217"/>
      <c r="H77" s="217">
        <v>7</v>
      </c>
      <c r="I77" s="217">
        <v>2</v>
      </c>
      <c r="J77" s="217"/>
      <c r="K77" s="217"/>
      <c r="L77" s="217">
        <v>5</v>
      </c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8">
        <v>14</v>
      </c>
      <c r="Y77" s="221">
        <f t="shared" si="5"/>
        <v>14</v>
      </c>
      <c r="Z77">
        <f t="shared" si="3"/>
        <v>0</v>
      </c>
    </row>
    <row r="78" spans="1:26" x14ac:dyDescent="0.2">
      <c r="A78" s="26">
        <f t="shared" si="4"/>
        <v>42062</v>
      </c>
      <c r="B78" s="216">
        <v>2015</v>
      </c>
      <c r="C78" s="216">
        <v>2</v>
      </c>
      <c r="D78" s="216">
        <v>27</v>
      </c>
      <c r="E78" s="216" t="s">
        <v>152</v>
      </c>
      <c r="F78" s="217"/>
      <c r="G78" s="217"/>
      <c r="H78" s="217"/>
      <c r="I78" s="217">
        <v>2</v>
      </c>
      <c r="J78" s="217"/>
      <c r="K78" s="217"/>
      <c r="L78" s="217">
        <v>2</v>
      </c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8">
        <v>4</v>
      </c>
      <c r="Y78" s="221">
        <f t="shared" si="5"/>
        <v>4</v>
      </c>
      <c r="Z78">
        <f t="shared" si="3"/>
        <v>0</v>
      </c>
    </row>
    <row r="79" spans="1:26" x14ac:dyDescent="0.2">
      <c r="A79" s="26">
        <f t="shared" si="4"/>
        <v>42062</v>
      </c>
      <c r="B79" s="216">
        <v>2015</v>
      </c>
      <c r="C79" s="216">
        <v>2</v>
      </c>
      <c r="D79" s="216">
        <v>27</v>
      </c>
      <c r="E79" s="216" t="s">
        <v>153</v>
      </c>
      <c r="F79" s="217">
        <v>2</v>
      </c>
      <c r="G79" s="217"/>
      <c r="H79" s="217">
        <v>3</v>
      </c>
      <c r="I79" s="217">
        <v>6</v>
      </c>
      <c r="J79" s="217"/>
      <c r="K79" s="217"/>
      <c r="L79" s="217">
        <v>9</v>
      </c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8">
        <v>20</v>
      </c>
      <c r="Y79" s="221">
        <f t="shared" si="5"/>
        <v>18</v>
      </c>
      <c r="Z79">
        <f t="shared" si="3"/>
        <v>0</v>
      </c>
    </row>
    <row r="80" spans="1:26" x14ac:dyDescent="0.2">
      <c r="A80" s="26">
        <f t="shared" si="4"/>
        <v>42065</v>
      </c>
      <c r="B80" s="216">
        <v>2015</v>
      </c>
      <c r="C80" s="216">
        <v>3</v>
      </c>
      <c r="D80" s="216">
        <v>2</v>
      </c>
      <c r="E80" s="216" t="s">
        <v>152</v>
      </c>
      <c r="F80" s="217">
        <v>1</v>
      </c>
      <c r="G80" s="217"/>
      <c r="H80" s="217"/>
      <c r="I80" s="217">
        <v>4</v>
      </c>
      <c r="J80" s="217"/>
      <c r="K80" s="217"/>
      <c r="L80" s="217">
        <v>1</v>
      </c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8">
        <v>6</v>
      </c>
      <c r="Y80" s="221">
        <f t="shared" si="5"/>
        <v>5</v>
      </c>
      <c r="Z80">
        <f t="shared" si="3"/>
        <v>0</v>
      </c>
    </row>
    <row r="81" spans="1:26" x14ac:dyDescent="0.2">
      <c r="A81" s="26">
        <f t="shared" si="4"/>
        <v>42065</v>
      </c>
      <c r="B81" s="216">
        <v>2015</v>
      </c>
      <c r="C81" s="216">
        <v>3</v>
      </c>
      <c r="D81" s="216">
        <v>2</v>
      </c>
      <c r="E81" s="216" t="s">
        <v>153</v>
      </c>
      <c r="F81" s="217">
        <v>1</v>
      </c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8">
        <v>1</v>
      </c>
      <c r="Y81" s="221">
        <f t="shared" si="5"/>
        <v>0</v>
      </c>
      <c r="Z81">
        <f t="shared" si="3"/>
        <v>0</v>
      </c>
    </row>
    <row r="82" spans="1:26" x14ac:dyDescent="0.2">
      <c r="A82" s="26">
        <f t="shared" si="4"/>
        <v>42066</v>
      </c>
      <c r="B82" s="216">
        <v>2015</v>
      </c>
      <c r="C82" s="216">
        <v>3</v>
      </c>
      <c r="D82" s="216">
        <v>3</v>
      </c>
      <c r="E82" s="216" t="s">
        <v>152</v>
      </c>
      <c r="F82" s="217"/>
      <c r="G82" s="217"/>
      <c r="H82" s="217">
        <v>1</v>
      </c>
      <c r="I82" s="217">
        <v>5</v>
      </c>
      <c r="J82" s="217"/>
      <c r="K82" s="217"/>
      <c r="L82" s="217">
        <v>1</v>
      </c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8">
        <v>7</v>
      </c>
      <c r="Y82" s="221">
        <f t="shared" si="5"/>
        <v>7</v>
      </c>
      <c r="Z82">
        <f t="shared" si="3"/>
        <v>0</v>
      </c>
    </row>
    <row r="83" spans="1:26" x14ac:dyDescent="0.2">
      <c r="A83" s="26">
        <f t="shared" si="4"/>
        <v>42066</v>
      </c>
      <c r="B83" s="216">
        <v>2015</v>
      </c>
      <c r="C83" s="216">
        <v>3</v>
      </c>
      <c r="D83" s="216">
        <v>3</v>
      </c>
      <c r="E83" s="216" t="s">
        <v>153</v>
      </c>
      <c r="F83" s="217"/>
      <c r="G83" s="217"/>
      <c r="H83" s="217"/>
      <c r="I83" s="217">
        <v>6</v>
      </c>
      <c r="J83" s="217">
        <v>1</v>
      </c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8">
        <v>7</v>
      </c>
      <c r="Y83" s="221">
        <f t="shared" si="5"/>
        <v>7</v>
      </c>
      <c r="Z83">
        <f t="shared" si="3"/>
        <v>0</v>
      </c>
    </row>
    <row r="84" spans="1:26" x14ac:dyDescent="0.2">
      <c r="A84" s="26">
        <f t="shared" si="4"/>
        <v>42067</v>
      </c>
      <c r="B84" s="216">
        <v>2015</v>
      </c>
      <c r="C84" s="216">
        <v>3</v>
      </c>
      <c r="D84" s="216">
        <v>4</v>
      </c>
      <c r="E84" s="216" t="s">
        <v>152</v>
      </c>
      <c r="F84" s="217">
        <v>1</v>
      </c>
      <c r="G84" s="217"/>
      <c r="H84" s="217">
        <v>1</v>
      </c>
      <c r="I84" s="217"/>
      <c r="J84" s="217">
        <v>18</v>
      </c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8">
        <v>20</v>
      </c>
      <c r="Y84" s="221">
        <f t="shared" si="5"/>
        <v>19</v>
      </c>
      <c r="Z84">
        <f t="shared" si="3"/>
        <v>0</v>
      </c>
    </row>
    <row r="85" spans="1:26" x14ac:dyDescent="0.2">
      <c r="A85" s="26">
        <f t="shared" si="4"/>
        <v>42067</v>
      </c>
      <c r="B85" s="216">
        <v>2015</v>
      </c>
      <c r="C85" s="216">
        <v>3</v>
      </c>
      <c r="D85" s="216">
        <v>4</v>
      </c>
      <c r="E85" s="216" t="s">
        <v>153</v>
      </c>
      <c r="F85" s="217">
        <v>1</v>
      </c>
      <c r="G85" s="217"/>
      <c r="H85" s="217"/>
      <c r="I85" s="217">
        <v>6</v>
      </c>
      <c r="J85" s="217"/>
      <c r="K85" s="217"/>
      <c r="L85" s="217">
        <v>3</v>
      </c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8">
        <v>10</v>
      </c>
      <c r="Y85" s="221">
        <f t="shared" si="5"/>
        <v>9</v>
      </c>
      <c r="Z85">
        <f t="shared" si="3"/>
        <v>0</v>
      </c>
    </row>
    <row r="86" spans="1:26" x14ac:dyDescent="0.2">
      <c r="A86" s="26">
        <f t="shared" si="4"/>
        <v>42068</v>
      </c>
      <c r="B86" s="216">
        <v>2015</v>
      </c>
      <c r="C86" s="216">
        <v>3</v>
      </c>
      <c r="D86" s="216">
        <v>5</v>
      </c>
      <c r="E86" s="216" t="s">
        <v>152</v>
      </c>
      <c r="F86" s="217">
        <v>2</v>
      </c>
      <c r="G86" s="217"/>
      <c r="H86" s="217"/>
      <c r="I86" s="217"/>
      <c r="J86" s="217"/>
      <c r="K86" s="217"/>
      <c r="L86" s="217">
        <v>2</v>
      </c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8">
        <v>4</v>
      </c>
      <c r="Y86" s="221">
        <f t="shared" si="5"/>
        <v>2</v>
      </c>
      <c r="Z86">
        <f t="shared" si="3"/>
        <v>0</v>
      </c>
    </row>
    <row r="87" spans="1:26" x14ac:dyDescent="0.2">
      <c r="A87" s="26">
        <f t="shared" si="4"/>
        <v>42068</v>
      </c>
      <c r="B87" s="216">
        <v>2015</v>
      </c>
      <c r="C87" s="216">
        <v>3</v>
      </c>
      <c r="D87" s="216">
        <v>5</v>
      </c>
      <c r="E87" s="216" t="s">
        <v>153</v>
      </c>
      <c r="F87" s="217"/>
      <c r="G87" s="217"/>
      <c r="H87" s="217"/>
      <c r="I87" s="217">
        <v>5</v>
      </c>
      <c r="J87" s="217"/>
      <c r="K87" s="217"/>
      <c r="L87" s="217">
        <v>4</v>
      </c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8">
        <v>9</v>
      </c>
      <c r="Y87" s="221">
        <f t="shared" si="5"/>
        <v>9</v>
      </c>
      <c r="Z87">
        <f t="shared" si="3"/>
        <v>0</v>
      </c>
    </row>
    <row r="88" spans="1:26" x14ac:dyDescent="0.2">
      <c r="A88" s="26">
        <f t="shared" si="4"/>
        <v>42069</v>
      </c>
      <c r="B88" s="216">
        <v>2015</v>
      </c>
      <c r="C88" s="216">
        <v>3</v>
      </c>
      <c r="D88" s="216">
        <v>6</v>
      </c>
      <c r="E88" s="216" t="s">
        <v>152</v>
      </c>
      <c r="F88" s="217">
        <v>18</v>
      </c>
      <c r="G88" s="217"/>
      <c r="H88" s="217"/>
      <c r="I88" s="217"/>
      <c r="J88" s="217">
        <v>9</v>
      </c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8">
        <v>27</v>
      </c>
      <c r="Y88" s="221">
        <f t="shared" si="5"/>
        <v>9</v>
      </c>
      <c r="Z88">
        <f t="shared" si="3"/>
        <v>0</v>
      </c>
    </row>
    <row r="89" spans="1:26" x14ac:dyDescent="0.2">
      <c r="A89" s="26">
        <f t="shared" si="4"/>
        <v>42069</v>
      </c>
      <c r="B89" s="216">
        <v>2015</v>
      </c>
      <c r="C89" s="216">
        <v>3</v>
      </c>
      <c r="D89" s="216">
        <v>6</v>
      </c>
      <c r="E89" s="216" t="s">
        <v>153</v>
      </c>
      <c r="F89" s="217"/>
      <c r="G89" s="217"/>
      <c r="H89" s="217"/>
      <c r="I89" s="217">
        <v>6</v>
      </c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8">
        <v>6</v>
      </c>
      <c r="Y89" s="221">
        <f t="shared" si="5"/>
        <v>6</v>
      </c>
      <c r="Z89">
        <f t="shared" si="3"/>
        <v>0</v>
      </c>
    </row>
    <row r="90" spans="1:26" x14ac:dyDescent="0.2">
      <c r="A90" s="26">
        <f t="shared" si="4"/>
        <v>42072</v>
      </c>
      <c r="B90" s="216">
        <v>2015</v>
      </c>
      <c r="C90" s="216">
        <v>3</v>
      </c>
      <c r="D90" s="216">
        <v>9</v>
      </c>
      <c r="E90" s="216" t="s">
        <v>152</v>
      </c>
      <c r="F90" s="217">
        <v>4</v>
      </c>
      <c r="G90" s="217"/>
      <c r="H90" s="217"/>
      <c r="I90" s="217">
        <v>5</v>
      </c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8">
        <v>9</v>
      </c>
      <c r="Y90" s="221">
        <f t="shared" si="5"/>
        <v>5</v>
      </c>
      <c r="Z90">
        <f t="shared" si="3"/>
        <v>0</v>
      </c>
    </row>
    <row r="91" spans="1:26" x14ac:dyDescent="0.2">
      <c r="A91" s="26">
        <f t="shared" si="4"/>
        <v>42072</v>
      </c>
      <c r="B91" s="216">
        <v>2015</v>
      </c>
      <c r="C91" s="216">
        <v>3</v>
      </c>
      <c r="D91" s="216">
        <v>9</v>
      </c>
      <c r="E91" s="216" t="s">
        <v>153</v>
      </c>
      <c r="F91" s="217"/>
      <c r="G91" s="217"/>
      <c r="H91" s="217"/>
      <c r="I91" s="217">
        <v>8</v>
      </c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8">
        <v>8</v>
      </c>
      <c r="Y91" s="221">
        <f t="shared" si="5"/>
        <v>8</v>
      </c>
      <c r="Z91">
        <f t="shared" si="3"/>
        <v>0</v>
      </c>
    </row>
    <row r="92" spans="1:26" x14ac:dyDescent="0.2">
      <c r="A92" s="26">
        <f t="shared" si="4"/>
        <v>42073</v>
      </c>
      <c r="B92" s="216">
        <v>2015</v>
      </c>
      <c r="C92" s="216">
        <v>3</v>
      </c>
      <c r="D92" s="216">
        <v>10</v>
      </c>
      <c r="E92" s="216" t="s">
        <v>152</v>
      </c>
      <c r="F92" s="217">
        <v>1</v>
      </c>
      <c r="G92" s="217"/>
      <c r="H92" s="217"/>
      <c r="I92" s="217"/>
      <c r="J92" s="217"/>
      <c r="K92" s="217"/>
      <c r="L92" s="217">
        <v>8</v>
      </c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8">
        <v>9</v>
      </c>
      <c r="Y92" s="221">
        <f t="shared" si="5"/>
        <v>8</v>
      </c>
      <c r="Z92">
        <f t="shared" si="3"/>
        <v>0</v>
      </c>
    </row>
    <row r="93" spans="1:26" x14ac:dyDescent="0.2">
      <c r="A93" s="26">
        <f t="shared" si="4"/>
        <v>42073</v>
      </c>
      <c r="B93" s="216">
        <v>2015</v>
      </c>
      <c r="C93" s="216">
        <v>3</v>
      </c>
      <c r="D93" s="216">
        <v>10</v>
      </c>
      <c r="E93" s="216" t="s">
        <v>153</v>
      </c>
      <c r="F93" s="217">
        <v>1</v>
      </c>
      <c r="G93" s="217"/>
      <c r="H93" s="217"/>
      <c r="I93" s="217">
        <v>6</v>
      </c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8">
        <v>7</v>
      </c>
      <c r="Y93" s="221">
        <f t="shared" si="5"/>
        <v>6</v>
      </c>
      <c r="Z93">
        <f t="shared" si="3"/>
        <v>0</v>
      </c>
    </row>
    <row r="94" spans="1:26" x14ac:dyDescent="0.2">
      <c r="A94" s="26">
        <f t="shared" si="4"/>
        <v>42074</v>
      </c>
      <c r="B94" s="216">
        <v>2015</v>
      </c>
      <c r="C94" s="216">
        <v>3</v>
      </c>
      <c r="D94" s="216">
        <v>11</v>
      </c>
      <c r="E94" s="216" t="s">
        <v>152</v>
      </c>
      <c r="F94" s="217">
        <v>4</v>
      </c>
      <c r="G94" s="217"/>
      <c r="H94" s="217"/>
      <c r="I94" s="217">
        <v>4</v>
      </c>
      <c r="J94" s="217"/>
      <c r="K94" s="217"/>
      <c r="L94" s="217">
        <v>6</v>
      </c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8">
        <v>14</v>
      </c>
      <c r="Y94" s="221">
        <f t="shared" si="5"/>
        <v>10</v>
      </c>
      <c r="Z94">
        <f t="shared" si="3"/>
        <v>0</v>
      </c>
    </row>
    <row r="95" spans="1:26" x14ac:dyDescent="0.2">
      <c r="A95" s="26">
        <f t="shared" si="4"/>
        <v>42075</v>
      </c>
      <c r="B95" s="216">
        <v>2015</v>
      </c>
      <c r="C95" s="216">
        <v>3</v>
      </c>
      <c r="D95" s="216">
        <v>12</v>
      </c>
      <c r="E95" s="216" t="s">
        <v>152</v>
      </c>
      <c r="F95" s="217">
        <v>1</v>
      </c>
      <c r="G95" s="217"/>
      <c r="H95" s="217"/>
      <c r="I95" s="217"/>
      <c r="J95" s="217">
        <v>15</v>
      </c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8">
        <v>16</v>
      </c>
      <c r="Y95" s="221">
        <f t="shared" si="5"/>
        <v>15</v>
      </c>
      <c r="Z95">
        <f t="shared" si="3"/>
        <v>0</v>
      </c>
    </row>
    <row r="96" spans="1:26" x14ac:dyDescent="0.2">
      <c r="A96" s="26">
        <f t="shared" si="4"/>
        <v>42076</v>
      </c>
      <c r="B96" s="216">
        <v>2015</v>
      </c>
      <c r="C96" s="216">
        <v>3</v>
      </c>
      <c r="D96" s="216">
        <v>13</v>
      </c>
      <c r="E96" s="216" t="s">
        <v>152</v>
      </c>
      <c r="F96" s="217">
        <v>1</v>
      </c>
      <c r="G96" s="217"/>
      <c r="H96" s="217"/>
      <c r="I96" s="217">
        <v>1</v>
      </c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8">
        <v>2</v>
      </c>
      <c r="Y96" s="221">
        <f t="shared" si="5"/>
        <v>1</v>
      </c>
      <c r="Z96">
        <f t="shared" si="3"/>
        <v>0</v>
      </c>
    </row>
    <row r="97" spans="1:26" x14ac:dyDescent="0.2">
      <c r="A97" s="26">
        <f t="shared" si="4"/>
        <v>42076</v>
      </c>
      <c r="B97" s="216">
        <v>2015</v>
      </c>
      <c r="C97" s="216">
        <v>3</v>
      </c>
      <c r="D97" s="216">
        <v>13</v>
      </c>
      <c r="E97" s="216" t="s">
        <v>153</v>
      </c>
      <c r="F97" s="217"/>
      <c r="G97" s="217"/>
      <c r="H97" s="217"/>
      <c r="I97" s="217"/>
      <c r="J97" s="217">
        <v>1</v>
      </c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8">
        <v>1</v>
      </c>
      <c r="Y97" s="221">
        <f t="shared" si="5"/>
        <v>1</v>
      </c>
      <c r="Z97">
        <f t="shared" si="3"/>
        <v>0</v>
      </c>
    </row>
    <row r="98" spans="1:26" x14ac:dyDescent="0.2">
      <c r="A98" s="26">
        <f t="shared" si="4"/>
        <v>42079</v>
      </c>
      <c r="B98" s="216">
        <v>2015</v>
      </c>
      <c r="C98" s="216">
        <v>3</v>
      </c>
      <c r="D98" s="216">
        <v>16</v>
      </c>
      <c r="E98" s="216" t="s">
        <v>152</v>
      </c>
      <c r="F98" s="217">
        <v>1</v>
      </c>
      <c r="G98" s="217"/>
      <c r="H98" s="217">
        <v>1</v>
      </c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8">
        <v>2</v>
      </c>
      <c r="Y98" s="221">
        <f t="shared" si="5"/>
        <v>1</v>
      </c>
      <c r="Z98">
        <f t="shared" si="3"/>
        <v>0</v>
      </c>
    </row>
    <row r="99" spans="1:26" x14ac:dyDescent="0.2">
      <c r="A99" s="26">
        <f t="shared" si="4"/>
        <v>42079</v>
      </c>
      <c r="B99" s="216">
        <v>2015</v>
      </c>
      <c r="C99" s="216">
        <v>3</v>
      </c>
      <c r="D99" s="216">
        <v>16</v>
      </c>
      <c r="E99" s="216" t="s">
        <v>153</v>
      </c>
      <c r="F99" s="217"/>
      <c r="G99" s="217"/>
      <c r="H99" s="217"/>
      <c r="I99" s="217">
        <v>2</v>
      </c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8">
        <v>2</v>
      </c>
      <c r="Y99" s="221">
        <f t="shared" si="5"/>
        <v>2</v>
      </c>
      <c r="Z99">
        <f t="shared" si="3"/>
        <v>0</v>
      </c>
    </row>
    <row r="100" spans="1:26" x14ac:dyDescent="0.2">
      <c r="A100" s="26">
        <f t="shared" si="4"/>
        <v>42080</v>
      </c>
      <c r="B100" s="216">
        <v>2015</v>
      </c>
      <c r="C100" s="216">
        <v>3</v>
      </c>
      <c r="D100" s="216">
        <v>17</v>
      </c>
      <c r="E100" s="216" t="s">
        <v>152</v>
      </c>
      <c r="F100" s="217">
        <v>1</v>
      </c>
      <c r="G100" s="217"/>
      <c r="H100" s="217"/>
      <c r="I100" s="217">
        <v>1</v>
      </c>
      <c r="J100" s="217">
        <v>15</v>
      </c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8">
        <v>17</v>
      </c>
      <c r="Y100" s="221">
        <f t="shared" si="5"/>
        <v>16</v>
      </c>
      <c r="Z100">
        <f t="shared" si="3"/>
        <v>0</v>
      </c>
    </row>
    <row r="101" spans="1:26" x14ac:dyDescent="0.2">
      <c r="A101" s="26">
        <f t="shared" si="4"/>
        <v>42080</v>
      </c>
      <c r="B101" s="216">
        <v>2015</v>
      </c>
      <c r="C101" s="216">
        <v>3</v>
      </c>
      <c r="D101" s="216">
        <v>17</v>
      </c>
      <c r="E101" s="216" t="s">
        <v>153</v>
      </c>
      <c r="F101" s="217"/>
      <c r="G101" s="217"/>
      <c r="H101" s="217"/>
      <c r="I101" s="217">
        <v>5</v>
      </c>
      <c r="J101" s="217">
        <v>17</v>
      </c>
      <c r="K101" s="217"/>
      <c r="L101" s="217">
        <v>5</v>
      </c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8">
        <v>27</v>
      </c>
      <c r="Y101" s="221">
        <f t="shared" si="5"/>
        <v>27</v>
      </c>
      <c r="Z101">
        <f t="shared" si="3"/>
        <v>0</v>
      </c>
    </row>
    <row r="102" spans="1:26" x14ac:dyDescent="0.2">
      <c r="A102" s="26">
        <f t="shared" si="4"/>
        <v>42081</v>
      </c>
      <c r="B102" s="216">
        <v>2015</v>
      </c>
      <c r="C102" s="216">
        <v>3</v>
      </c>
      <c r="D102" s="216">
        <v>18</v>
      </c>
      <c r="E102" s="216" t="s">
        <v>152</v>
      </c>
      <c r="F102" s="217">
        <v>1</v>
      </c>
      <c r="G102" s="217"/>
      <c r="H102" s="217">
        <v>1</v>
      </c>
      <c r="I102" s="217">
        <v>1</v>
      </c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>
        <v>1</v>
      </c>
      <c r="X102" s="218">
        <v>4</v>
      </c>
      <c r="Y102" s="221">
        <f t="shared" si="5"/>
        <v>3</v>
      </c>
      <c r="Z102">
        <f t="shared" si="3"/>
        <v>0</v>
      </c>
    </row>
    <row r="103" spans="1:26" x14ac:dyDescent="0.2">
      <c r="A103" s="26">
        <f t="shared" si="4"/>
        <v>42081</v>
      </c>
      <c r="B103" s="216">
        <v>2015</v>
      </c>
      <c r="C103" s="216">
        <v>3</v>
      </c>
      <c r="D103" s="216">
        <v>18</v>
      </c>
      <c r="E103" s="216" t="s">
        <v>153</v>
      </c>
      <c r="F103" s="217">
        <v>6</v>
      </c>
      <c r="G103" s="217"/>
      <c r="H103" s="217">
        <v>2</v>
      </c>
      <c r="I103" s="217">
        <v>3</v>
      </c>
      <c r="J103" s="217"/>
      <c r="K103" s="217"/>
      <c r="L103" s="217">
        <v>1</v>
      </c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8">
        <v>12</v>
      </c>
      <c r="Y103" s="221">
        <f t="shared" si="5"/>
        <v>6</v>
      </c>
      <c r="Z103">
        <f t="shared" si="3"/>
        <v>0</v>
      </c>
    </row>
    <row r="104" spans="1:26" x14ac:dyDescent="0.2">
      <c r="A104" s="26">
        <f t="shared" si="4"/>
        <v>42082</v>
      </c>
      <c r="B104" s="216">
        <v>2015</v>
      </c>
      <c r="C104" s="216">
        <v>3</v>
      </c>
      <c r="D104" s="216">
        <v>19</v>
      </c>
      <c r="E104" s="216" t="s">
        <v>152</v>
      </c>
      <c r="F104" s="217"/>
      <c r="G104" s="217"/>
      <c r="H104" s="217"/>
      <c r="I104" s="217">
        <v>1</v>
      </c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8">
        <v>1</v>
      </c>
      <c r="Y104" s="221">
        <f t="shared" si="5"/>
        <v>1</v>
      </c>
      <c r="Z104">
        <f t="shared" si="3"/>
        <v>0</v>
      </c>
    </row>
    <row r="105" spans="1:26" x14ac:dyDescent="0.2">
      <c r="A105" s="26">
        <f t="shared" si="4"/>
        <v>42082</v>
      </c>
      <c r="B105" s="216">
        <v>2015</v>
      </c>
      <c r="C105" s="216">
        <v>3</v>
      </c>
      <c r="D105" s="216">
        <v>19</v>
      </c>
      <c r="E105" s="216" t="s">
        <v>153</v>
      </c>
      <c r="F105" s="217">
        <v>1</v>
      </c>
      <c r="G105" s="217"/>
      <c r="H105" s="217">
        <v>1</v>
      </c>
      <c r="I105" s="217">
        <v>6</v>
      </c>
      <c r="J105" s="217"/>
      <c r="K105" s="217"/>
      <c r="L105" s="217">
        <v>3</v>
      </c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8">
        <v>11</v>
      </c>
      <c r="Y105" s="221">
        <f t="shared" si="5"/>
        <v>10</v>
      </c>
      <c r="Z105">
        <f t="shared" si="3"/>
        <v>0</v>
      </c>
    </row>
    <row r="106" spans="1:26" x14ac:dyDescent="0.2">
      <c r="A106" s="26">
        <f t="shared" si="4"/>
        <v>42083</v>
      </c>
      <c r="B106" s="216">
        <v>2015</v>
      </c>
      <c r="C106" s="216">
        <v>3</v>
      </c>
      <c r="D106" s="216">
        <v>20</v>
      </c>
      <c r="E106" s="216" t="s">
        <v>152</v>
      </c>
      <c r="F106" s="217"/>
      <c r="G106" s="217"/>
      <c r="H106" s="217"/>
      <c r="I106" s="217"/>
      <c r="J106" s="217">
        <v>8</v>
      </c>
      <c r="K106" s="217"/>
      <c r="L106" s="217">
        <v>1</v>
      </c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>
        <v>1</v>
      </c>
      <c r="X106" s="218">
        <v>10</v>
      </c>
      <c r="Y106" s="221">
        <f t="shared" si="5"/>
        <v>10</v>
      </c>
      <c r="Z106">
        <f t="shared" si="3"/>
        <v>0</v>
      </c>
    </row>
    <row r="107" spans="1:26" x14ac:dyDescent="0.2">
      <c r="A107" s="26">
        <f t="shared" si="4"/>
        <v>42083</v>
      </c>
      <c r="B107" s="216">
        <v>2015</v>
      </c>
      <c r="C107" s="216">
        <v>3</v>
      </c>
      <c r="D107" s="216">
        <v>20</v>
      </c>
      <c r="E107" s="216" t="s">
        <v>153</v>
      </c>
      <c r="F107" s="217">
        <v>1</v>
      </c>
      <c r="G107" s="217"/>
      <c r="H107" s="217">
        <v>3</v>
      </c>
      <c r="I107" s="217"/>
      <c r="J107" s="217">
        <v>13</v>
      </c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8">
        <v>17</v>
      </c>
      <c r="Y107" s="221">
        <f t="shared" si="5"/>
        <v>16</v>
      </c>
      <c r="Z107">
        <f t="shared" si="3"/>
        <v>0</v>
      </c>
    </row>
    <row r="108" spans="1:26" x14ac:dyDescent="0.2">
      <c r="A108" s="26">
        <f t="shared" si="4"/>
        <v>42086</v>
      </c>
      <c r="B108" s="216">
        <v>2015</v>
      </c>
      <c r="C108" s="216">
        <v>3</v>
      </c>
      <c r="D108" s="216">
        <v>23</v>
      </c>
      <c r="E108" s="216" t="s">
        <v>152</v>
      </c>
      <c r="F108" s="217"/>
      <c r="G108" s="217"/>
      <c r="H108" s="217"/>
      <c r="I108" s="217"/>
      <c r="J108" s="217">
        <v>6</v>
      </c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8">
        <v>6</v>
      </c>
      <c r="Y108" s="221">
        <f t="shared" si="5"/>
        <v>6</v>
      </c>
      <c r="Z108">
        <f t="shared" si="3"/>
        <v>0</v>
      </c>
    </row>
    <row r="109" spans="1:26" x14ac:dyDescent="0.2">
      <c r="A109" s="26">
        <f t="shared" si="4"/>
        <v>42086</v>
      </c>
      <c r="B109" s="216">
        <v>2015</v>
      </c>
      <c r="C109" s="216">
        <v>3</v>
      </c>
      <c r="D109" s="216">
        <v>23</v>
      </c>
      <c r="E109" s="216" t="s">
        <v>153</v>
      </c>
      <c r="F109" s="217"/>
      <c r="G109" s="217"/>
      <c r="H109" s="217">
        <v>2</v>
      </c>
      <c r="I109" s="217"/>
      <c r="J109" s="217">
        <v>22</v>
      </c>
      <c r="K109" s="217"/>
      <c r="L109" s="217">
        <v>2</v>
      </c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8">
        <v>26</v>
      </c>
      <c r="Y109" s="221">
        <f t="shared" si="5"/>
        <v>26</v>
      </c>
      <c r="Z109">
        <f t="shared" si="3"/>
        <v>0</v>
      </c>
    </row>
    <row r="110" spans="1:26" x14ac:dyDescent="0.2">
      <c r="A110" s="26">
        <f t="shared" si="4"/>
        <v>42087</v>
      </c>
      <c r="B110" s="216">
        <v>2015</v>
      </c>
      <c r="C110" s="216">
        <v>3</v>
      </c>
      <c r="D110" s="216">
        <v>24</v>
      </c>
      <c r="E110" s="216" t="s">
        <v>152</v>
      </c>
      <c r="F110" s="217">
        <v>2</v>
      </c>
      <c r="G110" s="217"/>
      <c r="H110" s="217"/>
      <c r="I110" s="217">
        <v>1</v>
      </c>
      <c r="J110" s="217"/>
      <c r="K110" s="217"/>
      <c r="L110" s="217">
        <v>5</v>
      </c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8">
        <v>8</v>
      </c>
      <c r="Y110" s="221">
        <f t="shared" si="5"/>
        <v>6</v>
      </c>
      <c r="Z110">
        <f t="shared" si="3"/>
        <v>0</v>
      </c>
    </row>
    <row r="111" spans="1:26" x14ac:dyDescent="0.2">
      <c r="A111" s="26">
        <f t="shared" si="4"/>
        <v>42087</v>
      </c>
      <c r="B111" s="216">
        <v>2015</v>
      </c>
      <c r="C111" s="216">
        <v>3</v>
      </c>
      <c r="D111" s="216">
        <v>24</v>
      </c>
      <c r="E111" s="216" t="s">
        <v>153</v>
      </c>
      <c r="F111" s="217"/>
      <c r="G111" s="217"/>
      <c r="H111" s="217">
        <v>2</v>
      </c>
      <c r="I111" s="217"/>
      <c r="J111" s="217"/>
      <c r="K111" s="217"/>
      <c r="L111" s="217">
        <v>10</v>
      </c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8">
        <v>12</v>
      </c>
      <c r="Y111" s="221">
        <f t="shared" si="5"/>
        <v>12</v>
      </c>
      <c r="Z111">
        <f t="shared" si="3"/>
        <v>0</v>
      </c>
    </row>
    <row r="112" spans="1:26" x14ac:dyDescent="0.2">
      <c r="A112" s="26">
        <f t="shared" si="4"/>
        <v>42088</v>
      </c>
      <c r="B112" s="216">
        <v>2015</v>
      </c>
      <c r="C112" s="216">
        <v>3</v>
      </c>
      <c r="D112" s="216">
        <v>25</v>
      </c>
      <c r="E112" s="216" t="s">
        <v>153</v>
      </c>
      <c r="F112" s="217">
        <v>1</v>
      </c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8">
        <v>1</v>
      </c>
      <c r="Y112" s="221">
        <f t="shared" si="5"/>
        <v>0</v>
      </c>
      <c r="Z112">
        <f t="shared" si="3"/>
        <v>0</v>
      </c>
    </row>
    <row r="113" spans="1:26" x14ac:dyDescent="0.2">
      <c r="A113" s="26">
        <f t="shared" si="4"/>
        <v>42089</v>
      </c>
      <c r="B113" s="216">
        <v>2015</v>
      </c>
      <c r="C113" s="216">
        <v>3</v>
      </c>
      <c r="D113" s="216">
        <v>26</v>
      </c>
      <c r="E113" s="216" t="s">
        <v>152</v>
      </c>
      <c r="F113" s="217">
        <v>6</v>
      </c>
      <c r="G113" s="217"/>
      <c r="H113" s="217"/>
      <c r="I113" s="217"/>
      <c r="J113" s="217"/>
      <c r="K113" s="217"/>
      <c r="L113" s="217">
        <v>8</v>
      </c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>
        <v>2</v>
      </c>
      <c r="X113" s="218">
        <v>16</v>
      </c>
      <c r="Y113" s="221">
        <f t="shared" si="5"/>
        <v>10</v>
      </c>
      <c r="Z113">
        <f t="shared" si="3"/>
        <v>0</v>
      </c>
    </row>
    <row r="114" spans="1:26" x14ac:dyDescent="0.2">
      <c r="A114" s="26">
        <f t="shared" si="4"/>
        <v>42089</v>
      </c>
      <c r="B114" s="216">
        <v>2015</v>
      </c>
      <c r="C114" s="216">
        <v>3</v>
      </c>
      <c r="D114" s="216">
        <v>26</v>
      </c>
      <c r="E114" s="216" t="s">
        <v>153</v>
      </c>
      <c r="F114" s="217">
        <v>1</v>
      </c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8">
        <v>1</v>
      </c>
      <c r="Y114" s="221">
        <f t="shared" si="5"/>
        <v>0</v>
      </c>
      <c r="Z114">
        <f t="shared" si="3"/>
        <v>0</v>
      </c>
    </row>
    <row r="115" spans="1:26" x14ac:dyDescent="0.2">
      <c r="A115" s="26">
        <f t="shared" si="4"/>
        <v>42090</v>
      </c>
      <c r="B115" s="216">
        <v>2015</v>
      </c>
      <c r="C115" s="216">
        <v>3</v>
      </c>
      <c r="D115" s="216">
        <v>27</v>
      </c>
      <c r="E115" s="216" t="s">
        <v>152</v>
      </c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>
        <v>1</v>
      </c>
      <c r="X115" s="218">
        <v>1</v>
      </c>
      <c r="Y115" s="221">
        <f t="shared" si="5"/>
        <v>1</v>
      </c>
      <c r="Z115">
        <f t="shared" si="3"/>
        <v>0</v>
      </c>
    </row>
    <row r="116" spans="1:26" x14ac:dyDescent="0.2">
      <c r="A116" s="26">
        <f t="shared" si="4"/>
        <v>42090</v>
      </c>
      <c r="B116" s="216">
        <v>2015</v>
      </c>
      <c r="C116" s="216">
        <v>3</v>
      </c>
      <c r="D116" s="216">
        <v>27</v>
      </c>
      <c r="E116" s="216" t="s">
        <v>153</v>
      </c>
      <c r="F116" s="217">
        <v>2</v>
      </c>
      <c r="G116" s="217"/>
      <c r="H116" s="217">
        <v>2</v>
      </c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8">
        <v>4</v>
      </c>
      <c r="Y116" s="221">
        <f t="shared" si="5"/>
        <v>2</v>
      </c>
      <c r="Z116">
        <f t="shared" si="3"/>
        <v>0</v>
      </c>
    </row>
    <row r="117" spans="1:26" x14ac:dyDescent="0.2">
      <c r="A117" s="26">
        <f t="shared" si="4"/>
        <v>42093</v>
      </c>
      <c r="B117" s="216">
        <v>2015</v>
      </c>
      <c r="C117" s="216">
        <v>3</v>
      </c>
      <c r="D117" s="216">
        <v>30</v>
      </c>
      <c r="E117" s="216" t="s">
        <v>152</v>
      </c>
      <c r="F117" s="217">
        <v>9</v>
      </c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>
        <v>1</v>
      </c>
      <c r="X117" s="218">
        <v>10</v>
      </c>
      <c r="Y117" s="221">
        <f t="shared" si="5"/>
        <v>1</v>
      </c>
      <c r="Z117">
        <f t="shared" si="3"/>
        <v>0</v>
      </c>
    </row>
    <row r="118" spans="1:26" x14ac:dyDescent="0.2">
      <c r="A118" s="26">
        <f t="shared" si="4"/>
        <v>42093</v>
      </c>
      <c r="B118" s="216">
        <v>2015</v>
      </c>
      <c r="C118" s="216">
        <v>3</v>
      </c>
      <c r="D118" s="216">
        <v>30</v>
      </c>
      <c r="E118" s="216" t="s">
        <v>153</v>
      </c>
      <c r="F118" s="217">
        <v>2</v>
      </c>
      <c r="G118" s="217"/>
      <c r="H118" s="217">
        <v>2</v>
      </c>
      <c r="I118" s="217">
        <v>1</v>
      </c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8">
        <v>5</v>
      </c>
      <c r="Y118" s="221">
        <f t="shared" si="5"/>
        <v>3</v>
      </c>
      <c r="Z118">
        <f t="shared" si="3"/>
        <v>0</v>
      </c>
    </row>
    <row r="119" spans="1:26" x14ac:dyDescent="0.2">
      <c r="A119" s="26">
        <f t="shared" si="4"/>
        <v>42094</v>
      </c>
      <c r="B119" s="216">
        <v>2015</v>
      </c>
      <c r="C119" s="216">
        <v>3</v>
      </c>
      <c r="D119" s="216">
        <v>31</v>
      </c>
      <c r="E119" s="216" t="s">
        <v>152</v>
      </c>
      <c r="F119" s="217">
        <v>3</v>
      </c>
      <c r="G119" s="217"/>
      <c r="H119" s="217"/>
      <c r="I119" s="217">
        <v>1</v>
      </c>
      <c r="J119" s="217">
        <v>9</v>
      </c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8">
        <v>13</v>
      </c>
      <c r="Y119" s="221">
        <f t="shared" si="5"/>
        <v>10</v>
      </c>
      <c r="Z119">
        <f t="shared" si="3"/>
        <v>0</v>
      </c>
    </row>
    <row r="120" spans="1:26" x14ac:dyDescent="0.2">
      <c r="A120" s="26">
        <f t="shared" si="4"/>
        <v>42094</v>
      </c>
      <c r="B120" s="216">
        <v>2015</v>
      </c>
      <c r="C120" s="216">
        <v>3</v>
      </c>
      <c r="D120" s="216">
        <v>31</v>
      </c>
      <c r="E120" s="216" t="s">
        <v>153</v>
      </c>
      <c r="F120" s="217">
        <v>24</v>
      </c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8">
        <v>24</v>
      </c>
      <c r="Y120" s="221">
        <f t="shared" si="5"/>
        <v>0</v>
      </c>
      <c r="Z120">
        <f t="shared" si="3"/>
        <v>0</v>
      </c>
    </row>
    <row r="121" spans="1:26" x14ac:dyDescent="0.2">
      <c r="A121" s="26">
        <f t="shared" si="4"/>
        <v>42095</v>
      </c>
      <c r="B121" s="216">
        <v>2015</v>
      </c>
      <c r="C121" s="216">
        <v>4</v>
      </c>
      <c r="D121" s="216">
        <v>1</v>
      </c>
      <c r="E121" s="216" t="s">
        <v>152</v>
      </c>
      <c r="F121" s="217">
        <v>16</v>
      </c>
      <c r="G121" s="217"/>
      <c r="H121" s="217"/>
      <c r="I121" s="217">
        <v>2</v>
      </c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8">
        <v>18</v>
      </c>
      <c r="Y121" s="221">
        <f t="shared" si="5"/>
        <v>2</v>
      </c>
      <c r="Z121">
        <f t="shared" si="3"/>
        <v>0</v>
      </c>
    </row>
    <row r="122" spans="1:26" x14ac:dyDescent="0.2">
      <c r="A122" s="26">
        <f t="shared" si="4"/>
        <v>42095</v>
      </c>
      <c r="B122" s="216">
        <v>2015</v>
      </c>
      <c r="C122" s="216">
        <v>4</v>
      </c>
      <c r="D122" s="216">
        <v>1</v>
      </c>
      <c r="E122" s="216" t="s">
        <v>153</v>
      </c>
      <c r="F122" s="217">
        <v>55</v>
      </c>
      <c r="G122" s="217"/>
      <c r="H122" s="217"/>
      <c r="I122" s="217"/>
      <c r="J122" s="217">
        <v>2</v>
      </c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8">
        <v>57</v>
      </c>
      <c r="Y122" s="221">
        <f t="shared" si="5"/>
        <v>2</v>
      </c>
      <c r="Z122">
        <f t="shared" si="3"/>
        <v>0</v>
      </c>
    </row>
    <row r="123" spans="1:26" x14ac:dyDescent="0.2">
      <c r="A123" s="26">
        <f t="shared" si="4"/>
        <v>42096</v>
      </c>
      <c r="B123" s="216">
        <v>2015</v>
      </c>
      <c r="C123" s="216">
        <v>4</v>
      </c>
      <c r="D123" s="216">
        <v>2</v>
      </c>
      <c r="E123" s="216" t="s">
        <v>152</v>
      </c>
      <c r="F123" s="217">
        <v>15</v>
      </c>
      <c r="G123" s="217"/>
      <c r="H123" s="217"/>
      <c r="I123" s="217">
        <v>1</v>
      </c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8">
        <v>16</v>
      </c>
      <c r="Y123" s="221">
        <f t="shared" si="5"/>
        <v>1</v>
      </c>
      <c r="Z123">
        <f t="shared" si="3"/>
        <v>0</v>
      </c>
    </row>
    <row r="124" spans="1:26" x14ac:dyDescent="0.2">
      <c r="A124" s="26">
        <f t="shared" si="4"/>
        <v>42096</v>
      </c>
      <c r="B124" s="216">
        <v>2015</v>
      </c>
      <c r="C124" s="216">
        <v>4</v>
      </c>
      <c r="D124" s="216">
        <v>2</v>
      </c>
      <c r="E124" s="216" t="s">
        <v>153</v>
      </c>
      <c r="F124" s="217">
        <v>86</v>
      </c>
      <c r="G124" s="217"/>
      <c r="H124" s="217"/>
      <c r="I124" s="217"/>
      <c r="J124" s="217">
        <v>1</v>
      </c>
      <c r="K124" s="217"/>
      <c r="L124" s="217">
        <v>2</v>
      </c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8">
        <v>89</v>
      </c>
      <c r="Y124" s="221">
        <f t="shared" si="5"/>
        <v>3</v>
      </c>
      <c r="Z124">
        <f t="shared" si="3"/>
        <v>0</v>
      </c>
    </row>
    <row r="125" spans="1:26" x14ac:dyDescent="0.2">
      <c r="A125" s="26">
        <f t="shared" si="4"/>
        <v>42097</v>
      </c>
      <c r="B125" s="216">
        <v>2015</v>
      </c>
      <c r="C125" s="216">
        <v>4</v>
      </c>
      <c r="D125" s="216">
        <v>3</v>
      </c>
      <c r="E125" s="216" t="s">
        <v>152</v>
      </c>
      <c r="F125" s="217">
        <v>1</v>
      </c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8">
        <v>1</v>
      </c>
      <c r="Y125" s="221">
        <f t="shared" si="5"/>
        <v>0</v>
      </c>
      <c r="Z125">
        <f t="shared" si="3"/>
        <v>0</v>
      </c>
    </row>
    <row r="126" spans="1:26" x14ac:dyDescent="0.2">
      <c r="A126" s="26">
        <f t="shared" si="4"/>
        <v>42097</v>
      </c>
      <c r="B126" s="216">
        <v>2015</v>
      </c>
      <c r="C126" s="216">
        <v>4</v>
      </c>
      <c r="D126" s="216">
        <v>3</v>
      </c>
      <c r="E126" s="216" t="s">
        <v>153</v>
      </c>
      <c r="F126" s="217">
        <v>32</v>
      </c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8">
        <v>32</v>
      </c>
      <c r="Y126" s="221">
        <f t="shared" si="5"/>
        <v>0</v>
      </c>
      <c r="Z126">
        <f t="shared" si="3"/>
        <v>0</v>
      </c>
    </row>
    <row r="127" spans="1:26" x14ac:dyDescent="0.2">
      <c r="A127" s="26">
        <f t="shared" si="4"/>
        <v>42100</v>
      </c>
      <c r="B127" s="216">
        <v>2015</v>
      </c>
      <c r="C127" s="216">
        <v>4</v>
      </c>
      <c r="D127" s="216">
        <v>6</v>
      </c>
      <c r="E127" s="216" t="s">
        <v>152</v>
      </c>
      <c r="F127" s="217">
        <v>7</v>
      </c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8">
        <v>7</v>
      </c>
      <c r="Y127" s="221">
        <f t="shared" si="5"/>
        <v>0</v>
      </c>
      <c r="Z127">
        <f t="shared" si="3"/>
        <v>0</v>
      </c>
    </row>
    <row r="128" spans="1:26" x14ac:dyDescent="0.2">
      <c r="A128" s="26">
        <f t="shared" si="4"/>
        <v>42100</v>
      </c>
      <c r="B128" s="216">
        <v>2015</v>
      </c>
      <c r="C128" s="216">
        <v>4</v>
      </c>
      <c r="D128" s="216">
        <v>6</v>
      </c>
      <c r="E128" s="216" t="s">
        <v>153</v>
      </c>
      <c r="F128" s="217">
        <v>17</v>
      </c>
      <c r="G128" s="217"/>
      <c r="H128" s="217">
        <v>1</v>
      </c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8">
        <v>18</v>
      </c>
      <c r="Y128" s="221">
        <f t="shared" si="5"/>
        <v>1</v>
      </c>
      <c r="Z128">
        <f t="shared" si="3"/>
        <v>0</v>
      </c>
    </row>
    <row r="129" spans="1:26" x14ac:dyDescent="0.2">
      <c r="A129" s="26">
        <f t="shared" si="4"/>
        <v>42101</v>
      </c>
      <c r="B129" s="216">
        <v>2015</v>
      </c>
      <c r="C129" s="216">
        <v>4</v>
      </c>
      <c r="D129" s="216">
        <v>7</v>
      </c>
      <c r="E129" s="216" t="s">
        <v>152</v>
      </c>
      <c r="F129" s="217">
        <v>46</v>
      </c>
      <c r="G129" s="217"/>
      <c r="H129" s="217"/>
      <c r="I129" s="217">
        <v>1</v>
      </c>
      <c r="J129" s="217"/>
      <c r="K129" s="217"/>
      <c r="L129" s="217">
        <v>1</v>
      </c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8">
        <v>48</v>
      </c>
      <c r="Y129" s="221">
        <f t="shared" si="5"/>
        <v>2</v>
      </c>
      <c r="Z129">
        <f t="shared" si="3"/>
        <v>0</v>
      </c>
    </row>
    <row r="130" spans="1:26" x14ac:dyDescent="0.2">
      <c r="A130" s="26">
        <f t="shared" si="4"/>
        <v>42101</v>
      </c>
      <c r="B130" s="216">
        <v>2015</v>
      </c>
      <c r="C130" s="216">
        <v>4</v>
      </c>
      <c r="D130" s="216">
        <v>7</v>
      </c>
      <c r="E130" s="216" t="s">
        <v>153</v>
      </c>
      <c r="F130" s="217">
        <v>25</v>
      </c>
      <c r="G130" s="217"/>
      <c r="H130" s="217"/>
      <c r="I130" s="217">
        <v>2</v>
      </c>
      <c r="J130" s="217"/>
      <c r="K130" s="217"/>
      <c r="L130" s="217">
        <v>1</v>
      </c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8">
        <v>28</v>
      </c>
      <c r="Y130" s="221">
        <f t="shared" si="5"/>
        <v>3</v>
      </c>
      <c r="Z130">
        <f t="shared" ref="Z130:Z193" si="6">IF(AND(WEEKDAY(A130,2)=6,E130="Sim"),X130,0)</f>
        <v>0</v>
      </c>
    </row>
    <row r="131" spans="1:26" x14ac:dyDescent="0.2">
      <c r="A131" s="26">
        <f t="shared" ref="A131:A194" si="7">DATE(B131,C131,D131)</f>
        <v>42102</v>
      </c>
      <c r="B131" s="216">
        <v>2015</v>
      </c>
      <c r="C131" s="216">
        <v>4</v>
      </c>
      <c r="D131" s="216">
        <v>8</v>
      </c>
      <c r="E131" s="216" t="s">
        <v>152</v>
      </c>
      <c r="F131" s="217">
        <v>109</v>
      </c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>
        <v>8</v>
      </c>
      <c r="X131" s="218">
        <v>117</v>
      </c>
      <c r="Y131" s="221">
        <f t="shared" ref="Y131:Y194" si="8">SUM(G131:W131)</f>
        <v>8</v>
      </c>
      <c r="Z131">
        <f t="shared" si="6"/>
        <v>0</v>
      </c>
    </row>
    <row r="132" spans="1:26" x14ac:dyDescent="0.2">
      <c r="A132" s="26">
        <f t="shared" si="7"/>
        <v>42102</v>
      </c>
      <c r="B132" s="216">
        <v>2015</v>
      </c>
      <c r="C132" s="216">
        <v>4</v>
      </c>
      <c r="D132" s="216">
        <v>8</v>
      </c>
      <c r="E132" s="216" t="s">
        <v>153</v>
      </c>
      <c r="F132" s="217">
        <v>43</v>
      </c>
      <c r="G132" s="217"/>
      <c r="H132" s="217">
        <v>4</v>
      </c>
      <c r="I132" s="217">
        <v>1</v>
      </c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8">
        <v>48</v>
      </c>
      <c r="Y132" s="221">
        <f t="shared" si="8"/>
        <v>5</v>
      </c>
      <c r="Z132">
        <f t="shared" si="6"/>
        <v>0</v>
      </c>
    </row>
    <row r="133" spans="1:26" x14ac:dyDescent="0.2">
      <c r="A133" s="26">
        <f t="shared" si="7"/>
        <v>42103</v>
      </c>
      <c r="B133" s="216">
        <v>2015</v>
      </c>
      <c r="C133" s="216">
        <v>4</v>
      </c>
      <c r="D133" s="216">
        <v>9</v>
      </c>
      <c r="E133" s="216" t="s">
        <v>152</v>
      </c>
      <c r="F133" s="217">
        <v>12</v>
      </c>
      <c r="G133" s="217"/>
      <c r="H133" s="217"/>
      <c r="I133" s="217"/>
      <c r="J133" s="217"/>
      <c r="K133" s="217"/>
      <c r="L133" s="217">
        <v>7</v>
      </c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8">
        <v>19</v>
      </c>
      <c r="Y133" s="221">
        <f t="shared" si="8"/>
        <v>7</v>
      </c>
      <c r="Z133">
        <f t="shared" si="6"/>
        <v>0</v>
      </c>
    </row>
    <row r="134" spans="1:26" x14ac:dyDescent="0.2">
      <c r="A134" s="26">
        <f t="shared" si="7"/>
        <v>42103</v>
      </c>
      <c r="B134" s="216">
        <v>2015</v>
      </c>
      <c r="C134" s="216">
        <v>4</v>
      </c>
      <c r="D134" s="216">
        <v>9</v>
      </c>
      <c r="E134" s="216" t="s">
        <v>153</v>
      </c>
      <c r="F134" s="217">
        <v>24</v>
      </c>
      <c r="G134" s="217"/>
      <c r="H134" s="217">
        <v>1</v>
      </c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8">
        <v>25</v>
      </c>
      <c r="Y134" s="221">
        <f t="shared" si="8"/>
        <v>1</v>
      </c>
      <c r="Z134">
        <f t="shared" si="6"/>
        <v>0</v>
      </c>
    </row>
    <row r="135" spans="1:26" x14ac:dyDescent="0.2">
      <c r="A135" s="26">
        <f t="shared" si="7"/>
        <v>42104</v>
      </c>
      <c r="B135" s="216">
        <v>2015</v>
      </c>
      <c r="C135" s="216">
        <v>4</v>
      </c>
      <c r="D135" s="216">
        <v>10</v>
      </c>
      <c r="E135" s="216" t="s">
        <v>152</v>
      </c>
      <c r="F135" s="217">
        <v>16</v>
      </c>
      <c r="G135" s="217"/>
      <c r="H135" s="217">
        <v>1</v>
      </c>
      <c r="I135" s="217"/>
      <c r="J135" s="217">
        <v>1</v>
      </c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8">
        <v>18</v>
      </c>
      <c r="Y135" s="221">
        <f t="shared" si="8"/>
        <v>2</v>
      </c>
      <c r="Z135">
        <f t="shared" si="6"/>
        <v>0</v>
      </c>
    </row>
    <row r="136" spans="1:26" x14ac:dyDescent="0.2">
      <c r="A136" s="26">
        <f t="shared" si="7"/>
        <v>42104</v>
      </c>
      <c r="B136" s="216">
        <v>2015</v>
      </c>
      <c r="C136" s="216">
        <v>4</v>
      </c>
      <c r="D136" s="216">
        <v>10</v>
      </c>
      <c r="E136" s="216" t="s">
        <v>153</v>
      </c>
      <c r="F136" s="217">
        <v>71</v>
      </c>
      <c r="G136" s="217"/>
      <c r="H136" s="217"/>
      <c r="I136" s="217"/>
      <c r="J136" s="217">
        <v>5</v>
      </c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8">
        <v>76</v>
      </c>
      <c r="Y136" s="221">
        <f t="shared" si="8"/>
        <v>5</v>
      </c>
      <c r="Z136">
        <f t="shared" si="6"/>
        <v>0</v>
      </c>
    </row>
    <row r="137" spans="1:26" x14ac:dyDescent="0.2">
      <c r="A137" s="26">
        <f t="shared" si="7"/>
        <v>42107</v>
      </c>
      <c r="B137" s="216">
        <v>2015</v>
      </c>
      <c r="C137" s="216">
        <v>4</v>
      </c>
      <c r="D137" s="216">
        <v>13</v>
      </c>
      <c r="E137" s="216" t="s">
        <v>152</v>
      </c>
      <c r="F137" s="217">
        <v>32</v>
      </c>
      <c r="G137" s="217"/>
      <c r="H137" s="217">
        <v>1</v>
      </c>
      <c r="I137" s="217"/>
      <c r="J137" s="217"/>
      <c r="K137" s="217"/>
      <c r="L137" s="217">
        <v>14</v>
      </c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8">
        <v>47</v>
      </c>
      <c r="Y137" s="221">
        <f t="shared" si="8"/>
        <v>15</v>
      </c>
      <c r="Z137">
        <f t="shared" si="6"/>
        <v>0</v>
      </c>
    </row>
    <row r="138" spans="1:26" x14ac:dyDescent="0.2">
      <c r="A138" s="26">
        <f t="shared" si="7"/>
        <v>42107</v>
      </c>
      <c r="B138" s="216">
        <v>2015</v>
      </c>
      <c r="C138" s="216">
        <v>4</v>
      </c>
      <c r="D138" s="216">
        <v>13</v>
      </c>
      <c r="E138" s="216" t="s">
        <v>153</v>
      </c>
      <c r="F138" s="217">
        <v>37</v>
      </c>
      <c r="G138" s="217"/>
      <c r="H138" s="217">
        <v>1</v>
      </c>
      <c r="I138" s="217"/>
      <c r="J138" s="217">
        <v>1</v>
      </c>
      <c r="K138" s="217"/>
      <c r="L138" s="217">
        <v>11</v>
      </c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8">
        <v>50</v>
      </c>
      <c r="Y138" s="221">
        <f t="shared" si="8"/>
        <v>13</v>
      </c>
      <c r="Z138">
        <f t="shared" si="6"/>
        <v>0</v>
      </c>
    </row>
    <row r="139" spans="1:26" x14ac:dyDescent="0.2">
      <c r="A139" s="26">
        <f t="shared" si="7"/>
        <v>42108</v>
      </c>
      <c r="B139" s="216">
        <v>2015</v>
      </c>
      <c r="C139" s="216">
        <v>4</v>
      </c>
      <c r="D139" s="216">
        <v>14</v>
      </c>
      <c r="E139" s="216" t="s">
        <v>152</v>
      </c>
      <c r="F139" s="217">
        <v>24</v>
      </c>
      <c r="G139" s="217"/>
      <c r="H139" s="217">
        <v>1</v>
      </c>
      <c r="I139" s="217"/>
      <c r="J139" s="217"/>
      <c r="K139" s="217"/>
      <c r="L139" s="217">
        <v>3</v>
      </c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>
        <v>9</v>
      </c>
      <c r="X139" s="218">
        <v>37</v>
      </c>
      <c r="Y139" s="221">
        <f t="shared" si="8"/>
        <v>13</v>
      </c>
      <c r="Z139">
        <f t="shared" si="6"/>
        <v>0</v>
      </c>
    </row>
    <row r="140" spans="1:26" x14ac:dyDescent="0.2">
      <c r="A140" s="26">
        <f t="shared" si="7"/>
        <v>42108</v>
      </c>
      <c r="B140" s="216">
        <v>2015</v>
      </c>
      <c r="C140" s="216">
        <v>4</v>
      </c>
      <c r="D140" s="216">
        <v>14</v>
      </c>
      <c r="E140" s="216" t="s">
        <v>153</v>
      </c>
      <c r="F140" s="217">
        <v>79</v>
      </c>
      <c r="G140" s="217"/>
      <c r="H140" s="217">
        <v>1</v>
      </c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8">
        <v>80</v>
      </c>
      <c r="Y140" s="221">
        <f t="shared" si="8"/>
        <v>1</v>
      </c>
      <c r="Z140">
        <f t="shared" si="6"/>
        <v>0</v>
      </c>
    </row>
    <row r="141" spans="1:26" x14ac:dyDescent="0.2">
      <c r="A141" s="26">
        <f t="shared" si="7"/>
        <v>42109</v>
      </c>
      <c r="B141" s="216">
        <v>2015</v>
      </c>
      <c r="C141" s="216">
        <v>4</v>
      </c>
      <c r="D141" s="216">
        <v>15</v>
      </c>
      <c r="E141" s="216" t="s">
        <v>152</v>
      </c>
      <c r="F141" s="217">
        <v>76</v>
      </c>
      <c r="G141" s="217"/>
      <c r="H141" s="217">
        <v>2</v>
      </c>
      <c r="I141" s="217"/>
      <c r="J141" s="217"/>
      <c r="K141" s="217"/>
      <c r="L141" s="217">
        <v>1</v>
      </c>
      <c r="M141" s="217"/>
      <c r="N141" s="217"/>
      <c r="O141" s="217"/>
      <c r="P141" s="217"/>
      <c r="Q141" s="217"/>
      <c r="R141" s="217"/>
      <c r="S141" s="217"/>
      <c r="T141" s="217">
        <v>1</v>
      </c>
      <c r="U141" s="217"/>
      <c r="V141" s="217"/>
      <c r="W141" s="217"/>
      <c r="X141" s="218">
        <v>80</v>
      </c>
      <c r="Y141" s="221">
        <f t="shared" si="8"/>
        <v>4</v>
      </c>
      <c r="Z141">
        <f t="shared" si="6"/>
        <v>0</v>
      </c>
    </row>
    <row r="142" spans="1:26" x14ac:dyDescent="0.2">
      <c r="A142" s="26">
        <f t="shared" si="7"/>
        <v>42109</v>
      </c>
      <c r="B142" s="216">
        <v>2015</v>
      </c>
      <c r="C142" s="216">
        <v>4</v>
      </c>
      <c r="D142" s="216">
        <v>15</v>
      </c>
      <c r="E142" s="216" t="s">
        <v>153</v>
      </c>
      <c r="F142" s="217">
        <v>114</v>
      </c>
      <c r="G142" s="217"/>
      <c r="H142" s="217">
        <v>2</v>
      </c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8">
        <v>116</v>
      </c>
      <c r="Y142" s="221">
        <f t="shared" si="8"/>
        <v>2</v>
      </c>
      <c r="Z142">
        <f t="shared" si="6"/>
        <v>0</v>
      </c>
    </row>
    <row r="143" spans="1:26" x14ac:dyDescent="0.2">
      <c r="A143" s="26">
        <f t="shared" si="7"/>
        <v>42110</v>
      </c>
      <c r="B143" s="216">
        <v>2015</v>
      </c>
      <c r="C143" s="216">
        <v>4</v>
      </c>
      <c r="D143" s="216">
        <v>16</v>
      </c>
      <c r="E143" s="216" t="s">
        <v>152</v>
      </c>
      <c r="F143" s="217">
        <v>63</v>
      </c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8">
        <v>63</v>
      </c>
      <c r="Y143" s="221">
        <f t="shared" si="8"/>
        <v>0</v>
      </c>
      <c r="Z143">
        <f t="shared" si="6"/>
        <v>0</v>
      </c>
    </row>
    <row r="144" spans="1:26" x14ac:dyDescent="0.2">
      <c r="A144" s="26">
        <f t="shared" si="7"/>
        <v>42110</v>
      </c>
      <c r="B144" s="216">
        <v>2015</v>
      </c>
      <c r="C144" s="216">
        <v>4</v>
      </c>
      <c r="D144" s="216">
        <v>16</v>
      </c>
      <c r="E144" s="216" t="s">
        <v>153</v>
      </c>
      <c r="F144" s="217">
        <v>42</v>
      </c>
      <c r="G144" s="217"/>
      <c r="H144" s="217"/>
      <c r="I144" s="217">
        <v>3</v>
      </c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8">
        <v>45</v>
      </c>
      <c r="Y144" s="221">
        <f t="shared" si="8"/>
        <v>3</v>
      </c>
      <c r="Z144">
        <f t="shared" si="6"/>
        <v>0</v>
      </c>
    </row>
    <row r="145" spans="1:26" x14ac:dyDescent="0.2">
      <c r="A145" s="26">
        <f t="shared" si="7"/>
        <v>42111</v>
      </c>
      <c r="B145" s="216">
        <v>2015</v>
      </c>
      <c r="C145" s="216">
        <v>4</v>
      </c>
      <c r="D145" s="216">
        <v>17</v>
      </c>
      <c r="E145" s="216" t="s">
        <v>152</v>
      </c>
      <c r="F145" s="217">
        <v>59</v>
      </c>
      <c r="G145" s="217"/>
      <c r="H145" s="217"/>
      <c r="I145" s="217">
        <v>1</v>
      </c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8">
        <v>60</v>
      </c>
      <c r="Y145" s="221">
        <f t="shared" si="8"/>
        <v>1</v>
      </c>
      <c r="Z145">
        <f t="shared" si="6"/>
        <v>0</v>
      </c>
    </row>
    <row r="146" spans="1:26" x14ac:dyDescent="0.2">
      <c r="A146" s="26">
        <f t="shared" si="7"/>
        <v>42111</v>
      </c>
      <c r="B146" s="216">
        <v>2015</v>
      </c>
      <c r="C146" s="216">
        <v>4</v>
      </c>
      <c r="D146" s="216">
        <v>17</v>
      </c>
      <c r="E146" s="216" t="s">
        <v>153</v>
      </c>
      <c r="F146" s="217">
        <v>67</v>
      </c>
      <c r="G146" s="217"/>
      <c r="H146" s="217">
        <v>5</v>
      </c>
      <c r="I146" s="217">
        <v>2</v>
      </c>
      <c r="J146" s="217">
        <v>3</v>
      </c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8">
        <v>77</v>
      </c>
      <c r="Y146" s="221">
        <f t="shared" si="8"/>
        <v>10</v>
      </c>
      <c r="Z146">
        <f t="shared" si="6"/>
        <v>0</v>
      </c>
    </row>
    <row r="147" spans="1:26" x14ac:dyDescent="0.2">
      <c r="A147" s="26">
        <f t="shared" si="7"/>
        <v>42112</v>
      </c>
      <c r="B147" s="216">
        <v>2015</v>
      </c>
      <c r="C147" s="216">
        <v>4</v>
      </c>
      <c r="D147" s="216">
        <v>18</v>
      </c>
      <c r="E147" s="216" t="s">
        <v>153</v>
      </c>
      <c r="F147" s="217">
        <v>3</v>
      </c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8">
        <v>3</v>
      </c>
      <c r="Y147" s="221">
        <f t="shared" si="8"/>
        <v>0</v>
      </c>
      <c r="Z147">
        <f t="shared" si="6"/>
        <v>3</v>
      </c>
    </row>
    <row r="148" spans="1:26" x14ac:dyDescent="0.2">
      <c r="A148" s="26">
        <f t="shared" si="7"/>
        <v>42114</v>
      </c>
      <c r="B148" s="216">
        <v>2015</v>
      </c>
      <c r="C148" s="216">
        <v>4</v>
      </c>
      <c r="D148" s="216">
        <v>20</v>
      </c>
      <c r="E148" s="216" t="s">
        <v>152</v>
      </c>
      <c r="F148" s="217">
        <v>33</v>
      </c>
      <c r="G148" s="217"/>
      <c r="H148" s="217">
        <v>1</v>
      </c>
      <c r="I148" s="217"/>
      <c r="J148" s="217"/>
      <c r="K148" s="217"/>
      <c r="L148" s="217">
        <v>1</v>
      </c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8">
        <v>35</v>
      </c>
      <c r="Y148" s="221">
        <f t="shared" si="8"/>
        <v>2</v>
      </c>
      <c r="Z148">
        <f t="shared" si="6"/>
        <v>0</v>
      </c>
    </row>
    <row r="149" spans="1:26" x14ac:dyDescent="0.2">
      <c r="A149" s="26">
        <f t="shared" si="7"/>
        <v>42114</v>
      </c>
      <c r="B149" s="216">
        <v>2015</v>
      </c>
      <c r="C149" s="216">
        <v>4</v>
      </c>
      <c r="D149" s="216">
        <v>20</v>
      </c>
      <c r="E149" s="216" t="s">
        <v>153</v>
      </c>
      <c r="F149" s="217">
        <v>29</v>
      </c>
      <c r="G149" s="217"/>
      <c r="H149" s="217">
        <v>3</v>
      </c>
      <c r="I149" s="217"/>
      <c r="J149" s="217"/>
      <c r="K149" s="217"/>
      <c r="L149" s="217">
        <v>6</v>
      </c>
      <c r="M149" s="217"/>
      <c r="N149" s="217"/>
      <c r="O149" s="217"/>
      <c r="P149" s="217"/>
      <c r="Q149" s="217"/>
      <c r="R149" s="217">
        <v>1</v>
      </c>
      <c r="S149" s="217"/>
      <c r="T149" s="217"/>
      <c r="U149" s="217"/>
      <c r="V149" s="217"/>
      <c r="W149" s="217"/>
      <c r="X149" s="218">
        <v>39</v>
      </c>
      <c r="Y149" s="221">
        <f t="shared" si="8"/>
        <v>10</v>
      </c>
      <c r="Z149">
        <f t="shared" si="6"/>
        <v>0</v>
      </c>
    </row>
    <row r="150" spans="1:26" x14ac:dyDescent="0.2">
      <c r="A150" s="26">
        <f t="shared" si="7"/>
        <v>42115</v>
      </c>
      <c r="B150" s="216">
        <v>2015</v>
      </c>
      <c r="C150" s="216">
        <v>4</v>
      </c>
      <c r="D150" s="216">
        <v>21</v>
      </c>
      <c r="E150" s="216" t="s">
        <v>152</v>
      </c>
      <c r="F150" s="217">
        <v>38</v>
      </c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8">
        <v>38</v>
      </c>
      <c r="Y150" s="221">
        <f t="shared" si="8"/>
        <v>0</v>
      </c>
      <c r="Z150">
        <f t="shared" si="6"/>
        <v>0</v>
      </c>
    </row>
    <row r="151" spans="1:26" x14ac:dyDescent="0.2">
      <c r="A151" s="26">
        <f t="shared" si="7"/>
        <v>42115</v>
      </c>
      <c r="B151" s="216">
        <v>2015</v>
      </c>
      <c r="C151" s="216">
        <v>4</v>
      </c>
      <c r="D151" s="216">
        <v>21</v>
      </c>
      <c r="E151" s="216" t="s">
        <v>153</v>
      </c>
      <c r="F151" s="217">
        <v>4</v>
      </c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8">
        <v>4</v>
      </c>
      <c r="Y151" s="221">
        <f t="shared" si="8"/>
        <v>0</v>
      </c>
      <c r="Z151">
        <f t="shared" si="6"/>
        <v>0</v>
      </c>
    </row>
    <row r="152" spans="1:26" x14ac:dyDescent="0.2">
      <c r="A152" s="26">
        <f t="shared" si="7"/>
        <v>42116</v>
      </c>
      <c r="B152" s="216">
        <v>2015</v>
      </c>
      <c r="C152" s="216">
        <v>4</v>
      </c>
      <c r="D152" s="216">
        <v>22</v>
      </c>
      <c r="E152" s="216" t="s">
        <v>152</v>
      </c>
      <c r="F152" s="217">
        <v>88</v>
      </c>
      <c r="G152" s="217"/>
      <c r="H152" s="217">
        <v>1</v>
      </c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8">
        <v>89</v>
      </c>
      <c r="Y152" s="221">
        <f t="shared" si="8"/>
        <v>1</v>
      </c>
      <c r="Z152">
        <f t="shared" si="6"/>
        <v>0</v>
      </c>
    </row>
    <row r="153" spans="1:26" x14ac:dyDescent="0.2">
      <c r="A153" s="26">
        <f t="shared" si="7"/>
        <v>42116</v>
      </c>
      <c r="B153" s="216">
        <v>2015</v>
      </c>
      <c r="C153" s="216">
        <v>4</v>
      </c>
      <c r="D153" s="216">
        <v>22</v>
      </c>
      <c r="E153" s="216" t="s">
        <v>153</v>
      </c>
      <c r="F153" s="217">
        <v>35</v>
      </c>
      <c r="G153" s="217"/>
      <c r="H153" s="217">
        <v>1</v>
      </c>
      <c r="I153" s="217"/>
      <c r="J153" s="217"/>
      <c r="K153" s="217"/>
      <c r="L153" s="217">
        <v>6</v>
      </c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8">
        <v>42</v>
      </c>
      <c r="Y153" s="221">
        <f t="shared" si="8"/>
        <v>7</v>
      </c>
      <c r="Z153">
        <f t="shared" si="6"/>
        <v>0</v>
      </c>
    </row>
    <row r="154" spans="1:26" x14ac:dyDescent="0.2">
      <c r="A154" s="26">
        <f t="shared" si="7"/>
        <v>42117</v>
      </c>
      <c r="B154" s="216">
        <v>2015</v>
      </c>
      <c r="C154" s="216">
        <v>4</v>
      </c>
      <c r="D154" s="216">
        <v>23</v>
      </c>
      <c r="E154" s="216" t="s">
        <v>152</v>
      </c>
      <c r="F154" s="217">
        <v>27</v>
      </c>
      <c r="G154" s="217"/>
      <c r="H154" s="217">
        <v>1</v>
      </c>
      <c r="I154" s="217">
        <v>1</v>
      </c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8">
        <v>29</v>
      </c>
      <c r="Y154" s="221">
        <f t="shared" si="8"/>
        <v>2</v>
      </c>
      <c r="Z154">
        <f t="shared" si="6"/>
        <v>0</v>
      </c>
    </row>
    <row r="155" spans="1:26" x14ac:dyDescent="0.2">
      <c r="A155" s="26">
        <f t="shared" si="7"/>
        <v>42117</v>
      </c>
      <c r="B155" s="216">
        <v>2015</v>
      </c>
      <c r="C155" s="216">
        <v>4</v>
      </c>
      <c r="D155" s="216">
        <v>23</v>
      </c>
      <c r="E155" s="216" t="s">
        <v>153</v>
      </c>
      <c r="F155" s="217">
        <v>89</v>
      </c>
      <c r="G155" s="217"/>
      <c r="H155" s="217">
        <v>11</v>
      </c>
      <c r="I155" s="217">
        <v>2</v>
      </c>
      <c r="J155" s="217">
        <v>4</v>
      </c>
      <c r="K155" s="217"/>
      <c r="L155" s="217">
        <v>3</v>
      </c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8">
        <v>109</v>
      </c>
      <c r="Y155" s="221">
        <f t="shared" si="8"/>
        <v>20</v>
      </c>
      <c r="Z155">
        <f t="shared" si="6"/>
        <v>0</v>
      </c>
    </row>
    <row r="156" spans="1:26" x14ac:dyDescent="0.2">
      <c r="A156" s="26">
        <f t="shared" si="7"/>
        <v>42118</v>
      </c>
      <c r="B156" s="216">
        <v>2015</v>
      </c>
      <c r="C156" s="216">
        <v>4</v>
      </c>
      <c r="D156" s="216">
        <v>24</v>
      </c>
      <c r="E156" s="216" t="s">
        <v>152</v>
      </c>
      <c r="F156" s="217">
        <v>24</v>
      </c>
      <c r="G156" s="217">
        <v>1</v>
      </c>
      <c r="H156" s="217"/>
      <c r="I156" s="217"/>
      <c r="J156" s="217">
        <v>1</v>
      </c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8">
        <v>26</v>
      </c>
      <c r="Y156" s="221">
        <f t="shared" si="8"/>
        <v>2</v>
      </c>
      <c r="Z156">
        <f t="shared" si="6"/>
        <v>0</v>
      </c>
    </row>
    <row r="157" spans="1:26" x14ac:dyDescent="0.2">
      <c r="A157" s="26">
        <f t="shared" si="7"/>
        <v>42118</v>
      </c>
      <c r="B157" s="216">
        <v>2015</v>
      </c>
      <c r="C157" s="216">
        <v>4</v>
      </c>
      <c r="D157" s="216">
        <v>24</v>
      </c>
      <c r="E157" s="216" t="s">
        <v>153</v>
      </c>
      <c r="F157" s="217">
        <v>45</v>
      </c>
      <c r="G157" s="217"/>
      <c r="H157" s="217">
        <v>3</v>
      </c>
      <c r="I157" s="217">
        <v>1</v>
      </c>
      <c r="J157" s="217">
        <v>1</v>
      </c>
      <c r="K157" s="217"/>
      <c r="L157" s="217">
        <v>2</v>
      </c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8">
        <v>52</v>
      </c>
      <c r="Y157" s="221">
        <f t="shared" si="8"/>
        <v>7</v>
      </c>
      <c r="Z157">
        <f t="shared" si="6"/>
        <v>0</v>
      </c>
    </row>
    <row r="158" spans="1:26" x14ac:dyDescent="0.2">
      <c r="A158" s="26">
        <f t="shared" si="7"/>
        <v>42119</v>
      </c>
      <c r="B158" s="216">
        <v>2015</v>
      </c>
      <c r="C158" s="216">
        <v>4</v>
      </c>
      <c r="D158" s="216">
        <v>25</v>
      </c>
      <c r="E158" s="216" t="s">
        <v>152</v>
      </c>
      <c r="F158" s="217">
        <v>1</v>
      </c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8">
        <v>1</v>
      </c>
      <c r="Y158" s="221">
        <f t="shared" si="8"/>
        <v>0</v>
      </c>
      <c r="Z158">
        <f t="shared" si="6"/>
        <v>0</v>
      </c>
    </row>
    <row r="159" spans="1:26" x14ac:dyDescent="0.2">
      <c r="A159" s="26">
        <f t="shared" si="7"/>
        <v>42119</v>
      </c>
      <c r="B159" s="216">
        <v>2015</v>
      </c>
      <c r="C159" s="216">
        <v>4</v>
      </c>
      <c r="D159" s="216">
        <v>25</v>
      </c>
      <c r="E159" s="216" t="s">
        <v>153</v>
      </c>
      <c r="F159" s="217">
        <v>1</v>
      </c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8">
        <v>1</v>
      </c>
      <c r="Y159" s="221">
        <f t="shared" si="8"/>
        <v>0</v>
      </c>
      <c r="Z159">
        <f t="shared" si="6"/>
        <v>1</v>
      </c>
    </row>
    <row r="160" spans="1:26" x14ac:dyDescent="0.2">
      <c r="A160" s="26">
        <f t="shared" si="7"/>
        <v>42121</v>
      </c>
      <c r="B160" s="216">
        <v>2015</v>
      </c>
      <c r="C160" s="216">
        <v>4</v>
      </c>
      <c r="D160" s="216">
        <v>27</v>
      </c>
      <c r="E160" s="216" t="s">
        <v>152</v>
      </c>
      <c r="F160" s="217">
        <v>14</v>
      </c>
      <c r="G160" s="217"/>
      <c r="H160" s="217"/>
      <c r="I160" s="217"/>
      <c r="J160" s="217">
        <v>1</v>
      </c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8">
        <v>15</v>
      </c>
      <c r="Y160" s="221">
        <f t="shared" si="8"/>
        <v>1</v>
      </c>
      <c r="Z160">
        <f t="shared" si="6"/>
        <v>0</v>
      </c>
    </row>
    <row r="161" spans="1:26" x14ac:dyDescent="0.2">
      <c r="A161" s="26">
        <f t="shared" si="7"/>
        <v>42121</v>
      </c>
      <c r="B161" s="216">
        <v>2015</v>
      </c>
      <c r="C161" s="216">
        <v>4</v>
      </c>
      <c r="D161" s="216">
        <v>27</v>
      </c>
      <c r="E161" s="216" t="s">
        <v>153</v>
      </c>
      <c r="F161" s="217">
        <v>29</v>
      </c>
      <c r="G161" s="217"/>
      <c r="H161" s="217">
        <v>4</v>
      </c>
      <c r="I161" s="217"/>
      <c r="J161" s="217">
        <v>2</v>
      </c>
      <c r="K161" s="217"/>
      <c r="L161" s="217">
        <v>3</v>
      </c>
      <c r="M161" s="217"/>
      <c r="N161" s="217"/>
      <c r="O161" s="217"/>
      <c r="P161" s="217"/>
      <c r="Q161" s="217"/>
      <c r="R161" s="217"/>
      <c r="S161" s="217"/>
      <c r="T161" s="217">
        <v>1</v>
      </c>
      <c r="U161" s="217"/>
      <c r="V161" s="217"/>
      <c r="W161" s="217"/>
      <c r="X161" s="218">
        <v>39</v>
      </c>
      <c r="Y161" s="221">
        <f t="shared" si="8"/>
        <v>10</v>
      </c>
      <c r="Z161">
        <f t="shared" si="6"/>
        <v>0</v>
      </c>
    </row>
    <row r="162" spans="1:26" x14ac:dyDescent="0.2">
      <c r="A162" s="26">
        <f t="shared" si="7"/>
        <v>42122</v>
      </c>
      <c r="B162" s="216">
        <v>2015</v>
      </c>
      <c r="C162" s="216">
        <v>4</v>
      </c>
      <c r="D162" s="216">
        <v>28</v>
      </c>
      <c r="E162" s="216" t="s">
        <v>152</v>
      </c>
      <c r="F162" s="217">
        <v>13</v>
      </c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8">
        <v>13</v>
      </c>
      <c r="Y162" s="221">
        <f t="shared" si="8"/>
        <v>0</v>
      </c>
      <c r="Z162">
        <f t="shared" si="6"/>
        <v>0</v>
      </c>
    </row>
    <row r="163" spans="1:26" x14ac:dyDescent="0.2">
      <c r="A163" s="26">
        <f t="shared" si="7"/>
        <v>42122</v>
      </c>
      <c r="B163" s="216">
        <v>2015</v>
      </c>
      <c r="C163" s="216">
        <v>4</v>
      </c>
      <c r="D163" s="216">
        <v>28</v>
      </c>
      <c r="E163" s="216" t="s">
        <v>153</v>
      </c>
      <c r="F163" s="217">
        <v>30</v>
      </c>
      <c r="G163" s="217"/>
      <c r="H163" s="217"/>
      <c r="I163" s="217">
        <v>3</v>
      </c>
      <c r="J163" s="217">
        <v>1</v>
      </c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>
        <v>1</v>
      </c>
      <c r="X163" s="218">
        <v>35</v>
      </c>
      <c r="Y163" s="221">
        <f t="shared" si="8"/>
        <v>5</v>
      </c>
      <c r="Z163">
        <f t="shared" si="6"/>
        <v>0</v>
      </c>
    </row>
    <row r="164" spans="1:26" x14ac:dyDescent="0.2">
      <c r="A164" s="26">
        <f t="shared" si="7"/>
        <v>42123</v>
      </c>
      <c r="B164" s="216">
        <v>2015</v>
      </c>
      <c r="C164" s="216">
        <v>4</v>
      </c>
      <c r="D164" s="216">
        <v>29</v>
      </c>
      <c r="E164" s="216" t="s">
        <v>152</v>
      </c>
      <c r="F164" s="217">
        <v>27</v>
      </c>
      <c r="G164" s="217">
        <v>2</v>
      </c>
      <c r="H164" s="217">
        <v>1</v>
      </c>
      <c r="I164" s="217">
        <v>1</v>
      </c>
      <c r="J164" s="217">
        <v>3</v>
      </c>
      <c r="K164" s="217"/>
      <c r="L164" s="217">
        <v>3</v>
      </c>
      <c r="M164" s="217"/>
      <c r="N164" s="217"/>
      <c r="O164" s="217"/>
      <c r="P164" s="217">
        <v>1</v>
      </c>
      <c r="Q164" s="217"/>
      <c r="R164" s="217"/>
      <c r="S164" s="217"/>
      <c r="T164" s="217"/>
      <c r="U164" s="217"/>
      <c r="V164" s="217"/>
      <c r="W164" s="217"/>
      <c r="X164" s="218">
        <v>38</v>
      </c>
      <c r="Y164" s="221">
        <f t="shared" si="8"/>
        <v>11</v>
      </c>
      <c r="Z164">
        <f t="shared" si="6"/>
        <v>0</v>
      </c>
    </row>
    <row r="165" spans="1:26" x14ac:dyDescent="0.2">
      <c r="A165" s="26">
        <f t="shared" si="7"/>
        <v>42123</v>
      </c>
      <c r="B165" s="216">
        <v>2015</v>
      </c>
      <c r="C165" s="216">
        <v>4</v>
      </c>
      <c r="D165" s="216">
        <v>29</v>
      </c>
      <c r="E165" s="216" t="s">
        <v>153</v>
      </c>
      <c r="F165" s="217">
        <v>15</v>
      </c>
      <c r="G165" s="217">
        <v>2</v>
      </c>
      <c r="H165" s="217">
        <v>4</v>
      </c>
      <c r="I165" s="217"/>
      <c r="J165" s="217">
        <v>3</v>
      </c>
      <c r="K165" s="217"/>
      <c r="L165" s="217">
        <v>1</v>
      </c>
      <c r="M165" s="217"/>
      <c r="N165" s="217"/>
      <c r="O165" s="217"/>
      <c r="P165" s="217">
        <v>7</v>
      </c>
      <c r="Q165" s="217"/>
      <c r="R165" s="217">
        <v>6</v>
      </c>
      <c r="S165" s="217"/>
      <c r="T165" s="217"/>
      <c r="U165" s="217"/>
      <c r="V165" s="217"/>
      <c r="W165" s="217">
        <v>7</v>
      </c>
      <c r="X165" s="218">
        <v>45</v>
      </c>
      <c r="Y165" s="221">
        <f t="shared" si="8"/>
        <v>30</v>
      </c>
      <c r="Z165">
        <f t="shared" si="6"/>
        <v>0</v>
      </c>
    </row>
    <row r="166" spans="1:26" x14ac:dyDescent="0.2">
      <c r="A166" s="26">
        <f t="shared" si="7"/>
        <v>42124</v>
      </c>
      <c r="B166" s="216">
        <v>2015</v>
      </c>
      <c r="C166" s="216">
        <v>4</v>
      </c>
      <c r="D166" s="216">
        <v>30</v>
      </c>
      <c r="E166" s="216" t="s">
        <v>152</v>
      </c>
      <c r="F166" s="217">
        <v>11</v>
      </c>
      <c r="G166" s="217"/>
      <c r="H166" s="217"/>
      <c r="I166" s="217"/>
      <c r="J166" s="217"/>
      <c r="K166" s="217"/>
      <c r="L166" s="217">
        <v>3</v>
      </c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8">
        <v>14</v>
      </c>
      <c r="Y166" s="221">
        <f t="shared" si="8"/>
        <v>3</v>
      </c>
      <c r="Z166">
        <f t="shared" si="6"/>
        <v>0</v>
      </c>
    </row>
    <row r="167" spans="1:26" x14ac:dyDescent="0.2">
      <c r="A167" s="26">
        <f t="shared" si="7"/>
        <v>42124</v>
      </c>
      <c r="B167" s="216">
        <v>2015</v>
      </c>
      <c r="C167" s="216">
        <v>4</v>
      </c>
      <c r="D167" s="216">
        <v>30</v>
      </c>
      <c r="E167" s="216" t="s">
        <v>153</v>
      </c>
      <c r="F167" s="217">
        <v>18</v>
      </c>
      <c r="G167" s="217"/>
      <c r="H167" s="217">
        <v>1</v>
      </c>
      <c r="I167" s="217">
        <v>1</v>
      </c>
      <c r="J167" s="217">
        <v>2</v>
      </c>
      <c r="K167" s="217"/>
      <c r="L167" s="217">
        <v>12</v>
      </c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>
        <v>3</v>
      </c>
      <c r="X167" s="218">
        <v>37</v>
      </c>
      <c r="Y167" s="221">
        <f t="shared" si="8"/>
        <v>19</v>
      </c>
      <c r="Z167">
        <f t="shared" si="6"/>
        <v>0</v>
      </c>
    </row>
    <row r="168" spans="1:26" x14ac:dyDescent="0.2">
      <c r="A168" s="26">
        <f t="shared" si="7"/>
        <v>42127</v>
      </c>
      <c r="B168" s="216">
        <v>2015</v>
      </c>
      <c r="C168" s="216">
        <v>5</v>
      </c>
      <c r="D168" s="216">
        <v>3</v>
      </c>
      <c r="E168" s="216" t="s">
        <v>153</v>
      </c>
      <c r="F168" s="217">
        <v>3</v>
      </c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8">
        <v>3</v>
      </c>
      <c r="Y168" s="221">
        <f t="shared" si="8"/>
        <v>0</v>
      </c>
      <c r="Z168">
        <f t="shared" si="6"/>
        <v>0</v>
      </c>
    </row>
    <row r="169" spans="1:26" x14ac:dyDescent="0.2">
      <c r="A169" s="26">
        <f t="shared" si="7"/>
        <v>42128</v>
      </c>
      <c r="B169" s="216">
        <v>2015</v>
      </c>
      <c r="C169" s="216">
        <v>5</v>
      </c>
      <c r="D169" s="216">
        <v>4</v>
      </c>
      <c r="E169" s="216" t="s">
        <v>152</v>
      </c>
      <c r="F169" s="217">
        <v>11</v>
      </c>
      <c r="G169" s="217">
        <v>3</v>
      </c>
      <c r="H169" s="217"/>
      <c r="I169" s="217"/>
      <c r="J169" s="217"/>
      <c r="K169" s="217">
        <v>1</v>
      </c>
      <c r="L169" s="217"/>
      <c r="M169" s="217"/>
      <c r="N169" s="217"/>
      <c r="O169" s="217"/>
      <c r="P169" s="217"/>
      <c r="Q169" s="217"/>
      <c r="R169" s="217"/>
      <c r="S169" s="217">
        <v>1</v>
      </c>
      <c r="T169" s="217">
        <v>2</v>
      </c>
      <c r="U169" s="217"/>
      <c r="V169" s="217"/>
      <c r="W169" s="217"/>
      <c r="X169" s="218">
        <v>18</v>
      </c>
      <c r="Y169" s="221">
        <f t="shared" si="8"/>
        <v>7</v>
      </c>
      <c r="Z169">
        <f t="shared" si="6"/>
        <v>0</v>
      </c>
    </row>
    <row r="170" spans="1:26" x14ac:dyDescent="0.2">
      <c r="A170" s="26">
        <f t="shared" si="7"/>
        <v>42128</v>
      </c>
      <c r="B170" s="216">
        <v>2015</v>
      </c>
      <c r="C170" s="216">
        <v>5</v>
      </c>
      <c r="D170" s="216">
        <v>4</v>
      </c>
      <c r="E170" s="216" t="s">
        <v>153</v>
      </c>
      <c r="F170" s="217">
        <v>26</v>
      </c>
      <c r="G170" s="217">
        <v>2</v>
      </c>
      <c r="H170" s="217">
        <v>5</v>
      </c>
      <c r="I170" s="217">
        <v>1</v>
      </c>
      <c r="J170" s="217">
        <v>2</v>
      </c>
      <c r="K170" s="217">
        <v>11</v>
      </c>
      <c r="L170" s="217"/>
      <c r="M170" s="217"/>
      <c r="N170" s="217"/>
      <c r="O170" s="217"/>
      <c r="P170" s="217"/>
      <c r="Q170" s="217"/>
      <c r="R170" s="217">
        <v>1</v>
      </c>
      <c r="S170" s="217">
        <v>13</v>
      </c>
      <c r="T170" s="217">
        <v>3</v>
      </c>
      <c r="U170" s="217"/>
      <c r="V170" s="217"/>
      <c r="W170" s="217"/>
      <c r="X170" s="218">
        <v>64</v>
      </c>
      <c r="Y170" s="221">
        <f t="shared" si="8"/>
        <v>38</v>
      </c>
      <c r="Z170">
        <f t="shared" si="6"/>
        <v>0</v>
      </c>
    </row>
    <row r="171" spans="1:26" x14ac:dyDescent="0.2">
      <c r="A171" s="26">
        <f t="shared" si="7"/>
        <v>42129</v>
      </c>
      <c r="B171" s="216">
        <v>2015</v>
      </c>
      <c r="C171" s="216">
        <v>5</v>
      </c>
      <c r="D171" s="216">
        <v>5</v>
      </c>
      <c r="E171" s="216" t="s">
        <v>152</v>
      </c>
      <c r="F171" s="217">
        <v>7</v>
      </c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8">
        <v>7</v>
      </c>
      <c r="Y171" s="221">
        <f t="shared" si="8"/>
        <v>0</v>
      </c>
      <c r="Z171">
        <f t="shared" si="6"/>
        <v>0</v>
      </c>
    </row>
    <row r="172" spans="1:26" x14ac:dyDescent="0.2">
      <c r="A172" s="26">
        <f t="shared" si="7"/>
        <v>42129</v>
      </c>
      <c r="B172" s="216">
        <v>2015</v>
      </c>
      <c r="C172" s="216">
        <v>5</v>
      </c>
      <c r="D172" s="216">
        <v>5</v>
      </c>
      <c r="E172" s="216" t="s">
        <v>153</v>
      </c>
      <c r="F172" s="217">
        <v>16</v>
      </c>
      <c r="G172" s="217">
        <v>9</v>
      </c>
      <c r="H172" s="217"/>
      <c r="I172" s="217"/>
      <c r="J172" s="217">
        <v>12</v>
      </c>
      <c r="K172" s="217"/>
      <c r="L172" s="217">
        <v>9</v>
      </c>
      <c r="M172" s="217"/>
      <c r="N172" s="217"/>
      <c r="O172" s="217">
        <v>2</v>
      </c>
      <c r="P172" s="217">
        <v>6</v>
      </c>
      <c r="Q172" s="217"/>
      <c r="R172" s="217">
        <v>3</v>
      </c>
      <c r="S172" s="217"/>
      <c r="T172" s="217">
        <v>1</v>
      </c>
      <c r="U172" s="217"/>
      <c r="V172" s="217"/>
      <c r="W172" s="217"/>
      <c r="X172" s="218">
        <v>58</v>
      </c>
      <c r="Y172" s="221">
        <f t="shared" si="8"/>
        <v>42</v>
      </c>
      <c r="Z172">
        <f t="shared" si="6"/>
        <v>0</v>
      </c>
    </row>
    <row r="173" spans="1:26" x14ac:dyDescent="0.2">
      <c r="A173" s="26">
        <f t="shared" si="7"/>
        <v>42130</v>
      </c>
      <c r="B173" s="216">
        <v>2015</v>
      </c>
      <c r="C173" s="216">
        <v>5</v>
      </c>
      <c r="D173" s="216">
        <v>6</v>
      </c>
      <c r="E173" s="216" t="s">
        <v>152</v>
      </c>
      <c r="F173" s="217">
        <v>16</v>
      </c>
      <c r="G173" s="217"/>
      <c r="H173" s="217">
        <v>4</v>
      </c>
      <c r="I173" s="217">
        <v>1</v>
      </c>
      <c r="J173" s="217">
        <v>2</v>
      </c>
      <c r="K173" s="217"/>
      <c r="L173" s="217">
        <v>4</v>
      </c>
      <c r="M173" s="217"/>
      <c r="N173" s="217"/>
      <c r="O173" s="217"/>
      <c r="P173" s="217"/>
      <c r="Q173" s="217"/>
      <c r="R173" s="217"/>
      <c r="S173" s="217"/>
      <c r="T173" s="217">
        <v>4</v>
      </c>
      <c r="U173" s="217"/>
      <c r="V173" s="217"/>
      <c r="W173" s="217"/>
      <c r="X173" s="218">
        <v>31</v>
      </c>
      <c r="Y173" s="221">
        <f t="shared" si="8"/>
        <v>15</v>
      </c>
      <c r="Z173">
        <f t="shared" si="6"/>
        <v>0</v>
      </c>
    </row>
    <row r="174" spans="1:26" x14ac:dyDescent="0.2">
      <c r="A174" s="26">
        <f t="shared" si="7"/>
        <v>42130</v>
      </c>
      <c r="B174" s="216">
        <v>2015</v>
      </c>
      <c r="C174" s="216">
        <v>5</v>
      </c>
      <c r="D174" s="216">
        <v>6</v>
      </c>
      <c r="E174" s="216" t="s">
        <v>153</v>
      </c>
      <c r="F174" s="217">
        <v>33</v>
      </c>
      <c r="G174" s="217">
        <v>1</v>
      </c>
      <c r="H174" s="217"/>
      <c r="I174" s="217"/>
      <c r="J174" s="217"/>
      <c r="K174" s="217"/>
      <c r="L174" s="217">
        <v>1</v>
      </c>
      <c r="M174" s="217"/>
      <c r="N174" s="217"/>
      <c r="O174" s="217">
        <v>3</v>
      </c>
      <c r="P174" s="217">
        <v>1</v>
      </c>
      <c r="Q174" s="217"/>
      <c r="R174" s="217">
        <v>2</v>
      </c>
      <c r="S174" s="217"/>
      <c r="T174" s="217">
        <v>1</v>
      </c>
      <c r="U174" s="217"/>
      <c r="V174" s="217"/>
      <c r="W174" s="217"/>
      <c r="X174" s="218">
        <v>42</v>
      </c>
      <c r="Y174" s="221">
        <f t="shared" si="8"/>
        <v>9</v>
      </c>
      <c r="Z174">
        <f t="shared" si="6"/>
        <v>0</v>
      </c>
    </row>
    <row r="175" spans="1:26" x14ac:dyDescent="0.2">
      <c r="A175" s="26">
        <f t="shared" si="7"/>
        <v>42131</v>
      </c>
      <c r="B175" s="216">
        <v>2015</v>
      </c>
      <c r="C175" s="216">
        <v>5</v>
      </c>
      <c r="D175" s="216">
        <v>7</v>
      </c>
      <c r="E175" s="216" t="s">
        <v>152</v>
      </c>
      <c r="F175" s="217">
        <v>8</v>
      </c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>
        <v>2</v>
      </c>
      <c r="U175" s="217"/>
      <c r="V175" s="217"/>
      <c r="W175" s="217"/>
      <c r="X175" s="218">
        <v>10</v>
      </c>
      <c r="Y175" s="221">
        <f t="shared" si="8"/>
        <v>2</v>
      </c>
      <c r="Z175">
        <f t="shared" si="6"/>
        <v>0</v>
      </c>
    </row>
    <row r="176" spans="1:26" x14ac:dyDescent="0.2">
      <c r="A176" s="26">
        <f t="shared" si="7"/>
        <v>42131</v>
      </c>
      <c r="B176" s="216">
        <v>2015</v>
      </c>
      <c r="C176" s="216">
        <v>5</v>
      </c>
      <c r="D176" s="216">
        <v>7</v>
      </c>
      <c r="E176" s="216" t="s">
        <v>153</v>
      </c>
      <c r="F176" s="217">
        <v>4</v>
      </c>
      <c r="G176" s="217">
        <v>11</v>
      </c>
      <c r="H176" s="217"/>
      <c r="I176" s="217"/>
      <c r="J176" s="217">
        <v>7</v>
      </c>
      <c r="K176" s="217"/>
      <c r="L176" s="217">
        <v>5</v>
      </c>
      <c r="M176" s="217"/>
      <c r="N176" s="217"/>
      <c r="O176" s="217">
        <v>14</v>
      </c>
      <c r="P176" s="217">
        <v>1</v>
      </c>
      <c r="Q176" s="217"/>
      <c r="R176" s="217">
        <v>1</v>
      </c>
      <c r="S176" s="217"/>
      <c r="T176" s="217"/>
      <c r="U176" s="217"/>
      <c r="V176" s="217"/>
      <c r="W176" s="217"/>
      <c r="X176" s="218">
        <v>43</v>
      </c>
      <c r="Y176" s="221">
        <f t="shared" si="8"/>
        <v>39</v>
      </c>
      <c r="Z176">
        <f t="shared" si="6"/>
        <v>0</v>
      </c>
    </row>
    <row r="177" spans="1:26" x14ac:dyDescent="0.2">
      <c r="A177" s="26">
        <f t="shared" si="7"/>
        <v>42132</v>
      </c>
      <c r="B177" s="216">
        <v>2015</v>
      </c>
      <c r="C177" s="216">
        <v>5</v>
      </c>
      <c r="D177" s="216">
        <v>8</v>
      </c>
      <c r="E177" s="216" t="s">
        <v>152</v>
      </c>
      <c r="F177" s="217">
        <v>9</v>
      </c>
      <c r="G177" s="217">
        <v>1</v>
      </c>
      <c r="H177" s="217"/>
      <c r="I177" s="217"/>
      <c r="J177" s="217">
        <v>1</v>
      </c>
      <c r="K177" s="217"/>
      <c r="L177" s="217">
        <v>1</v>
      </c>
      <c r="M177" s="217"/>
      <c r="N177" s="217"/>
      <c r="O177" s="217"/>
      <c r="P177" s="217"/>
      <c r="Q177" s="217"/>
      <c r="R177" s="217"/>
      <c r="S177" s="217"/>
      <c r="T177" s="217">
        <v>1</v>
      </c>
      <c r="U177" s="217"/>
      <c r="V177" s="217"/>
      <c r="W177" s="217"/>
      <c r="X177" s="218">
        <v>13</v>
      </c>
      <c r="Y177" s="221">
        <f t="shared" si="8"/>
        <v>4</v>
      </c>
      <c r="Z177">
        <f t="shared" si="6"/>
        <v>0</v>
      </c>
    </row>
    <row r="178" spans="1:26" x14ac:dyDescent="0.2">
      <c r="A178" s="26">
        <f t="shared" si="7"/>
        <v>42132</v>
      </c>
      <c r="B178" s="216">
        <v>2015</v>
      </c>
      <c r="C178" s="216">
        <v>5</v>
      </c>
      <c r="D178" s="216">
        <v>8</v>
      </c>
      <c r="E178" s="216" t="s">
        <v>153</v>
      </c>
      <c r="F178" s="217">
        <v>2</v>
      </c>
      <c r="G178" s="217">
        <v>2</v>
      </c>
      <c r="H178" s="217"/>
      <c r="I178" s="217">
        <v>2</v>
      </c>
      <c r="J178" s="217">
        <v>3</v>
      </c>
      <c r="K178" s="217"/>
      <c r="L178" s="217">
        <v>14</v>
      </c>
      <c r="M178" s="217"/>
      <c r="N178" s="217"/>
      <c r="O178" s="217">
        <v>5</v>
      </c>
      <c r="P178" s="217"/>
      <c r="Q178" s="217"/>
      <c r="R178" s="217">
        <v>1</v>
      </c>
      <c r="S178" s="217"/>
      <c r="T178" s="217"/>
      <c r="U178" s="217"/>
      <c r="V178" s="217"/>
      <c r="W178" s="217"/>
      <c r="X178" s="218">
        <v>29</v>
      </c>
      <c r="Y178" s="221">
        <f t="shared" si="8"/>
        <v>27</v>
      </c>
      <c r="Z178">
        <f t="shared" si="6"/>
        <v>0</v>
      </c>
    </row>
    <row r="179" spans="1:26" x14ac:dyDescent="0.2">
      <c r="A179" s="26">
        <f t="shared" si="7"/>
        <v>42135</v>
      </c>
      <c r="B179" s="216">
        <v>2015</v>
      </c>
      <c r="C179" s="216">
        <v>5</v>
      </c>
      <c r="D179" s="216">
        <v>11</v>
      </c>
      <c r="E179" s="216" t="s">
        <v>152</v>
      </c>
      <c r="F179" s="217">
        <v>3</v>
      </c>
      <c r="G179" s="217">
        <v>1</v>
      </c>
      <c r="H179" s="217"/>
      <c r="I179" s="217"/>
      <c r="J179" s="217"/>
      <c r="K179" s="217"/>
      <c r="L179" s="217">
        <v>2</v>
      </c>
      <c r="M179" s="217"/>
      <c r="N179" s="217"/>
      <c r="O179" s="217"/>
      <c r="P179" s="217"/>
      <c r="Q179" s="217"/>
      <c r="R179" s="217"/>
      <c r="S179" s="217"/>
      <c r="T179" s="217">
        <v>4</v>
      </c>
      <c r="U179" s="217"/>
      <c r="V179" s="217"/>
      <c r="W179" s="217"/>
      <c r="X179" s="218">
        <v>10</v>
      </c>
      <c r="Y179" s="221">
        <f t="shared" si="8"/>
        <v>7</v>
      </c>
      <c r="Z179">
        <f t="shared" si="6"/>
        <v>0</v>
      </c>
    </row>
    <row r="180" spans="1:26" x14ac:dyDescent="0.2">
      <c r="A180" s="26">
        <f t="shared" si="7"/>
        <v>42135</v>
      </c>
      <c r="B180" s="216">
        <v>2015</v>
      </c>
      <c r="C180" s="216">
        <v>5</v>
      </c>
      <c r="D180" s="216">
        <v>11</v>
      </c>
      <c r="E180" s="216" t="s">
        <v>153</v>
      </c>
      <c r="F180" s="217">
        <v>4</v>
      </c>
      <c r="G180" s="217">
        <v>11</v>
      </c>
      <c r="H180" s="217"/>
      <c r="I180" s="217"/>
      <c r="J180" s="217">
        <v>4</v>
      </c>
      <c r="K180" s="217"/>
      <c r="L180" s="217">
        <v>7</v>
      </c>
      <c r="M180" s="217"/>
      <c r="N180" s="217"/>
      <c r="O180" s="217">
        <v>2</v>
      </c>
      <c r="P180" s="217"/>
      <c r="Q180" s="217"/>
      <c r="R180" s="217"/>
      <c r="S180" s="217"/>
      <c r="T180" s="217"/>
      <c r="U180" s="217"/>
      <c r="V180" s="217"/>
      <c r="W180" s="217"/>
      <c r="X180" s="218">
        <v>28</v>
      </c>
      <c r="Y180" s="221">
        <f t="shared" si="8"/>
        <v>24</v>
      </c>
      <c r="Z180">
        <f t="shared" si="6"/>
        <v>0</v>
      </c>
    </row>
    <row r="181" spans="1:26" x14ac:dyDescent="0.2">
      <c r="A181" s="26">
        <f t="shared" si="7"/>
        <v>42136</v>
      </c>
      <c r="B181" s="216">
        <v>2015</v>
      </c>
      <c r="C181" s="216">
        <v>5</v>
      </c>
      <c r="D181" s="216">
        <v>12</v>
      </c>
      <c r="E181" s="216" t="s">
        <v>152</v>
      </c>
      <c r="F181" s="217">
        <v>2</v>
      </c>
      <c r="G181" s="217">
        <v>1</v>
      </c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8">
        <v>3</v>
      </c>
      <c r="Y181" s="221">
        <f t="shared" si="8"/>
        <v>1</v>
      </c>
      <c r="Z181">
        <f t="shared" si="6"/>
        <v>0</v>
      </c>
    </row>
    <row r="182" spans="1:26" x14ac:dyDescent="0.2">
      <c r="A182" s="26">
        <f t="shared" si="7"/>
        <v>42136</v>
      </c>
      <c r="B182" s="216">
        <v>2015</v>
      </c>
      <c r="C182" s="216">
        <v>5</v>
      </c>
      <c r="D182" s="216">
        <v>12</v>
      </c>
      <c r="E182" s="216" t="s">
        <v>153</v>
      </c>
      <c r="F182" s="217">
        <v>5</v>
      </c>
      <c r="G182" s="217">
        <v>23</v>
      </c>
      <c r="H182" s="217"/>
      <c r="I182" s="217"/>
      <c r="J182" s="217"/>
      <c r="K182" s="217"/>
      <c r="L182" s="217"/>
      <c r="M182" s="217"/>
      <c r="N182" s="217"/>
      <c r="O182" s="217">
        <v>8</v>
      </c>
      <c r="P182" s="217">
        <v>1</v>
      </c>
      <c r="Q182" s="217"/>
      <c r="R182" s="217"/>
      <c r="S182" s="217"/>
      <c r="T182" s="217"/>
      <c r="U182" s="217"/>
      <c r="V182" s="217"/>
      <c r="W182" s="217"/>
      <c r="X182" s="218">
        <v>37</v>
      </c>
      <c r="Y182" s="221">
        <f t="shared" si="8"/>
        <v>32</v>
      </c>
      <c r="Z182">
        <f t="shared" si="6"/>
        <v>0</v>
      </c>
    </row>
    <row r="183" spans="1:26" x14ac:dyDescent="0.2">
      <c r="A183" s="26">
        <f t="shared" si="7"/>
        <v>42137</v>
      </c>
      <c r="B183" s="216">
        <v>2015</v>
      </c>
      <c r="C183" s="216">
        <v>5</v>
      </c>
      <c r="D183" s="216">
        <v>13</v>
      </c>
      <c r="E183" s="216" t="s">
        <v>152</v>
      </c>
      <c r="F183" s="217">
        <v>11</v>
      </c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>
        <v>1</v>
      </c>
      <c r="S183" s="217"/>
      <c r="T183" s="217">
        <v>1</v>
      </c>
      <c r="U183" s="217"/>
      <c r="V183" s="217"/>
      <c r="W183" s="217"/>
      <c r="X183" s="218">
        <v>13</v>
      </c>
      <c r="Y183" s="221">
        <f t="shared" si="8"/>
        <v>2</v>
      </c>
      <c r="Z183">
        <f t="shared" si="6"/>
        <v>0</v>
      </c>
    </row>
    <row r="184" spans="1:26" x14ac:dyDescent="0.2">
      <c r="A184" s="26">
        <f t="shared" si="7"/>
        <v>42137</v>
      </c>
      <c r="B184" s="216">
        <v>2015</v>
      </c>
      <c r="C184" s="216">
        <v>5</v>
      </c>
      <c r="D184" s="216">
        <v>13</v>
      </c>
      <c r="E184" s="216" t="s">
        <v>153</v>
      </c>
      <c r="F184" s="217">
        <v>12</v>
      </c>
      <c r="G184" s="217">
        <v>1</v>
      </c>
      <c r="H184" s="217"/>
      <c r="I184" s="217"/>
      <c r="J184" s="217">
        <v>5</v>
      </c>
      <c r="K184" s="217"/>
      <c r="L184" s="217">
        <v>3</v>
      </c>
      <c r="M184" s="217"/>
      <c r="N184" s="217"/>
      <c r="O184" s="217">
        <v>10</v>
      </c>
      <c r="P184" s="217"/>
      <c r="Q184" s="217"/>
      <c r="R184" s="217">
        <v>15</v>
      </c>
      <c r="S184" s="217"/>
      <c r="T184" s="217">
        <v>2</v>
      </c>
      <c r="U184" s="217"/>
      <c r="V184" s="217"/>
      <c r="W184" s="217"/>
      <c r="X184" s="218">
        <v>48</v>
      </c>
      <c r="Y184" s="221">
        <f t="shared" si="8"/>
        <v>36</v>
      </c>
      <c r="Z184">
        <f t="shared" si="6"/>
        <v>0</v>
      </c>
    </row>
    <row r="185" spans="1:26" x14ac:dyDescent="0.2">
      <c r="A185" s="26">
        <f t="shared" si="7"/>
        <v>42138</v>
      </c>
      <c r="B185" s="216">
        <v>2015</v>
      </c>
      <c r="C185" s="216">
        <v>5</v>
      </c>
      <c r="D185" s="216">
        <v>14</v>
      </c>
      <c r="E185" s="216" t="s">
        <v>152</v>
      </c>
      <c r="F185" s="217">
        <v>5</v>
      </c>
      <c r="G185" s="217">
        <v>4</v>
      </c>
      <c r="H185" s="217">
        <v>1</v>
      </c>
      <c r="I185" s="217"/>
      <c r="J185" s="217"/>
      <c r="K185" s="217"/>
      <c r="L185" s="217">
        <v>1</v>
      </c>
      <c r="M185" s="217"/>
      <c r="N185" s="217"/>
      <c r="O185" s="217"/>
      <c r="P185" s="217"/>
      <c r="Q185" s="217"/>
      <c r="R185" s="217"/>
      <c r="S185" s="217"/>
      <c r="T185" s="217">
        <v>3</v>
      </c>
      <c r="U185" s="217"/>
      <c r="V185" s="217"/>
      <c r="W185" s="217"/>
      <c r="X185" s="218">
        <v>14</v>
      </c>
      <c r="Y185" s="221">
        <f t="shared" si="8"/>
        <v>9</v>
      </c>
      <c r="Z185">
        <f t="shared" si="6"/>
        <v>0</v>
      </c>
    </row>
    <row r="186" spans="1:26" x14ac:dyDescent="0.2">
      <c r="A186" s="26">
        <f t="shared" si="7"/>
        <v>42138</v>
      </c>
      <c r="B186" s="216">
        <v>2015</v>
      </c>
      <c r="C186" s="216">
        <v>5</v>
      </c>
      <c r="D186" s="216">
        <v>14</v>
      </c>
      <c r="E186" s="216" t="s">
        <v>153</v>
      </c>
      <c r="F186" s="217">
        <v>7</v>
      </c>
      <c r="G186" s="217">
        <v>11</v>
      </c>
      <c r="H186" s="217"/>
      <c r="I186" s="217"/>
      <c r="J186" s="217">
        <v>2</v>
      </c>
      <c r="K186" s="217"/>
      <c r="L186" s="217">
        <v>2</v>
      </c>
      <c r="M186" s="217"/>
      <c r="N186" s="217"/>
      <c r="O186" s="217">
        <v>6</v>
      </c>
      <c r="P186" s="217"/>
      <c r="Q186" s="217"/>
      <c r="R186" s="217">
        <v>16</v>
      </c>
      <c r="S186" s="217"/>
      <c r="T186" s="217">
        <v>8</v>
      </c>
      <c r="U186" s="217"/>
      <c r="V186" s="217"/>
      <c r="W186" s="217"/>
      <c r="X186" s="218">
        <v>52</v>
      </c>
      <c r="Y186" s="221">
        <f t="shared" si="8"/>
        <v>45</v>
      </c>
      <c r="Z186">
        <f t="shared" si="6"/>
        <v>0</v>
      </c>
    </row>
    <row r="187" spans="1:26" x14ac:dyDescent="0.2">
      <c r="A187" s="26">
        <f t="shared" si="7"/>
        <v>42139</v>
      </c>
      <c r="B187" s="216">
        <v>2015</v>
      </c>
      <c r="C187" s="216">
        <v>5</v>
      </c>
      <c r="D187" s="216">
        <v>15</v>
      </c>
      <c r="E187" s="216" t="s">
        <v>152</v>
      </c>
      <c r="F187" s="217"/>
      <c r="G187" s="217">
        <v>1</v>
      </c>
      <c r="H187" s="217"/>
      <c r="I187" s="217"/>
      <c r="J187" s="217">
        <v>1</v>
      </c>
      <c r="K187" s="217"/>
      <c r="L187" s="217">
        <v>1</v>
      </c>
      <c r="M187" s="217"/>
      <c r="N187" s="217"/>
      <c r="O187" s="217">
        <v>1</v>
      </c>
      <c r="P187" s="217"/>
      <c r="Q187" s="217"/>
      <c r="R187" s="217">
        <v>1</v>
      </c>
      <c r="S187" s="217"/>
      <c r="T187" s="217"/>
      <c r="U187" s="217"/>
      <c r="V187" s="217"/>
      <c r="W187" s="217"/>
      <c r="X187" s="218">
        <v>5</v>
      </c>
      <c r="Y187" s="221">
        <f t="shared" si="8"/>
        <v>5</v>
      </c>
      <c r="Z187">
        <f t="shared" si="6"/>
        <v>0</v>
      </c>
    </row>
    <row r="188" spans="1:26" x14ac:dyDescent="0.2">
      <c r="A188" s="26">
        <f t="shared" si="7"/>
        <v>42139</v>
      </c>
      <c r="B188" s="216">
        <v>2015</v>
      </c>
      <c r="C188" s="216">
        <v>5</v>
      </c>
      <c r="D188" s="216">
        <v>15</v>
      </c>
      <c r="E188" s="216" t="s">
        <v>153</v>
      </c>
      <c r="F188" s="217">
        <v>4</v>
      </c>
      <c r="G188" s="217">
        <v>2</v>
      </c>
      <c r="H188" s="217"/>
      <c r="I188" s="217"/>
      <c r="J188" s="217">
        <v>2</v>
      </c>
      <c r="K188" s="217"/>
      <c r="L188" s="217">
        <v>16</v>
      </c>
      <c r="M188" s="217"/>
      <c r="N188" s="217"/>
      <c r="O188" s="217">
        <v>4</v>
      </c>
      <c r="P188" s="217">
        <v>1</v>
      </c>
      <c r="Q188" s="217">
        <v>13</v>
      </c>
      <c r="R188" s="217">
        <v>9</v>
      </c>
      <c r="S188" s="217"/>
      <c r="T188" s="217">
        <v>6</v>
      </c>
      <c r="U188" s="217"/>
      <c r="V188" s="217"/>
      <c r="W188" s="217"/>
      <c r="X188" s="218">
        <v>57</v>
      </c>
      <c r="Y188" s="221">
        <f t="shared" si="8"/>
        <v>53</v>
      </c>
      <c r="Z188">
        <f t="shared" si="6"/>
        <v>0</v>
      </c>
    </row>
    <row r="189" spans="1:26" x14ac:dyDescent="0.2">
      <c r="A189" s="26">
        <f t="shared" si="7"/>
        <v>42140</v>
      </c>
      <c r="B189" s="216">
        <v>2015</v>
      </c>
      <c r="C189" s="216">
        <v>5</v>
      </c>
      <c r="D189" s="216">
        <v>16</v>
      </c>
      <c r="E189" s="216" t="s">
        <v>152</v>
      </c>
      <c r="F189" s="217">
        <v>1</v>
      </c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8">
        <v>1</v>
      </c>
      <c r="Y189" s="221">
        <f t="shared" si="8"/>
        <v>0</v>
      </c>
      <c r="Z189">
        <f t="shared" si="6"/>
        <v>0</v>
      </c>
    </row>
    <row r="190" spans="1:26" x14ac:dyDescent="0.2">
      <c r="A190" s="26">
        <f t="shared" si="7"/>
        <v>42141</v>
      </c>
      <c r="B190" s="216">
        <v>2015</v>
      </c>
      <c r="C190" s="216">
        <v>5</v>
      </c>
      <c r="D190" s="216">
        <v>17</v>
      </c>
      <c r="E190" s="216" t="s">
        <v>153</v>
      </c>
      <c r="F190" s="217">
        <v>1</v>
      </c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8">
        <v>1</v>
      </c>
      <c r="Y190" s="221">
        <f t="shared" si="8"/>
        <v>0</v>
      </c>
      <c r="Z190">
        <f t="shared" si="6"/>
        <v>0</v>
      </c>
    </row>
    <row r="191" spans="1:26" x14ac:dyDescent="0.2">
      <c r="A191" s="26">
        <f t="shared" si="7"/>
        <v>42142</v>
      </c>
      <c r="B191" s="216">
        <v>2015</v>
      </c>
      <c r="C191" s="216">
        <v>5</v>
      </c>
      <c r="D191" s="216">
        <v>18</v>
      </c>
      <c r="E191" s="216" t="s">
        <v>152</v>
      </c>
      <c r="F191" s="217">
        <v>2</v>
      </c>
      <c r="G191" s="217">
        <v>1</v>
      </c>
      <c r="H191" s="217">
        <v>1</v>
      </c>
      <c r="I191" s="217"/>
      <c r="J191" s="217"/>
      <c r="K191" s="217"/>
      <c r="L191" s="217">
        <v>1</v>
      </c>
      <c r="M191" s="217"/>
      <c r="N191" s="217"/>
      <c r="O191" s="217"/>
      <c r="P191" s="217"/>
      <c r="Q191" s="217"/>
      <c r="R191" s="217"/>
      <c r="S191" s="217"/>
      <c r="T191" s="217">
        <v>2</v>
      </c>
      <c r="U191" s="217"/>
      <c r="V191" s="217"/>
      <c r="W191" s="217"/>
      <c r="X191" s="218">
        <v>7</v>
      </c>
      <c r="Y191" s="221">
        <f t="shared" si="8"/>
        <v>5</v>
      </c>
      <c r="Z191">
        <f t="shared" si="6"/>
        <v>0</v>
      </c>
    </row>
    <row r="192" spans="1:26" x14ac:dyDescent="0.2">
      <c r="A192" s="26">
        <f t="shared" si="7"/>
        <v>42142</v>
      </c>
      <c r="B192" s="216">
        <v>2015</v>
      </c>
      <c r="C192" s="216">
        <v>5</v>
      </c>
      <c r="D192" s="216">
        <v>18</v>
      </c>
      <c r="E192" s="216" t="s">
        <v>153</v>
      </c>
      <c r="F192" s="217">
        <v>1</v>
      </c>
      <c r="G192" s="217">
        <v>2</v>
      </c>
      <c r="H192" s="217"/>
      <c r="I192" s="217"/>
      <c r="J192" s="217">
        <v>1</v>
      </c>
      <c r="K192" s="217">
        <v>1</v>
      </c>
      <c r="L192" s="217">
        <v>9</v>
      </c>
      <c r="M192" s="217"/>
      <c r="N192" s="217"/>
      <c r="O192" s="217">
        <v>1</v>
      </c>
      <c r="P192" s="217">
        <v>1</v>
      </c>
      <c r="Q192" s="217">
        <v>7</v>
      </c>
      <c r="R192" s="217">
        <v>6</v>
      </c>
      <c r="S192" s="217"/>
      <c r="T192" s="217">
        <v>3</v>
      </c>
      <c r="U192" s="217"/>
      <c r="V192" s="217"/>
      <c r="W192" s="217"/>
      <c r="X192" s="218">
        <v>32</v>
      </c>
      <c r="Y192" s="221">
        <f t="shared" si="8"/>
        <v>31</v>
      </c>
      <c r="Z192">
        <f t="shared" si="6"/>
        <v>0</v>
      </c>
    </row>
    <row r="193" spans="1:26" x14ac:dyDescent="0.2">
      <c r="A193" s="26">
        <f t="shared" si="7"/>
        <v>42143</v>
      </c>
      <c r="B193" s="216">
        <v>2015</v>
      </c>
      <c r="C193" s="216">
        <v>5</v>
      </c>
      <c r="D193" s="216">
        <v>19</v>
      </c>
      <c r="E193" s="216" t="s">
        <v>152</v>
      </c>
      <c r="F193" s="217">
        <v>5</v>
      </c>
      <c r="G193" s="217">
        <v>3</v>
      </c>
      <c r="H193" s="217"/>
      <c r="I193" s="217"/>
      <c r="J193" s="217">
        <v>1</v>
      </c>
      <c r="K193" s="217"/>
      <c r="L193" s="217">
        <v>2</v>
      </c>
      <c r="M193" s="217"/>
      <c r="N193" s="217"/>
      <c r="O193" s="217"/>
      <c r="P193" s="217">
        <v>3</v>
      </c>
      <c r="Q193" s="217"/>
      <c r="R193" s="217">
        <v>13</v>
      </c>
      <c r="S193" s="217"/>
      <c r="T193" s="217">
        <v>1</v>
      </c>
      <c r="U193" s="217"/>
      <c r="V193" s="217"/>
      <c r="W193" s="217"/>
      <c r="X193" s="218">
        <v>28</v>
      </c>
      <c r="Y193" s="221">
        <f t="shared" si="8"/>
        <v>23</v>
      </c>
      <c r="Z193">
        <f t="shared" si="6"/>
        <v>0</v>
      </c>
    </row>
    <row r="194" spans="1:26" x14ac:dyDescent="0.2">
      <c r="A194" s="26">
        <f t="shared" si="7"/>
        <v>42143</v>
      </c>
      <c r="B194" s="216">
        <v>2015</v>
      </c>
      <c r="C194" s="216">
        <v>5</v>
      </c>
      <c r="D194" s="216">
        <v>19</v>
      </c>
      <c r="E194" s="216" t="s">
        <v>153</v>
      </c>
      <c r="F194" s="217">
        <v>6</v>
      </c>
      <c r="G194" s="217">
        <v>4</v>
      </c>
      <c r="H194" s="217"/>
      <c r="I194" s="217"/>
      <c r="J194" s="217">
        <v>5</v>
      </c>
      <c r="K194" s="217"/>
      <c r="L194" s="217">
        <v>1</v>
      </c>
      <c r="M194" s="217"/>
      <c r="N194" s="217"/>
      <c r="O194" s="217"/>
      <c r="P194" s="217">
        <v>5</v>
      </c>
      <c r="Q194" s="217"/>
      <c r="R194" s="217">
        <v>5</v>
      </c>
      <c r="S194" s="217"/>
      <c r="T194" s="217">
        <v>1</v>
      </c>
      <c r="U194" s="217"/>
      <c r="V194" s="217"/>
      <c r="W194" s="217"/>
      <c r="X194" s="218">
        <v>27</v>
      </c>
      <c r="Y194" s="221">
        <f t="shared" si="8"/>
        <v>21</v>
      </c>
      <c r="Z194">
        <f t="shared" ref="Z194:Z257" si="9">IF(AND(WEEKDAY(A194,2)=6,E194="Sim"),X194,0)</f>
        <v>0</v>
      </c>
    </row>
    <row r="195" spans="1:26" x14ac:dyDescent="0.2">
      <c r="A195" s="26">
        <f t="shared" ref="A195:A258" si="10">DATE(B195,C195,D195)</f>
        <v>42144</v>
      </c>
      <c r="B195" s="216">
        <v>2015</v>
      </c>
      <c r="C195" s="216">
        <v>5</v>
      </c>
      <c r="D195" s="216">
        <v>20</v>
      </c>
      <c r="E195" s="216" t="s">
        <v>152</v>
      </c>
      <c r="F195" s="217">
        <v>14</v>
      </c>
      <c r="G195" s="217">
        <v>3</v>
      </c>
      <c r="H195" s="217"/>
      <c r="I195" s="217"/>
      <c r="J195" s="217"/>
      <c r="K195" s="217"/>
      <c r="L195" s="217">
        <v>7</v>
      </c>
      <c r="M195" s="217"/>
      <c r="N195" s="217"/>
      <c r="O195" s="217"/>
      <c r="P195" s="217">
        <v>2</v>
      </c>
      <c r="Q195" s="217"/>
      <c r="R195" s="217">
        <v>2</v>
      </c>
      <c r="S195" s="217"/>
      <c r="T195" s="217">
        <v>1</v>
      </c>
      <c r="U195" s="217"/>
      <c r="V195" s="217"/>
      <c r="W195" s="217"/>
      <c r="X195" s="218">
        <v>29</v>
      </c>
      <c r="Y195" s="221">
        <f t="shared" ref="Y195:Y258" si="11">SUM(G195:W195)</f>
        <v>15</v>
      </c>
      <c r="Z195">
        <f t="shared" si="9"/>
        <v>0</v>
      </c>
    </row>
    <row r="196" spans="1:26" x14ac:dyDescent="0.2">
      <c r="A196" s="26">
        <f t="shared" si="10"/>
        <v>42144</v>
      </c>
      <c r="B196" s="216">
        <v>2015</v>
      </c>
      <c r="C196" s="216">
        <v>5</v>
      </c>
      <c r="D196" s="216">
        <v>20</v>
      </c>
      <c r="E196" s="216" t="s">
        <v>153</v>
      </c>
      <c r="F196" s="217">
        <v>13</v>
      </c>
      <c r="G196" s="217">
        <v>8</v>
      </c>
      <c r="H196" s="217"/>
      <c r="I196" s="217"/>
      <c r="J196" s="217"/>
      <c r="K196" s="217"/>
      <c r="L196" s="217">
        <v>4</v>
      </c>
      <c r="M196" s="217"/>
      <c r="N196" s="217"/>
      <c r="O196" s="217"/>
      <c r="P196" s="217">
        <v>2</v>
      </c>
      <c r="Q196" s="217"/>
      <c r="R196" s="217">
        <v>8</v>
      </c>
      <c r="S196" s="217"/>
      <c r="T196" s="217"/>
      <c r="U196" s="217"/>
      <c r="V196" s="217"/>
      <c r="W196" s="217"/>
      <c r="X196" s="218">
        <v>35</v>
      </c>
      <c r="Y196" s="221">
        <f t="shared" si="11"/>
        <v>22</v>
      </c>
      <c r="Z196">
        <f t="shared" si="9"/>
        <v>0</v>
      </c>
    </row>
    <row r="197" spans="1:26" x14ac:dyDescent="0.2">
      <c r="A197" s="26">
        <f t="shared" si="10"/>
        <v>42145</v>
      </c>
      <c r="B197" s="216">
        <v>2015</v>
      </c>
      <c r="C197" s="216">
        <v>5</v>
      </c>
      <c r="D197" s="216">
        <v>21</v>
      </c>
      <c r="E197" s="216" t="s">
        <v>152</v>
      </c>
      <c r="F197" s="217">
        <v>2</v>
      </c>
      <c r="G197" s="217">
        <v>1</v>
      </c>
      <c r="H197" s="217"/>
      <c r="I197" s="217"/>
      <c r="J197" s="217"/>
      <c r="K197" s="217"/>
      <c r="L197" s="217">
        <v>1</v>
      </c>
      <c r="M197" s="217"/>
      <c r="N197" s="217"/>
      <c r="O197" s="217"/>
      <c r="P197" s="217"/>
      <c r="Q197" s="217">
        <v>5</v>
      </c>
      <c r="R197" s="217">
        <v>4</v>
      </c>
      <c r="S197" s="217"/>
      <c r="T197" s="217"/>
      <c r="U197" s="217"/>
      <c r="V197" s="217"/>
      <c r="W197" s="217"/>
      <c r="X197" s="218">
        <v>13</v>
      </c>
      <c r="Y197" s="221">
        <f t="shared" si="11"/>
        <v>11</v>
      </c>
      <c r="Z197">
        <f t="shared" si="9"/>
        <v>0</v>
      </c>
    </row>
    <row r="198" spans="1:26" x14ac:dyDescent="0.2">
      <c r="A198" s="26">
        <f t="shared" si="10"/>
        <v>42145</v>
      </c>
      <c r="B198" s="216">
        <v>2015</v>
      </c>
      <c r="C198" s="216">
        <v>5</v>
      </c>
      <c r="D198" s="216">
        <v>21</v>
      </c>
      <c r="E198" s="216" t="s">
        <v>153</v>
      </c>
      <c r="F198" s="217">
        <v>4</v>
      </c>
      <c r="G198" s="217">
        <v>6</v>
      </c>
      <c r="H198" s="217"/>
      <c r="I198" s="217">
        <v>1</v>
      </c>
      <c r="J198" s="217">
        <v>4</v>
      </c>
      <c r="K198" s="217"/>
      <c r="L198" s="217">
        <v>12</v>
      </c>
      <c r="M198" s="217"/>
      <c r="N198" s="217"/>
      <c r="O198" s="217"/>
      <c r="P198" s="217"/>
      <c r="Q198" s="217"/>
      <c r="R198" s="217">
        <v>14</v>
      </c>
      <c r="S198" s="217"/>
      <c r="T198" s="217">
        <v>2</v>
      </c>
      <c r="U198" s="217"/>
      <c r="V198" s="217"/>
      <c r="W198" s="217"/>
      <c r="X198" s="218">
        <v>43</v>
      </c>
      <c r="Y198" s="221">
        <f t="shared" si="11"/>
        <v>39</v>
      </c>
      <c r="Z198">
        <f t="shared" si="9"/>
        <v>0</v>
      </c>
    </row>
    <row r="199" spans="1:26" x14ac:dyDescent="0.2">
      <c r="A199" s="26">
        <f t="shared" si="10"/>
        <v>42146</v>
      </c>
      <c r="B199" s="216">
        <v>2015</v>
      </c>
      <c r="C199" s="216">
        <v>5</v>
      </c>
      <c r="D199" s="216">
        <v>22</v>
      </c>
      <c r="E199" s="216" t="s">
        <v>152</v>
      </c>
      <c r="F199" s="217">
        <v>2</v>
      </c>
      <c r="G199" s="217">
        <v>4</v>
      </c>
      <c r="H199" s="217"/>
      <c r="I199" s="217"/>
      <c r="J199" s="217"/>
      <c r="K199" s="217"/>
      <c r="L199" s="217">
        <v>2</v>
      </c>
      <c r="M199" s="217"/>
      <c r="N199" s="217"/>
      <c r="O199" s="217"/>
      <c r="P199" s="217">
        <v>1</v>
      </c>
      <c r="Q199" s="217">
        <v>3</v>
      </c>
      <c r="R199" s="217">
        <v>6</v>
      </c>
      <c r="S199" s="217"/>
      <c r="T199" s="217">
        <v>2</v>
      </c>
      <c r="U199" s="217"/>
      <c r="V199" s="217"/>
      <c r="W199" s="217">
        <v>5</v>
      </c>
      <c r="X199" s="218">
        <v>25</v>
      </c>
      <c r="Y199" s="221">
        <f t="shared" si="11"/>
        <v>23</v>
      </c>
      <c r="Z199">
        <f t="shared" si="9"/>
        <v>0</v>
      </c>
    </row>
    <row r="200" spans="1:26" x14ac:dyDescent="0.2">
      <c r="A200" s="26">
        <f t="shared" si="10"/>
        <v>42146</v>
      </c>
      <c r="B200" s="216">
        <v>2015</v>
      </c>
      <c r="C200" s="216">
        <v>5</v>
      </c>
      <c r="D200" s="216">
        <v>22</v>
      </c>
      <c r="E200" s="216" t="s">
        <v>153</v>
      </c>
      <c r="F200" s="217"/>
      <c r="G200" s="217">
        <v>4</v>
      </c>
      <c r="H200" s="217"/>
      <c r="I200" s="217">
        <v>1</v>
      </c>
      <c r="J200" s="217">
        <v>6</v>
      </c>
      <c r="K200" s="217"/>
      <c r="L200" s="217">
        <v>1</v>
      </c>
      <c r="M200" s="217"/>
      <c r="N200" s="217"/>
      <c r="O200" s="217"/>
      <c r="P200" s="217">
        <v>5</v>
      </c>
      <c r="Q200" s="217">
        <v>3</v>
      </c>
      <c r="R200" s="217">
        <v>10</v>
      </c>
      <c r="S200" s="217"/>
      <c r="T200" s="217"/>
      <c r="U200" s="217"/>
      <c r="V200" s="217"/>
      <c r="W200" s="217"/>
      <c r="X200" s="218">
        <v>30</v>
      </c>
      <c r="Y200" s="221">
        <f t="shared" si="11"/>
        <v>30</v>
      </c>
      <c r="Z200">
        <f t="shared" si="9"/>
        <v>0</v>
      </c>
    </row>
    <row r="201" spans="1:26" x14ac:dyDescent="0.2">
      <c r="A201" s="26">
        <f t="shared" si="10"/>
        <v>42149</v>
      </c>
      <c r="B201" s="216">
        <v>2015</v>
      </c>
      <c r="C201" s="216">
        <v>5</v>
      </c>
      <c r="D201" s="216">
        <v>25</v>
      </c>
      <c r="E201" s="216" t="s">
        <v>152</v>
      </c>
      <c r="F201" s="217">
        <v>15</v>
      </c>
      <c r="G201" s="217">
        <v>3</v>
      </c>
      <c r="H201" s="217"/>
      <c r="I201" s="217">
        <v>1</v>
      </c>
      <c r="J201" s="217">
        <v>2</v>
      </c>
      <c r="K201" s="217"/>
      <c r="L201" s="217">
        <v>1</v>
      </c>
      <c r="M201" s="217"/>
      <c r="N201" s="217"/>
      <c r="O201" s="217"/>
      <c r="P201" s="217"/>
      <c r="Q201" s="217">
        <v>3</v>
      </c>
      <c r="R201" s="217">
        <v>5</v>
      </c>
      <c r="S201" s="217"/>
      <c r="T201" s="217">
        <v>1</v>
      </c>
      <c r="U201" s="217"/>
      <c r="V201" s="217"/>
      <c r="W201" s="217">
        <v>1</v>
      </c>
      <c r="X201" s="218">
        <v>32</v>
      </c>
      <c r="Y201" s="221">
        <f t="shared" si="11"/>
        <v>17</v>
      </c>
      <c r="Z201">
        <f t="shared" si="9"/>
        <v>0</v>
      </c>
    </row>
    <row r="202" spans="1:26" x14ac:dyDescent="0.2">
      <c r="A202" s="26">
        <f t="shared" si="10"/>
        <v>42149</v>
      </c>
      <c r="B202" s="216">
        <v>2015</v>
      </c>
      <c r="C202" s="216">
        <v>5</v>
      </c>
      <c r="D202" s="216">
        <v>25</v>
      </c>
      <c r="E202" s="216" t="s">
        <v>153</v>
      </c>
      <c r="F202" s="217">
        <v>1</v>
      </c>
      <c r="G202" s="217">
        <v>10</v>
      </c>
      <c r="H202" s="217"/>
      <c r="I202" s="217"/>
      <c r="J202" s="217">
        <v>1</v>
      </c>
      <c r="K202" s="217"/>
      <c r="L202" s="217">
        <v>9</v>
      </c>
      <c r="M202" s="217"/>
      <c r="N202" s="217"/>
      <c r="O202" s="217"/>
      <c r="P202" s="217"/>
      <c r="Q202" s="217">
        <v>6</v>
      </c>
      <c r="R202" s="217">
        <v>3</v>
      </c>
      <c r="S202" s="217"/>
      <c r="T202" s="217">
        <v>4</v>
      </c>
      <c r="U202" s="217"/>
      <c r="V202" s="217"/>
      <c r="W202" s="217"/>
      <c r="X202" s="218">
        <v>34</v>
      </c>
      <c r="Y202" s="221">
        <f t="shared" si="11"/>
        <v>33</v>
      </c>
      <c r="Z202">
        <f t="shared" si="9"/>
        <v>0</v>
      </c>
    </row>
    <row r="203" spans="1:26" x14ac:dyDescent="0.2">
      <c r="A203" s="26">
        <f t="shared" si="10"/>
        <v>42150</v>
      </c>
      <c r="B203" s="216">
        <v>2015</v>
      </c>
      <c r="C203" s="216">
        <v>5</v>
      </c>
      <c r="D203" s="216">
        <v>26</v>
      </c>
      <c r="E203" s="216" t="s">
        <v>152</v>
      </c>
      <c r="F203" s="217">
        <v>6</v>
      </c>
      <c r="G203" s="217">
        <v>2</v>
      </c>
      <c r="H203" s="217">
        <v>2</v>
      </c>
      <c r="I203" s="217"/>
      <c r="J203" s="217">
        <v>3</v>
      </c>
      <c r="K203" s="217"/>
      <c r="L203" s="217">
        <v>1</v>
      </c>
      <c r="M203" s="217"/>
      <c r="N203" s="217"/>
      <c r="O203" s="217"/>
      <c r="P203" s="217"/>
      <c r="Q203" s="217"/>
      <c r="R203" s="217">
        <v>4</v>
      </c>
      <c r="S203" s="217"/>
      <c r="T203" s="217"/>
      <c r="U203" s="217"/>
      <c r="V203" s="217"/>
      <c r="W203" s="217"/>
      <c r="X203" s="218">
        <v>18</v>
      </c>
      <c r="Y203" s="221">
        <f t="shared" si="11"/>
        <v>12</v>
      </c>
      <c r="Z203">
        <f t="shared" si="9"/>
        <v>0</v>
      </c>
    </row>
    <row r="204" spans="1:26" x14ac:dyDescent="0.2">
      <c r="A204" s="26">
        <f t="shared" si="10"/>
        <v>42150</v>
      </c>
      <c r="B204" s="216">
        <v>2015</v>
      </c>
      <c r="C204" s="216">
        <v>5</v>
      </c>
      <c r="D204" s="216">
        <v>26</v>
      </c>
      <c r="E204" s="216" t="s">
        <v>153</v>
      </c>
      <c r="F204" s="217">
        <v>1</v>
      </c>
      <c r="G204" s="217">
        <v>2</v>
      </c>
      <c r="H204" s="217"/>
      <c r="I204" s="217"/>
      <c r="J204" s="217"/>
      <c r="K204" s="217"/>
      <c r="L204" s="217">
        <v>2</v>
      </c>
      <c r="M204" s="217"/>
      <c r="N204" s="217"/>
      <c r="O204" s="217"/>
      <c r="P204" s="217"/>
      <c r="Q204" s="217">
        <v>1</v>
      </c>
      <c r="R204" s="217">
        <v>2</v>
      </c>
      <c r="S204" s="217"/>
      <c r="T204" s="217">
        <v>4</v>
      </c>
      <c r="U204" s="217"/>
      <c r="V204" s="217"/>
      <c r="W204" s="217"/>
      <c r="X204" s="218">
        <v>12</v>
      </c>
      <c r="Y204" s="221">
        <f t="shared" si="11"/>
        <v>11</v>
      </c>
      <c r="Z204">
        <f t="shared" si="9"/>
        <v>0</v>
      </c>
    </row>
    <row r="205" spans="1:26" x14ac:dyDescent="0.2">
      <c r="A205" s="26">
        <f t="shared" si="10"/>
        <v>42151</v>
      </c>
      <c r="B205" s="216">
        <v>2015</v>
      </c>
      <c r="C205" s="216">
        <v>5</v>
      </c>
      <c r="D205" s="216">
        <v>27</v>
      </c>
      <c r="E205" s="216" t="s">
        <v>152</v>
      </c>
      <c r="F205" s="217">
        <v>12</v>
      </c>
      <c r="G205" s="217">
        <v>1</v>
      </c>
      <c r="H205" s="217"/>
      <c r="I205" s="217"/>
      <c r="J205" s="217"/>
      <c r="K205" s="217"/>
      <c r="L205" s="217"/>
      <c r="M205" s="217"/>
      <c r="N205" s="217"/>
      <c r="O205" s="217"/>
      <c r="P205" s="217"/>
      <c r="Q205" s="217">
        <v>6</v>
      </c>
      <c r="R205" s="217">
        <v>2</v>
      </c>
      <c r="S205" s="217"/>
      <c r="T205" s="217">
        <v>2</v>
      </c>
      <c r="U205" s="217"/>
      <c r="V205" s="217"/>
      <c r="W205" s="217"/>
      <c r="X205" s="218">
        <v>23</v>
      </c>
      <c r="Y205" s="221">
        <f t="shared" si="11"/>
        <v>11</v>
      </c>
      <c r="Z205">
        <f t="shared" si="9"/>
        <v>0</v>
      </c>
    </row>
    <row r="206" spans="1:26" x14ac:dyDescent="0.2">
      <c r="A206" s="26">
        <f t="shared" si="10"/>
        <v>42151</v>
      </c>
      <c r="B206" s="216">
        <v>2015</v>
      </c>
      <c r="C206" s="216">
        <v>5</v>
      </c>
      <c r="D206" s="216">
        <v>27</v>
      </c>
      <c r="E206" s="216" t="s">
        <v>153</v>
      </c>
      <c r="F206" s="217">
        <v>9</v>
      </c>
      <c r="G206" s="217">
        <v>5</v>
      </c>
      <c r="H206" s="217"/>
      <c r="I206" s="217"/>
      <c r="J206" s="217">
        <v>6</v>
      </c>
      <c r="K206" s="217"/>
      <c r="L206" s="217">
        <v>2</v>
      </c>
      <c r="M206" s="217"/>
      <c r="N206" s="217"/>
      <c r="O206" s="217"/>
      <c r="P206" s="217"/>
      <c r="Q206" s="217">
        <v>13</v>
      </c>
      <c r="R206" s="217">
        <v>4</v>
      </c>
      <c r="S206" s="217"/>
      <c r="T206" s="217">
        <v>4</v>
      </c>
      <c r="U206" s="217"/>
      <c r="V206" s="217"/>
      <c r="W206" s="217"/>
      <c r="X206" s="218">
        <v>43</v>
      </c>
      <c r="Y206" s="221">
        <f t="shared" si="11"/>
        <v>34</v>
      </c>
      <c r="Z206">
        <f t="shared" si="9"/>
        <v>0</v>
      </c>
    </row>
    <row r="207" spans="1:26" x14ac:dyDescent="0.2">
      <c r="A207" s="26">
        <f t="shared" si="10"/>
        <v>42152</v>
      </c>
      <c r="B207" s="216">
        <v>2015</v>
      </c>
      <c r="C207" s="216">
        <v>5</v>
      </c>
      <c r="D207" s="216">
        <v>28</v>
      </c>
      <c r="E207" s="216" t="s">
        <v>152</v>
      </c>
      <c r="F207" s="217">
        <v>13</v>
      </c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8">
        <v>13</v>
      </c>
      <c r="Y207" s="221">
        <f t="shared" si="11"/>
        <v>0</v>
      </c>
      <c r="Z207">
        <f t="shared" si="9"/>
        <v>0</v>
      </c>
    </row>
    <row r="208" spans="1:26" x14ac:dyDescent="0.2">
      <c r="A208" s="26">
        <f t="shared" si="10"/>
        <v>42152</v>
      </c>
      <c r="B208" s="216">
        <v>2015</v>
      </c>
      <c r="C208" s="216">
        <v>5</v>
      </c>
      <c r="D208" s="216">
        <v>28</v>
      </c>
      <c r="E208" s="216" t="s">
        <v>153</v>
      </c>
      <c r="F208" s="217">
        <v>12</v>
      </c>
      <c r="G208" s="217"/>
      <c r="H208" s="217"/>
      <c r="I208" s="217"/>
      <c r="J208" s="217"/>
      <c r="K208" s="217"/>
      <c r="L208" s="217"/>
      <c r="M208" s="217"/>
      <c r="N208" s="217"/>
      <c r="O208" s="217"/>
      <c r="P208" s="217">
        <v>1</v>
      </c>
      <c r="Q208" s="217"/>
      <c r="R208" s="217"/>
      <c r="S208" s="217"/>
      <c r="T208" s="217"/>
      <c r="U208" s="217"/>
      <c r="V208" s="217"/>
      <c r="W208" s="217"/>
      <c r="X208" s="218">
        <v>13</v>
      </c>
      <c r="Y208" s="221">
        <f t="shared" si="11"/>
        <v>1</v>
      </c>
      <c r="Z208">
        <f t="shared" si="9"/>
        <v>0</v>
      </c>
    </row>
    <row r="209" spans="1:26" x14ac:dyDescent="0.2">
      <c r="A209" s="26">
        <f t="shared" si="10"/>
        <v>42153</v>
      </c>
      <c r="B209" s="216">
        <v>2015</v>
      </c>
      <c r="C209" s="216">
        <v>5</v>
      </c>
      <c r="D209" s="216">
        <v>29</v>
      </c>
      <c r="E209" s="216" t="s">
        <v>152</v>
      </c>
      <c r="F209" s="217">
        <v>3</v>
      </c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>
        <v>3</v>
      </c>
      <c r="R209" s="217">
        <v>4</v>
      </c>
      <c r="S209" s="217"/>
      <c r="T209" s="217">
        <v>1</v>
      </c>
      <c r="U209" s="217"/>
      <c r="V209" s="217"/>
      <c r="W209" s="217"/>
      <c r="X209" s="218">
        <v>11</v>
      </c>
      <c r="Y209" s="221">
        <f t="shared" si="11"/>
        <v>8</v>
      </c>
      <c r="Z209">
        <f t="shared" si="9"/>
        <v>0</v>
      </c>
    </row>
    <row r="210" spans="1:26" x14ac:dyDescent="0.2">
      <c r="A210" s="26">
        <f t="shared" si="10"/>
        <v>42153</v>
      </c>
      <c r="B210" s="216">
        <v>2015</v>
      </c>
      <c r="C210" s="216">
        <v>5</v>
      </c>
      <c r="D210" s="216">
        <v>29</v>
      </c>
      <c r="E210" s="216" t="s">
        <v>153</v>
      </c>
      <c r="F210" s="217">
        <v>2</v>
      </c>
      <c r="G210" s="217">
        <v>3</v>
      </c>
      <c r="H210" s="217"/>
      <c r="I210" s="217"/>
      <c r="J210" s="217"/>
      <c r="K210" s="217"/>
      <c r="L210" s="217">
        <v>1</v>
      </c>
      <c r="M210" s="217"/>
      <c r="N210" s="217"/>
      <c r="O210" s="217"/>
      <c r="P210" s="217"/>
      <c r="Q210" s="217">
        <v>3</v>
      </c>
      <c r="R210" s="217"/>
      <c r="S210" s="217"/>
      <c r="T210" s="217"/>
      <c r="U210" s="217"/>
      <c r="V210" s="217"/>
      <c r="W210" s="217"/>
      <c r="X210" s="218">
        <v>9</v>
      </c>
      <c r="Y210" s="221">
        <f t="shared" si="11"/>
        <v>7</v>
      </c>
      <c r="Z210">
        <f t="shared" si="9"/>
        <v>0</v>
      </c>
    </row>
    <row r="211" spans="1:26" x14ac:dyDescent="0.2">
      <c r="A211" s="26">
        <f t="shared" si="10"/>
        <v>42154</v>
      </c>
      <c r="B211" s="216">
        <v>2015</v>
      </c>
      <c r="C211" s="216">
        <v>5</v>
      </c>
      <c r="D211" s="216">
        <v>30</v>
      </c>
      <c r="E211" s="216" t="s">
        <v>153</v>
      </c>
      <c r="F211" s="217"/>
      <c r="G211" s="217"/>
      <c r="H211" s="217"/>
      <c r="I211" s="217"/>
      <c r="J211" s="217">
        <v>1</v>
      </c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8">
        <v>1</v>
      </c>
      <c r="Y211" s="221">
        <f t="shared" si="11"/>
        <v>1</v>
      </c>
      <c r="Z211">
        <f t="shared" si="9"/>
        <v>1</v>
      </c>
    </row>
    <row r="212" spans="1:26" x14ac:dyDescent="0.2">
      <c r="A212" s="26">
        <f t="shared" si="10"/>
        <v>42156</v>
      </c>
      <c r="B212" s="216">
        <v>2015</v>
      </c>
      <c r="C212" s="216">
        <v>6</v>
      </c>
      <c r="D212" s="216">
        <v>1</v>
      </c>
      <c r="E212" s="216" t="s">
        <v>152</v>
      </c>
      <c r="F212" s="217">
        <v>14</v>
      </c>
      <c r="G212" s="217"/>
      <c r="H212" s="217"/>
      <c r="I212" s="217"/>
      <c r="J212" s="217">
        <v>2</v>
      </c>
      <c r="K212" s="217"/>
      <c r="L212" s="217">
        <v>1</v>
      </c>
      <c r="M212" s="217"/>
      <c r="N212" s="217"/>
      <c r="O212" s="217"/>
      <c r="P212" s="217"/>
      <c r="Q212" s="217">
        <v>3</v>
      </c>
      <c r="R212" s="217">
        <v>5</v>
      </c>
      <c r="S212" s="217"/>
      <c r="T212" s="217"/>
      <c r="U212" s="217"/>
      <c r="V212" s="217"/>
      <c r="W212" s="217"/>
      <c r="X212" s="218">
        <v>25</v>
      </c>
      <c r="Y212" s="221">
        <f t="shared" si="11"/>
        <v>11</v>
      </c>
      <c r="Z212">
        <f t="shared" si="9"/>
        <v>0</v>
      </c>
    </row>
    <row r="213" spans="1:26" x14ac:dyDescent="0.2">
      <c r="A213" s="26">
        <f t="shared" si="10"/>
        <v>42156</v>
      </c>
      <c r="B213" s="216">
        <v>2015</v>
      </c>
      <c r="C213" s="216">
        <v>6</v>
      </c>
      <c r="D213" s="216">
        <v>1</v>
      </c>
      <c r="E213" s="216" t="s">
        <v>153</v>
      </c>
      <c r="F213" s="217">
        <v>20</v>
      </c>
      <c r="G213" s="217">
        <v>1</v>
      </c>
      <c r="H213" s="217"/>
      <c r="I213" s="217"/>
      <c r="J213" s="217">
        <v>3</v>
      </c>
      <c r="K213" s="217"/>
      <c r="L213" s="217">
        <v>4</v>
      </c>
      <c r="M213" s="217"/>
      <c r="N213" s="217"/>
      <c r="O213" s="217"/>
      <c r="P213" s="217"/>
      <c r="Q213" s="217">
        <v>4</v>
      </c>
      <c r="R213" s="217">
        <v>2</v>
      </c>
      <c r="S213" s="217"/>
      <c r="T213" s="217"/>
      <c r="U213" s="217"/>
      <c r="V213" s="217"/>
      <c r="W213" s="217"/>
      <c r="X213" s="218">
        <v>34</v>
      </c>
      <c r="Y213" s="221">
        <f t="shared" si="11"/>
        <v>14</v>
      </c>
      <c r="Z213">
        <f t="shared" si="9"/>
        <v>0</v>
      </c>
    </row>
    <row r="214" spans="1:26" x14ac:dyDescent="0.2">
      <c r="A214" s="26">
        <f t="shared" si="10"/>
        <v>42157</v>
      </c>
      <c r="B214" s="216">
        <v>2015</v>
      </c>
      <c r="C214" s="216">
        <v>6</v>
      </c>
      <c r="D214" s="216">
        <v>2</v>
      </c>
      <c r="E214" s="216" t="s">
        <v>152</v>
      </c>
      <c r="F214" s="217">
        <v>16</v>
      </c>
      <c r="G214" s="217">
        <v>2</v>
      </c>
      <c r="H214" s="217"/>
      <c r="I214" s="217"/>
      <c r="J214" s="217">
        <v>1</v>
      </c>
      <c r="K214" s="217"/>
      <c r="L214" s="217">
        <v>10</v>
      </c>
      <c r="M214" s="217"/>
      <c r="N214" s="217"/>
      <c r="O214" s="217"/>
      <c r="P214" s="217"/>
      <c r="Q214" s="217">
        <v>5</v>
      </c>
      <c r="R214" s="217"/>
      <c r="S214" s="217"/>
      <c r="T214" s="217">
        <v>1</v>
      </c>
      <c r="U214" s="217"/>
      <c r="V214" s="217"/>
      <c r="W214" s="217"/>
      <c r="X214" s="218">
        <v>35</v>
      </c>
      <c r="Y214" s="221">
        <f t="shared" si="11"/>
        <v>19</v>
      </c>
      <c r="Z214">
        <f t="shared" si="9"/>
        <v>0</v>
      </c>
    </row>
    <row r="215" spans="1:26" x14ac:dyDescent="0.2">
      <c r="A215" s="26">
        <f t="shared" si="10"/>
        <v>42157</v>
      </c>
      <c r="B215" s="216">
        <v>2015</v>
      </c>
      <c r="C215" s="216">
        <v>6</v>
      </c>
      <c r="D215" s="216">
        <v>2</v>
      </c>
      <c r="E215" s="216" t="s">
        <v>153</v>
      </c>
      <c r="F215" s="217">
        <v>12</v>
      </c>
      <c r="G215" s="217">
        <v>3</v>
      </c>
      <c r="H215" s="217"/>
      <c r="I215" s="217"/>
      <c r="J215" s="217">
        <v>5</v>
      </c>
      <c r="K215" s="217"/>
      <c r="L215" s="217">
        <v>37</v>
      </c>
      <c r="M215" s="217"/>
      <c r="N215" s="217"/>
      <c r="O215" s="217"/>
      <c r="P215" s="217"/>
      <c r="Q215" s="217">
        <v>5</v>
      </c>
      <c r="R215" s="217">
        <v>1</v>
      </c>
      <c r="S215" s="217"/>
      <c r="T215" s="217">
        <v>6</v>
      </c>
      <c r="U215" s="217"/>
      <c r="V215" s="217"/>
      <c r="W215" s="217"/>
      <c r="X215" s="218">
        <v>69</v>
      </c>
      <c r="Y215" s="221">
        <f t="shared" si="11"/>
        <v>57</v>
      </c>
      <c r="Z215">
        <f t="shared" si="9"/>
        <v>0</v>
      </c>
    </row>
    <row r="216" spans="1:26" x14ac:dyDescent="0.2">
      <c r="A216" s="26">
        <f t="shared" si="10"/>
        <v>42158</v>
      </c>
      <c r="B216" s="216">
        <v>2015</v>
      </c>
      <c r="C216" s="216">
        <v>6</v>
      </c>
      <c r="D216" s="216">
        <v>3</v>
      </c>
      <c r="E216" s="216" t="s">
        <v>152</v>
      </c>
      <c r="F216" s="217">
        <v>12</v>
      </c>
      <c r="G216" s="217">
        <v>4</v>
      </c>
      <c r="H216" s="217">
        <v>2</v>
      </c>
      <c r="I216" s="217">
        <v>14</v>
      </c>
      <c r="J216" s="217">
        <v>22</v>
      </c>
      <c r="K216" s="217"/>
      <c r="L216" s="217">
        <v>8</v>
      </c>
      <c r="M216" s="217"/>
      <c r="N216" s="217"/>
      <c r="O216" s="217"/>
      <c r="P216" s="217"/>
      <c r="Q216" s="217">
        <v>4</v>
      </c>
      <c r="R216" s="217">
        <v>3</v>
      </c>
      <c r="S216" s="217"/>
      <c r="T216" s="217">
        <v>1</v>
      </c>
      <c r="U216" s="217"/>
      <c r="V216" s="217"/>
      <c r="W216" s="217">
        <v>1</v>
      </c>
      <c r="X216" s="218">
        <v>71</v>
      </c>
      <c r="Y216" s="221">
        <f t="shared" si="11"/>
        <v>59</v>
      </c>
      <c r="Z216">
        <f t="shared" si="9"/>
        <v>0</v>
      </c>
    </row>
    <row r="217" spans="1:26" x14ac:dyDescent="0.2">
      <c r="A217" s="26">
        <f t="shared" si="10"/>
        <v>42158</v>
      </c>
      <c r="B217" s="216">
        <v>2015</v>
      </c>
      <c r="C217" s="216">
        <v>6</v>
      </c>
      <c r="D217" s="216">
        <v>3</v>
      </c>
      <c r="E217" s="216" t="s">
        <v>153</v>
      </c>
      <c r="F217" s="217">
        <v>11</v>
      </c>
      <c r="G217" s="217">
        <v>8</v>
      </c>
      <c r="H217" s="217"/>
      <c r="I217" s="217"/>
      <c r="J217" s="217">
        <v>12</v>
      </c>
      <c r="K217" s="217">
        <v>1</v>
      </c>
      <c r="L217" s="217">
        <v>6</v>
      </c>
      <c r="M217" s="217"/>
      <c r="N217" s="217"/>
      <c r="O217" s="217"/>
      <c r="P217" s="217"/>
      <c r="Q217" s="217">
        <v>7</v>
      </c>
      <c r="R217" s="217">
        <v>4</v>
      </c>
      <c r="S217" s="217"/>
      <c r="T217" s="217">
        <v>1</v>
      </c>
      <c r="U217" s="217"/>
      <c r="V217" s="217"/>
      <c r="W217" s="217"/>
      <c r="X217" s="218">
        <v>50</v>
      </c>
      <c r="Y217" s="221">
        <f t="shared" si="11"/>
        <v>39</v>
      </c>
      <c r="Z217">
        <f t="shared" si="9"/>
        <v>0</v>
      </c>
    </row>
    <row r="218" spans="1:26" x14ac:dyDescent="0.2">
      <c r="A218" s="26">
        <f t="shared" si="10"/>
        <v>42160</v>
      </c>
      <c r="B218" s="216">
        <v>2015</v>
      </c>
      <c r="C218" s="216">
        <v>6</v>
      </c>
      <c r="D218" s="216">
        <v>5</v>
      </c>
      <c r="E218" s="216" t="s">
        <v>152</v>
      </c>
      <c r="F218" s="217">
        <v>45</v>
      </c>
      <c r="G218" s="217"/>
      <c r="H218" s="217">
        <v>23</v>
      </c>
      <c r="I218" s="217">
        <v>7</v>
      </c>
      <c r="J218" s="217">
        <v>37</v>
      </c>
      <c r="K218" s="217"/>
      <c r="L218" s="217">
        <v>8</v>
      </c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>
        <v>2</v>
      </c>
      <c r="X218" s="218">
        <v>122</v>
      </c>
      <c r="Y218" s="221">
        <f t="shared" si="11"/>
        <v>77</v>
      </c>
      <c r="Z218">
        <f t="shared" si="9"/>
        <v>0</v>
      </c>
    </row>
    <row r="219" spans="1:26" x14ac:dyDescent="0.2">
      <c r="A219" s="26">
        <f t="shared" si="10"/>
        <v>42160</v>
      </c>
      <c r="B219" s="216">
        <v>2015</v>
      </c>
      <c r="C219" s="216">
        <v>6</v>
      </c>
      <c r="D219" s="216">
        <v>5</v>
      </c>
      <c r="E219" s="216" t="s">
        <v>153</v>
      </c>
      <c r="F219" s="217">
        <v>9</v>
      </c>
      <c r="G219" s="217"/>
      <c r="H219" s="217"/>
      <c r="I219" s="217">
        <v>1</v>
      </c>
      <c r="J219" s="217">
        <v>2</v>
      </c>
      <c r="K219" s="217"/>
      <c r="L219" s="217">
        <v>2</v>
      </c>
      <c r="M219" s="217"/>
      <c r="N219" s="217"/>
      <c r="O219" s="217"/>
      <c r="P219" s="217"/>
      <c r="Q219" s="217">
        <v>2</v>
      </c>
      <c r="R219" s="217">
        <v>1</v>
      </c>
      <c r="S219" s="217"/>
      <c r="T219" s="217"/>
      <c r="U219" s="217"/>
      <c r="V219" s="217"/>
      <c r="W219" s="217"/>
      <c r="X219" s="218">
        <v>17</v>
      </c>
      <c r="Y219" s="221">
        <f t="shared" si="11"/>
        <v>8</v>
      </c>
      <c r="Z219">
        <f t="shared" si="9"/>
        <v>0</v>
      </c>
    </row>
    <row r="220" spans="1:26" x14ac:dyDescent="0.2">
      <c r="A220" s="26">
        <f t="shared" si="10"/>
        <v>42163</v>
      </c>
      <c r="B220" s="216">
        <v>2015</v>
      </c>
      <c r="C220" s="216">
        <v>6</v>
      </c>
      <c r="D220" s="216">
        <v>8</v>
      </c>
      <c r="E220" s="216" t="s">
        <v>152</v>
      </c>
      <c r="F220" s="217">
        <v>34</v>
      </c>
      <c r="G220" s="217">
        <v>1</v>
      </c>
      <c r="H220" s="217">
        <v>14</v>
      </c>
      <c r="I220" s="217">
        <v>15</v>
      </c>
      <c r="J220" s="217">
        <v>16</v>
      </c>
      <c r="K220" s="217"/>
      <c r="L220" s="217">
        <v>2</v>
      </c>
      <c r="M220" s="217"/>
      <c r="N220" s="217"/>
      <c r="O220" s="217"/>
      <c r="P220" s="217"/>
      <c r="Q220" s="217">
        <v>3</v>
      </c>
      <c r="R220" s="217">
        <v>2</v>
      </c>
      <c r="S220" s="217"/>
      <c r="T220" s="217"/>
      <c r="U220" s="217"/>
      <c r="V220" s="217"/>
      <c r="W220" s="217"/>
      <c r="X220" s="218">
        <v>87</v>
      </c>
      <c r="Y220" s="221">
        <f t="shared" si="11"/>
        <v>53</v>
      </c>
      <c r="Z220">
        <f t="shared" si="9"/>
        <v>0</v>
      </c>
    </row>
    <row r="221" spans="1:26" x14ac:dyDescent="0.2">
      <c r="A221" s="26">
        <f t="shared" si="10"/>
        <v>42163</v>
      </c>
      <c r="B221" s="216">
        <v>2015</v>
      </c>
      <c r="C221" s="216">
        <v>6</v>
      </c>
      <c r="D221" s="216">
        <v>8</v>
      </c>
      <c r="E221" s="216" t="s">
        <v>153</v>
      </c>
      <c r="F221" s="217">
        <v>36</v>
      </c>
      <c r="G221" s="217">
        <v>1</v>
      </c>
      <c r="H221" s="217">
        <v>1</v>
      </c>
      <c r="I221" s="217">
        <v>7</v>
      </c>
      <c r="J221" s="217">
        <v>8</v>
      </c>
      <c r="K221" s="217"/>
      <c r="L221" s="217">
        <v>10</v>
      </c>
      <c r="M221" s="217"/>
      <c r="N221" s="217"/>
      <c r="O221" s="217"/>
      <c r="P221" s="217"/>
      <c r="Q221" s="217">
        <v>3</v>
      </c>
      <c r="R221" s="217"/>
      <c r="S221" s="217"/>
      <c r="T221" s="217"/>
      <c r="U221" s="217"/>
      <c r="V221" s="217"/>
      <c r="W221" s="217">
        <v>1</v>
      </c>
      <c r="X221" s="218">
        <v>67</v>
      </c>
      <c r="Y221" s="221">
        <f t="shared" si="11"/>
        <v>31</v>
      </c>
      <c r="Z221">
        <f t="shared" si="9"/>
        <v>0</v>
      </c>
    </row>
    <row r="222" spans="1:26" x14ac:dyDescent="0.2">
      <c r="A222" s="26">
        <f t="shared" si="10"/>
        <v>42164</v>
      </c>
      <c r="B222" s="216">
        <v>2015</v>
      </c>
      <c r="C222" s="216">
        <v>6</v>
      </c>
      <c r="D222" s="216">
        <v>9</v>
      </c>
      <c r="E222" s="216" t="s">
        <v>152</v>
      </c>
      <c r="F222" s="217">
        <v>2</v>
      </c>
      <c r="G222" s="217"/>
      <c r="H222" s="217"/>
      <c r="I222" s="217">
        <v>1</v>
      </c>
      <c r="J222" s="217">
        <v>1</v>
      </c>
      <c r="K222" s="217"/>
      <c r="L222" s="217">
        <v>1</v>
      </c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8">
        <v>5</v>
      </c>
      <c r="Y222" s="221">
        <f t="shared" si="11"/>
        <v>3</v>
      </c>
      <c r="Z222">
        <f t="shared" si="9"/>
        <v>0</v>
      </c>
    </row>
    <row r="223" spans="1:26" x14ac:dyDescent="0.2">
      <c r="A223" s="26">
        <f t="shared" si="10"/>
        <v>42164</v>
      </c>
      <c r="B223" s="216">
        <v>2015</v>
      </c>
      <c r="C223" s="216">
        <v>6</v>
      </c>
      <c r="D223" s="216">
        <v>9</v>
      </c>
      <c r="E223" s="216" t="s">
        <v>153</v>
      </c>
      <c r="F223" s="217">
        <v>15</v>
      </c>
      <c r="G223" s="217"/>
      <c r="H223" s="217">
        <v>3</v>
      </c>
      <c r="I223" s="217">
        <v>3</v>
      </c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8">
        <v>21</v>
      </c>
      <c r="Y223" s="221">
        <f t="shared" si="11"/>
        <v>6</v>
      </c>
      <c r="Z223">
        <f t="shared" si="9"/>
        <v>0</v>
      </c>
    </row>
    <row r="224" spans="1:26" x14ac:dyDescent="0.2">
      <c r="A224" s="26">
        <f t="shared" si="10"/>
        <v>42165</v>
      </c>
      <c r="B224" s="216">
        <v>2015</v>
      </c>
      <c r="C224" s="216">
        <v>6</v>
      </c>
      <c r="D224" s="216">
        <v>10</v>
      </c>
      <c r="E224" s="216" t="s">
        <v>152</v>
      </c>
      <c r="F224" s="217">
        <v>15</v>
      </c>
      <c r="G224" s="217"/>
      <c r="H224" s="217">
        <v>3</v>
      </c>
      <c r="I224" s="217">
        <v>4</v>
      </c>
      <c r="J224" s="217"/>
      <c r="K224" s="217"/>
      <c r="L224" s="217">
        <v>4</v>
      </c>
      <c r="M224" s="217"/>
      <c r="N224" s="217"/>
      <c r="O224" s="217"/>
      <c r="P224" s="217"/>
      <c r="Q224" s="217"/>
      <c r="R224" s="217">
        <v>4</v>
      </c>
      <c r="S224" s="217"/>
      <c r="T224" s="217"/>
      <c r="U224" s="217"/>
      <c r="V224" s="217"/>
      <c r="W224" s="217"/>
      <c r="X224" s="218">
        <v>30</v>
      </c>
      <c r="Y224" s="221">
        <f t="shared" si="11"/>
        <v>15</v>
      </c>
      <c r="Z224">
        <f t="shared" si="9"/>
        <v>0</v>
      </c>
    </row>
    <row r="225" spans="1:26" x14ac:dyDescent="0.2">
      <c r="A225" s="26">
        <f t="shared" si="10"/>
        <v>42165</v>
      </c>
      <c r="B225" s="216">
        <v>2015</v>
      </c>
      <c r="C225" s="216">
        <v>6</v>
      </c>
      <c r="D225" s="216">
        <v>10</v>
      </c>
      <c r="E225" s="216" t="s">
        <v>153</v>
      </c>
      <c r="F225" s="217">
        <v>8</v>
      </c>
      <c r="G225" s="217"/>
      <c r="H225" s="217">
        <v>3</v>
      </c>
      <c r="I225" s="217">
        <v>2</v>
      </c>
      <c r="J225" s="217">
        <v>2</v>
      </c>
      <c r="K225" s="217"/>
      <c r="L225" s="217">
        <v>4</v>
      </c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8">
        <v>19</v>
      </c>
      <c r="Y225" s="221">
        <f t="shared" si="11"/>
        <v>11</v>
      </c>
      <c r="Z225">
        <f t="shared" si="9"/>
        <v>0</v>
      </c>
    </row>
    <row r="226" spans="1:26" x14ac:dyDescent="0.2">
      <c r="A226" s="26">
        <f t="shared" si="10"/>
        <v>42166</v>
      </c>
      <c r="B226" s="216">
        <v>2015</v>
      </c>
      <c r="C226" s="216">
        <v>6</v>
      </c>
      <c r="D226" s="216">
        <v>11</v>
      </c>
      <c r="E226" s="216" t="s">
        <v>152</v>
      </c>
      <c r="F226" s="217">
        <v>25</v>
      </c>
      <c r="G226" s="217"/>
      <c r="H226" s="217"/>
      <c r="I226" s="217">
        <v>1</v>
      </c>
      <c r="J226" s="217">
        <v>1</v>
      </c>
      <c r="K226" s="217"/>
      <c r="L226" s="217">
        <v>1</v>
      </c>
      <c r="M226" s="217"/>
      <c r="N226" s="217"/>
      <c r="O226" s="217"/>
      <c r="P226" s="217"/>
      <c r="Q226" s="217">
        <v>2</v>
      </c>
      <c r="R226" s="217">
        <v>1</v>
      </c>
      <c r="S226" s="217"/>
      <c r="T226" s="217"/>
      <c r="U226" s="217"/>
      <c r="V226" s="217"/>
      <c r="W226" s="217"/>
      <c r="X226" s="218">
        <v>31</v>
      </c>
      <c r="Y226" s="221">
        <f t="shared" si="11"/>
        <v>6</v>
      </c>
      <c r="Z226">
        <f t="shared" si="9"/>
        <v>0</v>
      </c>
    </row>
    <row r="227" spans="1:26" x14ac:dyDescent="0.2">
      <c r="A227" s="26">
        <f t="shared" si="10"/>
        <v>42166</v>
      </c>
      <c r="B227" s="216">
        <v>2015</v>
      </c>
      <c r="C227" s="216">
        <v>6</v>
      </c>
      <c r="D227" s="216">
        <v>11</v>
      </c>
      <c r="E227" s="216" t="s">
        <v>153</v>
      </c>
      <c r="F227" s="217">
        <v>17</v>
      </c>
      <c r="G227" s="217"/>
      <c r="H227" s="217">
        <v>7</v>
      </c>
      <c r="I227" s="217">
        <v>3</v>
      </c>
      <c r="J227" s="217">
        <v>5</v>
      </c>
      <c r="K227" s="217"/>
      <c r="L227" s="217">
        <v>2</v>
      </c>
      <c r="M227" s="217"/>
      <c r="N227" s="217"/>
      <c r="O227" s="217"/>
      <c r="P227" s="217"/>
      <c r="Q227" s="217">
        <v>1</v>
      </c>
      <c r="R227" s="217">
        <v>1</v>
      </c>
      <c r="S227" s="217"/>
      <c r="T227" s="217"/>
      <c r="U227" s="217"/>
      <c r="V227" s="217"/>
      <c r="W227" s="217"/>
      <c r="X227" s="218">
        <v>36</v>
      </c>
      <c r="Y227" s="221">
        <f t="shared" si="11"/>
        <v>19</v>
      </c>
      <c r="Z227">
        <f t="shared" si="9"/>
        <v>0</v>
      </c>
    </row>
    <row r="228" spans="1:26" x14ac:dyDescent="0.2">
      <c r="A228" s="26">
        <f t="shared" si="10"/>
        <v>42167</v>
      </c>
      <c r="B228" s="216">
        <v>2015</v>
      </c>
      <c r="C228" s="216">
        <v>6</v>
      </c>
      <c r="D228" s="216">
        <v>12</v>
      </c>
      <c r="E228" s="216" t="s">
        <v>152</v>
      </c>
      <c r="F228" s="217">
        <v>19</v>
      </c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>
        <v>1</v>
      </c>
      <c r="R228" s="217">
        <v>1</v>
      </c>
      <c r="S228" s="217"/>
      <c r="T228" s="217"/>
      <c r="U228" s="217"/>
      <c r="V228" s="217"/>
      <c r="W228" s="217"/>
      <c r="X228" s="218">
        <v>21</v>
      </c>
      <c r="Y228" s="221">
        <f t="shared" si="11"/>
        <v>2</v>
      </c>
      <c r="Z228">
        <f t="shared" si="9"/>
        <v>0</v>
      </c>
    </row>
    <row r="229" spans="1:26" x14ac:dyDescent="0.2">
      <c r="A229" s="26">
        <f t="shared" si="10"/>
        <v>42167</v>
      </c>
      <c r="B229" s="216">
        <v>2015</v>
      </c>
      <c r="C229" s="216">
        <v>6</v>
      </c>
      <c r="D229" s="216">
        <v>12</v>
      </c>
      <c r="E229" s="216" t="s">
        <v>153</v>
      </c>
      <c r="F229" s="217">
        <v>36</v>
      </c>
      <c r="G229" s="217"/>
      <c r="H229" s="217">
        <v>7</v>
      </c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8">
        <v>43</v>
      </c>
      <c r="Y229" s="221">
        <f t="shared" si="11"/>
        <v>7</v>
      </c>
      <c r="Z229">
        <f t="shared" si="9"/>
        <v>0</v>
      </c>
    </row>
    <row r="230" spans="1:26" x14ac:dyDescent="0.2">
      <c r="A230" s="26">
        <f t="shared" si="10"/>
        <v>42170</v>
      </c>
      <c r="B230" s="216">
        <v>2015</v>
      </c>
      <c r="C230" s="216">
        <v>6</v>
      </c>
      <c r="D230" s="216">
        <v>15</v>
      </c>
      <c r="E230" s="216" t="s">
        <v>152</v>
      </c>
      <c r="F230" s="217">
        <v>12</v>
      </c>
      <c r="G230" s="217"/>
      <c r="H230" s="217">
        <v>1</v>
      </c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8">
        <v>13</v>
      </c>
      <c r="Y230" s="221">
        <f t="shared" si="11"/>
        <v>1</v>
      </c>
      <c r="Z230">
        <f t="shared" si="9"/>
        <v>0</v>
      </c>
    </row>
    <row r="231" spans="1:26" x14ac:dyDescent="0.2">
      <c r="A231" s="26">
        <f t="shared" si="10"/>
        <v>42170</v>
      </c>
      <c r="B231" s="216">
        <v>2015</v>
      </c>
      <c r="C231" s="216">
        <v>6</v>
      </c>
      <c r="D231" s="216">
        <v>15</v>
      </c>
      <c r="E231" s="216" t="s">
        <v>153</v>
      </c>
      <c r="F231" s="217">
        <v>10</v>
      </c>
      <c r="G231" s="217"/>
      <c r="H231" s="217">
        <v>10</v>
      </c>
      <c r="I231" s="217"/>
      <c r="J231" s="217">
        <v>3</v>
      </c>
      <c r="K231" s="217"/>
      <c r="L231" s="217">
        <v>1</v>
      </c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8">
        <v>24</v>
      </c>
      <c r="Y231" s="221">
        <f t="shared" si="11"/>
        <v>14</v>
      </c>
      <c r="Z231">
        <f t="shared" si="9"/>
        <v>0</v>
      </c>
    </row>
    <row r="232" spans="1:26" x14ac:dyDescent="0.2">
      <c r="A232" s="26">
        <f t="shared" si="10"/>
        <v>42171</v>
      </c>
      <c r="B232" s="216">
        <v>2015</v>
      </c>
      <c r="C232" s="216">
        <v>6</v>
      </c>
      <c r="D232" s="216">
        <v>16</v>
      </c>
      <c r="E232" s="216" t="s">
        <v>152</v>
      </c>
      <c r="F232" s="217">
        <v>40</v>
      </c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8">
        <v>40</v>
      </c>
      <c r="Y232" s="221">
        <f t="shared" si="11"/>
        <v>0</v>
      </c>
      <c r="Z232">
        <f t="shared" si="9"/>
        <v>0</v>
      </c>
    </row>
    <row r="233" spans="1:26" x14ac:dyDescent="0.2">
      <c r="A233" s="26">
        <f t="shared" si="10"/>
        <v>42171</v>
      </c>
      <c r="B233" s="216">
        <v>2015</v>
      </c>
      <c r="C233" s="216">
        <v>6</v>
      </c>
      <c r="D233" s="216">
        <v>16</v>
      </c>
      <c r="E233" s="216" t="s">
        <v>153</v>
      </c>
      <c r="F233" s="217">
        <v>36</v>
      </c>
      <c r="G233" s="217"/>
      <c r="H233" s="217">
        <v>3</v>
      </c>
      <c r="I233" s="217"/>
      <c r="J233" s="217"/>
      <c r="K233" s="217">
        <v>1</v>
      </c>
      <c r="L233" s="217"/>
      <c r="M233" s="217"/>
      <c r="N233" s="217"/>
      <c r="O233" s="217"/>
      <c r="P233" s="217">
        <v>2</v>
      </c>
      <c r="Q233" s="217"/>
      <c r="R233" s="217"/>
      <c r="S233" s="217"/>
      <c r="T233" s="217">
        <v>1</v>
      </c>
      <c r="U233" s="217"/>
      <c r="V233" s="217"/>
      <c r="W233" s="217"/>
      <c r="X233" s="218">
        <v>43</v>
      </c>
      <c r="Y233" s="221">
        <f t="shared" si="11"/>
        <v>7</v>
      </c>
      <c r="Z233">
        <f t="shared" si="9"/>
        <v>0</v>
      </c>
    </row>
    <row r="234" spans="1:26" x14ac:dyDescent="0.2">
      <c r="A234" s="26">
        <f t="shared" si="10"/>
        <v>42172</v>
      </c>
      <c r="B234" s="216">
        <v>2015</v>
      </c>
      <c r="C234" s="216">
        <v>6</v>
      </c>
      <c r="D234" s="216">
        <v>17</v>
      </c>
      <c r="E234" s="216" t="s">
        <v>152</v>
      </c>
      <c r="F234" s="217">
        <v>22</v>
      </c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8">
        <v>22</v>
      </c>
      <c r="Y234" s="221">
        <f t="shared" si="11"/>
        <v>0</v>
      </c>
      <c r="Z234">
        <f t="shared" si="9"/>
        <v>0</v>
      </c>
    </row>
    <row r="235" spans="1:26" x14ac:dyDescent="0.2">
      <c r="A235" s="26">
        <f t="shared" si="10"/>
        <v>42172</v>
      </c>
      <c r="B235" s="216">
        <v>2015</v>
      </c>
      <c r="C235" s="216">
        <v>6</v>
      </c>
      <c r="D235" s="216">
        <v>17</v>
      </c>
      <c r="E235" s="216" t="s">
        <v>153</v>
      </c>
      <c r="F235" s="217">
        <v>3</v>
      </c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8">
        <v>3</v>
      </c>
      <c r="Y235" s="221">
        <f t="shared" si="11"/>
        <v>0</v>
      </c>
      <c r="Z235">
        <f t="shared" si="9"/>
        <v>0</v>
      </c>
    </row>
    <row r="236" spans="1:26" x14ac:dyDescent="0.2">
      <c r="A236" s="26">
        <f t="shared" si="10"/>
        <v>42173</v>
      </c>
      <c r="B236" s="216">
        <v>2015</v>
      </c>
      <c r="C236" s="216">
        <v>6</v>
      </c>
      <c r="D236" s="216">
        <v>18</v>
      </c>
      <c r="E236" s="216" t="s">
        <v>152</v>
      </c>
      <c r="F236" s="217">
        <v>34</v>
      </c>
      <c r="G236" s="217"/>
      <c r="H236" s="217">
        <v>5</v>
      </c>
      <c r="I236" s="217"/>
      <c r="J236" s="217">
        <v>1</v>
      </c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8">
        <v>40</v>
      </c>
      <c r="Y236" s="221">
        <f t="shared" si="11"/>
        <v>6</v>
      </c>
      <c r="Z236">
        <f t="shared" si="9"/>
        <v>0</v>
      </c>
    </row>
    <row r="237" spans="1:26" x14ac:dyDescent="0.2">
      <c r="A237" s="26">
        <f t="shared" si="10"/>
        <v>42173</v>
      </c>
      <c r="B237" s="216">
        <v>2015</v>
      </c>
      <c r="C237" s="216">
        <v>6</v>
      </c>
      <c r="D237" s="216">
        <v>18</v>
      </c>
      <c r="E237" s="216" t="s">
        <v>153</v>
      </c>
      <c r="F237" s="217">
        <v>20</v>
      </c>
      <c r="G237" s="217"/>
      <c r="H237" s="217">
        <v>6</v>
      </c>
      <c r="I237" s="217"/>
      <c r="J237" s="217">
        <v>1</v>
      </c>
      <c r="K237" s="217"/>
      <c r="L237" s="217"/>
      <c r="M237" s="217"/>
      <c r="N237" s="217"/>
      <c r="O237" s="217"/>
      <c r="P237" s="217"/>
      <c r="Q237" s="217"/>
      <c r="R237" s="217"/>
      <c r="S237" s="217"/>
      <c r="T237" s="217">
        <v>1</v>
      </c>
      <c r="U237" s="217"/>
      <c r="V237" s="217"/>
      <c r="W237" s="217"/>
      <c r="X237" s="218">
        <v>28</v>
      </c>
      <c r="Y237" s="221">
        <f t="shared" si="11"/>
        <v>8</v>
      </c>
      <c r="Z237">
        <f t="shared" si="9"/>
        <v>0</v>
      </c>
    </row>
    <row r="238" spans="1:26" x14ac:dyDescent="0.2">
      <c r="A238" s="26">
        <f t="shared" si="10"/>
        <v>42174</v>
      </c>
      <c r="B238" s="216">
        <v>2015</v>
      </c>
      <c r="C238" s="216">
        <v>6</v>
      </c>
      <c r="D238" s="216">
        <v>19</v>
      </c>
      <c r="E238" s="216" t="s">
        <v>152</v>
      </c>
      <c r="F238" s="217">
        <v>16</v>
      </c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>
        <v>1</v>
      </c>
      <c r="U238" s="217"/>
      <c r="V238" s="217"/>
      <c r="W238" s="217"/>
      <c r="X238" s="218">
        <v>17</v>
      </c>
      <c r="Y238" s="221">
        <f t="shared" si="11"/>
        <v>1</v>
      </c>
      <c r="Z238">
        <f t="shared" si="9"/>
        <v>0</v>
      </c>
    </row>
    <row r="239" spans="1:26" x14ac:dyDescent="0.2">
      <c r="A239" s="26">
        <f t="shared" si="10"/>
        <v>42174</v>
      </c>
      <c r="B239" s="216">
        <v>2015</v>
      </c>
      <c r="C239" s="216">
        <v>6</v>
      </c>
      <c r="D239" s="216">
        <v>19</v>
      </c>
      <c r="E239" s="216" t="s">
        <v>153</v>
      </c>
      <c r="F239" s="217">
        <v>16</v>
      </c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8">
        <v>16</v>
      </c>
      <c r="Y239" s="221">
        <f t="shared" si="11"/>
        <v>0</v>
      </c>
      <c r="Z239">
        <f t="shared" si="9"/>
        <v>0</v>
      </c>
    </row>
    <row r="240" spans="1:26" x14ac:dyDescent="0.2">
      <c r="A240" s="26">
        <f t="shared" si="10"/>
        <v>42175</v>
      </c>
      <c r="B240" s="216">
        <v>2015</v>
      </c>
      <c r="C240" s="216">
        <v>6</v>
      </c>
      <c r="D240" s="216">
        <v>20</v>
      </c>
      <c r="E240" s="216" t="s">
        <v>153</v>
      </c>
      <c r="F240" s="217">
        <v>2</v>
      </c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8">
        <v>2</v>
      </c>
      <c r="Y240" s="221">
        <f t="shared" si="11"/>
        <v>0</v>
      </c>
      <c r="Z240">
        <f t="shared" si="9"/>
        <v>2</v>
      </c>
    </row>
    <row r="241" spans="1:26" x14ac:dyDescent="0.2">
      <c r="A241" s="26">
        <f t="shared" si="10"/>
        <v>42177</v>
      </c>
      <c r="B241" s="216">
        <v>2015</v>
      </c>
      <c r="C241" s="216">
        <v>6</v>
      </c>
      <c r="D241" s="216">
        <v>22</v>
      </c>
      <c r="E241" s="216" t="s">
        <v>152</v>
      </c>
      <c r="F241" s="217">
        <v>1</v>
      </c>
      <c r="G241" s="217"/>
      <c r="H241" s="217"/>
      <c r="I241" s="217"/>
      <c r="J241" s="217"/>
      <c r="K241" s="217"/>
      <c r="L241" s="217"/>
      <c r="M241" s="217"/>
      <c r="N241" s="217"/>
      <c r="O241" s="217"/>
      <c r="P241" s="217">
        <v>2</v>
      </c>
      <c r="Q241" s="217"/>
      <c r="R241" s="217"/>
      <c r="S241" s="217"/>
      <c r="T241" s="217">
        <v>2</v>
      </c>
      <c r="U241" s="217"/>
      <c r="V241" s="217"/>
      <c r="W241" s="217"/>
      <c r="X241" s="218">
        <v>5</v>
      </c>
      <c r="Y241" s="221">
        <f t="shared" si="11"/>
        <v>4</v>
      </c>
      <c r="Z241">
        <f t="shared" si="9"/>
        <v>0</v>
      </c>
    </row>
    <row r="242" spans="1:26" x14ac:dyDescent="0.2">
      <c r="A242" s="26">
        <f t="shared" si="10"/>
        <v>42177</v>
      </c>
      <c r="B242" s="216">
        <v>2015</v>
      </c>
      <c r="C242" s="216">
        <v>6</v>
      </c>
      <c r="D242" s="216">
        <v>22</v>
      </c>
      <c r="E242" s="216" t="s">
        <v>153</v>
      </c>
      <c r="F242" s="217">
        <v>6</v>
      </c>
      <c r="G242" s="217"/>
      <c r="H242" s="217">
        <v>3</v>
      </c>
      <c r="I242" s="217"/>
      <c r="J242" s="217"/>
      <c r="K242" s="217"/>
      <c r="L242" s="217">
        <v>1</v>
      </c>
      <c r="M242" s="217"/>
      <c r="N242" s="217"/>
      <c r="O242" s="217"/>
      <c r="P242" s="217"/>
      <c r="Q242" s="217"/>
      <c r="R242" s="217"/>
      <c r="S242" s="217"/>
      <c r="T242" s="217">
        <v>4</v>
      </c>
      <c r="U242" s="217"/>
      <c r="V242" s="217"/>
      <c r="W242" s="217"/>
      <c r="X242" s="218">
        <v>14</v>
      </c>
      <c r="Y242" s="221">
        <f t="shared" si="11"/>
        <v>8</v>
      </c>
      <c r="Z242">
        <f t="shared" si="9"/>
        <v>0</v>
      </c>
    </row>
    <row r="243" spans="1:26" x14ac:dyDescent="0.2">
      <c r="A243" s="26">
        <f t="shared" si="10"/>
        <v>42178</v>
      </c>
      <c r="B243" s="216">
        <v>2015</v>
      </c>
      <c r="C243" s="216">
        <v>6</v>
      </c>
      <c r="D243" s="216">
        <v>23</v>
      </c>
      <c r="E243" s="216" t="s">
        <v>152</v>
      </c>
      <c r="F243" s="217">
        <v>8</v>
      </c>
      <c r="G243" s="217"/>
      <c r="H243" s="217"/>
      <c r="I243" s="217">
        <v>2</v>
      </c>
      <c r="J243" s="217">
        <v>2</v>
      </c>
      <c r="K243" s="217"/>
      <c r="L243" s="217">
        <v>1</v>
      </c>
      <c r="M243" s="217"/>
      <c r="N243" s="217"/>
      <c r="O243" s="217"/>
      <c r="P243" s="217"/>
      <c r="Q243" s="217"/>
      <c r="R243" s="217">
        <v>1</v>
      </c>
      <c r="S243" s="217"/>
      <c r="T243" s="217">
        <v>2</v>
      </c>
      <c r="U243" s="217"/>
      <c r="V243" s="217"/>
      <c r="W243" s="217">
        <v>1</v>
      </c>
      <c r="X243" s="218">
        <v>17</v>
      </c>
      <c r="Y243" s="221">
        <f t="shared" si="11"/>
        <v>9</v>
      </c>
      <c r="Z243">
        <f t="shared" si="9"/>
        <v>0</v>
      </c>
    </row>
    <row r="244" spans="1:26" x14ac:dyDescent="0.2">
      <c r="A244" s="26">
        <f t="shared" si="10"/>
        <v>42178</v>
      </c>
      <c r="B244" s="216">
        <v>2015</v>
      </c>
      <c r="C244" s="216">
        <v>6</v>
      </c>
      <c r="D244" s="216">
        <v>23</v>
      </c>
      <c r="E244" s="216" t="s">
        <v>153</v>
      </c>
      <c r="F244" s="217">
        <v>24</v>
      </c>
      <c r="G244" s="217"/>
      <c r="H244" s="217">
        <v>2</v>
      </c>
      <c r="I244" s="217">
        <v>1</v>
      </c>
      <c r="J244" s="217"/>
      <c r="K244" s="217"/>
      <c r="L244" s="217">
        <v>3</v>
      </c>
      <c r="M244" s="217"/>
      <c r="N244" s="217"/>
      <c r="O244" s="217"/>
      <c r="P244" s="217"/>
      <c r="Q244" s="217"/>
      <c r="R244" s="217">
        <v>2</v>
      </c>
      <c r="S244" s="217"/>
      <c r="T244" s="217">
        <v>2</v>
      </c>
      <c r="U244" s="217"/>
      <c r="V244" s="217"/>
      <c r="W244" s="217">
        <v>1</v>
      </c>
      <c r="X244" s="218">
        <v>35</v>
      </c>
      <c r="Y244" s="221">
        <f t="shared" si="11"/>
        <v>11</v>
      </c>
      <c r="Z244">
        <f t="shared" si="9"/>
        <v>0</v>
      </c>
    </row>
    <row r="245" spans="1:26" x14ac:dyDescent="0.2">
      <c r="A245" s="26">
        <f t="shared" si="10"/>
        <v>42179</v>
      </c>
      <c r="B245" s="216">
        <v>2015</v>
      </c>
      <c r="C245" s="216">
        <v>6</v>
      </c>
      <c r="D245" s="216">
        <v>24</v>
      </c>
      <c r="E245" s="216" t="s">
        <v>152</v>
      </c>
      <c r="F245" s="217">
        <v>11</v>
      </c>
      <c r="G245" s="217"/>
      <c r="H245" s="217"/>
      <c r="I245" s="217">
        <v>2</v>
      </c>
      <c r="J245" s="217"/>
      <c r="K245" s="217"/>
      <c r="L245" s="217"/>
      <c r="M245" s="217"/>
      <c r="N245" s="217"/>
      <c r="O245" s="217"/>
      <c r="P245" s="217"/>
      <c r="Q245" s="217"/>
      <c r="R245" s="217">
        <v>1</v>
      </c>
      <c r="S245" s="217"/>
      <c r="T245" s="217"/>
      <c r="U245" s="217"/>
      <c r="V245" s="217"/>
      <c r="W245" s="217">
        <v>7</v>
      </c>
      <c r="X245" s="218">
        <v>21</v>
      </c>
      <c r="Y245" s="221">
        <f t="shared" si="11"/>
        <v>10</v>
      </c>
      <c r="Z245">
        <f t="shared" si="9"/>
        <v>0</v>
      </c>
    </row>
    <row r="246" spans="1:26" x14ac:dyDescent="0.2">
      <c r="A246" s="26">
        <f t="shared" si="10"/>
        <v>42179</v>
      </c>
      <c r="B246" s="216">
        <v>2015</v>
      </c>
      <c r="C246" s="216">
        <v>6</v>
      </c>
      <c r="D246" s="216">
        <v>24</v>
      </c>
      <c r="E246" s="216" t="s">
        <v>153</v>
      </c>
      <c r="F246" s="217">
        <v>5</v>
      </c>
      <c r="G246" s="217"/>
      <c r="H246" s="217"/>
      <c r="I246" s="217"/>
      <c r="J246" s="217"/>
      <c r="K246" s="217"/>
      <c r="L246" s="217">
        <v>3</v>
      </c>
      <c r="M246" s="217"/>
      <c r="N246" s="217"/>
      <c r="O246" s="217"/>
      <c r="P246" s="217">
        <v>2</v>
      </c>
      <c r="Q246" s="217"/>
      <c r="R246" s="217"/>
      <c r="S246" s="217"/>
      <c r="T246" s="217"/>
      <c r="U246" s="217"/>
      <c r="V246" s="217"/>
      <c r="W246" s="217"/>
      <c r="X246" s="218">
        <v>10</v>
      </c>
      <c r="Y246" s="221">
        <f t="shared" si="11"/>
        <v>5</v>
      </c>
      <c r="Z246">
        <f t="shared" si="9"/>
        <v>0</v>
      </c>
    </row>
    <row r="247" spans="1:26" x14ac:dyDescent="0.2">
      <c r="A247" s="26">
        <f t="shared" si="10"/>
        <v>42180</v>
      </c>
      <c r="B247" s="216">
        <v>2015</v>
      </c>
      <c r="C247" s="216">
        <v>6</v>
      </c>
      <c r="D247" s="216">
        <v>25</v>
      </c>
      <c r="E247" s="216" t="s">
        <v>152</v>
      </c>
      <c r="F247" s="217">
        <v>9</v>
      </c>
      <c r="G247" s="217"/>
      <c r="H247" s="217"/>
      <c r="I247" s="217"/>
      <c r="J247" s="217">
        <v>5</v>
      </c>
      <c r="K247" s="217"/>
      <c r="L247" s="217"/>
      <c r="M247" s="217"/>
      <c r="N247" s="217"/>
      <c r="O247" s="217"/>
      <c r="P247" s="217">
        <v>1</v>
      </c>
      <c r="Q247" s="217"/>
      <c r="R247" s="217">
        <v>2</v>
      </c>
      <c r="S247" s="217"/>
      <c r="T247" s="217"/>
      <c r="U247" s="217"/>
      <c r="V247" s="217"/>
      <c r="W247" s="217">
        <v>3</v>
      </c>
      <c r="X247" s="218">
        <v>20</v>
      </c>
      <c r="Y247" s="221">
        <f t="shared" si="11"/>
        <v>11</v>
      </c>
      <c r="Z247">
        <f t="shared" si="9"/>
        <v>0</v>
      </c>
    </row>
    <row r="248" spans="1:26" x14ac:dyDescent="0.2">
      <c r="A248" s="26">
        <f t="shared" si="10"/>
        <v>42180</v>
      </c>
      <c r="B248" s="216">
        <v>2015</v>
      </c>
      <c r="C248" s="216">
        <v>6</v>
      </c>
      <c r="D248" s="216">
        <v>25</v>
      </c>
      <c r="E248" s="216" t="s">
        <v>153</v>
      </c>
      <c r="F248" s="217">
        <v>30</v>
      </c>
      <c r="G248" s="217"/>
      <c r="H248" s="217"/>
      <c r="I248" s="217"/>
      <c r="J248" s="217"/>
      <c r="K248" s="217"/>
      <c r="L248" s="217">
        <v>1</v>
      </c>
      <c r="M248" s="217"/>
      <c r="N248" s="217"/>
      <c r="O248" s="217"/>
      <c r="P248" s="217">
        <v>4</v>
      </c>
      <c r="Q248" s="217"/>
      <c r="R248" s="217">
        <v>2</v>
      </c>
      <c r="S248" s="217"/>
      <c r="T248" s="217"/>
      <c r="U248" s="217"/>
      <c r="V248" s="217"/>
      <c r="W248" s="217"/>
      <c r="X248" s="218">
        <v>37</v>
      </c>
      <c r="Y248" s="221">
        <f t="shared" si="11"/>
        <v>7</v>
      </c>
      <c r="Z248">
        <f t="shared" si="9"/>
        <v>0</v>
      </c>
    </row>
    <row r="249" spans="1:26" x14ac:dyDescent="0.2">
      <c r="A249" s="26">
        <f t="shared" si="10"/>
        <v>42181</v>
      </c>
      <c r="B249" s="216">
        <v>2015</v>
      </c>
      <c r="C249" s="216">
        <v>6</v>
      </c>
      <c r="D249" s="216">
        <v>26</v>
      </c>
      <c r="E249" s="216" t="s">
        <v>152</v>
      </c>
      <c r="F249" s="217">
        <v>11</v>
      </c>
      <c r="G249" s="217"/>
      <c r="H249" s="217">
        <v>7</v>
      </c>
      <c r="I249" s="217"/>
      <c r="J249" s="217">
        <v>12</v>
      </c>
      <c r="K249" s="217"/>
      <c r="L249" s="217">
        <v>6</v>
      </c>
      <c r="M249" s="217"/>
      <c r="N249" s="217"/>
      <c r="O249" s="217"/>
      <c r="P249" s="217">
        <v>2</v>
      </c>
      <c r="Q249" s="217"/>
      <c r="R249" s="217"/>
      <c r="S249" s="217"/>
      <c r="T249" s="217">
        <v>1</v>
      </c>
      <c r="U249" s="217"/>
      <c r="V249" s="217"/>
      <c r="W249" s="217">
        <v>3</v>
      </c>
      <c r="X249" s="218">
        <v>42</v>
      </c>
      <c r="Y249" s="221">
        <f t="shared" si="11"/>
        <v>31</v>
      </c>
      <c r="Z249">
        <f t="shared" si="9"/>
        <v>0</v>
      </c>
    </row>
    <row r="250" spans="1:26" x14ac:dyDescent="0.2">
      <c r="A250" s="26">
        <f t="shared" si="10"/>
        <v>42181</v>
      </c>
      <c r="B250" s="216">
        <v>2015</v>
      </c>
      <c r="C250" s="216">
        <v>6</v>
      </c>
      <c r="D250" s="216">
        <v>26</v>
      </c>
      <c r="E250" s="216" t="s">
        <v>153</v>
      </c>
      <c r="F250" s="217">
        <v>11</v>
      </c>
      <c r="G250" s="217"/>
      <c r="H250" s="217"/>
      <c r="I250" s="217"/>
      <c r="J250" s="217"/>
      <c r="K250" s="217"/>
      <c r="L250" s="217">
        <v>1</v>
      </c>
      <c r="M250" s="217"/>
      <c r="N250" s="217"/>
      <c r="O250" s="217"/>
      <c r="P250" s="217">
        <v>1</v>
      </c>
      <c r="Q250" s="217"/>
      <c r="R250" s="217">
        <v>3</v>
      </c>
      <c r="S250" s="217"/>
      <c r="T250" s="217"/>
      <c r="U250" s="217"/>
      <c r="V250" s="217"/>
      <c r="W250" s="217"/>
      <c r="X250" s="218">
        <v>16</v>
      </c>
      <c r="Y250" s="221">
        <f t="shared" si="11"/>
        <v>5</v>
      </c>
      <c r="Z250">
        <f t="shared" si="9"/>
        <v>0</v>
      </c>
    </row>
    <row r="251" spans="1:26" x14ac:dyDescent="0.2">
      <c r="A251" s="26">
        <f t="shared" si="10"/>
        <v>42184</v>
      </c>
      <c r="B251" s="216">
        <v>2015</v>
      </c>
      <c r="C251" s="216">
        <v>6</v>
      </c>
      <c r="D251" s="216">
        <v>29</v>
      </c>
      <c r="E251" s="216" t="s">
        <v>152</v>
      </c>
      <c r="F251" s="217">
        <v>29</v>
      </c>
      <c r="G251" s="217"/>
      <c r="H251" s="217"/>
      <c r="I251" s="217"/>
      <c r="J251" s="217"/>
      <c r="K251" s="217"/>
      <c r="L251" s="217">
        <v>1</v>
      </c>
      <c r="M251" s="217"/>
      <c r="N251" s="217"/>
      <c r="O251" s="217"/>
      <c r="P251" s="217"/>
      <c r="Q251" s="217"/>
      <c r="R251" s="217"/>
      <c r="S251" s="217"/>
      <c r="T251" s="217">
        <v>1</v>
      </c>
      <c r="U251" s="217"/>
      <c r="V251" s="217"/>
      <c r="W251" s="217"/>
      <c r="X251" s="218">
        <v>31</v>
      </c>
      <c r="Y251" s="221">
        <f t="shared" si="11"/>
        <v>2</v>
      </c>
      <c r="Z251">
        <f t="shared" si="9"/>
        <v>0</v>
      </c>
    </row>
    <row r="252" spans="1:26" x14ac:dyDescent="0.2">
      <c r="A252" s="26">
        <f t="shared" si="10"/>
        <v>42184</v>
      </c>
      <c r="B252" s="216">
        <v>2015</v>
      </c>
      <c r="C252" s="216">
        <v>6</v>
      </c>
      <c r="D252" s="216">
        <v>29</v>
      </c>
      <c r="E252" s="216" t="s">
        <v>153</v>
      </c>
      <c r="F252" s="217">
        <v>14</v>
      </c>
      <c r="G252" s="217"/>
      <c r="H252" s="217">
        <v>2</v>
      </c>
      <c r="I252" s="217"/>
      <c r="J252" s="217"/>
      <c r="K252" s="217"/>
      <c r="L252" s="217">
        <v>1</v>
      </c>
      <c r="M252" s="217"/>
      <c r="N252" s="217"/>
      <c r="O252" s="217"/>
      <c r="P252" s="217">
        <v>2</v>
      </c>
      <c r="Q252" s="217"/>
      <c r="R252" s="217"/>
      <c r="S252" s="217"/>
      <c r="T252" s="217"/>
      <c r="U252" s="217"/>
      <c r="V252" s="217"/>
      <c r="W252" s="217"/>
      <c r="X252" s="218">
        <v>19</v>
      </c>
      <c r="Y252" s="221">
        <f t="shared" si="11"/>
        <v>5</v>
      </c>
      <c r="Z252">
        <f t="shared" si="9"/>
        <v>0</v>
      </c>
    </row>
    <row r="253" spans="1:26" x14ac:dyDescent="0.2">
      <c r="A253" s="26">
        <f t="shared" si="10"/>
        <v>42185</v>
      </c>
      <c r="B253" s="216">
        <v>2015</v>
      </c>
      <c r="C253" s="216">
        <v>6</v>
      </c>
      <c r="D253" s="216">
        <v>30</v>
      </c>
      <c r="E253" s="216" t="s">
        <v>152</v>
      </c>
      <c r="F253" s="217">
        <v>16</v>
      </c>
      <c r="G253" s="217"/>
      <c r="H253" s="217">
        <v>2</v>
      </c>
      <c r="I253" s="217"/>
      <c r="J253" s="217"/>
      <c r="K253" s="217"/>
      <c r="L253" s="217">
        <v>2</v>
      </c>
      <c r="M253" s="217"/>
      <c r="N253" s="217"/>
      <c r="O253" s="217"/>
      <c r="P253" s="217">
        <v>1</v>
      </c>
      <c r="Q253" s="217"/>
      <c r="R253" s="217"/>
      <c r="S253" s="217"/>
      <c r="T253" s="217">
        <v>8</v>
      </c>
      <c r="U253" s="217"/>
      <c r="V253" s="217"/>
      <c r="W253" s="217"/>
      <c r="X253" s="218">
        <v>29</v>
      </c>
      <c r="Y253" s="221">
        <f t="shared" si="11"/>
        <v>13</v>
      </c>
      <c r="Z253">
        <f t="shared" si="9"/>
        <v>0</v>
      </c>
    </row>
    <row r="254" spans="1:26" x14ac:dyDescent="0.2">
      <c r="A254" s="26">
        <f t="shared" si="10"/>
        <v>42185</v>
      </c>
      <c r="B254" s="216">
        <v>2015</v>
      </c>
      <c r="C254" s="216">
        <v>6</v>
      </c>
      <c r="D254" s="216">
        <v>30</v>
      </c>
      <c r="E254" s="216" t="s">
        <v>153</v>
      </c>
      <c r="F254" s="217">
        <v>17</v>
      </c>
      <c r="G254" s="217"/>
      <c r="H254" s="217"/>
      <c r="I254" s="217"/>
      <c r="J254" s="217"/>
      <c r="K254" s="217"/>
      <c r="L254" s="217"/>
      <c r="M254" s="217"/>
      <c r="N254" s="217"/>
      <c r="O254" s="217"/>
      <c r="P254" s="217">
        <v>3</v>
      </c>
      <c r="Q254" s="217"/>
      <c r="R254" s="217"/>
      <c r="S254" s="217"/>
      <c r="T254" s="217"/>
      <c r="U254" s="217"/>
      <c r="V254" s="217"/>
      <c r="W254" s="217"/>
      <c r="X254" s="218">
        <v>20</v>
      </c>
      <c r="Y254" s="221">
        <f t="shared" si="11"/>
        <v>3</v>
      </c>
      <c r="Z254">
        <f t="shared" si="9"/>
        <v>0</v>
      </c>
    </row>
    <row r="255" spans="1:26" x14ac:dyDescent="0.2">
      <c r="A255" s="26">
        <f t="shared" si="10"/>
        <v>42186</v>
      </c>
      <c r="B255" s="216">
        <v>2015</v>
      </c>
      <c r="C255" s="216">
        <v>7</v>
      </c>
      <c r="D255" s="216">
        <v>1</v>
      </c>
      <c r="E255" s="216" t="s">
        <v>152</v>
      </c>
      <c r="F255" s="217">
        <v>22</v>
      </c>
      <c r="G255" s="217"/>
      <c r="H255" s="217"/>
      <c r="I255" s="217"/>
      <c r="J255" s="217">
        <v>1</v>
      </c>
      <c r="K255" s="217"/>
      <c r="L255" s="217"/>
      <c r="M255" s="217"/>
      <c r="N255" s="217"/>
      <c r="O255" s="217"/>
      <c r="P255" s="217"/>
      <c r="Q255" s="217"/>
      <c r="R255" s="217"/>
      <c r="S255" s="217"/>
      <c r="T255" s="217">
        <v>1</v>
      </c>
      <c r="U255" s="217"/>
      <c r="V255" s="217"/>
      <c r="W255" s="217">
        <v>1</v>
      </c>
      <c r="X255" s="218">
        <v>25</v>
      </c>
      <c r="Y255" s="221">
        <f t="shared" si="11"/>
        <v>3</v>
      </c>
      <c r="Z255">
        <f t="shared" si="9"/>
        <v>0</v>
      </c>
    </row>
    <row r="256" spans="1:26" x14ac:dyDescent="0.2">
      <c r="A256" s="26">
        <f t="shared" si="10"/>
        <v>42186</v>
      </c>
      <c r="B256" s="216">
        <v>2015</v>
      </c>
      <c r="C256" s="216">
        <v>7</v>
      </c>
      <c r="D256" s="216">
        <v>1</v>
      </c>
      <c r="E256" s="216" t="s">
        <v>153</v>
      </c>
      <c r="F256" s="217">
        <v>42</v>
      </c>
      <c r="G256" s="217"/>
      <c r="H256" s="217">
        <v>3</v>
      </c>
      <c r="I256" s="217"/>
      <c r="J256" s="217">
        <v>1</v>
      </c>
      <c r="K256" s="217"/>
      <c r="L256" s="217">
        <v>1</v>
      </c>
      <c r="M256" s="217"/>
      <c r="N256" s="217"/>
      <c r="O256" s="217"/>
      <c r="P256" s="217">
        <v>6</v>
      </c>
      <c r="Q256" s="217"/>
      <c r="R256" s="217"/>
      <c r="S256" s="217"/>
      <c r="T256" s="217"/>
      <c r="U256" s="217"/>
      <c r="V256" s="217"/>
      <c r="W256" s="217"/>
      <c r="X256" s="218">
        <v>53</v>
      </c>
      <c r="Y256" s="221">
        <f t="shared" si="11"/>
        <v>11</v>
      </c>
      <c r="Z256">
        <f t="shared" si="9"/>
        <v>0</v>
      </c>
    </row>
    <row r="257" spans="1:26" x14ac:dyDescent="0.2">
      <c r="A257" s="26">
        <f t="shared" si="10"/>
        <v>42187</v>
      </c>
      <c r="B257" s="216">
        <v>2015</v>
      </c>
      <c r="C257" s="216">
        <v>7</v>
      </c>
      <c r="D257" s="216">
        <v>2</v>
      </c>
      <c r="E257" s="216" t="s">
        <v>152</v>
      </c>
      <c r="F257" s="217">
        <v>4</v>
      </c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8">
        <v>4</v>
      </c>
      <c r="Y257" s="221">
        <f t="shared" si="11"/>
        <v>0</v>
      </c>
      <c r="Z257">
        <f t="shared" si="9"/>
        <v>0</v>
      </c>
    </row>
    <row r="258" spans="1:26" x14ac:dyDescent="0.2">
      <c r="A258" s="26">
        <f t="shared" si="10"/>
        <v>42187</v>
      </c>
      <c r="B258" s="216">
        <v>2015</v>
      </c>
      <c r="C258" s="216">
        <v>7</v>
      </c>
      <c r="D258" s="216">
        <v>2</v>
      </c>
      <c r="E258" s="216" t="s">
        <v>153</v>
      </c>
      <c r="F258" s="217">
        <v>37</v>
      </c>
      <c r="G258" s="217"/>
      <c r="H258" s="217">
        <v>2</v>
      </c>
      <c r="I258" s="217"/>
      <c r="J258" s="217">
        <v>2</v>
      </c>
      <c r="K258" s="217"/>
      <c r="L258" s="217"/>
      <c r="M258" s="217"/>
      <c r="N258" s="217"/>
      <c r="O258" s="217"/>
      <c r="P258" s="217">
        <v>2</v>
      </c>
      <c r="Q258" s="217"/>
      <c r="R258" s="217">
        <v>5</v>
      </c>
      <c r="S258" s="217"/>
      <c r="T258" s="217">
        <v>1</v>
      </c>
      <c r="U258" s="217"/>
      <c r="V258" s="217"/>
      <c r="W258" s="217"/>
      <c r="X258" s="218">
        <v>49</v>
      </c>
      <c r="Y258" s="221">
        <f t="shared" si="11"/>
        <v>12</v>
      </c>
      <c r="Z258">
        <f t="shared" ref="Z258:Z321" si="12">IF(AND(WEEKDAY(A258,2)=6,E258="Sim"),X258,0)</f>
        <v>0</v>
      </c>
    </row>
    <row r="259" spans="1:26" x14ac:dyDescent="0.2">
      <c r="A259" s="26">
        <f t="shared" ref="A259:A322" si="13">DATE(B259,C259,D259)</f>
        <v>42188</v>
      </c>
      <c r="B259" s="216">
        <v>2015</v>
      </c>
      <c r="C259" s="216">
        <v>7</v>
      </c>
      <c r="D259" s="216">
        <v>3</v>
      </c>
      <c r="E259" s="216" t="s">
        <v>152</v>
      </c>
      <c r="F259" s="217">
        <v>20</v>
      </c>
      <c r="G259" s="217"/>
      <c r="H259" s="217"/>
      <c r="I259" s="217"/>
      <c r="J259" s="217"/>
      <c r="K259" s="217"/>
      <c r="L259" s="217">
        <v>1</v>
      </c>
      <c r="M259" s="217"/>
      <c r="N259" s="217"/>
      <c r="O259" s="217"/>
      <c r="P259" s="217">
        <v>7</v>
      </c>
      <c r="Q259" s="217"/>
      <c r="R259" s="217">
        <v>8</v>
      </c>
      <c r="S259" s="217"/>
      <c r="T259" s="217"/>
      <c r="U259" s="217"/>
      <c r="V259" s="217"/>
      <c r="W259" s="217"/>
      <c r="X259" s="218">
        <v>36</v>
      </c>
      <c r="Y259" s="221">
        <f t="shared" ref="Y259:Y322" si="14">SUM(G259:W259)</f>
        <v>16</v>
      </c>
      <c r="Z259">
        <f t="shared" si="12"/>
        <v>0</v>
      </c>
    </row>
    <row r="260" spans="1:26" x14ac:dyDescent="0.2">
      <c r="A260" s="26">
        <f t="shared" si="13"/>
        <v>42188</v>
      </c>
      <c r="B260" s="216">
        <v>2015</v>
      </c>
      <c r="C260" s="216">
        <v>7</v>
      </c>
      <c r="D260" s="216">
        <v>3</v>
      </c>
      <c r="E260" s="216" t="s">
        <v>153</v>
      </c>
      <c r="F260" s="217">
        <v>32</v>
      </c>
      <c r="G260" s="217"/>
      <c r="H260" s="217">
        <v>1</v>
      </c>
      <c r="I260" s="217"/>
      <c r="J260" s="217"/>
      <c r="K260" s="217"/>
      <c r="L260" s="217">
        <v>5</v>
      </c>
      <c r="M260" s="217"/>
      <c r="N260" s="217"/>
      <c r="O260" s="217"/>
      <c r="P260" s="217">
        <v>5</v>
      </c>
      <c r="Q260" s="217"/>
      <c r="R260" s="217">
        <v>6</v>
      </c>
      <c r="S260" s="217"/>
      <c r="T260" s="217"/>
      <c r="U260" s="217"/>
      <c r="V260" s="217"/>
      <c r="W260" s="217"/>
      <c r="X260" s="218">
        <v>49</v>
      </c>
      <c r="Y260" s="221">
        <f t="shared" si="14"/>
        <v>17</v>
      </c>
      <c r="Z260">
        <f t="shared" si="12"/>
        <v>0</v>
      </c>
    </row>
    <row r="261" spans="1:26" x14ac:dyDescent="0.2">
      <c r="A261" s="26">
        <f t="shared" si="13"/>
        <v>42191</v>
      </c>
      <c r="B261" s="216">
        <v>2015</v>
      </c>
      <c r="C261" s="216">
        <v>7</v>
      </c>
      <c r="D261" s="216">
        <v>6</v>
      </c>
      <c r="E261" s="216" t="s">
        <v>152</v>
      </c>
      <c r="F261" s="217">
        <v>40</v>
      </c>
      <c r="G261" s="217"/>
      <c r="H261" s="217">
        <v>1</v>
      </c>
      <c r="I261" s="217"/>
      <c r="J261" s="217">
        <v>1</v>
      </c>
      <c r="K261" s="217"/>
      <c r="L261" s="217"/>
      <c r="M261" s="217"/>
      <c r="N261" s="217"/>
      <c r="O261" s="217"/>
      <c r="P261" s="217">
        <v>1</v>
      </c>
      <c r="Q261" s="217"/>
      <c r="R261" s="217"/>
      <c r="S261" s="217"/>
      <c r="T261" s="217"/>
      <c r="U261" s="217"/>
      <c r="V261" s="217"/>
      <c r="W261" s="217"/>
      <c r="X261" s="218">
        <v>43</v>
      </c>
      <c r="Y261" s="221">
        <f t="shared" si="14"/>
        <v>3</v>
      </c>
      <c r="Z261">
        <f t="shared" si="12"/>
        <v>0</v>
      </c>
    </row>
    <row r="262" spans="1:26" x14ac:dyDescent="0.2">
      <c r="A262" s="26">
        <f t="shared" si="13"/>
        <v>42191</v>
      </c>
      <c r="B262" s="216">
        <v>2015</v>
      </c>
      <c r="C262" s="216">
        <v>7</v>
      </c>
      <c r="D262" s="216">
        <v>6</v>
      </c>
      <c r="E262" s="216" t="s">
        <v>153</v>
      </c>
      <c r="F262" s="217">
        <v>55</v>
      </c>
      <c r="G262" s="217"/>
      <c r="H262" s="217">
        <v>9</v>
      </c>
      <c r="I262" s="217"/>
      <c r="J262" s="217">
        <v>1</v>
      </c>
      <c r="K262" s="217"/>
      <c r="L262" s="217"/>
      <c r="M262" s="217"/>
      <c r="N262" s="217"/>
      <c r="O262" s="217"/>
      <c r="P262" s="217">
        <v>1</v>
      </c>
      <c r="Q262" s="217"/>
      <c r="R262" s="217"/>
      <c r="S262" s="217"/>
      <c r="T262" s="217"/>
      <c r="U262" s="217"/>
      <c r="V262" s="217"/>
      <c r="W262" s="217"/>
      <c r="X262" s="218">
        <v>66</v>
      </c>
      <c r="Y262" s="221">
        <f t="shared" si="14"/>
        <v>11</v>
      </c>
      <c r="Z262">
        <f t="shared" si="12"/>
        <v>0</v>
      </c>
    </row>
    <row r="263" spans="1:26" x14ac:dyDescent="0.2">
      <c r="A263" s="26">
        <f t="shared" si="13"/>
        <v>42192</v>
      </c>
      <c r="B263" s="216">
        <v>2015</v>
      </c>
      <c r="C263" s="216">
        <v>7</v>
      </c>
      <c r="D263" s="216">
        <v>7</v>
      </c>
      <c r="E263" s="216" t="s">
        <v>152</v>
      </c>
      <c r="F263" s="217">
        <v>13</v>
      </c>
      <c r="G263" s="217"/>
      <c r="H263" s="217"/>
      <c r="I263" s="217"/>
      <c r="J263" s="217"/>
      <c r="K263" s="217">
        <v>1</v>
      </c>
      <c r="L263" s="217">
        <v>2</v>
      </c>
      <c r="M263" s="217"/>
      <c r="N263" s="217"/>
      <c r="O263" s="217"/>
      <c r="P263" s="217"/>
      <c r="Q263" s="217"/>
      <c r="R263" s="217"/>
      <c r="S263" s="217"/>
      <c r="T263" s="217">
        <v>1</v>
      </c>
      <c r="U263" s="217"/>
      <c r="V263" s="217"/>
      <c r="W263" s="217">
        <v>1</v>
      </c>
      <c r="X263" s="218">
        <v>18</v>
      </c>
      <c r="Y263" s="221">
        <f t="shared" si="14"/>
        <v>5</v>
      </c>
      <c r="Z263">
        <f t="shared" si="12"/>
        <v>0</v>
      </c>
    </row>
    <row r="264" spans="1:26" x14ac:dyDescent="0.2">
      <c r="A264" s="26">
        <f t="shared" si="13"/>
        <v>42192</v>
      </c>
      <c r="B264" s="216">
        <v>2015</v>
      </c>
      <c r="C264" s="216">
        <v>7</v>
      </c>
      <c r="D264" s="216">
        <v>7</v>
      </c>
      <c r="E264" s="216" t="s">
        <v>153</v>
      </c>
      <c r="F264" s="217">
        <v>28</v>
      </c>
      <c r="G264" s="217"/>
      <c r="H264" s="217"/>
      <c r="I264" s="217"/>
      <c r="J264" s="217">
        <v>2</v>
      </c>
      <c r="K264" s="217"/>
      <c r="L264" s="217">
        <v>1</v>
      </c>
      <c r="M264" s="217"/>
      <c r="N264" s="217"/>
      <c r="O264" s="217"/>
      <c r="P264" s="217">
        <v>2</v>
      </c>
      <c r="Q264" s="217"/>
      <c r="R264" s="217"/>
      <c r="S264" s="217"/>
      <c r="T264" s="217"/>
      <c r="U264" s="217"/>
      <c r="V264" s="217"/>
      <c r="W264" s="217"/>
      <c r="X264" s="218">
        <v>33</v>
      </c>
      <c r="Y264" s="221">
        <f t="shared" si="14"/>
        <v>5</v>
      </c>
      <c r="Z264">
        <f t="shared" si="12"/>
        <v>0</v>
      </c>
    </row>
    <row r="265" spans="1:26" x14ac:dyDescent="0.2">
      <c r="A265" s="26">
        <f t="shared" si="13"/>
        <v>42193</v>
      </c>
      <c r="B265" s="216">
        <v>2015</v>
      </c>
      <c r="C265" s="216">
        <v>7</v>
      </c>
      <c r="D265" s="216">
        <v>8</v>
      </c>
      <c r="E265" s="216" t="s">
        <v>152</v>
      </c>
      <c r="F265" s="217">
        <v>9</v>
      </c>
      <c r="G265" s="217"/>
      <c r="H265" s="217"/>
      <c r="I265" s="217"/>
      <c r="J265" s="217">
        <v>1</v>
      </c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8">
        <v>10</v>
      </c>
      <c r="Y265" s="221">
        <f t="shared" si="14"/>
        <v>1</v>
      </c>
      <c r="Z265">
        <f t="shared" si="12"/>
        <v>0</v>
      </c>
    </row>
    <row r="266" spans="1:26" x14ac:dyDescent="0.2">
      <c r="A266" s="26">
        <f t="shared" si="13"/>
        <v>42193</v>
      </c>
      <c r="B266" s="216">
        <v>2015</v>
      </c>
      <c r="C266" s="216">
        <v>7</v>
      </c>
      <c r="D266" s="216">
        <v>8</v>
      </c>
      <c r="E266" s="216" t="s">
        <v>153</v>
      </c>
      <c r="F266" s="217">
        <v>32</v>
      </c>
      <c r="G266" s="217"/>
      <c r="H266" s="217">
        <v>2</v>
      </c>
      <c r="I266" s="217"/>
      <c r="J266" s="217">
        <v>2</v>
      </c>
      <c r="K266" s="217"/>
      <c r="L266" s="217">
        <v>2</v>
      </c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8">
        <v>38</v>
      </c>
      <c r="Y266" s="221">
        <f t="shared" si="14"/>
        <v>6</v>
      </c>
      <c r="Z266">
        <f t="shared" si="12"/>
        <v>0</v>
      </c>
    </row>
    <row r="267" spans="1:26" x14ac:dyDescent="0.2">
      <c r="A267" s="26">
        <f t="shared" si="13"/>
        <v>42194</v>
      </c>
      <c r="B267" s="216">
        <v>2015</v>
      </c>
      <c r="C267" s="216">
        <v>7</v>
      </c>
      <c r="D267" s="216">
        <v>9</v>
      </c>
      <c r="E267" s="216" t="s">
        <v>152</v>
      </c>
      <c r="F267" s="217">
        <v>12</v>
      </c>
      <c r="G267" s="217"/>
      <c r="H267" s="217"/>
      <c r="I267" s="217"/>
      <c r="J267" s="217"/>
      <c r="K267" s="217"/>
      <c r="L267" s="217"/>
      <c r="M267" s="217"/>
      <c r="N267" s="217"/>
      <c r="O267" s="217"/>
      <c r="P267" s="217">
        <v>2</v>
      </c>
      <c r="Q267" s="217"/>
      <c r="R267" s="217"/>
      <c r="S267" s="217"/>
      <c r="T267" s="217"/>
      <c r="U267" s="217"/>
      <c r="V267" s="217"/>
      <c r="W267" s="217"/>
      <c r="X267" s="218">
        <v>14</v>
      </c>
      <c r="Y267" s="221">
        <f t="shared" si="14"/>
        <v>2</v>
      </c>
      <c r="Z267">
        <f t="shared" si="12"/>
        <v>0</v>
      </c>
    </row>
    <row r="268" spans="1:26" x14ac:dyDescent="0.2">
      <c r="A268" s="26">
        <f t="shared" si="13"/>
        <v>42194</v>
      </c>
      <c r="B268" s="216">
        <v>2015</v>
      </c>
      <c r="C268" s="216">
        <v>7</v>
      </c>
      <c r="D268" s="216">
        <v>9</v>
      </c>
      <c r="E268" s="216" t="s">
        <v>153</v>
      </c>
      <c r="F268" s="217">
        <v>27</v>
      </c>
      <c r="G268" s="217"/>
      <c r="H268" s="217"/>
      <c r="I268" s="217"/>
      <c r="J268" s="217"/>
      <c r="K268" s="217"/>
      <c r="L268" s="217">
        <v>14</v>
      </c>
      <c r="M268" s="217"/>
      <c r="N268" s="217"/>
      <c r="O268" s="217"/>
      <c r="P268" s="217">
        <v>4</v>
      </c>
      <c r="Q268" s="217"/>
      <c r="R268" s="217"/>
      <c r="S268" s="217"/>
      <c r="T268" s="217"/>
      <c r="U268" s="217"/>
      <c r="V268" s="217"/>
      <c r="W268" s="217">
        <v>1</v>
      </c>
      <c r="X268" s="218">
        <v>46</v>
      </c>
      <c r="Y268" s="221">
        <f t="shared" si="14"/>
        <v>19</v>
      </c>
      <c r="Z268">
        <f t="shared" si="12"/>
        <v>0</v>
      </c>
    </row>
    <row r="269" spans="1:26" x14ac:dyDescent="0.2">
      <c r="A269" s="26">
        <f t="shared" si="13"/>
        <v>42195</v>
      </c>
      <c r="B269" s="216">
        <v>2015</v>
      </c>
      <c r="C269" s="216">
        <v>7</v>
      </c>
      <c r="D269" s="216">
        <v>10</v>
      </c>
      <c r="E269" s="216" t="s">
        <v>152</v>
      </c>
      <c r="F269" s="217">
        <v>27</v>
      </c>
      <c r="G269" s="217"/>
      <c r="H269" s="217"/>
      <c r="I269" s="217"/>
      <c r="J269" s="217"/>
      <c r="K269" s="217"/>
      <c r="L269" s="217">
        <v>5</v>
      </c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8">
        <v>32</v>
      </c>
      <c r="Y269" s="221">
        <f t="shared" si="14"/>
        <v>5</v>
      </c>
      <c r="Z269">
        <f t="shared" si="12"/>
        <v>0</v>
      </c>
    </row>
    <row r="270" spans="1:26" x14ac:dyDescent="0.2">
      <c r="A270" s="26">
        <f t="shared" si="13"/>
        <v>42195</v>
      </c>
      <c r="B270" s="216">
        <v>2015</v>
      </c>
      <c r="C270" s="216">
        <v>7</v>
      </c>
      <c r="D270" s="216">
        <v>10</v>
      </c>
      <c r="E270" s="216" t="s">
        <v>153</v>
      </c>
      <c r="F270" s="217">
        <v>42</v>
      </c>
      <c r="G270" s="217"/>
      <c r="H270" s="217">
        <v>4</v>
      </c>
      <c r="I270" s="217"/>
      <c r="J270" s="217">
        <v>6</v>
      </c>
      <c r="K270" s="217"/>
      <c r="L270" s="217">
        <v>1</v>
      </c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8">
        <v>53</v>
      </c>
      <c r="Y270" s="221">
        <f t="shared" si="14"/>
        <v>11</v>
      </c>
      <c r="Z270">
        <f t="shared" si="12"/>
        <v>0</v>
      </c>
    </row>
    <row r="271" spans="1:26" x14ac:dyDescent="0.2">
      <c r="A271" s="26">
        <f t="shared" si="13"/>
        <v>42197</v>
      </c>
      <c r="B271" s="216">
        <v>2015</v>
      </c>
      <c r="C271" s="216">
        <v>7</v>
      </c>
      <c r="D271" s="216">
        <v>12</v>
      </c>
      <c r="E271" s="216" t="s">
        <v>153</v>
      </c>
      <c r="F271" s="217">
        <v>1</v>
      </c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8">
        <v>1</v>
      </c>
      <c r="Y271" s="221">
        <f t="shared" si="14"/>
        <v>0</v>
      </c>
      <c r="Z271">
        <f t="shared" si="12"/>
        <v>0</v>
      </c>
    </row>
    <row r="272" spans="1:26" x14ac:dyDescent="0.2">
      <c r="A272" s="26">
        <f t="shared" si="13"/>
        <v>42198</v>
      </c>
      <c r="B272" s="216">
        <v>2015</v>
      </c>
      <c r="C272" s="216">
        <v>7</v>
      </c>
      <c r="D272" s="216">
        <v>13</v>
      </c>
      <c r="E272" s="216" t="s">
        <v>152</v>
      </c>
      <c r="F272" s="217">
        <v>21</v>
      </c>
      <c r="G272" s="217"/>
      <c r="H272" s="217"/>
      <c r="I272" s="217"/>
      <c r="J272" s="217">
        <v>1</v>
      </c>
      <c r="K272" s="217"/>
      <c r="L272" s="217">
        <v>2</v>
      </c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8">
        <v>24</v>
      </c>
      <c r="Y272" s="221">
        <f t="shared" si="14"/>
        <v>3</v>
      </c>
      <c r="Z272">
        <f t="shared" si="12"/>
        <v>0</v>
      </c>
    </row>
    <row r="273" spans="1:26" x14ac:dyDescent="0.2">
      <c r="A273" s="26">
        <f t="shared" si="13"/>
        <v>42198</v>
      </c>
      <c r="B273" s="216">
        <v>2015</v>
      </c>
      <c r="C273" s="216">
        <v>7</v>
      </c>
      <c r="D273" s="216">
        <v>13</v>
      </c>
      <c r="E273" s="216" t="s">
        <v>153</v>
      </c>
      <c r="F273" s="217">
        <v>23</v>
      </c>
      <c r="G273" s="217"/>
      <c r="H273" s="217">
        <v>1</v>
      </c>
      <c r="I273" s="217"/>
      <c r="J273" s="217"/>
      <c r="K273" s="217"/>
      <c r="L273" s="217">
        <v>5</v>
      </c>
      <c r="M273" s="217"/>
      <c r="N273" s="217"/>
      <c r="O273" s="217"/>
      <c r="P273" s="217">
        <v>2</v>
      </c>
      <c r="Q273" s="217"/>
      <c r="R273" s="217"/>
      <c r="S273" s="217"/>
      <c r="T273" s="217"/>
      <c r="U273" s="217"/>
      <c r="V273" s="217"/>
      <c r="W273" s="217"/>
      <c r="X273" s="218">
        <v>31</v>
      </c>
      <c r="Y273" s="221">
        <f t="shared" si="14"/>
        <v>8</v>
      </c>
      <c r="Z273">
        <f t="shared" si="12"/>
        <v>0</v>
      </c>
    </row>
    <row r="274" spans="1:26" x14ac:dyDescent="0.2">
      <c r="A274" s="26">
        <f t="shared" si="13"/>
        <v>42199</v>
      </c>
      <c r="B274" s="216">
        <v>2015</v>
      </c>
      <c r="C274" s="216">
        <v>7</v>
      </c>
      <c r="D274" s="216">
        <v>14</v>
      </c>
      <c r="E274" s="216" t="s">
        <v>152</v>
      </c>
      <c r="F274" s="217">
        <v>17</v>
      </c>
      <c r="G274" s="217"/>
      <c r="H274" s="217"/>
      <c r="I274" s="217"/>
      <c r="J274" s="217"/>
      <c r="K274" s="217"/>
      <c r="L274" s="217">
        <v>1</v>
      </c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8">
        <v>18</v>
      </c>
      <c r="Y274" s="221">
        <f t="shared" si="14"/>
        <v>1</v>
      </c>
      <c r="Z274">
        <f t="shared" si="12"/>
        <v>0</v>
      </c>
    </row>
    <row r="275" spans="1:26" x14ac:dyDescent="0.2">
      <c r="A275" s="26">
        <f t="shared" si="13"/>
        <v>42199</v>
      </c>
      <c r="B275" s="216">
        <v>2015</v>
      </c>
      <c r="C275" s="216">
        <v>7</v>
      </c>
      <c r="D275" s="216">
        <v>14</v>
      </c>
      <c r="E275" s="216" t="s">
        <v>153</v>
      </c>
      <c r="F275" s="217">
        <v>18</v>
      </c>
      <c r="G275" s="217"/>
      <c r="H275" s="217">
        <v>3</v>
      </c>
      <c r="I275" s="217"/>
      <c r="J275" s="217"/>
      <c r="K275" s="217"/>
      <c r="L275" s="217">
        <v>8</v>
      </c>
      <c r="M275" s="217"/>
      <c r="N275" s="217"/>
      <c r="O275" s="217"/>
      <c r="P275" s="217">
        <v>1</v>
      </c>
      <c r="Q275" s="217"/>
      <c r="R275" s="217"/>
      <c r="S275" s="217"/>
      <c r="T275" s="217"/>
      <c r="U275" s="217">
        <v>1</v>
      </c>
      <c r="V275" s="217"/>
      <c r="W275" s="217"/>
      <c r="X275" s="218">
        <v>31</v>
      </c>
      <c r="Y275" s="221">
        <f t="shared" si="14"/>
        <v>13</v>
      </c>
      <c r="Z275">
        <f t="shared" si="12"/>
        <v>0</v>
      </c>
    </row>
    <row r="276" spans="1:26" x14ac:dyDescent="0.2">
      <c r="A276" s="26">
        <f t="shared" si="13"/>
        <v>42200</v>
      </c>
      <c r="B276" s="216">
        <v>2015</v>
      </c>
      <c r="C276" s="216">
        <v>7</v>
      </c>
      <c r="D276" s="216">
        <v>15</v>
      </c>
      <c r="E276" s="216" t="s">
        <v>152</v>
      </c>
      <c r="F276" s="217">
        <v>18</v>
      </c>
      <c r="G276" s="217"/>
      <c r="H276" s="217"/>
      <c r="I276" s="217"/>
      <c r="J276" s="217"/>
      <c r="K276" s="217"/>
      <c r="L276" s="217">
        <v>1</v>
      </c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8">
        <v>19</v>
      </c>
      <c r="Y276" s="221">
        <f t="shared" si="14"/>
        <v>1</v>
      </c>
      <c r="Z276">
        <f t="shared" si="12"/>
        <v>0</v>
      </c>
    </row>
    <row r="277" spans="1:26" x14ac:dyDescent="0.2">
      <c r="A277" s="26">
        <f t="shared" si="13"/>
        <v>42200</v>
      </c>
      <c r="B277" s="216">
        <v>2015</v>
      </c>
      <c r="C277" s="216">
        <v>7</v>
      </c>
      <c r="D277" s="216">
        <v>15</v>
      </c>
      <c r="E277" s="216" t="s">
        <v>153</v>
      </c>
      <c r="F277" s="217">
        <v>44</v>
      </c>
      <c r="G277" s="217"/>
      <c r="H277" s="217"/>
      <c r="I277" s="217"/>
      <c r="J277" s="217">
        <v>1</v>
      </c>
      <c r="K277" s="217"/>
      <c r="L277" s="217"/>
      <c r="M277" s="217"/>
      <c r="N277" s="217"/>
      <c r="O277" s="217"/>
      <c r="P277" s="217">
        <v>3</v>
      </c>
      <c r="Q277" s="217"/>
      <c r="R277" s="217"/>
      <c r="S277" s="217"/>
      <c r="T277" s="217"/>
      <c r="U277" s="217"/>
      <c r="V277" s="217"/>
      <c r="W277" s="217"/>
      <c r="X277" s="218">
        <v>48</v>
      </c>
      <c r="Y277" s="221">
        <f t="shared" si="14"/>
        <v>4</v>
      </c>
      <c r="Z277">
        <f t="shared" si="12"/>
        <v>0</v>
      </c>
    </row>
    <row r="278" spans="1:26" x14ac:dyDescent="0.2">
      <c r="A278" s="26">
        <f t="shared" si="13"/>
        <v>42201</v>
      </c>
      <c r="B278" s="216">
        <v>2015</v>
      </c>
      <c r="C278" s="216">
        <v>7</v>
      </c>
      <c r="D278" s="216">
        <v>16</v>
      </c>
      <c r="E278" s="216" t="s">
        <v>152</v>
      </c>
      <c r="F278" s="217">
        <v>31</v>
      </c>
      <c r="G278" s="217"/>
      <c r="H278" s="217"/>
      <c r="I278" s="217"/>
      <c r="J278" s="217"/>
      <c r="K278" s="217"/>
      <c r="L278" s="217">
        <v>1</v>
      </c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8">
        <v>32</v>
      </c>
      <c r="Y278" s="221">
        <f t="shared" si="14"/>
        <v>1</v>
      </c>
      <c r="Z278">
        <f t="shared" si="12"/>
        <v>0</v>
      </c>
    </row>
    <row r="279" spans="1:26" x14ac:dyDescent="0.2">
      <c r="A279" s="26">
        <f t="shared" si="13"/>
        <v>42201</v>
      </c>
      <c r="B279" s="216">
        <v>2015</v>
      </c>
      <c r="C279" s="216">
        <v>7</v>
      </c>
      <c r="D279" s="216">
        <v>16</v>
      </c>
      <c r="E279" s="216" t="s">
        <v>153</v>
      </c>
      <c r="F279" s="217">
        <v>27</v>
      </c>
      <c r="G279" s="217"/>
      <c r="H279" s="217"/>
      <c r="I279" s="217"/>
      <c r="J279" s="217"/>
      <c r="K279" s="217"/>
      <c r="L279" s="217">
        <v>7</v>
      </c>
      <c r="M279" s="217"/>
      <c r="N279" s="217"/>
      <c r="O279" s="217"/>
      <c r="P279" s="217">
        <v>6</v>
      </c>
      <c r="Q279" s="217"/>
      <c r="R279" s="217"/>
      <c r="S279" s="217"/>
      <c r="T279" s="217"/>
      <c r="U279" s="217"/>
      <c r="V279" s="217"/>
      <c r="W279" s="217"/>
      <c r="X279" s="218">
        <v>40</v>
      </c>
      <c r="Y279" s="221">
        <f t="shared" si="14"/>
        <v>13</v>
      </c>
      <c r="Z279">
        <f t="shared" si="12"/>
        <v>0</v>
      </c>
    </row>
    <row r="280" spans="1:26" x14ac:dyDescent="0.2">
      <c r="A280" s="26">
        <f t="shared" si="13"/>
        <v>42202</v>
      </c>
      <c r="B280" s="216">
        <v>2015</v>
      </c>
      <c r="C280" s="216">
        <v>7</v>
      </c>
      <c r="D280" s="216">
        <v>17</v>
      </c>
      <c r="E280" s="216" t="s">
        <v>152</v>
      </c>
      <c r="F280" s="217">
        <v>34</v>
      </c>
      <c r="G280" s="217"/>
      <c r="H280" s="217">
        <v>5</v>
      </c>
      <c r="I280" s="217"/>
      <c r="J280" s="217">
        <v>1</v>
      </c>
      <c r="K280" s="217"/>
      <c r="L280" s="217">
        <v>4</v>
      </c>
      <c r="M280" s="217"/>
      <c r="N280" s="217"/>
      <c r="O280" s="217"/>
      <c r="P280" s="217"/>
      <c r="Q280" s="217"/>
      <c r="R280" s="217">
        <v>2</v>
      </c>
      <c r="S280" s="217"/>
      <c r="T280" s="217">
        <v>2</v>
      </c>
      <c r="U280" s="217"/>
      <c r="V280" s="217"/>
      <c r="W280" s="217"/>
      <c r="X280" s="218">
        <v>48</v>
      </c>
      <c r="Y280" s="221">
        <f t="shared" si="14"/>
        <v>14</v>
      </c>
      <c r="Z280">
        <f t="shared" si="12"/>
        <v>0</v>
      </c>
    </row>
    <row r="281" spans="1:26" x14ac:dyDescent="0.2">
      <c r="A281" s="26">
        <f t="shared" si="13"/>
        <v>42202</v>
      </c>
      <c r="B281" s="216">
        <v>2015</v>
      </c>
      <c r="C281" s="216">
        <v>7</v>
      </c>
      <c r="D281" s="216">
        <v>17</v>
      </c>
      <c r="E281" s="216" t="s">
        <v>153</v>
      </c>
      <c r="F281" s="217">
        <v>25</v>
      </c>
      <c r="G281" s="217"/>
      <c r="H281" s="217"/>
      <c r="I281" s="217"/>
      <c r="J281" s="217"/>
      <c r="K281" s="217"/>
      <c r="L281" s="217">
        <v>5</v>
      </c>
      <c r="M281" s="217"/>
      <c r="N281" s="217"/>
      <c r="O281" s="217"/>
      <c r="P281" s="217">
        <v>4</v>
      </c>
      <c r="Q281" s="217"/>
      <c r="R281" s="217"/>
      <c r="S281" s="217"/>
      <c r="T281" s="217"/>
      <c r="U281" s="217"/>
      <c r="V281" s="217"/>
      <c r="W281" s="217"/>
      <c r="X281" s="218">
        <v>34</v>
      </c>
      <c r="Y281" s="221">
        <f t="shared" si="14"/>
        <v>9</v>
      </c>
      <c r="Z281">
        <f t="shared" si="12"/>
        <v>0</v>
      </c>
    </row>
    <row r="282" spans="1:26" x14ac:dyDescent="0.2">
      <c r="A282" s="26">
        <f t="shared" si="13"/>
        <v>42203</v>
      </c>
      <c r="B282" s="216">
        <v>2015</v>
      </c>
      <c r="C282" s="216">
        <v>7</v>
      </c>
      <c r="D282" s="216">
        <v>18</v>
      </c>
      <c r="E282" s="216" t="s">
        <v>153</v>
      </c>
      <c r="F282" s="217">
        <v>1</v>
      </c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8">
        <v>1</v>
      </c>
      <c r="Y282" s="221">
        <f t="shared" si="14"/>
        <v>0</v>
      </c>
      <c r="Z282">
        <f t="shared" si="12"/>
        <v>1</v>
      </c>
    </row>
    <row r="283" spans="1:26" x14ac:dyDescent="0.2">
      <c r="A283" s="26">
        <f t="shared" si="13"/>
        <v>42204</v>
      </c>
      <c r="B283" s="216">
        <v>2015</v>
      </c>
      <c r="C283" s="216">
        <v>7</v>
      </c>
      <c r="D283" s="216">
        <v>19</v>
      </c>
      <c r="E283" s="216" t="s">
        <v>153</v>
      </c>
      <c r="F283" s="217">
        <v>1</v>
      </c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8">
        <v>1</v>
      </c>
      <c r="Y283" s="221">
        <f t="shared" si="14"/>
        <v>0</v>
      </c>
      <c r="Z283">
        <f t="shared" si="12"/>
        <v>0</v>
      </c>
    </row>
    <row r="284" spans="1:26" x14ac:dyDescent="0.2">
      <c r="A284" s="26">
        <f t="shared" si="13"/>
        <v>42205</v>
      </c>
      <c r="B284" s="216">
        <v>2015</v>
      </c>
      <c r="C284" s="216">
        <v>7</v>
      </c>
      <c r="D284" s="216">
        <v>20</v>
      </c>
      <c r="E284" s="216" t="s">
        <v>152</v>
      </c>
      <c r="F284" s="217">
        <v>12</v>
      </c>
      <c r="G284" s="217"/>
      <c r="H284" s="217"/>
      <c r="I284" s="217"/>
      <c r="J284" s="217"/>
      <c r="K284" s="217"/>
      <c r="L284" s="217">
        <v>3</v>
      </c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8">
        <v>15</v>
      </c>
      <c r="Y284" s="221">
        <f t="shared" si="14"/>
        <v>3</v>
      </c>
      <c r="Z284">
        <f t="shared" si="12"/>
        <v>0</v>
      </c>
    </row>
    <row r="285" spans="1:26" x14ac:dyDescent="0.2">
      <c r="A285" s="26">
        <f t="shared" si="13"/>
        <v>42205</v>
      </c>
      <c r="B285" s="216">
        <v>2015</v>
      </c>
      <c r="C285" s="216">
        <v>7</v>
      </c>
      <c r="D285" s="216">
        <v>20</v>
      </c>
      <c r="E285" s="216" t="s">
        <v>153</v>
      </c>
      <c r="F285" s="217">
        <v>23</v>
      </c>
      <c r="G285" s="217"/>
      <c r="H285" s="217"/>
      <c r="I285" s="217"/>
      <c r="J285" s="217"/>
      <c r="K285" s="217"/>
      <c r="L285" s="217"/>
      <c r="M285" s="217"/>
      <c r="N285" s="217"/>
      <c r="O285" s="217"/>
      <c r="P285" s="217">
        <v>1</v>
      </c>
      <c r="Q285" s="217"/>
      <c r="R285" s="217"/>
      <c r="S285" s="217"/>
      <c r="T285" s="217"/>
      <c r="U285" s="217"/>
      <c r="V285" s="217"/>
      <c r="W285" s="217"/>
      <c r="X285" s="218">
        <v>24</v>
      </c>
      <c r="Y285" s="221">
        <f t="shared" si="14"/>
        <v>1</v>
      </c>
      <c r="Z285">
        <f t="shared" si="12"/>
        <v>0</v>
      </c>
    </row>
    <row r="286" spans="1:26" x14ac:dyDescent="0.2">
      <c r="A286" s="26">
        <f t="shared" si="13"/>
        <v>42206</v>
      </c>
      <c r="B286" s="216">
        <v>2015</v>
      </c>
      <c r="C286" s="216">
        <v>7</v>
      </c>
      <c r="D286" s="216">
        <v>21</v>
      </c>
      <c r="E286" s="216" t="s">
        <v>152</v>
      </c>
      <c r="F286" s="217">
        <v>11</v>
      </c>
      <c r="G286" s="217"/>
      <c r="H286" s="217"/>
      <c r="I286" s="217"/>
      <c r="J286" s="217"/>
      <c r="K286" s="217"/>
      <c r="L286" s="217">
        <v>1</v>
      </c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8">
        <v>12</v>
      </c>
      <c r="Y286" s="221">
        <f t="shared" si="14"/>
        <v>1</v>
      </c>
      <c r="Z286">
        <f t="shared" si="12"/>
        <v>0</v>
      </c>
    </row>
    <row r="287" spans="1:26" x14ac:dyDescent="0.2">
      <c r="A287" s="26">
        <f t="shared" si="13"/>
        <v>42206</v>
      </c>
      <c r="B287" s="216">
        <v>2015</v>
      </c>
      <c r="C287" s="216">
        <v>7</v>
      </c>
      <c r="D287" s="216">
        <v>21</v>
      </c>
      <c r="E287" s="216" t="s">
        <v>153</v>
      </c>
      <c r="F287" s="217">
        <v>33</v>
      </c>
      <c r="G287" s="217"/>
      <c r="H287" s="217"/>
      <c r="I287" s="217"/>
      <c r="J287" s="217"/>
      <c r="K287" s="217"/>
      <c r="L287" s="217">
        <v>2</v>
      </c>
      <c r="M287" s="217"/>
      <c r="N287" s="217"/>
      <c r="O287" s="217"/>
      <c r="P287" s="217">
        <v>1</v>
      </c>
      <c r="Q287" s="217"/>
      <c r="R287" s="217"/>
      <c r="S287" s="217"/>
      <c r="T287" s="217"/>
      <c r="U287" s="217"/>
      <c r="V287" s="217"/>
      <c r="W287" s="217"/>
      <c r="X287" s="218">
        <v>36</v>
      </c>
      <c r="Y287" s="221">
        <f t="shared" si="14"/>
        <v>3</v>
      </c>
      <c r="Z287">
        <f t="shared" si="12"/>
        <v>0</v>
      </c>
    </row>
    <row r="288" spans="1:26" x14ac:dyDescent="0.2">
      <c r="A288" s="26">
        <f t="shared" si="13"/>
        <v>42207</v>
      </c>
      <c r="B288" s="216">
        <v>2015</v>
      </c>
      <c r="C288" s="216">
        <v>7</v>
      </c>
      <c r="D288" s="216">
        <v>22</v>
      </c>
      <c r="E288" s="216" t="s">
        <v>152</v>
      </c>
      <c r="F288" s="217">
        <v>8</v>
      </c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8">
        <v>8</v>
      </c>
      <c r="Y288" s="221">
        <f t="shared" si="14"/>
        <v>0</v>
      </c>
      <c r="Z288">
        <f t="shared" si="12"/>
        <v>0</v>
      </c>
    </row>
    <row r="289" spans="1:26" x14ac:dyDescent="0.2">
      <c r="A289" s="26">
        <f t="shared" si="13"/>
        <v>42207</v>
      </c>
      <c r="B289" s="216">
        <v>2015</v>
      </c>
      <c r="C289" s="216">
        <v>7</v>
      </c>
      <c r="D289" s="216">
        <v>22</v>
      </c>
      <c r="E289" s="216" t="s">
        <v>153</v>
      </c>
      <c r="F289" s="217">
        <v>35</v>
      </c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>
        <v>2</v>
      </c>
      <c r="T289" s="217"/>
      <c r="U289" s="217"/>
      <c r="V289" s="217"/>
      <c r="W289" s="217"/>
      <c r="X289" s="218">
        <v>37</v>
      </c>
      <c r="Y289" s="221">
        <f t="shared" si="14"/>
        <v>2</v>
      </c>
      <c r="Z289">
        <f t="shared" si="12"/>
        <v>0</v>
      </c>
    </row>
    <row r="290" spans="1:26" x14ac:dyDescent="0.2">
      <c r="A290" s="26">
        <f t="shared" si="13"/>
        <v>42208</v>
      </c>
      <c r="B290" s="216">
        <v>2015</v>
      </c>
      <c r="C290" s="216">
        <v>7</v>
      </c>
      <c r="D290" s="216">
        <v>23</v>
      </c>
      <c r="E290" s="216" t="s">
        <v>152</v>
      </c>
      <c r="F290" s="217">
        <v>17</v>
      </c>
      <c r="G290" s="217"/>
      <c r="H290" s="217">
        <v>1</v>
      </c>
      <c r="I290" s="217"/>
      <c r="J290" s="217"/>
      <c r="K290" s="217"/>
      <c r="L290" s="217">
        <v>1</v>
      </c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8">
        <v>19</v>
      </c>
      <c r="Y290" s="221">
        <f t="shared" si="14"/>
        <v>2</v>
      </c>
      <c r="Z290">
        <f t="shared" si="12"/>
        <v>0</v>
      </c>
    </row>
    <row r="291" spans="1:26" x14ac:dyDescent="0.2">
      <c r="A291" s="26">
        <f t="shared" si="13"/>
        <v>42208</v>
      </c>
      <c r="B291" s="216">
        <v>2015</v>
      </c>
      <c r="C291" s="216">
        <v>7</v>
      </c>
      <c r="D291" s="216">
        <v>23</v>
      </c>
      <c r="E291" s="216" t="s">
        <v>153</v>
      </c>
      <c r="F291" s="217">
        <v>37</v>
      </c>
      <c r="G291" s="217"/>
      <c r="H291" s="217">
        <v>1</v>
      </c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8">
        <v>38</v>
      </c>
      <c r="Y291" s="221">
        <f t="shared" si="14"/>
        <v>1</v>
      </c>
      <c r="Z291">
        <f t="shared" si="12"/>
        <v>0</v>
      </c>
    </row>
    <row r="292" spans="1:26" x14ac:dyDescent="0.2">
      <c r="A292" s="26">
        <f t="shared" si="13"/>
        <v>42209</v>
      </c>
      <c r="B292" s="216">
        <v>2015</v>
      </c>
      <c r="C292" s="216">
        <v>7</v>
      </c>
      <c r="D292" s="216">
        <v>24</v>
      </c>
      <c r="E292" s="216" t="s">
        <v>152</v>
      </c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>
        <v>1</v>
      </c>
      <c r="T292" s="217"/>
      <c r="U292" s="217"/>
      <c r="V292" s="217"/>
      <c r="W292" s="217"/>
      <c r="X292" s="218">
        <v>1</v>
      </c>
      <c r="Y292" s="221">
        <f t="shared" si="14"/>
        <v>1</v>
      </c>
      <c r="Z292">
        <f t="shared" si="12"/>
        <v>0</v>
      </c>
    </row>
    <row r="293" spans="1:26" x14ac:dyDescent="0.2">
      <c r="A293" s="26">
        <f t="shared" si="13"/>
        <v>42209</v>
      </c>
      <c r="B293" s="216">
        <v>2015</v>
      </c>
      <c r="C293" s="216">
        <v>7</v>
      </c>
      <c r="D293" s="216">
        <v>24</v>
      </c>
      <c r="E293" s="216" t="s">
        <v>153</v>
      </c>
      <c r="F293" s="217">
        <v>20</v>
      </c>
      <c r="G293" s="217"/>
      <c r="H293" s="217"/>
      <c r="I293" s="217"/>
      <c r="J293" s="217"/>
      <c r="K293" s="217"/>
      <c r="L293" s="217">
        <v>1</v>
      </c>
      <c r="M293" s="217"/>
      <c r="N293" s="217"/>
      <c r="O293" s="217"/>
      <c r="P293" s="217"/>
      <c r="Q293" s="217"/>
      <c r="R293" s="217"/>
      <c r="S293" s="217">
        <v>1</v>
      </c>
      <c r="T293" s="217"/>
      <c r="U293" s="217"/>
      <c r="V293" s="217"/>
      <c r="W293" s="217"/>
      <c r="X293" s="218">
        <v>22</v>
      </c>
      <c r="Y293" s="221">
        <f t="shared" si="14"/>
        <v>2</v>
      </c>
      <c r="Z293">
        <f t="shared" si="12"/>
        <v>0</v>
      </c>
    </row>
    <row r="294" spans="1:26" x14ac:dyDescent="0.2">
      <c r="A294" s="26">
        <f t="shared" si="13"/>
        <v>42210</v>
      </c>
      <c r="B294" s="216">
        <v>2015</v>
      </c>
      <c r="C294" s="216">
        <v>7</v>
      </c>
      <c r="D294" s="216">
        <v>25</v>
      </c>
      <c r="E294" s="216" t="s">
        <v>153</v>
      </c>
      <c r="F294" s="217">
        <v>2</v>
      </c>
      <c r="G294" s="217"/>
      <c r="H294" s="217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8">
        <v>2</v>
      </c>
      <c r="Y294" s="221">
        <f t="shared" si="14"/>
        <v>0</v>
      </c>
      <c r="Z294">
        <f t="shared" si="12"/>
        <v>2</v>
      </c>
    </row>
    <row r="295" spans="1:26" x14ac:dyDescent="0.2">
      <c r="A295" s="26">
        <f t="shared" si="13"/>
        <v>42212</v>
      </c>
      <c r="B295" s="216">
        <v>2015</v>
      </c>
      <c r="C295" s="216">
        <v>7</v>
      </c>
      <c r="D295" s="216">
        <v>27</v>
      </c>
      <c r="E295" s="216" t="s">
        <v>152</v>
      </c>
      <c r="F295" s="217">
        <v>6</v>
      </c>
      <c r="G295" s="217"/>
      <c r="H295" s="217"/>
      <c r="I295" s="217"/>
      <c r="J295" s="217"/>
      <c r="K295" s="217"/>
      <c r="L295" s="217">
        <v>5</v>
      </c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8">
        <v>11</v>
      </c>
      <c r="Y295" s="221">
        <f t="shared" si="14"/>
        <v>5</v>
      </c>
      <c r="Z295">
        <f t="shared" si="12"/>
        <v>0</v>
      </c>
    </row>
    <row r="296" spans="1:26" x14ac:dyDescent="0.2">
      <c r="A296" s="26">
        <f t="shared" si="13"/>
        <v>42212</v>
      </c>
      <c r="B296" s="216">
        <v>2015</v>
      </c>
      <c r="C296" s="216">
        <v>7</v>
      </c>
      <c r="D296" s="216">
        <v>27</v>
      </c>
      <c r="E296" s="216" t="s">
        <v>153</v>
      </c>
      <c r="F296" s="217">
        <v>39</v>
      </c>
      <c r="G296" s="217"/>
      <c r="H296" s="217"/>
      <c r="I296" s="217"/>
      <c r="J296" s="217"/>
      <c r="K296" s="217"/>
      <c r="L296" s="217">
        <v>11</v>
      </c>
      <c r="M296" s="217"/>
      <c r="N296" s="217"/>
      <c r="O296" s="217"/>
      <c r="P296" s="217">
        <v>1</v>
      </c>
      <c r="Q296" s="217"/>
      <c r="R296" s="217"/>
      <c r="S296" s="217"/>
      <c r="T296" s="217"/>
      <c r="U296" s="217"/>
      <c r="V296" s="217"/>
      <c r="W296" s="217"/>
      <c r="X296" s="218">
        <v>51</v>
      </c>
      <c r="Y296" s="221">
        <f t="shared" si="14"/>
        <v>12</v>
      </c>
      <c r="Z296">
        <f t="shared" si="12"/>
        <v>0</v>
      </c>
    </row>
    <row r="297" spans="1:26" x14ac:dyDescent="0.2">
      <c r="A297" s="26">
        <f t="shared" si="13"/>
        <v>42213</v>
      </c>
      <c r="B297" s="216">
        <v>2015</v>
      </c>
      <c r="C297" s="216">
        <v>7</v>
      </c>
      <c r="D297" s="216">
        <v>28</v>
      </c>
      <c r="E297" s="216" t="s">
        <v>152</v>
      </c>
      <c r="F297" s="217">
        <v>11</v>
      </c>
      <c r="G297" s="217"/>
      <c r="H297" s="217"/>
      <c r="I297" s="217"/>
      <c r="J297" s="217"/>
      <c r="K297" s="217"/>
      <c r="L297" s="217">
        <v>2</v>
      </c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8">
        <v>13</v>
      </c>
      <c r="Y297" s="221">
        <f t="shared" si="14"/>
        <v>2</v>
      </c>
      <c r="Z297">
        <f t="shared" si="12"/>
        <v>0</v>
      </c>
    </row>
    <row r="298" spans="1:26" x14ac:dyDescent="0.2">
      <c r="A298" s="26">
        <f t="shared" si="13"/>
        <v>42213</v>
      </c>
      <c r="B298" s="216">
        <v>2015</v>
      </c>
      <c r="C298" s="216">
        <v>7</v>
      </c>
      <c r="D298" s="216">
        <v>28</v>
      </c>
      <c r="E298" s="216" t="s">
        <v>153</v>
      </c>
      <c r="F298" s="217">
        <v>33</v>
      </c>
      <c r="G298" s="217"/>
      <c r="H298" s="217"/>
      <c r="I298" s="217"/>
      <c r="J298" s="217">
        <v>1</v>
      </c>
      <c r="K298" s="217"/>
      <c r="L298" s="217">
        <v>7</v>
      </c>
      <c r="M298" s="217"/>
      <c r="N298" s="217"/>
      <c r="O298" s="217"/>
      <c r="P298" s="217">
        <v>2</v>
      </c>
      <c r="Q298" s="217"/>
      <c r="R298" s="217"/>
      <c r="S298" s="217">
        <v>1</v>
      </c>
      <c r="T298" s="217"/>
      <c r="U298" s="217"/>
      <c r="V298" s="217"/>
      <c r="W298" s="217"/>
      <c r="X298" s="218">
        <v>44</v>
      </c>
      <c r="Y298" s="221">
        <f t="shared" si="14"/>
        <v>11</v>
      </c>
      <c r="Z298">
        <f t="shared" si="12"/>
        <v>0</v>
      </c>
    </row>
    <row r="299" spans="1:26" x14ac:dyDescent="0.2">
      <c r="A299" s="26">
        <f t="shared" si="13"/>
        <v>42214</v>
      </c>
      <c r="B299" s="216">
        <v>2015</v>
      </c>
      <c r="C299" s="216">
        <v>7</v>
      </c>
      <c r="D299" s="216">
        <v>29</v>
      </c>
      <c r="E299" s="216" t="s">
        <v>152</v>
      </c>
      <c r="F299" s="217">
        <v>11</v>
      </c>
      <c r="G299" s="217"/>
      <c r="H299" s="217"/>
      <c r="I299" s="217"/>
      <c r="J299" s="217"/>
      <c r="K299" s="217"/>
      <c r="L299" s="217">
        <v>1</v>
      </c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8">
        <v>12</v>
      </c>
      <c r="Y299" s="221">
        <f t="shared" si="14"/>
        <v>1</v>
      </c>
      <c r="Z299">
        <f t="shared" si="12"/>
        <v>0</v>
      </c>
    </row>
    <row r="300" spans="1:26" x14ac:dyDescent="0.2">
      <c r="A300" s="26">
        <f t="shared" si="13"/>
        <v>42214</v>
      </c>
      <c r="B300" s="216">
        <v>2015</v>
      </c>
      <c r="C300" s="216">
        <v>7</v>
      </c>
      <c r="D300" s="216">
        <v>29</v>
      </c>
      <c r="E300" s="216" t="s">
        <v>153</v>
      </c>
      <c r="F300" s="217">
        <v>37</v>
      </c>
      <c r="G300" s="217"/>
      <c r="H300" s="217"/>
      <c r="I300" s="217"/>
      <c r="J300" s="217"/>
      <c r="K300" s="217"/>
      <c r="L300" s="217">
        <v>7</v>
      </c>
      <c r="M300" s="217"/>
      <c r="N300" s="217"/>
      <c r="O300" s="217"/>
      <c r="P300" s="217">
        <v>1</v>
      </c>
      <c r="Q300" s="217"/>
      <c r="R300" s="217"/>
      <c r="S300" s="217">
        <v>2</v>
      </c>
      <c r="T300" s="217"/>
      <c r="U300" s="217"/>
      <c r="V300" s="217"/>
      <c r="W300" s="217"/>
      <c r="X300" s="218">
        <v>47</v>
      </c>
      <c r="Y300" s="221">
        <f t="shared" si="14"/>
        <v>10</v>
      </c>
      <c r="Z300">
        <f t="shared" si="12"/>
        <v>0</v>
      </c>
    </row>
    <row r="301" spans="1:26" x14ac:dyDescent="0.2">
      <c r="A301" s="26">
        <f t="shared" si="13"/>
        <v>42215</v>
      </c>
      <c r="B301" s="216">
        <v>2015</v>
      </c>
      <c r="C301" s="216">
        <v>7</v>
      </c>
      <c r="D301" s="216">
        <v>30</v>
      </c>
      <c r="E301" s="216" t="s">
        <v>152</v>
      </c>
      <c r="F301" s="217">
        <v>1</v>
      </c>
      <c r="G301" s="217"/>
      <c r="H301" s="217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8">
        <v>1</v>
      </c>
      <c r="Y301" s="221">
        <f t="shared" si="14"/>
        <v>0</v>
      </c>
      <c r="Z301">
        <f t="shared" si="12"/>
        <v>0</v>
      </c>
    </row>
    <row r="302" spans="1:26" x14ac:dyDescent="0.2">
      <c r="A302" s="26">
        <f t="shared" si="13"/>
        <v>42215</v>
      </c>
      <c r="B302" s="216">
        <v>2015</v>
      </c>
      <c r="C302" s="216">
        <v>7</v>
      </c>
      <c r="D302" s="216">
        <v>30</v>
      </c>
      <c r="E302" s="216" t="s">
        <v>153</v>
      </c>
      <c r="F302" s="217"/>
      <c r="G302" s="217"/>
      <c r="H302" s="217"/>
      <c r="I302" s="217"/>
      <c r="J302" s="217"/>
      <c r="K302" s="217"/>
      <c r="L302" s="217">
        <v>1</v>
      </c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8">
        <v>1</v>
      </c>
      <c r="Y302" s="221">
        <f t="shared" si="14"/>
        <v>1</v>
      </c>
      <c r="Z302">
        <f t="shared" si="12"/>
        <v>0</v>
      </c>
    </row>
    <row r="303" spans="1:26" x14ac:dyDescent="0.2">
      <c r="A303" s="26">
        <f t="shared" si="13"/>
        <v>42216</v>
      </c>
      <c r="B303" s="216">
        <v>2015</v>
      </c>
      <c r="C303" s="216">
        <v>7</v>
      </c>
      <c r="D303" s="216">
        <v>31</v>
      </c>
      <c r="E303" s="216" t="s">
        <v>152</v>
      </c>
      <c r="F303" s="217">
        <v>15</v>
      </c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8">
        <v>15</v>
      </c>
      <c r="Y303" s="221">
        <f t="shared" si="14"/>
        <v>0</v>
      </c>
      <c r="Z303">
        <f t="shared" si="12"/>
        <v>0</v>
      </c>
    </row>
    <row r="304" spans="1:26" x14ac:dyDescent="0.2">
      <c r="A304" s="26">
        <f t="shared" si="13"/>
        <v>42216</v>
      </c>
      <c r="B304" s="216">
        <v>2015</v>
      </c>
      <c r="C304" s="216">
        <v>7</v>
      </c>
      <c r="D304" s="216">
        <v>31</v>
      </c>
      <c r="E304" s="216" t="s">
        <v>153</v>
      </c>
      <c r="F304" s="217">
        <v>17</v>
      </c>
      <c r="G304" s="217"/>
      <c r="H304" s="217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8">
        <v>17</v>
      </c>
      <c r="Y304" s="221">
        <f t="shared" si="14"/>
        <v>0</v>
      </c>
      <c r="Z304">
        <f t="shared" si="12"/>
        <v>0</v>
      </c>
    </row>
    <row r="305" spans="1:26" x14ac:dyDescent="0.2">
      <c r="A305" s="26">
        <f t="shared" si="13"/>
        <v>42218</v>
      </c>
      <c r="B305" s="216">
        <v>2015</v>
      </c>
      <c r="C305" s="216">
        <v>8</v>
      </c>
      <c r="D305" s="216">
        <v>2</v>
      </c>
      <c r="E305" s="216" t="s">
        <v>153</v>
      </c>
      <c r="F305" s="217">
        <v>3</v>
      </c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8">
        <v>3</v>
      </c>
      <c r="Y305" s="221">
        <f t="shared" si="14"/>
        <v>0</v>
      </c>
      <c r="Z305">
        <f t="shared" si="12"/>
        <v>0</v>
      </c>
    </row>
    <row r="306" spans="1:26" x14ac:dyDescent="0.2">
      <c r="A306" s="26">
        <f t="shared" si="13"/>
        <v>42219</v>
      </c>
      <c r="B306" s="216">
        <v>2015</v>
      </c>
      <c r="C306" s="216">
        <v>8</v>
      </c>
      <c r="D306" s="216">
        <v>3</v>
      </c>
      <c r="E306" s="216" t="s">
        <v>152</v>
      </c>
      <c r="F306" s="217">
        <v>4</v>
      </c>
      <c r="G306" s="217"/>
      <c r="H306" s="217"/>
      <c r="I306" s="217"/>
      <c r="J306" s="217"/>
      <c r="K306" s="217"/>
      <c r="L306" s="217">
        <v>4</v>
      </c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8">
        <v>8</v>
      </c>
      <c r="Y306" s="221">
        <f t="shared" si="14"/>
        <v>4</v>
      </c>
      <c r="Z306">
        <f t="shared" si="12"/>
        <v>0</v>
      </c>
    </row>
    <row r="307" spans="1:26" x14ac:dyDescent="0.2">
      <c r="A307" s="26">
        <f t="shared" si="13"/>
        <v>42219</v>
      </c>
      <c r="B307" s="216">
        <v>2015</v>
      </c>
      <c r="C307" s="216">
        <v>8</v>
      </c>
      <c r="D307" s="216">
        <v>3</v>
      </c>
      <c r="E307" s="216" t="s">
        <v>153</v>
      </c>
      <c r="F307" s="217">
        <v>41</v>
      </c>
      <c r="G307" s="217"/>
      <c r="H307" s="217"/>
      <c r="I307" s="217"/>
      <c r="J307" s="217"/>
      <c r="K307" s="217"/>
      <c r="L307" s="217">
        <v>8</v>
      </c>
      <c r="M307" s="217"/>
      <c r="N307" s="217"/>
      <c r="O307" s="217"/>
      <c r="P307" s="217">
        <v>2</v>
      </c>
      <c r="Q307" s="217"/>
      <c r="R307" s="217"/>
      <c r="S307" s="217"/>
      <c r="T307" s="217"/>
      <c r="U307" s="217"/>
      <c r="V307" s="217"/>
      <c r="W307" s="217"/>
      <c r="X307" s="218">
        <v>51</v>
      </c>
      <c r="Y307" s="221">
        <f t="shared" si="14"/>
        <v>10</v>
      </c>
      <c r="Z307">
        <f t="shared" si="12"/>
        <v>0</v>
      </c>
    </row>
    <row r="308" spans="1:26" x14ac:dyDescent="0.2">
      <c r="A308" s="26">
        <f t="shared" si="13"/>
        <v>42220</v>
      </c>
      <c r="B308" s="216">
        <v>2015</v>
      </c>
      <c r="C308" s="216">
        <v>8</v>
      </c>
      <c r="D308" s="216">
        <v>4</v>
      </c>
      <c r="E308" s="216" t="s">
        <v>152</v>
      </c>
      <c r="F308" s="217">
        <v>3</v>
      </c>
      <c r="G308" s="217"/>
      <c r="H308" s="217"/>
      <c r="I308" s="217"/>
      <c r="J308" s="217"/>
      <c r="K308" s="217"/>
      <c r="L308" s="217">
        <v>2</v>
      </c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8">
        <v>5</v>
      </c>
      <c r="Y308" s="221">
        <f t="shared" si="14"/>
        <v>2</v>
      </c>
      <c r="Z308">
        <f t="shared" si="12"/>
        <v>0</v>
      </c>
    </row>
    <row r="309" spans="1:26" x14ac:dyDescent="0.2">
      <c r="A309" s="26">
        <f t="shared" si="13"/>
        <v>42220</v>
      </c>
      <c r="B309" s="216">
        <v>2015</v>
      </c>
      <c r="C309" s="216">
        <v>8</v>
      </c>
      <c r="D309" s="216">
        <v>4</v>
      </c>
      <c r="E309" s="216" t="s">
        <v>153</v>
      </c>
      <c r="F309" s="217">
        <v>24</v>
      </c>
      <c r="G309" s="217"/>
      <c r="H309" s="217"/>
      <c r="I309" s="217"/>
      <c r="J309" s="217"/>
      <c r="K309" s="217"/>
      <c r="L309" s="217">
        <v>6</v>
      </c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8">
        <v>30</v>
      </c>
      <c r="Y309" s="221">
        <f t="shared" si="14"/>
        <v>6</v>
      </c>
      <c r="Z309">
        <f t="shared" si="12"/>
        <v>0</v>
      </c>
    </row>
    <row r="310" spans="1:26" x14ac:dyDescent="0.2">
      <c r="A310" s="26">
        <f t="shared" si="13"/>
        <v>42221</v>
      </c>
      <c r="B310" s="216">
        <v>2015</v>
      </c>
      <c r="C310" s="216">
        <v>8</v>
      </c>
      <c r="D310" s="216">
        <v>5</v>
      </c>
      <c r="E310" s="216" t="s">
        <v>152</v>
      </c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>
        <v>1</v>
      </c>
      <c r="T310" s="217"/>
      <c r="U310" s="217"/>
      <c r="V310" s="217"/>
      <c r="W310" s="217"/>
      <c r="X310" s="218">
        <v>1</v>
      </c>
      <c r="Y310" s="221">
        <f t="shared" si="14"/>
        <v>1</v>
      </c>
      <c r="Z310">
        <f t="shared" si="12"/>
        <v>0</v>
      </c>
    </row>
    <row r="311" spans="1:26" x14ac:dyDescent="0.2">
      <c r="A311" s="26">
        <f t="shared" si="13"/>
        <v>42221</v>
      </c>
      <c r="B311" s="216">
        <v>2015</v>
      </c>
      <c r="C311" s="216">
        <v>8</v>
      </c>
      <c r="D311" s="216">
        <v>5</v>
      </c>
      <c r="E311" s="216" t="s">
        <v>153</v>
      </c>
      <c r="F311" s="217">
        <v>27</v>
      </c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>
        <v>1</v>
      </c>
      <c r="T311" s="217"/>
      <c r="U311" s="217"/>
      <c r="V311" s="217"/>
      <c r="W311" s="217"/>
      <c r="X311" s="218">
        <v>28</v>
      </c>
      <c r="Y311" s="221">
        <f t="shared" si="14"/>
        <v>1</v>
      </c>
      <c r="Z311">
        <f t="shared" si="12"/>
        <v>0</v>
      </c>
    </row>
    <row r="312" spans="1:26" x14ac:dyDescent="0.2">
      <c r="A312" s="26">
        <f t="shared" si="13"/>
        <v>42222</v>
      </c>
      <c r="B312" s="216">
        <v>2015</v>
      </c>
      <c r="C312" s="216">
        <v>8</v>
      </c>
      <c r="D312" s="216">
        <v>6</v>
      </c>
      <c r="E312" s="216" t="s">
        <v>152</v>
      </c>
      <c r="F312" s="217">
        <v>1</v>
      </c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8">
        <v>1</v>
      </c>
      <c r="Y312" s="221">
        <f t="shared" si="14"/>
        <v>0</v>
      </c>
      <c r="Z312">
        <f t="shared" si="12"/>
        <v>0</v>
      </c>
    </row>
    <row r="313" spans="1:26" x14ac:dyDescent="0.2">
      <c r="A313" s="26">
        <f t="shared" si="13"/>
        <v>42222</v>
      </c>
      <c r="B313" s="216">
        <v>2015</v>
      </c>
      <c r="C313" s="216">
        <v>8</v>
      </c>
      <c r="D313" s="216">
        <v>6</v>
      </c>
      <c r="E313" s="216" t="s">
        <v>153</v>
      </c>
      <c r="F313" s="217">
        <v>1</v>
      </c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8">
        <v>1</v>
      </c>
      <c r="Y313" s="221">
        <f t="shared" si="14"/>
        <v>0</v>
      </c>
      <c r="Z313">
        <f t="shared" si="12"/>
        <v>0</v>
      </c>
    </row>
    <row r="314" spans="1:26" x14ac:dyDescent="0.2">
      <c r="A314" s="26">
        <f t="shared" si="13"/>
        <v>42223</v>
      </c>
      <c r="B314" s="216">
        <v>2015</v>
      </c>
      <c r="C314" s="216">
        <v>8</v>
      </c>
      <c r="D314" s="216">
        <v>7</v>
      </c>
      <c r="E314" s="216" t="s">
        <v>153</v>
      </c>
      <c r="F314" s="217">
        <v>1</v>
      </c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8">
        <v>1</v>
      </c>
      <c r="Y314" s="221">
        <f t="shared" si="14"/>
        <v>0</v>
      </c>
      <c r="Z314">
        <f t="shared" si="12"/>
        <v>0</v>
      </c>
    </row>
    <row r="315" spans="1:26" x14ac:dyDescent="0.2">
      <c r="A315" s="26">
        <f t="shared" si="13"/>
        <v>42226</v>
      </c>
      <c r="B315" s="216">
        <v>2015</v>
      </c>
      <c r="C315" s="216">
        <v>8</v>
      </c>
      <c r="D315" s="216">
        <v>10</v>
      </c>
      <c r="E315" s="216" t="s">
        <v>152</v>
      </c>
      <c r="F315" s="217">
        <v>7</v>
      </c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8">
        <v>7</v>
      </c>
      <c r="Y315" s="221">
        <f t="shared" si="14"/>
        <v>0</v>
      </c>
      <c r="Z315">
        <f t="shared" si="12"/>
        <v>0</v>
      </c>
    </row>
    <row r="316" spans="1:26" x14ac:dyDescent="0.2">
      <c r="A316" s="26">
        <f t="shared" si="13"/>
        <v>42226</v>
      </c>
      <c r="B316" s="216">
        <v>2015</v>
      </c>
      <c r="C316" s="216">
        <v>8</v>
      </c>
      <c r="D316" s="216">
        <v>10</v>
      </c>
      <c r="E316" s="216" t="s">
        <v>153</v>
      </c>
      <c r="F316" s="217">
        <v>48</v>
      </c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>
        <v>3</v>
      </c>
      <c r="T316" s="217"/>
      <c r="U316" s="217"/>
      <c r="V316" s="217"/>
      <c r="W316" s="217"/>
      <c r="X316" s="218">
        <v>51</v>
      </c>
      <c r="Y316" s="221">
        <f t="shared" si="14"/>
        <v>3</v>
      </c>
      <c r="Z316">
        <f t="shared" si="12"/>
        <v>0</v>
      </c>
    </row>
    <row r="317" spans="1:26" x14ac:dyDescent="0.2">
      <c r="A317" s="26">
        <f t="shared" si="13"/>
        <v>42227</v>
      </c>
      <c r="B317" s="216">
        <v>2015</v>
      </c>
      <c r="C317" s="216">
        <v>8</v>
      </c>
      <c r="D317" s="216">
        <v>11</v>
      </c>
      <c r="E317" s="216" t="s">
        <v>152</v>
      </c>
      <c r="F317" s="217">
        <v>7</v>
      </c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>
        <v>1</v>
      </c>
      <c r="T317" s="217"/>
      <c r="U317" s="217"/>
      <c r="V317" s="217"/>
      <c r="W317" s="217"/>
      <c r="X317" s="218">
        <v>8</v>
      </c>
      <c r="Y317" s="221">
        <f t="shared" si="14"/>
        <v>1</v>
      </c>
      <c r="Z317">
        <f t="shared" si="12"/>
        <v>0</v>
      </c>
    </row>
    <row r="318" spans="1:26" x14ac:dyDescent="0.2">
      <c r="A318" s="26">
        <f t="shared" si="13"/>
        <v>42227</v>
      </c>
      <c r="B318" s="216">
        <v>2015</v>
      </c>
      <c r="C318" s="216">
        <v>8</v>
      </c>
      <c r="D318" s="216">
        <v>11</v>
      </c>
      <c r="E318" s="216" t="s">
        <v>153</v>
      </c>
      <c r="F318" s="217">
        <v>29</v>
      </c>
      <c r="G318" s="217"/>
      <c r="H318" s="217"/>
      <c r="I318" s="217">
        <v>1</v>
      </c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8">
        <v>30</v>
      </c>
      <c r="Y318" s="221">
        <f t="shared" si="14"/>
        <v>1</v>
      </c>
      <c r="Z318">
        <f t="shared" si="12"/>
        <v>0</v>
      </c>
    </row>
    <row r="319" spans="1:26" x14ac:dyDescent="0.2">
      <c r="A319" s="26">
        <f t="shared" si="13"/>
        <v>42228</v>
      </c>
      <c r="B319" s="216">
        <v>2015</v>
      </c>
      <c r="C319" s="216">
        <v>8</v>
      </c>
      <c r="D319" s="216">
        <v>12</v>
      </c>
      <c r="E319" s="216" t="s">
        <v>152</v>
      </c>
      <c r="F319" s="217">
        <v>5</v>
      </c>
      <c r="G319" s="217"/>
      <c r="H319" s="217"/>
      <c r="I319" s="217"/>
      <c r="J319" s="217"/>
      <c r="K319" s="217"/>
      <c r="L319" s="217">
        <v>2</v>
      </c>
      <c r="M319" s="217"/>
      <c r="N319" s="217"/>
      <c r="O319" s="217">
        <v>2</v>
      </c>
      <c r="P319" s="217"/>
      <c r="Q319" s="217"/>
      <c r="R319" s="217"/>
      <c r="S319" s="217"/>
      <c r="T319" s="217"/>
      <c r="U319" s="217"/>
      <c r="V319" s="217"/>
      <c r="W319" s="217"/>
      <c r="X319" s="218">
        <v>9</v>
      </c>
      <c r="Y319" s="221">
        <f t="shared" si="14"/>
        <v>4</v>
      </c>
      <c r="Z319">
        <f t="shared" si="12"/>
        <v>0</v>
      </c>
    </row>
    <row r="320" spans="1:26" x14ac:dyDescent="0.2">
      <c r="A320" s="26">
        <f t="shared" si="13"/>
        <v>42228</v>
      </c>
      <c r="B320" s="216">
        <v>2015</v>
      </c>
      <c r="C320" s="216">
        <v>8</v>
      </c>
      <c r="D320" s="216">
        <v>12</v>
      </c>
      <c r="E320" s="216" t="s">
        <v>153</v>
      </c>
      <c r="F320" s="217">
        <v>34</v>
      </c>
      <c r="G320" s="217"/>
      <c r="H320" s="217"/>
      <c r="I320" s="217">
        <v>1</v>
      </c>
      <c r="J320" s="217"/>
      <c r="K320" s="217"/>
      <c r="L320" s="217">
        <v>17</v>
      </c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8">
        <v>52</v>
      </c>
      <c r="Y320" s="221">
        <f t="shared" si="14"/>
        <v>18</v>
      </c>
      <c r="Z320">
        <f t="shared" si="12"/>
        <v>0</v>
      </c>
    </row>
    <row r="321" spans="1:26" x14ac:dyDescent="0.2">
      <c r="A321" s="26">
        <f t="shared" si="13"/>
        <v>42229</v>
      </c>
      <c r="B321" s="216">
        <v>2015</v>
      </c>
      <c r="C321" s="216">
        <v>8</v>
      </c>
      <c r="D321" s="216">
        <v>13</v>
      </c>
      <c r="E321" s="216" t="s">
        <v>152</v>
      </c>
      <c r="F321" s="217">
        <v>1</v>
      </c>
      <c r="G321" s="217"/>
      <c r="H321" s="217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8">
        <v>1</v>
      </c>
      <c r="Y321" s="221">
        <f t="shared" si="14"/>
        <v>0</v>
      </c>
      <c r="Z321">
        <f t="shared" si="12"/>
        <v>0</v>
      </c>
    </row>
    <row r="322" spans="1:26" x14ac:dyDescent="0.2">
      <c r="A322" s="26">
        <f t="shared" si="13"/>
        <v>42230</v>
      </c>
      <c r="B322" s="216">
        <v>2015</v>
      </c>
      <c r="C322" s="216">
        <v>8</v>
      </c>
      <c r="D322" s="216">
        <v>14</v>
      </c>
      <c r="E322" s="216" t="s">
        <v>152</v>
      </c>
      <c r="F322" s="217">
        <v>1</v>
      </c>
      <c r="G322" s="217"/>
      <c r="H322" s="217"/>
      <c r="I322" s="217"/>
      <c r="J322" s="217"/>
      <c r="K322" s="217"/>
      <c r="L322" s="217">
        <v>1</v>
      </c>
      <c r="M322" s="217"/>
      <c r="N322" s="217"/>
      <c r="O322" s="217"/>
      <c r="P322" s="217">
        <v>1</v>
      </c>
      <c r="Q322" s="217"/>
      <c r="R322" s="217"/>
      <c r="S322" s="217"/>
      <c r="T322" s="217">
        <v>1</v>
      </c>
      <c r="U322" s="217"/>
      <c r="V322" s="217"/>
      <c r="W322" s="217"/>
      <c r="X322" s="218">
        <v>4</v>
      </c>
      <c r="Y322" s="221">
        <f t="shared" si="14"/>
        <v>3</v>
      </c>
      <c r="Z322">
        <f t="shared" ref="Z322:Z385" si="15">IF(AND(WEEKDAY(A322,2)=6,E322="Sim"),X322,0)</f>
        <v>0</v>
      </c>
    </row>
    <row r="323" spans="1:26" x14ac:dyDescent="0.2">
      <c r="A323" s="26">
        <f t="shared" ref="A323:A386" si="16">DATE(B323,C323,D323)</f>
        <v>42230</v>
      </c>
      <c r="B323" s="216">
        <v>2015</v>
      </c>
      <c r="C323" s="216">
        <v>8</v>
      </c>
      <c r="D323" s="216">
        <v>14</v>
      </c>
      <c r="E323" s="216" t="s">
        <v>153</v>
      </c>
      <c r="F323" s="217">
        <v>4</v>
      </c>
      <c r="G323" s="217"/>
      <c r="H323" s="217"/>
      <c r="I323" s="217"/>
      <c r="J323" s="217"/>
      <c r="K323" s="217"/>
      <c r="L323" s="217">
        <v>6</v>
      </c>
      <c r="M323" s="217"/>
      <c r="N323" s="217"/>
      <c r="O323" s="217"/>
      <c r="P323" s="217"/>
      <c r="Q323" s="217"/>
      <c r="R323" s="217"/>
      <c r="S323" s="217"/>
      <c r="T323" s="217"/>
      <c r="U323" s="217">
        <v>1</v>
      </c>
      <c r="V323" s="217"/>
      <c r="W323" s="217"/>
      <c r="X323" s="218">
        <v>11</v>
      </c>
      <c r="Y323" s="221">
        <f t="shared" ref="Y323:Y386" si="17">SUM(G323:W323)</f>
        <v>7</v>
      </c>
      <c r="Z323">
        <f t="shared" si="15"/>
        <v>0</v>
      </c>
    </row>
    <row r="324" spans="1:26" x14ac:dyDescent="0.2">
      <c r="A324" s="26">
        <f t="shared" si="16"/>
        <v>42231</v>
      </c>
      <c r="B324" s="216">
        <v>2015</v>
      </c>
      <c r="C324" s="216">
        <v>8</v>
      </c>
      <c r="D324" s="216">
        <v>15</v>
      </c>
      <c r="E324" s="216" t="s">
        <v>153</v>
      </c>
      <c r="F324" s="217">
        <v>6</v>
      </c>
      <c r="G324" s="217"/>
      <c r="H324" s="217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8">
        <v>6</v>
      </c>
      <c r="Y324" s="221">
        <f t="shared" si="17"/>
        <v>0</v>
      </c>
      <c r="Z324">
        <f t="shared" si="15"/>
        <v>6</v>
      </c>
    </row>
    <row r="325" spans="1:26" x14ac:dyDescent="0.2">
      <c r="A325" s="26">
        <f t="shared" si="16"/>
        <v>42233</v>
      </c>
      <c r="B325" s="216">
        <v>2015</v>
      </c>
      <c r="C325" s="216">
        <v>8</v>
      </c>
      <c r="D325" s="216">
        <v>17</v>
      </c>
      <c r="E325" s="216" t="s">
        <v>152</v>
      </c>
      <c r="F325" s="217">
        <v>19</v>
      </c>
      <c r="G325" s="217"/>
      <c r="H325" s="217">
        <v>4</v>
      </c>
      <c r="I325" s="217"/>
      <c r="J325" s="217"/>
      <c r="K325" s="217"/>
      <c r="L325" s="217">
        <v>1</v>
      </c>
      <c r="M325" s="217"/>
      <c r="N325" s="217"/>
      <c r="O325" s="217"/>
      <c r="P325" s="217"/>
      <c r="Q325" s="217"/>
      <c r="R325" s="217"/>
      <c r="S325" s="217">
        <v>3</v>
      </c>
      <c r="T325" s="217">
        <v>1</v>
      </c>
      <c r="U325" s="217"/>
      <c r="V325" s="217"/>
      <c r="W325" s="217"/>
      <c r="X325" s="218">
        <v>28</v>
      </c>
      <c r="Y325" s="221">
        <f t="shared" si="17"/>
        <v>9</v>
      </c>
      <c r="Z325">
        <f t="shared" si="15"/>
        <v>0</v>
      </c>
    </row>
    <row r="326" spans="1:26" x14ac:dyDescent="0.2">
      <c r="A326" s="26">
        <f t="shared" si="16"/>
        <v>42233</v>
      </c>
      <c r="B326" s="216">
        <v>2015</v>
      </c>
      <c r="C326" s="216">
        <v>8</v>
      </c>
      <c r="D326" s="216">
        <v>17</v>
      </c>
      <c r="E326" s="216" t="s">
        <v>153</v>
      </c>
      <c r="F326" s="217">
        <v>41</v>
      </c>
      <c r="G326" s="217"/>
      <c r="H326" s="217"/>
      <c r="I326" s="217"/>
      <c r="J326" s="217"/>
      <c r="K326" s="217"/>
      <c r="L326" s="217">
        <v>1</v>
      </c>
      <c r="M326" s="217"/>
      <c r="N326" s="217"/>
      <c r="O326" s="217"/>
      <c r="P326" s="217"/>
      <c r="Q326" s="217"/>
      <c r="R326" s="217"/>
      <c r="S326" s="217">
        <v>5</v>
      </c>
      <c r="T326" s="217"/>
      <c r="U326" s="217"/>
      <c r="V326" s="217"/>
      <c r="W326" s="217"/>
      <c r="X326" s="218">
        <v>47</v>
      </c>
      <c r="Y326" s="221">
        <f t="shared" si="17"/>
        <v>6</v>
      </c>
      <c r="Z326">
        <f t="shared" si="15"/>
        <v>0</v>
      </c>
    </row>
    <row r="327" spans="1:26" x14ac:dyDescent="0.2">
      <c r="A327" s="26">
        <f t="shared" si="16"/>
        <v>42234</v>
      </c>
      <c r="B327" s="216">
        <v>2015</v>
      </c>
      <c r="C327" s="216">
        <v>8</v>
      </c>
      <c r="D327" s="216">
        <v>18</v>
      </c>
      <c r="E327" s="216" t="s">
        <v>152</v>
      </c>
      <c r="F327" s="217">
        <v>58</v>
      </c>
      <c r="G327" s="217"/>
      <c r="H327" s="217"/>
      <c r="I327" s="217"/>
      <c r="J327" s="217"/>
      <c r="K327" s="217"/>
      <c r="L327" s="217">
        <v>4</v>
      </c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8">
        <v>62</v>
      </c>
      <c r="Y327" s="221">
        <f t="shared" si="17"/>
        <v>4</v>
      </c>
      <c r="Z327">
        <f t="shared" si="15"/>
        <v>0</v>
      </c>
    </row>
    <row r="328" spans="1:26" x14ac:dyDescent="0.2">
      <c r="A328" s="26">
        <f t="shared" si="16"/>
        <v>42234</v>
      </c>
      <c r="B328" s="216">
        <v>2015</v>
      </c>
      <c r="C328" s="216">
        <v>8</v>
      </c>
      <c r="D328" s="216">
        <v>18</v>
      </c>
      <c r="E328" s="216" t="s">
        <v>153</v>
      </c>
      <c r="F328" s="217">
        <v>34</v>
      </c>
      <c r="G328" s="217"/>
      <c r="H328" s="217"/>
      <c r="I328" s="217"/>
      <c r="J328" s="217"/>
      <c r="K328" s="217"/>
      <c r="L328" s="217">
        <v>1</v>
      </c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8">
        <v>35</v>
      </c>
      <c r="Y328" s="221">
        <f t="shared" si="17"/>
        <v>1</v>
      </c>
      <c r="Z328">
        <f t="shared" si="15"/>
        <v>0</v>
      </c>
    </row>
    <row r="329" spans="1:26" x14ac:dyDescent="0.2">
      <c r="A329" s="26">
        <f t="shared" si="16"/>
        <v>42235</v>
      </c>
      <c r="B329" s="216">
        <v>2015</v>
      </c>
      <c r="C329" s="216">
        <v>8</v>
      </c>
      <c r="D329" s="216">
        <v>19</v>
      </c>
      <c r="E329" s="216" t="s">
        <v>152</v>
      </c>
      <c r="F329" s="217">
        <v>12</v>
      </c>
      <c r="G329" s="217"/>
      <c r="H329" s="217"/>
      <c r="I329" s="217"/>
      <c r="J329" s="217"/>
      <c r="K329" s="217"/>
      <c r="L329" s="217">
        <v>2</v>
      </c>
      <c r="M329" s="217"/>
      <c r="N329" s="217"/>
      <c r="O329" s="217"/>
      <c r="P329" s="217"/>
      <c r="Q329" s="217"/>
      <c r="R329" s="217">
        <v>1</v>
      </c>
      <c r="S329" s="217"/>
      <c r="T329" s="217"/>
      <c r="U329" s="217"/>
      <c r="V329" s="217"/>
      <c r="W329" s="217"/>
      <c r="X329" s="218">
        <v>15</v>
      </c>
      <c r="Y329" s="221">
        <f t="shared" si="17"/>
        <v>3</v>
      </c>
      <c r="Z329">
        <f t="shared" si="15"/>
        <v>0</v>
      </c>
    </row>
    <row r="330" spans="1:26" x14ac:dyDescent="0.2">
      <c r="A330" s="26">
        <f t="shared" si="16"/>
        <v>42235</v>
      </c>
      <c r="B330" s="216">
        <v>2015</v>
      </c>
      <c r="C330" s="216">
        <v>8</v>
      </c>
      <c r="D330" s="216">
        <v>19</v>
      </c>
      <c r="E330" s="216" t="s">
        <v>153</v>
      </c>
      <c r="F330" s="217">
        <v>36</v>
      </c>
      <c r="G330" s="217"/>
      <c r="H330" s="217"/>
      <c r="I330" s="217"/>
      <c r="J330" s="217"/>
      <c r="K330" s="217"/>
      <c r="L330" s="217">
        <v>5</v>
      </c>
      <c r="M330" s="217"/>
      <c r="N330" s="217"/>
      <c r="O330" s="217">
        <v>1</v>
      </c>
      <c r="P330" s="217"/>
      <c r="Q330" s="217"/>
      <c r="R330" s="217"/>
      <c r="S330" s="217"/>
      <c r="T330" s="217"/>
      <c r="U330" s="217"/>
      <c r="V330" s="217"/>
      <c r="W330" s="217"/>
      <c r="X330" s="218">
        <v>42</v>
      </c>
      <c r="Y330" s="221">
        <f t="shared" si="17"/>
        <v>6</v>
      </c>
      <c r="Z330">
        <f t="shared" si="15"/>
        <v>0</v>
      </c>
    </row>
    <row r="331" spans="1:26" x14ac:dyDescent="0.2">
      <c r="A331" s="26">
        <f t="shared" si="16"/>
        <v>42236</v>
      </c>
      <c r="B331" s="216">
        <v>2015</v>
      </c>
      <c r="C331" s="216">
        <v>8</v>
      </c>
      <c r="D331" s="216">
        <v>20</v>
      </c>
      <c r="E331" s="216" t="s">
        <v>152</v>
      </c>
      <c r="F331" s="217">
        <v>24</v>
      </c>
      <c r="G331" s="217"/>
      <c r="H331" s="217"/>
      <c r="I331" s="217"/>
      <c r="J331" s="217"/>
      <c r="K331" s="217"/>
      <c r="L331" s="217">
        <v>3</v>
      </c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8">
        <v>27</v>
      </c>
      <c r="Y331" s="221">
        <f t="shared" si="17"/>
        <v>3</v>
      </c>
      <c r="Z331">
        <f t="shared" si="15"/>
        <v>0</v>
      </c>
    </row>
    <row r="332" spans="1:26" x14ac:dyDescent="0.2">
      <c r="A332" s="26">
        <f t="shared" si="16"/>
        <v>42236</v>
      </c>
      <c r="B332" s="216">
        <v>2015</v>
      </c>
      <c r="C332" s="216">
        <v>8</v>
      </c>
      <c r="D332" s="216">
        <v>20</v>
      </c>
      <c r="E332" s="216" t="s">
        <v>153</v>
      </c>
      <c r="F332" s="217">
        <v>54</v>
      </c>
      <c r="G332" s="217"/>
      <c r="H332" s="217"/>
      <c r="I332" s="217"/>
      <c r="J332" s="217"/>
      <c r="K332" s="217"/>
      <c r="L332" s="217">
        <v>8</v>
      </c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8">
        <v>62</v>
      </c>
      <c r="Y332" s="221">
        <f t="shared" si="17"/>
        <v>8</v>
      </c>
      <c r="Z332">
        <f t="shared" si="15"/>
        <v>0</v>
      </c>
    </row>
    <row r="333" spans="1:26" x14ac:dyDescent="0.2">
      <c r="A333" s="26">
        <f t="shared" si="16"/>
        <v>42237</v>
      </c>
      <c r="B333" s="216">
        <v>2015</v>
      </c>
      <c r="C333" s="216">
        <v>8</v>
      </c>
      <c r="D333" s="216">
        <v>21</v>
      </c>
      <c r="E333" s="216" t="s">
        <v>152</v>
      </c>
      <c r="F333" s="217">
        <v>13</v>
      </c>
      <c r="G333" s="217"/>
      <c r="H333" s="217"/>
      <c r="I333" s="217">
        <v>1</v>
      </c>
      <c r="J333" s="217"/>
      <c r="K333" s="217"/>
      <c r="L333" s="217">
        <v>3</v>
      </c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8">
        <v>17</v>
      </c>
      <c r="Y333" s="221">
        <f t="shared" si="17"/>
        <v>4</v>
      </c>
      <c r="Z333">
        <f t="shared" si="15"/>
        <v>0</v>
      </c>
    </row>
    <row r="334" spans="1:26" x14ac:dyDescent="0.2">
      <c r="A334" s="26">
        <f t="shared" si="16"/>
        <v>42237</v>
      </c>
      <c r="B334" s="216">
        <v>2015</v>
      </c>
      <c r="C334" s="216">
        <v>8</v>
      </c>
      <c r="D334" s="216">
        <v>21</v>
      </c>
      <c r="E334" s="216" t="s">
        <v>153</v>
      </c>
      <c r="F334" s="217">
        <v>31</v>
      </c>
      <c r="G334" s="217"/>
      <c r="H334" s="217"/>
      <c r="I334" s="217">
        <v>2</v>
      </c>
      <c r="J334" s="217"/>
      <c r="K334" s="217"/>
      <c r="L334" s="217">
        <v>6</v>
      </c>
      <c r="M334" s="217"/>
      <c r="N334" s="217"/>
      <c r="O334" s="217"/>
      <c r="P334" s="217"/>
      <c r="Q334" s="217"/>
      <c r="R334" s="217"/>
      <c r="S334" s="217"/>
      <c r="T334" s="217">
        <v>2</v>
      </c>
      <c r="U334" s="217"/>
      <c r="V334" s="217"/>
      <c r="W334" s="217"/>
      <c r="X334" s="218">
        <v>41</v>
      </c>
      <c r="Y334" s="221">
        <f t="shared" si="17"/>
        <v>10</v>
      </c>
      <c r="Z334">
        <f t="shared" si="15"/>
        <v>0</v>
      </c>
    </row>
    <row r="335" spans="1:26" x14ac:dyDescent="0.2">
      <c r="A335" s="26">
        <f t="shared" si="16"/>
        <v>42240</v>
      </c>
      <c r="B335" s="216">
        <v>2015</v>
      </c>
      <c r="C335" s="216">
        <v>8</v>
      </c>
      <c r="D335" s="216">
        <v>24</v>
      </c>
      <c r="E335" s="216" t="s">
        <v>152</v>
      </c>
      <c r="F335" s="217">
        <v>11</v>
      </c>
      <c r="G335" s="217"/>
      <c r="H335" s="217"/>
      <c r="I335" s="217"/>
      <c r="J335" s="217"/>
      <c r="K335" s="217"/>
      <c r="L335" s="217">
        <v>6</v>
      </c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8">
        <v>17</v>
      </c>
      <c r="Y335" s="221">
        <f t="shared" si="17"/>
        <v>6</v>
      </c>
      <c r="Z335">
        <f t="shared" si="15"/>
        <v>0</v>
      </c>
    </row>
    <row r="336" spans="1:26" x14ac:dyDescent="0.2">
      <c r="A336" s="26">
        <f t="shared" si="16"/>
        <v>42240</v>
      </c>
      <c r="B336" s="216">
        <v>2015</v>
      </c>
      <c r="C336" s="216">
        <v>8</v>
      </c>
      <c r="D336" s="216">
        <v>24</v>
      </c>
      <c r="E336" s="216" t="s">
        <v>153</v>
      </c>
      <c r="F336" s="217">
        <v>11</v>
      </c>
      <c r="G336" s="217"/>
      <c r="H336" s="217"/>
      <c r="I336" s="217"/>
      <c r="J336" s="217"/>
      <c r="K336" s="217"/>
      <c r="L336" s="217">
        <v>4</v>
      </c>
      <c r="M336" s="217"/>
      <c r="N336" s="217"/>
      <c r="O336" s="217"/>
      <c r="P336" s="217"/>
      <c r="Q336" s="217"/>
      <c r="R336" s="217"/>
      <c r="S336" s="217">
        <v>4</v>
      </c>
      <c r="T336" s="217"/>
      <c r="U336" s="217"/>
      <c r="V336" s="217"/>
      <c r="W336" s="217"/>
      <c r="X336" s="218">
        <v>19</v>
      </c>
      <c r="Y336" s="221">
        <f t="shared" si="17"/>
        <v>8</v>
      </c>
      <c r="Z336">
        <f t="shared" si="15"/>
        <v>0</v>
      </c>
    </row>
    <row r="337" spans="1:26" x14ac:dyDescent="0.2">
      <c r="A337" s="26">
        <f t="shared" si="16"/>
        <v>42241</v>
      </c>
      <c r="B337" s="216">
        <v>2015</v>
      </c>
      <c r="C337" s="216">
        <v>8</v>
      </c>
      <c r="D337" s="216">
        <v>25</v>
      </c>
      <c r="E337" s="216" t="s">
        <v>153</v>
      </c>
      <c r="F337" s="217"/>
      <c r="G337" s="217"/>
      <c r="H337" s="217"/>
      <c r="I337" s="217"/>
      <c r="J337" s="217"/>
      <c r="K337" s="217"/>
      <c r="L337" s="217">
        <v>3</v>
      </c>
      <c r="M337" s="217"/>
      <c r="N337" s="217"/>
      <c r="O337" s="217">
        <v>1</v>
      </c>
      <c r="P337" s="217"/>
      <c r="Q337" s="217"/>
      <c r="R337" s="217"/>
      <c r="S337" s="217"/>
      <c r="T337" s="217"/>
      <c r="U337" s="217"/>
      <c r="V337" s="217"/>
      <c r="W337" s="217"/>
      <c r="X337" s="218">
        <v>4</v>
      </c>
      <c r="Y337" s="221">
        <f t="shared" si="17"/>
        <v>4</v>
      </c>
      <c r="Z337">
        <f t="shared" si="15"/>
        <v>0</v>
      </c>
    </row>
    <row r="338" spans="1:26" x14ac:dyDescent="0.2">
      <c r="A338" s="26">
        <f t="shared" si="16"/>
        <v>42242</v>
      </c>
      <c r="B338" s="216">
        <v>2015</v>
      </c>
      <c r="C338" s="216">
        <v>8</v>
      </c>
      <c r="D338" s="216">
        <v>26</v>
      </c>
      <c r="E338" s="216" t="s">
        <v>152</v>
      </c>
      <c r="F338" s="217">
        <v>24</v>
      </c>
      <c r="G338" s="217"/>
      <c r="H338" s="217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8">
        <v>24</v>
      </c>
      <c r="Y338" s="221">
        <f t="shared" si="17"/>
        <v>0</v>
      </c>
      <c r="Z338">
        <f t="shared" si="15"/>
        <v>0</v>
      </c>
    </row>
    <row r="339" spans="1:26" x14ac:dyDescent="0.2">
      <c r="A339" s="26">
        <f t="shared" si="16"/>
        <v>42242</v>
      </c>
      <c r="B339" s="216">
        <v>2015</v>
      </c>
      <c r="C339" s="216">
        <v>8</v>
      </c>
      <c r="D339" s="216">
        <v>26</v>
      </c>
      <c r="E339" s="216" t="s">
        <v>153</v>
      </c>
      <c r="F339" s="217">
        <v>9</v>
      </c>
      <c r="G339" s="217"/>
      <c r="H339" s="217"/>
      <c r="I339" s="217"/>
      <c r="J339" s="217"/>
      <c r="K339" s="217"/>
      <c r="L339" s="217">
        <v>4</v>
      </c>
      <c r="M339" s="217"/>
      <c r="N339" s="217"/>
      <c r="O339" s="217"/>
      <c r="P339" s="217"/>
      <c r="Q339" s="217"/>
      <c r="R339" s="217"/>
      <c r="S339" s="217">
        <v>1</v>
      </c>
      <c r="T339" s="217"/>
      <c r="U339" s="217"/>
      <c r="V339" s="217"/>
      <c r="W339" s="217"/>
      <c r="X339" s="218">
        <v>14</v>
      </c>
      <c r="Y339" s="221">
        <f t="shared" si="17"/>
        <v>5</v>
      </c>
      <c r="Z339">
        <f t="shared" si="15"/>
        <v>0</v>
      </c>
    </row>
    <row r="340" spans="1:26" x14ac:dyDescent="0.2">
      <c r="A340" s="26">
        <f t="shared" si="16"/>
        <v>42243</v>
      </c>
      <c r="B340" s="216">
        <v>2015</v>
      </c>
      <c r="C340" s="216">
        <v>8</v>
      </c>
      <c r="D340" s="216">
        <v>27</v>
      </c>
      <c r="E340" s="216" t="s">
        <v>152</v>
      </c>
      <c r="F340" s="217">
        <v>9</v>
      </c>
      <c r="G340" s="217">
        <v>1</v>
      </c>
      <c r="H340" s="217">
        <v>2</v>
      </c>
      <c r="I340" s="217">
        <v>1</v>
      </c>
      <c r="J340" s="217">
        <v>8</v>
      </c>
      <c r="K340" s="217"/>
      <c r="L340" s="217">
        <v>1</v>
      </c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8">
        <v>22</v>
      </c>
      <c r="Y340" s="221">
        <f t="shared" si="17"/>
        <v>13</v>
      </c>
      <c r="Z340">
        <f t="shared" si="15"/>
        <v>0</v>
      </c>
    </row>
    <row r="341" spans="1:26" x14ac:dyDescent="0.2">
      <c r="A341" s="26">
        <f t="shared" si="16"/>
        <v>42243</v>
      </c>
      <c r="B341" s="216">
        <v>2015</v>
      </c>
      <c r="C341" s="216">
        <v>8</v>
      </c>
      <c r="D341" s="216">
        <v>27</v>
      </c>
      <c r="E341" s="216" t="s">
        <v>153</v>
      </c>
      <c r="F341" s="217">
        <v>13</v>
      </c>
      <c r="G341" s="217"/>
      <c r="H341" s="217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8">
        <v>13</v>
      </c>
      <c r="Y341" s="221">
        <f t="shared" si="17"/>
        <v>0</v>
      </c>
      <c r="Z341">
        <f t="shared" si="15"/>
        <v>0</v>
      </c>
    </row>
    <row r="342" spans="1:26" x14ac:dyDescent="0.2">
      <c r="A342" s="26">
        <f t="shared" si="16"/>
        <v>42244</v>
      </c>
      <c r="B342" s="216">
        <v>2015</v>
      </c>
      <c r="C342" s="216">
        <v>8</v>
      </c>
      <c r="D342" s="216">
        <v>28</v>
      </c>
      <c r="E342" s="216" t="s">
        <v>152</v>
      </c>
      <c r="F342" s="217">
        <v>10</v>
      </c>
      <c r="G342" s="217"/>
      <c r="H342" s="217">
        <v>1</v>
      </c>
      <c r="I342" s="217"/>
      <c r="J342" s="217"/>
      <c r="K342" s="217"/>
      <c r="L342" s="217">
        <v>1</v>
      </c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8">
        <v>12</v>
      </c>
      <c r="Y342" s="221">
        <f t="shared" si="17"/>
        <v>2</v>
      </c>
      <c r="Z342">
        <f t="shared" si="15"/>
        <v>0</v>
      </c>
    </row>
    <row r="343" spans="1:26" x14ac:dyDescent="0.2">
      <c r="A343" s="26">
        <f t="shared" si="16"/>
        <v>42244</v>
      </c>
      <c r="B343" s="216">
        <v>2015</v>
      </c>
      <c r="C343" s="216">
        <v>8</v>
      </c>
      <c r="D343" s="216">
        <v>28</v>
      </c>
      <c r="E343" s="216" t="s">
        <v>153</v>
      </c>
      <c r="F343" s="217">
        <v>23</v>
      </c>
      <c r="G343" s="217"/>
      <c r="H343" s="217"/>
      <c r="I343" s="217"/>
      <c r="J343" s="217"/>
      <c r="K343" s="217"/>
      <c r="L343" s="217">
        <v>2</v>
      </c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8">
        <v>25</v>
      </c>
      <c r="Y343" s="221">
        <f t="shared" si="17"/>
        <v>2</v>
      </c>
      <c r="Z343">
        <f t="shared" si="15"/>
        <v>0</v>
      </c>
    </row>
    <row r="344" spans="1:26" x14ac:dyDescent="0.2">
      <c r="A344" s="26">
        <f t="shared" si="16"/>
        <v>42245</v>
      </c>
      <c r="B344" s="216">
        <v>2015</v>
      </c>
      <c r="C344" s="216">
        <v>8</v>
      </c>
      <c r="D344" s="216">
        <v>29</v>
      </c>
      <c r="E344" s="216" t="s">
        <v>152</v>
      </c>
      <c r="F344" s="217">
        <v>1</v>
      </c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8">
        <v>1</v>
      </c>
      <c r="Y344" s="221">
        <f t="shared" si="17"/>
        <v>0</v>
      </c>
      <c r="Z344">
        <f t="shared" si="15"/>
        <v>0</v>
      </c>
    </row>
    <row r="345" spans="1:26" x14ac:dyDescent="0.2">
      <c r="A345" s="26">
        <f t="shared" si="16"/>
        <v>42247</v>
      </c>
      <c r="B345" s="216">
        <v>2015</v>
      </c>
      <c r="C345" s="216">
        <v>8</v>
      </c>
      <c r="D345" s="216">
        <v>31</v>
      </c>
      <c r="E345" s="216" t="s">
        <v>152</v>
      </c>
      <c r="F345" s="217">
        <v>23</v>
      </c>
      <c r="G345" s="217"/>
      <c r="H345" s="217"/>
      <c r="I345" s="217">
        <v>1</v>
      </c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8">
        <v>24</v>
      </c>
      <c r="Y345" s="221">
        <f t="shared" si="17"/>
        <v>1</v>
      </c>
      <c r="Z345">
        <f t="shared" si="15"/>
        <v>0</v>
      </c>
    </row>
    <row r="346" spans="1:26" x14ac:dyDescent="0.2">
      <c r="A346" s="26">
        <f t="shared" si="16"/>
        <v>42247</v>
      </c>
      <c r="B346" s="216">
        <v>2015</v>
      </c>
      <c r="C346" s="216">
        <v>8</v>
      </c>
      <c r="D346" s="216">
        <v>31</v>
      </c>
      <c r="E346" s="216" t="s">
        <v>153</v>
      </c>
      <c r="F346" s="217">
        <v>44</v>
      </c>
      <c r="G346" s="217"/>
      <c r="H346" s="217"/>
      <c r="I346" s="217">
        <v>2</v>
      </c>
      <c r="J346" s="217">
        <v>2</v>
      </c>
      <c r="K346" s="217"/>
      <c r="L346" s="217">
        <v>1</v>
      </c>
      <c r="M346" s="217"/>
      <c r="N346" s="217"/>
      <c r="O346" s="217"/>
      <c r="P346" s="217">
        <v>1</v>
      </c>
      <c r="Q346" s="217"/>
      <c r="R346" s="217"/>
      <c r="S346" s="217"/>
      <c r="T346" s="217"/>
      <c r="U346" s="217"/>
      <c r="V346" s="217"/>
      <c r="W346" s="217"/>
      <c r="X346" s="218">
        <v>50</v>
      </c>
      <c r="Y346" s="221">
        <f t="shared" si="17"/>
        <v>6</v>
      </c>
      <c r="Z346">
        <f t="shared" si="15"/>
        <v>0</v>
      </c>
    </row>
    <row r="347" spans="1:26" x14ac:dyDescent="0.2">
      <c r="A347" s="26">
        <f t="shared" si="16"/>
        <v>42248</v>
      </c>
      <c r="B347" s="216">
        <v>2015</v>
      </c>
      <c r="C347" s="216">
        <v>9</v>
      </c>
      <c r="D347" s="216">
        <v>1</v>
      </c>
      <c r="E347" s="216" t="s">
        <v>152</v>
      </c>
      <c r="F347" s="217">
        <v>9</v>
      </c>
      <c r="G347" s="217"/>
      <c r="H347" s="217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>
        <v>3</v>
      </c>
      <c r="X347" s="218">
        <v>12</v>
      </c>
      <c r="Y347" s="221">
        <f t="shared" si="17"/>
        <v>3</v>
      </c>
      <c r="Z347">
        <f t="shared" si="15"/>
        <v>0</v>
      </c>
    </row>
    <row r="348" spans="1:26" x14ac:dyDescent="0.2">
      <c r="A348" s="26">
        <f t="shared" si="16"/>
        <v>42248</v>
      </c>
      <c r="B348" s="216">
        <v>2015</v>
      </c>
      <c r="C348" s="216">
        <v>9</v>
      </c>
      <c r="D348" s="216">
        <v>1</v>
      </c>
      <c r="E348" s="216" t="s">
        <v>153</v>
      </c>
      <c r="F348" s="217">
        <v>27</v>
      </c>
      <c r="G348" s="217"/>
      <c r="H348" s="217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8">
        <v>27</v>
      </c>
      <c r="Y348" s="221">
        <f t="shared" si="17"/>
        <v>0</v>
      </c>
      <c r="Z348">
        <f t="shared" si="15"/>
        <v>0</v>
      </c>
    </row>
    <row r="349" spans="1:26" x14ac:dyDescent="0.2">
      <c r="A349" s="26">
        <f t="shared" si="16"/>
        <v>42249</v>
      </c>
      <c r="B349" s="216">
        <v>2015</v>
      </c>
      <c r="C349" s="216">
        <v>9</v>
      </c>
      <c r="D349" s="216">
        <v>2</v>
      </c>
      <c r="E349" s="216" t="s">
        <v>152</v>
      </c>
      <c r="F349" s="217">
        <v>26</v>
      </c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8">
        <v>26</v>
      </c>
      <c r="Y349" s="221">
        <f t="shared" si="17"/>
        <v>0</v>
      </c>
      <c r="Z349">
        <f t="shared" si="15"/>
        <v>0</v>
      </c>
    </row>
    <row r="350" spans="1:26" x14ac:dyDescent="0.2">
      <c r="A350" s="26">
        <f t="shared" si="16"/>
        <v>42249</v>
      </c>
      <c r="B350" s="216">
        <v>2015</v>
      </c>
      <c r="C350" s="216">
        <v>9</v>
      </c>
      <c r="D350" s="216">
        <v>2</v>
      </c>
      <c r="E350" s="216" t="s">
        <v>153</v>
      </c>
      <c r="F350" s="217">
        <v>25</v>
      </c>
      <c r="G350" s="217"/>
      <c r="H350" s="217"/>
      <c r="I350" s="217"/>
      <c r="J350" s="217"/>
      <c r="K350" s="217"/>
      <c r="L350" s="217">
        <v>2</v>
      </c>
      <c r="M350" s="217"/>
      <c r="N350" s="217"/>
      <c r="O350" s="217"/>
      <c r="P350" s="217">
        <v>1</v>
      </c>
      <c r="Q350" s="217"/>
      <c r="R350" s="217"/>
      <c r="S350" s="217"/>
      <c r="T350" s="217"/>
      <c r="U350" s="217"/>
      <c r="V350" s="217"/>
      <c r="W350" s="217"/>
      <c r="X350" s="218">
        <v>28</v>
      </c>
      <c r="Y350" s="221">
        <f t="shared" si="17"/>
        <v>3</v>
      </c>
      <c r="Z350">
        <f t="shared" si="15"/>
        <v>0</v>
      </c>
    </row>
    <row r="351" spans="1:26" x14ac:dyDescent="0.2">
      <c r="A351" s="26">
        <f t="shared" si="16"/>
        <v>42250</v>
      </c>
      <c r="B351" s="216">
        <v>2015</v>
      </c>
      <c r="C351" s="216">
        <v>9</v>
      </c>
      <c r="D351" s="216">
        <v>3</v>
      </c>
      <c r="E351" s="216" t="s">
        <v>152</v>
      </c>
      <c r="F351" s="217">
        <v>9</v>
      </c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8">
        <v>9</v>
      </c>
      <c r="Y351" s="221">
        <f t="shared" si="17"/>
        <v>0</v>
      </c>
      <c r="Z351">
        <f t="shared" si="15"/>
        <v>0</v>
      </c>
    </row>
    <row r="352" spans="1:26" x14ac:dyDescent="0.2">
      <c r="A352" s="26">
        <f t="shared" si="16"/>
        <v>42250</v>
      </c>
      <c r="B352" s="216">
        <v>2015</v>
      </c>
      <c r="C352" s="216">
        <v>9</v>
      </c>
      <c r="D352" s="216">
        <v>3</v>
      </c>
      <c r="E352" s="216" t="s">
        <v>153</v>
      </c>
      <c r="F352" s="217">
        <v>3</v>
      </c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8">
        <v>3</v>
      </c>
      <c r="Y352" s="221">
        <f t="shared" si="17"/>
        <v>0</v>
      </c>
      <c r="Z352">
        <f t="shared" si="15"/>
        <v>0</v>
      </c>
    </row>
    <row r="353" spans="1:26" x14ac:dyDescent="0.2">
      <c r="A353" s="26">
        <f t="shared" si="16"/>
        <v>42251</v>
      </c>
      <c r="B353" s="216">
        <v>2015</v>
      </c>
      <c r="C353" s="216">
        <v>9</v>
      </c>
      <c r="D353" s="216">
        <v>4</v>
      </c>
      <c r="E353" s="216" t="s">
        <v>152</v>
      </c>
      <c r="F353" s="217">
        <v>15</v>
      </c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8">
        <v>15</v>
      </c>
      <c r="Y353" s="221">
        <f t="shared" si="17"/>
        <v>0</v>
      </c>
      <c r="Z353">
        <f t="shared" si="15"/>
        <v>0</v>
      </c>
    </row>
    <row r="354" spans="1:26" x14ac:dyDescent="0.2">
      <c r="A354" s="26">
        <f t="shared" si="16"/>
        <v>42251</v>
      </c>
      <c r="B354" s="216">
        <v>2015</v>
      </c>
      <c r="C354" s="216">
        <v>9</v>
      </c>
      <c r="D354" s="216">
        <v>4</v>
      </c>
      <c r="E354" s="216" t="s">
        <v>153</v>
      </c>
      <c r="F354" s="217">
        <v>35</v>
      </c>
      <c r="G354" s="217"/>
      <c r="H354" s="217"/>
      <c r="I354" s="217"/>
      <c r="J354" s="217"/>
      <c r="K354" s="217"/>
      <c r="L354" s="217">
        <v>2</v>
      </c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8">
        <v>37</v>
      </c>
      <c r="Y354" s="221">
        <f t="shared" si="17"/>
        <v>2</v>
      </c>
      <c r="Z354">
        <f t="shared" si="15"/>
        <v>0</v>
      </c>
    </row>
    <row r="355" spans="1:26" x14ac:dyDescent="0.2">
      <c r="A355" s="26">
        <f t="shared" si="16"/>
        <v>42255</v>
      </c>
      <c r="B355" s="216">
        <v>2015</v>
      </c>
      <c r="C355" s="216">
        <v>9</v>
      </c>
      <c r="D355" s="216">
        <v>8</v>
      </c>
      <c r="E355" s="216" t="s">
        <v>152</v>
      </c>
      <c r="F355" s="217">
        <v>64</v>
      </c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>
        <v>1</v>
      </c>
      <c r="S355" s="217"/>
      <c r="T355" s="217"/>
      <c r="U355" s="217"/>
      <c r="V355" s="217"/>
      <c r="W355" s="217"/>
      <c r="X355" s="218">
        <v>65</v>
      </c>
      <c r="Y355" s="221">
        <f t="shared" si="17"/>
        <v>1</v>
      </c>
      <c r="Z355">
        <f t="shared" si="15"/>
        <v>0</v>
      </c>
    </row>
    <row r="356" spans="1:26" x14ac:dyDescent="0.2">
      <c r="A356" s="26">
        <f t="shared" si="16"/>
        <v>42255</v>
      </c>
      <c r="B356" s="216">
        <v>2015</v>
      </c>
      <c r="C356" s="216">
        <v>9</v>
      </c>
      <c r="D356" s="216">
        <v>8</v>
      </c>
      <c r="E356" s="216" t="s">
        <v>153</v>
      </c>
      <c r="F356" s="217">
        <v>31</v>
      </c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8">
        <v>31</v>
      </c>
      <c r="Y356" s="221">
        <f t="shared" si="17"/>
        <v>0</v>
      </c>
      <c r="Z356">
        <f t="shared" si="15"/>
        <v>0</v>
      </c>
    </row>
    <row r="357" spans="1:26" x14ac:dyDescent="0.2">
      <c r="A357" s="26">
        <f t="shared" si="16"/>
        <v>42256</v>
      </c>
      <c r="B357" s="216">
        <v>2015</v>
      </c>
      <c r="C357" s="216">
        <v>9</v>
      </c>
      <c r="D357" s="216">
        <v>9</v>
      </c>
      <c r="E357" s="216" t="s">
        <v>152</v>
      </c>
      <c r="F357" s="217">
        <v>27</v>
      </c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8">
        <v>27</v>
      </c>
      <c r="Y357" s="221">
        <f t="shared" si="17"/>
        <v>0</v>
      </c>
      <c r="Z357">
        <f t="shared" si="15"/>
        <v>0</v>
      </c>
    </row>
    <row r="358" spans="1:26" x14ac:dyDescent="0.2">
      <c r="A358" s="26">
        <f t="shared" si="16"/>
        <v>42256</v>
      </c>
      <c r="B358" s="216">
        <v>2015</v>
      </c>
      <c r="C358" s="216">
        <v>9</v>
      </c>
      <c r="D358" s="216">
        <v>9</v>
      </c>
      <c r="E358" s="216" t="s">
        <v>153</v>
      </c>
      <c r="F358" s="217">
        <v>47</v>
      </c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8">
        <v>47</v>
      </c>
      <c r="Y358" s="221">
        <f t="shared" si="17"/>
        <v>0</v>
      </c>
      <c r="Z358">
        <f t="shared" si="15"/>
        <v>0</v>
      </c>
    </row>
    <row r="359" spans="1:26" x14ac:dyDescent="0.2">
      <c r="A359" s="26">
        <f t="shared" si="16"/>
        <v>42257</v>
      </c>
      <c r="B359" s="216">
        <v>2015</v>
      </c>
      <c r="C359" s="216">
        <v>9</v>
      </c>
      <c r="D359" s="216">
        <v>10</v>
      </c>
      <c r="E359" s="216" t="s">
        <v>152</v>
      </c>
      <c r="F359" s="217">
        <v>5</v>
      </c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8">
        <v>5</v>
      </c>
      <c r="Y359" s="221">
        <f t="shared" si="17"/>
        <v>0</v>
      </c>
      <c r="Z359">
        <f t="shared" si="15"/>
        <v>0</v>
      </c>
    </row>
    <row r="360" spans="1:26" x14ac:dyDescent="0.2">
      <c r="A360" s="26">
        <f t="shared" si="16"/>
        <v>42257</v>
      </c>
      <c r="B360" s="216">
        <v>2015</v>
      </c>
      <c r="C360" s="216">
        <v>9</v>
      </c>
      <c r="D360" s="216">
        <v>10</v>
      </c>
      <c r="E360" s="216" t="s">
        <v>153</v>
      </c>
      <c r="F360" s="217">
        <v>2</v>
      </c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8">
        <v>2</v>
      </c>
      <c r="Y360" s="221">
        <f t="shared" si="17"/>
        <v>0</v>
      </c>
      <c r="Z360">
        <f t="shared" si="15"/>
        <v>0</v>
      </c>
    </row>
    <row r="361" spans="1:26" x14ac:dyDescent="0.2">
      <c r="A361" s="26">
        <f t="shared" si="16"/>
        <v>42258</v>
      </c>
      <c r="B361" s="216">
        <v>2015</v>
      </c>
      <c r="C361" s="216">
        <v>9</v>
      </c>
      <c r="D361" s="216">
        <v>11</v>
      </c>
      <c r="E361" s="216" t="s">
        <v>152</v>
      </c>
      <c r="F361" s="217">
        <v>56</v>
      </c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8">
        <v>56</v>
      </c>
      <c r="Y361" s="221">
        <f t="shared" si="17"/>
        <v>0</v>
      </c>
      <c r="Z361">
        <f t="shared" si="15"/>
        <v>0</v>
      </c>
    </row>
    <row r="362" spans="1:26" x14ac:dyDescent="0.2">
      <c r="A362" s="26">
        <f t="shared" si="16"/>
        <v>42258</v>
      </c>
      <c r="B362" s="216">
        <v>2015</v>
      </c>
      <c r="C362" s="216">
        <v>9</v>
      </c>
      <c r="D362" s="216">
        <v>11</v>
      </c>
      <c r="E362" s="216" t="s">
        <v>153</v>
      </c>
      <c r="F362" s="217">
        <v>22</v>
      </c>
      <c r="G362" s="217"/>
      <c r="H362" s="217"/>
      <c r="I362" s="217"/>
      <c r="J362" s="217"/>
      <c r="K362" s="217">
        <v>2</v>
      </c>
      <c r="L362" s="217">
        <v>1</v>
      </c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8">
        <v>25</v>
      </c>
      <c r="Y362" s="221">
        <f t="shared" si="17"/>
        <v>3</v>
      </c>
      <c r="Z362">
        <f t="shared" si="15"/>
        <v>0</v>
      </c>
    </row>
    <row r="363" spans="1:26" x14ac:dyDescent="0.2">
      <c r="A363" s="26">
        <f t="shared" si="16"/>
        <v>42259</v>
      </c>
      <c r="B363" s="216">
        <v>2015</v>
      </c>
      <c r="C363" s="216">
        <v>9</v>
      </c>
      <c r="D363" s="216">
        <v>12</v>
      </c>
      <c r="E363" s="216" t="s">
        <v>152</v>
      </c>
      <c r="F363" s="217">
        <v>1</v>
      </c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8">
        <v>1</v>
      </c>
      <c r="Y363" s="221">
        <f t="shared" si="17"/>
        <v>0</v>
      </c>
      <c r="Z363">
        <f t="shared" si="15"/>
        <v>0</v>
      </c>
    </row>
    <row r="364" spans="1:26" x14ac:dyDescent="0.2">
      <c r="A364" s="26">
        <f t="shared" si="16"/>
        <v>42259</v>
      </c>
      <c r="B364" s="216">
        <v>2015</v>
      </c>
      <c r="C364" s="216">
        <v>9</v>
      </c>
      <c r="D364" s="216">
        <v>12</v>
      </c>
      <c r="E364" s="216" t="s">
        <v>153</v>
      </c>
      <c r="F364" s="217">
        <v>4</v>
      </c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8">
        <v>4</v>
      </c>
      <c r="Y364" s="221">
        <f t="shared" si="17"/>
        <v>0</v>
      </c>
      <c r="Z364">
        <f t="shared" si="15"/>
        <v>4</v>
      </c>
    </row>
    <row r="365" spans="1:26" x14ac:dyDescent="0.2">
      <c r="A365" s="26">
        <f t="shared" si="16"/>
        <v>42261</v>
      </c>
      <c r="B365" s="216">
        <v>2015</v>
      </c>
      <c r="C365" s="216">
        <v>9</v>
      </c>
      <c r="D365" s="216">
        <v>14</v>
      </c>
      <c r="E365" s="216" t="s">
        <v>152</v>
      </c>
      <c r="F365" s="217">
        <v>68</v>
      </c>
      <c r="G365" s="217"/>
      <c r="H365" s="217"/>
      <c r="I365" s="217"/>
      <c r="J365" s="217"/>
      <c r="K365" s="217"/>
      <c r="L365" s="217">
        <v>1</v>
      </c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8">
        <v>69</v>
      </c>
      <c r="Y365" s="221">
        <f t="shared" si="17"/>
        <v>1</v>
      </c>
      <c r="Z365">
        <f t="shared" si="15"/>
        <v>0</v>
      </c>
    </row>
    <row r="366" spans="1:26" x14ac:dyDescent="0.2">
      <c r="A366" s="26">
        <f t="shared" si="16"/>
        <v>42261</v>
      </c>
      <c r="B366" s="216">
        <v>2015</v>
      </c>
      <c r="C366" s="216">
        <v>9</v>
      </c>
      <c r="D366" s="216">
        <v>14</v>
      </c>
      <c r="E366" s="216" t="s">
        <v>153</v>
      </c>
      <c r="F366" s="217">
        <v>27</v>
      </c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8">
        <v>27</v>
      </c>
      <c r="Y366" s="221">
        <f t="shared" si="17"/>
        <v>0</v>
      </c>
      <c r="Z366">
        <f t="shared" si="15"/>
        <v>0</v>
      </c>
    </row>
    <row r="367" spans="1:26" x14ac:dyDescent="0.2">
      <c r="A367" s="26">
        <f t="shared" si="16"/>
        <v>42262</v>
      </c>
      <c r="B367" s="216">
        <v>2015</v>
      </c>
      <c r="C367" s="216">
        <v>9</v>
      </c>
      <c r="D367" s="216">
        <v>15</v>
      </c>
      <c r="E367" s="216" t="s">
        <v>152</v>
      </c>
      <c r="F367" s="217">
        <v>16</v>
      </c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8">
        <v>16</v>
      </c>
      <c r="Y367" s="221">
        <f t="shared" si="17"/>
        <v>0</v>
      </c>
      <c r="Z367">
        <f t="shared" si="15"/>
        <v>0</v>
      </c>
    </row>
    <row r="368" spans="1:26" x14ac:dyDescent="0.2">
      <c r="A368" s="26">
        <f t="shared" si="16"/>
        <v>42262</v>
      </c>
      <c r="B368" s="216">
        <v>2015</v>
      </c>
      <c r="C368" s="216">
        <v>9</v>
      </c>
      <c r="D368" s="216">
        <v>15</v>
      </c>
      <c r="E368" s="216" t="s">
        <v>153</v>
      </c>
      <c r="F368" s="217">
        <v>54</v>
      </c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>
        <v>1</v>
      </c>
      <c r="U368" s="217"/>
      <c r="V368" s="217"/>
      <c r="W368" s="217"/>
      <c r="X368" s="218">
        <v>55</v>
      </c>
      <c r="Y368" s="221">
        <f t="shared" si="17"/>
        <v>1</v>
      </c>
      <c r="Z368">
        <f t="shared" si="15"/>
        <v>0</v>
      </c>
    </row>
    <row r="369" spans="1:26" x14ac:dyDescent="0.2">
      <c r="A369" s="26">
        <f t="shared" si="16"/>
        <v>42263</v>
      </c>
      <c r="B369" s="216">
        <v>2015</v>
      </c>
      <c r="C369" s="216">
        <v>9</v>
      </c>
      <c r="D369" s="216">
        <v>16</v>
      </c>
      <c r="E369" s="216" t="s">
        <v>152</v>
      </c>
      <c r="F369" s="217">
        <v>57</v>
      </c>
      <c r="G369" s="217"/>
      <c r="H369" s="217">
        <v>1</v>
      </c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8">
        <v>58</v>
      </c>
      <c r="Y369" s="221">
        <f t="shared" si="17"/>
        <v>1</v>
      </c>
      <c r="Z369">
        <f t="shared" si="15"/>
        <v>0</v>
      </c>
    </row>
    <row r="370" spans="1:26" x14ac:dyDescent="0.2">
      <c r="A370" s="26">
        <f t="shared" si="16"/>
        <v>42263</v>
      </c>
      <c r="B370" s="216">
        <v>2015</v>
      </c>
      <c r="C370" s="216">
        <v>9</v>
      </c>
      <c r="D370" s="216">
        <v>16</v>
      </c>
      <c r="E370" s="216" t="s">
        <v>153</v>
      </c>
      <c r="F370" s="217">
        <v>26</v>
      </c>
      <c r="G370" s="217"/>
      <c r="H370" s="217"/>
      <c r="I370" s="217"/>
      <c r="J370" s="217"/>
      <c r="K370" s="217"/>
      <c r="L370" s="217"/>
      <c r="M370" s="217"/>
      <c r="N370" s="217"/>
      <c r="O370" s="217">
        <v>1</v>
      </c>
      <c r="P370" s="217"/>
      <c r="Q370" s="217"/>
      <c r="R370" s="217"/>
      <c r="S370" s="217"/>
      <c r="T370" s="217"/>
      <c r="U370" s="217"/>
      <c r="V370" s="217"/>
      <c r="W370" s="217"/>
      <c r="X370" s="218">
        <v>27</v>
      </c>
      <c r="Y370" s="221">
        <f t="shared" si="17"/>
        <v>1</v>
      </c>
      <c r="Z370">
        <f t="shared" si="15"/>
        <v>0</v>
      </c>
    </row>
    <row r="371" spans="1:26" x14ac:dyDescent="0.2">
      <c r="A371" s="26">
        <f t="shared" si="16"/>
        <v>42264</v>
      </c>
      <c r="B371" s="216">
        <v>2015</v>
      </c>
      <c r="C371" s="216">
        <v>9</v>
      </c>
      <c r="D371" s="216">
        <v>17</v>
      </c>
      <c r="E371" s="216" t="s">
        <v>152</v>
      </c>
      <c r="F371" s="217">
        <v>253</v>
      </c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8">
        <v>253</v>
      </c>
      <c r="Y371" s="221">
        <f t="shared" si="17"/>
        <v>0</v>
      </c>
      <c r="Z371">
        <f t="shared" si="15"/>
        <v>0</v>
      </c>
    </row>
    <row r="372" spans="1:26" x14ac:dyDescent="0.2">
      <c r="A372" s="26">
        <f t="shared" si="16"/>
        <v>42264</v>
      </c>
      <c r="B372" s="216">
        <v>2015</v>
      </c>
      <c r="C372" s="216">
        <v>9</v>
      </c>
      <c r="D372" s="216">
        <v>17</v>
      </c>
      <c r="E372" s="216" t="s">
        <v>153</v>
      </c>
      <c r="F372" s="217">
        <v>16</v>
      </c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8">
        <v>16</v>
      </c>
      <c r="Y372" s="221">
        <f t="shared" si="17"/>
        <v>0</v>
      </c>
      <c r="Z372">
        <f t="shared" si="15"/>
        <v>0</v>
      </c>
    </row>
    <row r="373" spans="1:26" x14ac:dyDescent="0.2">
      <c r="A373" s="26">
        <f t="shared" si="16"/>
        <v>42265</v>
      </c>
      <c r="B373" s="216">
        <v>2015</v>
      </c>
      <c r="C373" s="216">
        <v>9</v>
      </c>
      <c r="D373" s="216">
        <v>18</v>
      </c>
      <c r="E373" s="216" t="s">
        <v>152</v>
      </c>
      <c r="F373" s="217">
        <v>66</v>
      </c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8">
        <v>66</v>
      </c>
      <c r="Y373" s="221">
        <f t="shared" si="17"/>
        <v>0</v>
      </c>
      <c r="Z373">
        <f t="shared" si="15"/>
        <v>0</v>
      </c>
    </row>
    <row r="374" spans="1:26" x14ac:dyDescent="0.2">
      <c r="A374" s="26">
        <f t="shared" si="16"/>
        <v>42265</v>
      </c>
      <c r="B374" s="216">
        <v>2015</v>
      </c>
      <c r="C374" s="216">
        <v>9</v>
      </c>
      <c r="D374" s="216">
        <v>18</v>
      </c>
      <c r="E374" s="216" t="s">
        <v>153</v>
      </c>
      <c r="F374" s="217">
        <v>22</v>
      </c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8">
        <v>22</v>
      </c>
      <c r="Y374" s="221">
        <f t="shared" si="17"/>
        <v>0</v>
      </c>
      <c r="Z374">
        <f t="shared" si="15"/>
        <v>0</v>
      </c>
    </row>
    <row r="375" spans="1:26" x14ac:dyDescent="0.2">
      <c r="A375" s="26">
        <f t="shared" si="16"/>
        <v>42266</v>
      </c>
      <c r="B375" s="216">
        <v>2015</v>
      </c>
      <c r="C375" s="216">
        <v>9</v>
      </c>
      <c r="D375" s="216">
        <v>19</v>
      </c>
      <c r="E375" s="216" t="s">
        <v>153</v>
      </c>
      <c r="F375" s="217">
        <v>1</v>
      </c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8">
        <v>1</v>
      </c>
      <c r="Y375" s="221">
        <f t="shared" si="17"/>
        <v>0</v>
      </c>
      <c r="Z375">
        <f t="shared" si="15"/>
        <v>1</v>
      </c>
    </row>
    <row r="376" spans="1:26" x14ac:dyDescent="0.2">
      <c r="A376" s="26">
        <f t="shared" si="16"/>
        <v>42268</v>
      </c>
      <c r="B376" s="216">
        <v>2015</v>
      </c>
      <c r="C376" s="216">
        <v>9</v>
      </c>
      <c r="D376" s="216">
        <v>21</v>
      </c>
      <c r="E376" s="216" t="s">
        <v>152</v>
      </c>
      <c r="F376" s="217">
        <v>53</v>
      </c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8">
        <v>53</v>
      </c>
      <c r="Y376" s="221">
        <f t="shared" si="17"/>
        <v>0</v>
      </c>
      <c r="Z376">
        <f t="shared" si="15"/>
        <v>0</v>
      </c>
    </row>
    <row r="377" spans="1:26" x14ac:dyDescent="0.2">
      <c r="A377" s="26">
        <f t="shared" si="16"/>
        <v>42268</v>
      </c>
      <c r="B377" s="216">
        <v>2015</v>
      </c>
      <c r="C377" s="216">
        <v>9</v>
      </c>
      <c r="D377" s="216">
        <v>21</v>
      </c>
      <c r="E377" s="216" t="s">
        <v>153</v>
      </c>
      <c r="F377" s="217">
        <v>33</v>
      </c>
      <c r="G377" s="217"/>
      <c r="H377" s="217">
        <v>1</v>
      </c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8">
        <v>34</v>
      </c>
      <c r="Y377" s="221">
        <f t="shared" si="17"/>
        <v>1</v>
      </c>
      <c r="Z377">
        <f t="shared" si="15"/>
        <v>0</v>
      </c>
    </row>
    <row r="378" spans="1:26" x14ac:dyDescent="0.2">
      <c r="A378" s="26">
        <f t="shared" si="16"/>
        <v>42269</v>
      </c>
      <c r="B378" s="216">
        <v>2015</v>
      </c>
      <c r="C378" s="216">
        <v>9</v>
      </c>
      <c r="D378" s="216">
        <v>22</v>
      </c>
      <c r="E378" s="216" t="s">
        <v>152</v>
      </c>
      <c r="F378" s="217">
        <v>61</v>
      </c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8">
        <v>61</v>
      </c>
      <c r="Y378" s="221">
        <f t="shared" si="17"/>
        <v>0</v>
      </c>
      <c r="Z378">
        <f t="shared" si="15"/>
        <v>0</v>
      </c>
    </row>
    <row r="379" spans="1:26" x14ac:dyDescent="0.2">
      <c r="A379" s="26">
        <f t="shared" si="16"/>
        <v>42269</v>
      </c>
      <c r="B379" s="216">
        <v>2015</v>
      </c>
      <c r="C379" s="216">
        <v>9</v>
      </c>
      <c r="D379" s="216">
        <v>22</v>
      </c>
      <c r="E379" s="216" t="s">
        <v>153</v>
      </c>
      <c r="F379" s="217">
        <v>4</v>
      </c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8">
        <v>4</v>
      </c>
      <c r="Y379" s="221">
        <f t="shared" si="17"/>
        <v>0</v>
      </c>
      <c r="Z379">
        <f t="shared" si="15"/>
        <v>0</v>
      </c>
    </row>
    <row r="380" spans="1:26" x14ac:dyDescent="0.2">
      <c r="A380" s="26">
        <f t="shared" si="16"/>
        <v>42270</v>
      </c>
      <c r="B380" s="216">
        <v>2015</v>
      </c>
      <c r="C380" s="216">
        <v>9</v>
      </c>
      <c r="D380" s="216">
        <v>23</v>
      </c>
      <c r="E380" s="216" t="s">
        <v>152</v>
      </c>
      <c r="F380" s="217">
        <v>24</v>
      </c>
      <c r="G380" s="217"/>
      <c r="H380" s="217"/>
      <c r="I380" s="217"/>
      <c r="J380" s="217"/>
      <c r="K380" s="217"/>
      <c r="L380" s="217"/>
      <c r="M380" s="217"/>
      <c r="N380" s="217"/>
      <c r="O380" s="217"/>
      <c r="P380" s="217">
        <v>1</v>
      </c>
      <c r="Q380" s="217"/>
      <c r="R380" s="217"/>
      <c r="S380" s="217"/>
      <c r="T380" s="217"/>
      <c r="U380" s="217"/>
      <c r="V380" s="217"/>
      <c r="W380" s="217"/>
      <c r="X380" s="218">
        <v>25</v>
      </c>
      <c r="Y380" s="221">
        <f t="shared" si="17"/>
        <v>1</v>
      </c>
      <c r="Z380">
        <f t="shared" si="15"/>
        <v>0</v>
      </c>
    </row>
    <row r="381" spans="1:26" x14ac:dyDescent="0.2">
      <c r="A381" s="26">
        <f t="shared" si="16"/>
        <v>42270</v>
      </c>
      <c r="B381" s="216">
        <v>2015</v>
      </c>
      <c r="C381" s="216">
        <v>9</v>
      </c>
      <c r="D381" s="216">
        <v>23</v>
      </c>
      <c r="E381" s="216" t="s">
        <v>153</v>
      </c>
      <c r="F381" s="217">
        <v>14</v>
      </c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8">
        <v>14</v>
      </c>
      <c r="Y381" s="221">
        <f t="shared" si="17"/>
        <v>0</v>
      </c>
      <c r="Z381">
        <f t="shared" si="15"/>
        <v>0</v>
      </c>
    </row>
    <row r="382" spans="1:26" x14ac:dyDescent="0.2">
      <c r="A382" s="26">
        <f t="shared" si="16"/>
        <v>42271</v>
      </c>
      <c r="B382" s="216">
        <v>2015</v>
      </c>
      <c r="C382" s="216">
        <v>9</v>
      </c>
      <c r="D382" s="216">
        <v>24</v>
      </c>
      <c r="E382" s="216" t="s">
        <v>152</v>
      </c>
      <c r="F382" s="217">
        <v>13</v>
      </c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8">
        <v>13</v>
      </c>
      <c r="Y382" s="221">
        <f t="shared" si="17"/>
        <v>0</v>
      </c>
      <c r="Z382">
        <f t="shared" si="15"/>
        <v>0</v>
      </c>
    </row>
    <row r="383" spans="1:26" x14ac:dyDescent="0.2">
      <c r="A383" s="26">
        <f t="shared" si="16"/>
        <v>42271</v>
      </c>
      <c r="B383" s="216">
        <v>2015</v>
      </c>
      <c r="C383" s="216">
        <v>9</v>
      </c>
      <c r="D383" s="216">
        <v>24</v>
      </c>
      <c r="E383" s="216" t="s">
        <v>153</v>
      </c>
      <c r="F383" s="217">
        <v>5</v>
      </c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8">
        <v>5</v>
      </c>
      <c r="Y383" s="221">
        <f t="shared" si="17"/>
        <v>0</v>
      </c>
      <c r="Z383">
        <f t="shared" si="15"/>
        <v>0</v>
      </c>
    </row>
    <row r="384" spans="1:26" x14ac:dyDescent="0.2">
      <c r="A384" s="26">
        <f t="shared" si="16"/>
        <v>42272</v>
      </c>
      <c r="B384" s="216">
        <v>2015</v>
      </c>
      <c r="C384" s="216">
        <v>9</v>
      </c>
      <c r="D384" s="216">
        <v>25</v>
      </c>
      <c r="E384" s="216" t="s">
        <v>152</v>
      </c>
      <c r="F384" s="217">
        <v>45</v>
      </c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8">
        <v>45</v>
      </c>
      <c r="Y384" s="221">
        <f t="shared" si="17"/>
        <v>0</v>
      </c>
      <c r="Z384">
        <f t="shared" si="15"/>
        <v>0</v>
      </c>
    </row>
    <row r="385" spans="1:26" x14ac:dyDescent="0.2">
      <c r="A385" s="26">
        <f t="shared" si="16"/>
        <v>42272</v>
      </c>
      <c r="B385" s="216">
        <v>2015</v>
      </c>
      <c r="C385" s="216">
        <v>9</v>
      </c>
      <c r="D385" s="216">
        <v>25</v>
      </c>
      <c r="E385" s="216" t="s">
        <v>153</v>
      </c>
      <c r="F385" s="217">
        <v>37</v>
      </c>
      <c r="G385" s="217"/>
      <c r="H385" s="217"/>
      <c r="I385" s="217"/>
      <c r="J385" s="217"/>
      <c r="K385" s="217">
        <v>1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8">
        <v>38</v>
      </c>
      <c r="Y385" s="221">
        <f t="shared" si="17"/>
        <v>1</v>
      </c>
      <c r="Z385">
        <f t="shared" si="15"/>
        <v>0</v>
      </c>
    </row>
    <row r="386" spans="1:26" x14ac:dyDescent="0.2">
      <c r="A386" s="26">
        <f t="shared" si="16"/>
        <v>42273</v>
      </c>
      <c r="B386" s="216">
        <v>2015</v>
      </c>
      <c r="C386" s="216">
        <v>9</v>
      </c>
      <c r="D386" s="216">
        <v>26</v>
      </c>
      <c r="E386" s="216" t="s">
        <v>153</v>
      </c>
      <c r="F386" s="217">
        <v>5</v>
      </c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8">
        <v>5</v>
      </c>
      <c r="Y386" s="221">
        <f t="shared" si="17"/>
        <v>0</v>
      </c>
      <c r="Z386">
        <f t="shared" ref="Z386:Z449" si="18">IF(AND(WEEKDAY(A386,2)=6,E386="Sim"),X386,0)</f>
        <v>5</v>
      </c>
    </row>
    <row r="387" spans="1:26" x14ac:dyDescent="0.2">
      <c r="A387" s="26">
        <f t="shared" ref="A387:A450" si="19">DATE(B387,C387,D387)</f>
        <v>42275</v>
      </c>
      <c r="B387" s="216">
        <v>2015</v>
      </c>
      <c r="C387" s="216">
        <v>9</v>
      </c>
      <c r="D387" s="216">
        <v>28</v>
      </c>
      <c r="E387" s="216" t="s">
        <v>152</v>
      </c>
      <c r="F387" s="217">
        <v>6</v>
      </c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8">
        <v>6</v>
      </c>
      <c r="Y387" s="221">
        <f t="shared" ref="Y387:Y450" si="20">SUM(G387:W387)</f>
        <v>0</v>
      </c>
      <c r="Z387">
        <f t="shared" si="18"/>
        <v>0</v>
      </c>
    </row>
    <row r="388" spans="1:26" x14ac:dyDescent="0.2">
      <c r="A388" s="26">
        <f t="shared" si="19"/>
        <v>42275</v>
      </c>
      <c r="B388" s="216">
        <v>2015</v>
      </c>
      <c r="C388" s="216">
        <v>9</v>
      </c>
      <c r="D388" s="216">
        <v>28</v>
      </c>
      <c r="E388" s="216" t="s">
        <v>153</v>
      </c>
      <c r="F388" s="217">
        <v>25</v>
      </c>
      <c r="G388" s="217"/>
      <c r="H388" s="217"/>
      <c r="I388" s="217"/>
      <c r="J388" s="217"/>
      <c r="K388" s="217">
        <v>1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>
        <v>1</v>
      </c>
      <c r="W388" s="217"/>
      <c r="X388" s="218">
        <v>27</v>
      </c>
      <c r="Y388" s="221">
        <f t="shared" si="20"/>
        <v>2</v>
      </c>
      <c r="Z388">
        <f t="shared" si="18"/>
        <v>0</v>
      </c>
    </row>
    <row r="389" spans="1:26" x14ac:dyDescent="0.2">
      <c r="A389" s="26">
        <f t="shared" si="19"/>
        <v>42276</v>
      </c>
      <c r="B389" s="216">
        <v>2015</v>
      </c>
      <c r="C389" s="216">
        <v>9</v>
      </c>
      <c r="D389" s="216">
        <v>29</v>
      </c>
      <c r="E389" s="216" t="s">
        <v>152</v>
      </c>
      <c r="F389" s="217">
        <v>20</v>
      </c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8">
        <v>20</v>
      </c>
      <c r="Y389" s="221">
        <f t="shared" si="20"/>
        <v>0</v>
      </c>
      <c r="Z389">
        <f t="shared" si="18"/>
        <v>0</v>
      </c>
    </row>
    <row r="390" spans="1:26" x14ac:dyDescent="0.2">
      <c r="A390" s="26">
        <f t="shared" si="19"/>
        <v>42276</v>
      </c>
      <c r="B390" s="216">
        <v>2015</v>
      </c>
      <c r="C390" s="216">
        <v>9</v>
      </c>
      <c r="D390" s="216">
        <v>29</v>
      </c>
      <c r="E390" s="216" t="s">
        <v>153</v>
      </c>
      <c r="F390" s="217">
        <v>40</v>
      </c>
      <c r="G390" s="217"/>
      <c r="H390" s="217">
        <v>1</v>
      </c>
      <c r="I390" s="217"/>
      <c r="J390" s="217"/>
      <c r="K390" s="217"/>
      <c r="L390" s="217"/>
      <c r="M390" s="217"/>
      <c r="N390" s="217"/>
      <c r="O390" s="217"/>
      <c r="P390" s="217">
        <v>2</v>
      </c>
      <c r="Q390" s="217"/>
      <c r="R390" s="217"/>
      <c r="S390" s="217"/>
      <c r="T390" s="217"/>
      <c r="U390" s="217"/>
      <c r="V390" s="217"/>
      <c r="W390" s="217"/>
      <c r="X390" s="218">
        <v>43</v>
      </c>
      <c r="Y390" s="221">
        <f t="shared" si="20"/>
        <v>3</v>
      </c>
      <c r="Z390">
        <f t="shared" si="18"/>
        <v>0</v>
      </c>
    </row>
    <row r="391" spans="1:26" x14ac:dyDescent="0.2">
      <c r="A391" s="26">
        <f t="shared" si="19"/>
        <v>42277</v>
      </c>
      <c r="B391" s="216">
        <v>2015</v>
      </c>
      <c r="C391" s="216">
        <v>9</v>
      </c>
      <c r="D391" s="216">
        <v>30</v>
      </c>
      <c r="E391" s="216" t="s">
        <v>152</v>
      </c>
      <c r="F391" s="217">
        <v>9</v>
      </c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8">
        <v>9</v>
      </c>
      <c r="Y391" s="221">
        <f t="shared" si="20"/>
        <v>0</v>
      </c>
      <c r="Z391">
        <f t="shared" si="18"/>
        <v>0</v>
      </c>
    </row>
    <row r="392" spans="1:26" x14ac:dyDescent="0.2">
      <c r="A392" s="26">
        <f t="shared" si="19"/>
        <v>42277</v>
      </c>
      <c r="B392" s="216">
        <v>2015</v>
      </c>
      <c r="C392" s="216">
        <v>9</v>
      </c>
      <c r="D392" s="216">
        <v>30</v>
      </c>
      <c r="E392" s="216" t="s">
        <v>153</v>
      </c>
      <c r="F392" s="217">
        <v>33</v>
      </c>
      <c r="G392" s="217"/>
      <c r="H392" s="217">
        <v>1</v>
      </c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8">
        <v>34</v>
      </c>
      <c r="Y392" s="221">
        <f t="shared" si="20"/>
        <v>1</v>
      </c>
      <c r="Z392">
        <f t="shared" si="18"/>
        <v>0</v>
      </c>
    </row>
    <row r="393" spans="1:26" x14ac:dyDescent="0.2">
      <c r="A393" s="26">
        <f t="shared" si="19"/>
        <v>42278</v>
      </c>
      <c r="B393" s="216">
        <v>2015</v>
      </c>
      <c r="C393" s="216">
        <v>10</v>
      </c>
      <c r="D393" s="216">
        <v>1</v>
      </c>
      <c r="E393" s="216" t="s">
        <v>152</v>
      </c>
      <c r="F393" s="217">
        <v>19</v>
      </c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8">
        <v>19</v>
      </c>
      <c r="Y393" s="221">
        <f t="shared" si="20"/>
        <v>0</v>
      </c>
      <c r="Z393">
        <f t="shared" si="18"/>
        <v>0</v>
      </c>
    </row>
    <row r="394" spans="1:26" x14ac:dyDescent="0.2">
      <c r="A394" s="26">
        <f t="shared" si="19"/>
        <v>42278</v>
      </c>
      <c r="B394" s="216">
        <v>2015</v>
      </c>
      <c r="C394" s="216">
        <v>10</v>
      </c>
      <c r="D394" s="216">
        <v>1</v>
      </c>
      <c r="E394" s="216" t="s">
        <v>153</v>
      </c>
      <c r="F394" s="217">
        <v>31</v>
      </c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8">
        <v>31</v>
      </c>
      <c r="Y394" s="221">
        <f t="shared" si="20"/>
        <v>0</v>
      </c>
      <c r="Z394">
        <f t="shared" si="18"/>
        <v>0</v>
      </c>
    </row>
    <row r="395" spans="1:26" x14ac:dyDescent="0.2">
      <c r="A395" s="26">
        <f t="shared" si="19"/>
        <v>42279</v>
      </c>
      <c r="B395" s="216">
        <v>2015</v>
      </c>
      <c r="C395" s="216">
        <v>10</v>
      </c>
      <c r="D395" s="216">
        <v>2</v>
      </c>
      <c r="E395" s="216" t="s">
        <v>152</v>
      </c>
      <c r="F395" s="217">
        <v>15</v>
      </c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8">
        <v>15</v>
      </c>
      <c r="Y395" s="221">
        <f t="shared" si="20"/>
        <v>0</v>
      </c>
      <c r="Z395">
        <f t="shared" si="18"/>
        <v>0</v>
      </c>
    </row>
    <row r="396" spans="1:26" x14ac:dyDescent="0.2">
      <c r="A396" s="26">
        <f t="shared" si="19"/>
        <v>42279</v>
      </c>
      <c r="B396" s="216">
        <v>2015</v>
      </c>
      <c r="C396" s="216">
        <v>10</v>
      </c>
      <c r="D396" s="216">
        <v>2</v>
      </c>
      <c r="E396" s="216" t="s">
        <v>153</v>
      </c>
      <c r="F396" s="217">
        <v>24</v>
      </c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8">
        <v>24</v>
      </c>
      <c r="Y396" s="221">
        <f t="shared" si="20"/>
        <v>0</v>
      </c>
      <c r="Z396">
        <f t="shared" si="18"/>
        <v>0</v>
      </c>
    </row>
    <row r="397" spans="1:26" x14ac:dyDescent="0.2">
      <c r="A397" s="26">
        <f t="shared" si="19"/>
        <v>42282</v>
      </c>
      <c r="B397" s="216">
        <v>2015</v>
      </c>
      <c r="C397" s="216">
        <v>10</v>
      </c>
      <c r="D397" s="216">
        <v>5</v>
      </c>
      <c r="E397" s="216" t="s">
        <v>152</v>
      </c>
      <c r="F397" s="217">
        <v>73</v>
      </c>
      <c r="G397" s="217"/>
      <c r="H397" s="217"/>
      <c r="I397" s="217"/>
      <c r="J397" s="217"/>
      <c r="K397" s="217"/>
      <c r="L397" s="217"/>
      <c r="M397" s="217"/>
      <c r="N397" s="217"/>
      <c r="O397" s="217">
        <v>1</v>
      </c>
      <c r="P397" s="217"/>
      <c r="Q397" s="217"/>
      <c r="R397" s="217"/>
      <c r="S397" s="217"/>
      <c r="T397" s="217"/>
      <c r="U397" s="217"/>
      <c r="V397" s="217"/>
      <c r="W397" s="217"/>
      <c r="X397" s="218">
        <v>74</v>
      </c>
      <c r="Y397" s="221">
        <f t="shared" si="20"/>
        <v>1</v>
      </c>
      <c r="Z397">
        <f t="shared" si="18"/>
        <v>0</v>
      </c>
    </row>
    <row r="398" spans="1:26" x14ac:dyDescent="0.2">
      <c r="A398" s="26">
        <f t="shared" si="19"/>
        <v>42282</v>
      </c>
      <c r="B398" s="216">
        <v>2015</v>
      </c>
      <c r="C398" s="216">
        <v>10</v>
      </c>
      <c r="D398" s="216">
        <v>5</v>
      </c>
      <c r="E398" s="216" t="s">
        <v>153</v>
      </c>
      <c r="F398" s="217">
        <v>34</v>
      </c>
      <c r="G398" s="217"/>
      <c r="H398" s="217"/>
      <c r="I398" s="217"/>
      <c r="J398" s="217"/>
      <c r="K398" s="217"/>
      <c r="L398" s="217"/>
      <c r="M398" s="217"/>
      <c r="N398" s="217"/>
      <c r="O398" s="217">
        <v>2</v>
      </c>
      <c r="P398" s="217"/>
      <c r="Q398" s="217"/>
      <c r="R398" s="217"/>
      <c r="S398" s="217"/>
      <c r="T398" s="217"/>
      <c r="U398" s="217"/>
      <c r="V398" s="217"/>
      <c r="W398" s="217"/>
      <c r="X398" s="218">
        <v>36</v>
      </c>
      <c r="Y398" s="221">
        <f t="shared" si="20"/>
        <v>2</v>
      </c>
      <c r="Z398">
        <f t="shared" si="18"/>
        <v>0</v>
      </c>
    </row>
    <row r="399" spans="1:26" x14ac:dyDescent="0.2">
      <c r="A399" s="26">
        <f t="shared" si="19"/>
        <v>42283</v>
      </c>
      <c r="B399" s="216">
        <v>2015</v>
      </c>
      <c r="C399" s="216">
        <v>10</v>
      </c>
      <c r="D399" s="216">
        <v>6</v>
      </c>
      <c r="E399" s="216" t="s">
        <v>152</v>
      </c>
      <c r="F399" s="217">
        <v>3</v>
      </c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8">
        <v>3</v>
      </c>
      <c r="Y399" s="221">
        <f t="shared" si="20"/>
        <v>0</v>
      </c>
      <c r="Z399">
        <f t="shared" si="18"/>
        <v>0</v>
      </c>
    </row>
    <row r="400" spans="1:26" x14ac:dyDescent="0.2">
      <c r="A400" s="26">
        <f t="shared" si="19"/>
        <v>42283</v>
      </c>
      <c r="B400" s="216">
        <v>2015</v>
      </c>
      <c r="C400" s="216">
        <v>10</v>
      </c>
      <c r="D400" s="216">
        <v>6</v>
      </c>
      <c r="E400" s="216" t="s">
        <v>153</v>
      </c>
      <c r="F400" s="217">
        <v>5</v>
      </c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>
        <v>1</v>
      </c>
      <c r="V400" s="217"/>
      <c r="W400" s="217"/>
      <c r="X400" s="218">
        <v>6</v>
      </c>
      <c r="Y400" s="221">
        <f t="shared" si="20"/>
        <v>1</v>
      </c>
      <c r="Z400">
        <f t="shared" si="18"/>
        <v>0</v>
      </c>
    </row>
    <row r="401" spans="1:26" x14ac:dyDescent="0.2">
      <c r="A401" s="26">
        <f t="shared" si="19"/>
        <v>42284</v>
      </c>
      <c r="B401" s="216">
        <v>2015</v>
      </c>
      <c r="C401" s="216">
        <v>10</v>
      </c>
      <c r="D401" s="216">
        <v>7</v>
      </c>
      <c r="E401" s="216" t="s">
        <v>152</v>
      </c>
      <c r="F401" s="217">
        <v>55</v>
      </c>
      <c r="G401" s="217">
        <v>1</v>
      </c>
      <c r="H401" s="217"/>
      <c r="I401" s="217"/>
      <c r="J401" s="217"/>
      <c r="K401" s="217"/>
      <c r="L401" s="217">
        <v>1</v>
      </c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8">
        <v>57</v>
      </c>
      <c r="Y401" s="221">
        <f t="shared" si="20"/>
        <v>2</v>
      </c>
      <c r="Z401">
        <f t="shared" si="18"/>
        <v>0</v>
      </c>
    </row>
    <row r="402" spans="1:26" x14ac:dyDescent="0.2">
      <c r="A402" s="26">
        <f t="shared" si="19"/>
        <v>42284</v>
      </c>
      <c r="B402" s="216">
        <v>2015</v>
      </c>
      <c r="C402" s="216">
        <v>10</v>
      </c>
      <c r="D402" s="216">
        <v>7</v>
      </c>
      <c r="E402" s="216" t="s">
        <v>153</v>
      </c>
      <c r="F402" s="217">
        <v>25</v>
      </c>
      <c r="G402" s="217">
        <v>15</v>
      </c>
      <c r="H402" s="217">
        <v>1</v>
      </c>
      <c r="I402" s="217"/>
      <c r="J402" s="217"/>
      <c r="K402" s="217"/>
      <c r="L402" s="217">
        <v>4</v>
      </c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8">
        <v>45</v>
      </c>
      <c r="Y402" s="221">
        <f t="shared" si="20"/>
        <v>20</v>
      </c>
      <c r="Z402">
        <f t="shared" si="18"/>
        <v>0</v>
      </c>
    </row>
    <row r="403" spans="1:26" x14ac:dyDescent="0.2">
      <c r="A403" s="26">
        <f t="shared" si="19"/>
        <v>42285</v>
      </c>
      <c r="B403" s="216">
        <v>2015</v>
      </c>
      <c r="C403" s="216">
        <v>10</v>
      </c>
      <c r="D403" s="216">
        <v>8</v>
      </c>
      <c r="E403" s="216" t="s">
        <v>152</v>
      </c>
      <c r="F403" s="217">
        <v>68</v>
      </c>
      <c r="G403" s="217">
        <v>1</v>
      </c>
      <c r="H403" s="217"/>
      <c r="I403" s="217"/>
      <c r="J403" s="217"/>
      <c r="K403" s="217"/>
      <c r="L403" s="217">
        <v>4</v>
      </c>
      <c r="M403" s="217"/>
      <c r="N403" s="217"/>
      <c r="O403" s="217"/>
      <c r="P403" s="217"/>
      <c r="Q403" s="217"/>
      <c r="R403" s="217">
        <v>1</v>
      </c>
      <c r="S403" s="217"/>
      <c r="T403" s="217"/>
      <c r="U403" s="217"/>
      <c r="V403" s="217"/>
      <c r="W403" s="217"/>
      <c r="X403" s="218">
        <v>74</v>
      </c>
      <c r="Y403" s="221">
        <f t="shared" si="20"/>
        <v>6</v>
      </c>
      <c r="Z403">
        <f t="shared" si="18"/>
        <v>0</v>
      </c>
    </row>
    <row r="404" spans="1:26" x14ac:dyDescent="0.2">
      <c r="A404" s="26">
        <f t="shared" si="19"/>
        <v>42285</v>
      </c>
      <c r="B404" s="216">
        <v>2015</v>
      </c>
      <c r="C404" s="216">
        <v>10</v>
      </c>
      <c r="D404" s="216">
        <v>8</v>
      </c>
      <c r="E404" s="216" t="s">
        <v>153</v>
      </c>
      <c r="F404" s="217">
        <v>6</v>
      </c>
      <c r="G404" s="217">
        <v>10</v>
      </c>
      <c r="H404" s="217">
        <v>1</v>
      </c>
      <c r="I404" s="217">
        <v>1</v>
      </c>
      <c r="J404" s="217"/>
      <c r="K404" s="217"/>
      <c r="L404" s="217">
        <v>11</v>
      </c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8">
        <v>29</v>
      </c>
      <c r="Y404" s="221">
        <f t="shared" si="20"/>
        <v>23</v>
      </c>
      <c r="Z404">
        <f t="shared" si="18"/>
        <v>0</v>
      </c>
    </row>
    <row r="405" spans="1:26" x14ac:dyDescent="0.2">
      <c r="A405" s="26">
        <f t="shared" si="19"/>
        <v>42286</v>
      </c>
      <c r="B405" s="216">
        <v>2015</v>
      </c>
      <c r="C405" s="216">
        <v>10</v>
      </c>
      <c r="D405" s="216">
        <v>9</v>
      </c>
      <c r="E405" s="216" t="s">
        <v>152</v>
      </c>
      <c r="F405" s="217">
        <v>68</v>
      </c>
      <c r="G405" s="217">
        <v>6</v>
      </c>
      <c r="H405" s="217">
        <v>1</v>
      </c>
      <c r="I405" s="217">
        <v>2</v>
      </c>
      <c r="J405" s="217"/>
      <c r="K405" s="217"/>
      <c r="L405" s="217">
        <v>1</v>
      </c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8">
        <v>78</v>
      </c>
      <c r="Y405" s="221">
        <f t="shared" si="20"/>
        <v>10</v>
      </c>
      <c r="Z405">
        <f t="shared" si="18"/>
        <v>0</v>
      </c>
    </row>
    <row r="406" spans="1:26" x14ac:dyDescent="0.2">
      <c r="A406" s="26">
        <f t="shared" si="19"/>
        <v>42286</v>
      </c>
      <c r="B406" s="216">
        <v>2015</v>
      </c>
      <c r="C406" s="216">
        <v>10</v>
      </c>
      <c r="D406" s="216">
        <v>9</v>
      </c>
      <c r="E406" s="216" t="s">
        <v>153</v>
      </c>
      <c r="F406" s="217">
        <v>15</v>
      </c>
      <c r="G406" s="217">
        <v>11</v>
      </c>
      <c r="H406" s="217">
        <v>4</v>
      </c>
      <c r="I406" s="217"/>
      <c r="J406" s="217"/>
      <c r="K406" s="217">
        <v>1</v>
      </c>
      <c r="L406" s="217">
        <v>9</v>
      </c>
      <c r="M406" s="217"/>
      <c r="N406" s="217"/>
      <c r="O406" s="217"/>
      <c r="P406" s="217"/>
      <c r="Q406" s="217"/>
      <c r="R406" s="217">
        <v>1</v>
      </c>
      <c r="S406" s="217"/>
      <c r="T406" s="217"/>
      <c r="U406" s="217"/>
      <c r="V406" s="217"/>
      <c r="W406" s="217"/>
      <c r="X406" s="218">
        <v>41</v>
      </c>
      <c r="Y406" s="221">
        <f t="shared" si="20"/>
        <v>26</v>
      </c>
      <c r="Z406">
        <f t="shared" si="18"/>
        <v>0</v>
      </c>
    </row>
    <row r="407" spans="1:26" x14ac:dyDescent="0.2">
      <c r="A407" s="26">
        <f t="shared" si="19"/>
        <v>42287</v>
      </c>
      <c r="B407" s="216">
        <v>2015</v>
      </c>
      <c r="C407" s="216">
        <v>10</v>
      </c>
      <c r="D407" s="216">
        <v>10</v>
      </c>
      <c r="E407" s="216" t="s">
        <v>153</v>
      </c>
      <c r="F407" s="217">
        <v>3</v>
      </c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8">
        <v>3</v>
      </c>
      <c r="Y407" s="221">
        <f t="shared" si="20"/>
        <v>0</v>
      </c>
      <c r="Z407">
        <f t="shared" si="18"/>
        <v>3</v>
      </c>
    </row>
    <row r="408" spans="1:26" x14ac:dyDescent="0.2">
      <c r="A408" s="26">
        <f t="shared" si="19"/>
        <v>42290</v>
      </c>
      <c r="B408" s="216">
        <v>2015</v>
      </c>
      <c r="C408" s="216">
        <v>10</v>
      </c>
      <c r="D408" s="216">
        <v>13</v>
      </c>
      <c r="E408" s="216" t="s">
        <v>152</v>
      </c>
      <c r="F408" s="217">
        <v>4</v>
      </c>
      <c r="G408" s="217">
        <v>3</v>
      </c>
      <c r="H408" s="217"/>
      <c r="I408" s="217"/>
      <c r="J408" s="217"/>
      <c r="K408" s="217"/>
      <c r="L408" s="217">
        <v>1</v>
      </c>
      <c r="M408" s="217"/>
      <c r="N408" s="217"/>
      <c r="O408" s="217"/>
      <c r="P408" s="217">
        <v>2</v>
      </c>
      <c r="Q408" s="217"/>
      <c r="R408" s="217"/>
      <c r="S408" s="217"/>
      <c r="T408" s="217"/>
      <c r="U408" s="217"/>
      <c r="V408" s="217"/>
      <c r="W408" s="217"/>
      <c r="X408" s="218">
        <v>10</v>
      </c>
      <c r="Y408" s="221">
        <f t="shared" si="20"/>
        <v>6</v>
      </c>
      <c r="Z408">
        <f t="shared" si="18"/>
        <v>0</v>
      </c>
    </row>
    <row r="409" spans="1:26" x14ac:dyDescent="0.2">
      <c r="A409" s="26">
        <f t="shared" si="19"/>
        <v>42290</v>
      </c>
      <c r="B409" s="216">
        <v>2015</v>
      </c>
      <c r="C409" s="216">
        <v>10</v>
      </c>
      <c r="D409" s="216">
        <v>13</v>
      </c>
      <c r="E409" s="216" t="s">
        <v>153</v>
      </c>
      <c r="F409" s="217">
        <v>18</v>
      </c>
      <c r="G409" s="217">
        <v>11</v>
      </c>
      <c r="H409" s="217">
        <v>2</v>
      </c>
      <c r="I409" s="217">
        <v>1</v>
      </c>
      <c r="J409" s="217"/>
      <c r="K409" s="217"/>
      <c r="L409" s="217">
        <v>1</v>
      </c>
      <c r="M409" s="217"/>
      <c r="N409" s="217"/>
      <c r="O409" s="217"/>
      <c r="P409" s="217">
        <v>1</v>
      </c>
      <c r="Q409" s="217"/>
      <c r="R409" s="217"/>
      <c r="S409" s="217"/>
      <c r="T409" s="217"/>
      <c r="U409" s="217"/>
      <c r="V409" s="217"/>
      <c r="W409" s="217"/>
      <c r="X409" s="218">
        <v>34</v>
      </c>
      <c r="Y409" s="221">
        <f t="shared" si="20"/>
        <v>16</v>
      </c>
      <c r="Z409">
        <f t="shared" si="18"/>
        <v>0</v>
      </c>
    </row>
    <row r="410" spans="1:26" x14ac:dyDescent="0.2">
      <c r="A410" s="26">
        <f t="shared" si="19"/>
        <v>42291</v>
      </c>
      <c r="B410" s="216">
        <v>2015</v>
      </c>
      <c r="C410" s="216">
        <v>10</v>
      </c>
      <c r="D410" s="216">
        <v>14</v>
      </c>
      <c r="E410" s="216" t="s">
        <v>152</v>
      </c>
      <c r="F410" s="217">
        <v>10</v>
      </c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>
        <v>9</v>
      </c>
      <c r="S410" s="217"/>
      <c r="T410" s="217"/>
      <c r="U410" s="217"/>
      <c r="V410" s="217"/>
      <c r="W410" s="217"/>
      <c r="X410" s="218">
        <v>19</v>
      </c>
      <c r="Y410" s="221">
        <f t="shared" si="20"/>
        <v>9</v>
      </c>
      <c r="Z410">
        <f t="shared" si="18"/>
        <v>0</v>
      </c>
    </row>
    <row r="411" spans="1:26" x14ac:dyDescent="0.2">
      <c r="A411" s="26">
        <f t="shared" si="19"/>
        <v>42291</v>
      </c>
      <c r="B411" s="216">
        <v>2015</v>
      </c>
      <c r="C411" s="216">
        <v>10</v>
      </c>
      <c r="D411" s="216">
        <v>14</v>
      </c>
      <c r="E411" s="216" t="s">
        <v>153</v>
      </c>
      <c r="F411" s="217">
        <v>27</v>
      </c>
      <c r="G411" s="217"/>
      <c r="H411" s="217"/>
      <c r="I411" s="217"/>
      <c r="J411" s="217"/>
      <c r="K411" s="217"/>
      <c r="L411" s="217">
        <v>1</v>
      </c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8">
        <v>28</v>
      </c>
      <c r="Y411" s="221">
        <f t="shared" si="20"/>
        <v>1</v>
      </c>
      <c r="Z411">
        <f t="shared" si="18"/>
        <v>0</v>
      </c>
    </row>
    <row r="412" spans="1:26" x14ac:dyDescent="0.2">
      <c r="A412" s="26">
        <f t="shared" si="19"/>
        <v>42292</v>
      </c>
      <c r="B412" s="216">
        <v>2015</v>
      </c>
      <c r="C412" s="216">
        <v>10</v>
      </c>
      <c r="D412" s="216">
        <v>15</v>
      </c>
      <c r="E412" s="216" t="s">
        <v>152</v>
      </c>
      <c r="F412" s="217">
        <v>10</v>
      </c>
      <c r="G412" s="217">
        <v>6</v>
      </c>
      <c r="H412" s="217"/>
      <c r="I412" s="217">
        <v>1</v>
      </c>
      <c r="J412" s="217"/>
      <c r="K412" s="217"/>
      <c r="L412" s="217"/>
      <c r="M412" s="217"/>
      <c r="N412" s="217"/>
      <c r="O412" s="217"/>
      <c r="P412" s="217"/>
      <c r="Q412" s="217"/>
      <c r="R412" s="217">
        <v>2</v>
      </c>
      <c r="S412" s="217"/>
      <c r="T412" s="217">
        <v>15</v>
      </c>
      <c r="U412" s="217"/>
      <c r="V412" s="217"/>
      <c r="W412" s="217"/>
      <c r="X412" s="218">
        <v>34</v>
      </c>
      <c r="Y412" s="221">
        <f t="shared" si="20"/>
        <v>24</v>
      </c>
      <c r="Z412">
        <f t="shared" si="18"/>
        <v>0</v>
      </c>
    </row>
    <row r="413" spans="1:26" x14ac:dyDescent="0.2">
      <c r="A413" s="26">
        <f t="shared" si="19"/>
        <v>42292</v>
      </c>
      <c r="B413" s="216">
        <v>2015</v>
      </c>
      <c r="C413" s="216">
        <v>10</v>
      </c>
      <c r="D413" s="216">
        <v>15</v>
      </c>
      <c r="E413" s="216" t="s">
        <v>153</v>
      </c>
      <c r="F413" s="217">
        <v>11</v>
      </c>
      <c r="G413" s="217">
        <v>14</v>
      </c>
      <c r="H413" s="217">
        <v>3</v>
      </c>
      <c r="I413" s="217">
        <v>11</v>
      </c>
      <c r="J413" s="217"/>
      <c r="K413" s="217">
        <v>2</v>
      </c>
      <c r="L413" s="217">
        <v>7</v>
      </c>
      <c r="M413" s="217"/>
      <c r="N413" s="217"/>
      <c r="O413" s="217"/>
      <c r="P413" s="217">
        <v>16</v>
      </c>
      <c r="Q413" s="217"/>
      <c r="R413" s="217"/>
      <c r="S413" s="217"/>
      <c r="T413" s="217"/>
      <c r="U413" s="217"/>
      <c r="V413" s="217"/>
      <c r="W413" s="217"/>
      <c r="X413" s="218">
        <v>64</v>
      </c>
      <c r="Y413" s="221">
        <f t="shared" si="20"/>
        <v>53</v>
      </c>
      <c r="Z413">
        <f t="shared" si="18"/>
        <v>0</v>
      </c>
    </row>
    <row r="414" spans="1:26" x14ac:dyDescent="0.2">
      <c r="A414" s="26">
        <f t="shared" si="19"/>
        <v>42293</v>
      </c>
      <c r="B414" s="216">
        <v>2015</v>
      </c>
      <c r="C414" s="216">
        <v>10</v>
      </c>
      <c r="D414" s="216">
        <v>16</v>
      </c>
      <c r="E414" s="216" t="s">
        <v>152</v>
      </c>
      <c r="F414" s="217">
        <v>3</v>
      </c>
      <c r="G414" s="217">
        <v>1</v>
      </c>
      <c r="H414" s="217"/>
      <c r="I414" s="217"/>
      <c r="J414" s="217"/>
      <c r="K414" s="217"/>
      <c r="L414" s="217">
        <v>1</v>
      </c>
      <c r="M414" s="217"/>
      <c r="N414" s="217"/>
      <c r="O414" s="217"/>
      <c r="P414" s="217"/>
      <c r="Q414" s="217"/>
      <c r="R414" s="217"/>
      <c r="S414" s="217"/>
      <c r="T414" s="217">
        <v>2</v>
      </c>
      <c r="U414" s="217"/>
      <c r="V414" s="217"/>
      <c r="W414" s="217"/>
      <c r="X414" s="218">
        <v>7</v>
      </c>
      <c r="Y414" s="221">
        <f t="shared" si="20"/>
        <v>4</v>
      </c>
      <c r="Z414">
        <f t="shared" si="18"/>
        <v>0</v>
      </c>
    </row>
    <row r="415" spans="1:26" x14ac:dyDescent="0.2">
      <c r="A415" s="26">
        <f t="shared" si="19"/>
        <v>42293</v>
      </c>
      <c r="B415" s="216">
        <v>2015</v>
      </c>
      <c r="C415" s="216">
        <v>10</v>
      </c>
      <c r="D415" s="216">
        <v>16</v>
      </c>
      <c r="E415" s="216" t="s">
        <v>153</v>
      </c>
      <c r="F415" s="217">
        <v>8</v>
      </c>
      <c r="G415" s="217">
        <v>11</v>
      </c>
      <c r="H415" s="217">
        <v>5</v>
      </c>
      <c r="I415" s="217">
        <v>1</v>
      </c>
      <c r="J415" s="217"/>
      <c r="K415" s="217">
        <v>4</v>
      </c>
      <c r="L415" s="217">
        <v>9</v>
      </c>
      <c r="M415" s="217"/>
      <c r="N415" s="217"/>
      <c r="O415" s="217"/>
      <c r="P415" s="217"/>
      <c r="Q415" s="217"/>
      <c r="R415" s="217"/>
      <c r="S415" s="217"/>
      <c r="T415" s="217">
        <v>2</v>
      </c>
      <c r="U415" s="217"/>
      <c r="V415" s="217"/>
      <c r="W415" s="217"/>
      <c r="X415" s="218">
        <v>40</v>
      </c>
      <c r="Y415" s="221">
        <f t="shared" si="20"/>
        <v>32</v>
      </c>
      <c r="Z415">
        <f t="shared" si="18"/>
        <v>0</v>
      </c>
    </row>
    <row r="416" spans="1:26" x14ac:dyDescent="0.2">
      <c r="A416" s="26">
        <f t="shared" si="19"/>
        <v>42294</v>
      </c>
      <c r="B416" s="216">
        <v>2015</v>
      </c>
      <c r="C416" s="216">
        <v>10</v>
      </c>
      <c r="D416" s="216">
        <v>17</v>
      </c>
      <c r="E416" s="216" t="s">
        <v>152</v>
      </c>
      <c r="F416" s="217">
        <v>2</v>
      </c>
      <c r="G416" s="217"/>
      <c r="H416" s="217"/>
      <c r="I416" s="217"/>
      <c r="J416" s="217"/>
      <c r="K416" s="217"/>
      <c r="L416" s="217">
        <v>1</v>
      </c>
      <c r="M416" s="217"/>
      <c r="N416" s="217"/>
      <c r="O416" s="217"/>
      <c r="P416" s="217"/>
      <c r="Q416" s="217"/>
      <c r="R416" s="217">
        <v>2</v>
      </c>
      <c r="S416" s="217"/>
      <c r="T416" s="217"/>
      <c r="U416" s="217"/>
      <c r="V416" s="217"/>
      <c r="W416" s="217"/>
      <c r="X416" s="218">
        <v>5</v>
      </c>
      <c r="Y416" s="221">
        <f t="shared" si="20"/>
        <v>3</v>
      </c>
      <c r="Z416">
        <f t="shared" si="18"/>
        <v>0</v>
      </c>
    </row>
    <row r="417" spans="1:26" x14ac:dyDescent="0.2">
      <c r="A417" s="26">
        <f t="shared" si="19"/>
        <v>42294</v>
      </c>
      <c r="B417" s="216">
        <v>2015</v>
      </c>
      <c r="C417" s="216">
        <v>10</v>
      </c>
      <c r="D417" s="216">
        <v>17</v>
      </c>
      <c r="E417" s="216" t="s">
        <v>153</v>
      </c>
      <c r="F417" s="217">
        <v>7</v>
      </c>
      <c r="G417" s="217"/>
      <c r="H417" s="217">
        <v>4</v>
      </c>
      <c r="I417" s="217"/>
      <c r="J417" s="217"/>
      <c r="K417" s="217"/>
      <c r="L417" s="217">
        <v>4</v>
      </c>
      <c r="M417" s="217"/>
      <c r="N417" s="217"/>
      <c r="O417" s="217"/>
      <c r="P417" s="217"/>
      <c r="Q417" s="217"/>
      <c r="R417" s="217">
        <v>3</v>
      </c>
      <c r="S417" s="217"/>
      <c r="T417" s="217"/>
      <c r="U417" s="217"/>
      <c r="V417" s="217"/>
      <c r="W417" s="217"/>
      <c r="X417" s="218">
        <v>18</v>
      </c>
      <c r="Y417" s="221">
        <f t="shared" si="20"/>
        <v>11</v>
      </c>
      <c r="Z417">
        <f t="shared" si="18"/>
        <v>18</v>
      </c>
    </row>
    <row r="418" spans="1:26" x14ac:dyDescent="0.2">
      <c r="A418" s="26">
        <f t="shared" si="19"/>
        <v>42295</v>
      </c>
      <c r="B418" s="216">
        <v>2015</v>
      </c>
      <c r="C418" s="216">
        <v>10</v>
      </c>
      <c r="D418" s="216">
        <v>18</v>
      </c>
      <c r="E418" s="216" t="s">
        <v>153</v>
      </c>
      <c r="F418" s="217">
        <v>1</v>
      </c>
      <c r="G418" s="217"/>
      <c r="H418" s="217"/>
      <c r="I418" s="217"/>
      <c r="J418" s="217"/>
      <c r="K418" s="217"/>
      <c r="L418" s="217"/>
      <c r="M418" s="217"/>
      <c r="N418" s="217"/>
      <c r="O418" s="217"/>
      <c r="P418" s="217">
        <v>1</v>
      </c>
      <c r="Q418" s="217"/>
      <c r="R418" s="217"/>
      <c r="S418" s="217"/>
      <c r="T418" s="217"/>
      <c r="U418" s="217"/>
      <c r="V418" s="217"/>
      <c r="W418" s="217"/>
      <c r="X418" s="218">
        <v>2</v>
      </c>
      <c r="Y418" s="221">
        <f t="shared" si="20"/>
        <v>1</v>
      </c>
      <c r="Z418">
        <f t="shared" si="18"/>
        <v>0</v>
      </c>
    </row>
    <row r="419" spans="1:26" x14ac:dyDescent="0.2">
      <c r="A419" s="26">
        <f t="shared" si="19"/>
        <v>42296</v>
      </c>
      <c r="B419" s="216">
        <v>2015</v>
      </c>
      <c r="C419" s="216">
        <v>10</v>
      </c>
      <c r="D419" s="216">
        <v>19</v>
      </c>
      <c r="E419" s="216" t="s">
        <v>152</v>
      </c>
      <c r="F419" s="217">
        <v>93</v>
      </c>
      <c r="G419" s="217">
        <v>1</v>
      </c>
      <c r="H419" s="217">
        <v>1</v>
      </c>
      <c r="I419" s="217"/>
      <c r="J419" s="217"/>
      <c r="K419" s="217"/>
      <c r="L419" s="217">
        <v>3</v>
      </c>
      <c r="M419" s="217"/>
      <c r="N419" s="217"/>
      <c r="O419" s="217"/>
      <c r="P419" s="217"/>
      <c r="Q419" s="217"/>
      <c r="R419" s="217">
        <v>6</v>
      </c>
      <c r="S419" s="217"/>
      <c r="T419" s="217"/>
      <c r="U419" s="217"/>
      <c r="V419" s="217"/>
      <c r="W419" s="217"/>
      <c r="X419" s="218">
        <v>104</v>
      </c>
      <c r="Y419" s="221">
        <f t="shared" si="20"/>
        <v>11</v>
      </c>
      <c r="Z419">
        <f t="shared" si="18"/>
        <v>0</v>
      </c>
    </row>
    <row r="420" spans="1:26" x14ac:dyDescent="0.2">
      <c r="A420" s="26">
        <f t="shared" si="19"/>
        <v>42296</v>
      </c>
      <c r="B420" s="216">
        <v>2015</v>
      </c>
      <c r="C420" s="216">
        <v>10</v>
      </c>
      <c r="D420" s="216">
        <v>19</v>
      </c>
      <c r="E420" s="216" t="s">
        <v>153</v>
      </c>
      <c r="F420" s="217">
        <v>17</v>
      </c>
      <c r="G420" s="217">
        <v>11</v>
      </c>
      <c r="H420" s="217">
        <v>5</v>
      </c>
      <c r="I420" s="217">
        <v>1</v>
      </c>
      <c r="J420" s="217"/>
      <c r="K420" s="217"/>
      <c r="L420" s="217">
        <v>7</v>
      </c>
      <c r="M420" s="217"/>
      <c r="N420" s="217"/>
      <c r="O420" s="217"/>
      <c r="P420" s="217">
        <v>16</v>
      </c>
      <c r="Q420" s="217"/>
      <c r="R420" s="217">
        <v>4</v>
      </c>
      <c r="S420" s="217"/>
      <c r="T420" s="217">
        <v>3</v>
      </c>
      <c r="U420" s="217"/>
      <c r="V420" s="217"/>
      <c r="W420" s="217"/>
      <c r="X420" s="218">
        <v>64</v>
      </c>
      <c r="Y420" s="221">
        <f t="shared" si="20"/>
        <v>47</v>
      </c>
      <c r="Z420">
        <f t="shared" si="18"/>
        <v>0</v>
      </c>
    </row>
    <row r="421" spans="1:26" x14ac:dyDescent="0.2">
      <c r="A421" s="26">
        <f t="shared" si="19"/>
        <v>42297</v>
      </c>
      <c r="B421" s="216">
        <v>2015</v>
      </c>
      <c r="C421" s="216">
        <v>10</v>
      </c>
      <c r="D421" s="216">
        <v>20</v>
      </c>
      <c r="E421" s="216" t="s">
        <v>152</v>
      </c>
      <c r="F421" s="217">
        <v>27</v>
      </c>
      <c r="G421" s="217"/>
      <c r="H421" s="217"/>
      <c r="I421" s="217"/>
      <c r="J421" s="217"/>
      <c r="K421" s="217"/>
      <c r="L421" s="217">
        <v>3</v>
      </c>
      <c r="M421" s="217"/>
      <c r="N421" s="217"/>
      <c r="O421" s="217"/>
      <c r="P421" s="217"/>
      <c r="Q421" s="217"/>
      <c r="R421" s="217">
        <v>2</v>
      </c>
      <c r="S421" s="217"/>
      <c r="T421" s="217">
        <v>1</v>
      </c>
      <c r="U421" s="217"/>
      <c r="V421" s="217">
        <v>2</v>
      </c>
      <c r="W421" s="217"/>
      <c r="X421" s="218">
        <v>35</v>
      </c>
      <c r="Y421" s="221">
        <f t="shared" si="20"/>
        <v>8</v>
      </c>
      <c r="Z421">
        <f t="shared" si="18"/>
        <v>0</v>
      </c>
    </row>
    <row r="422" spans="1:26" x14ac:dyDescent="0.2">
      <c r="A422" s="26">
        <f t="shared" si="19"/>
        <v>42297</v>
      </c>
      <c r="B422" s="216">
        <v>2015</v>
      </c>
      <c r="C422" s="216">
        <v>10</v>
      </c>
      <c r="D422" s="216">
        <v>20</v>
      </c>
      <c r="E422" s="216" t="s">
        <v>153</v>
      </c>
      <c r="F422" s="217">
        <v>10</v>
      </c>
      <c r="G422" s="217"/>
      <c r="H422" s="217">
        <v>3</v>
      </c>
      <c r="I422" s="217"/>
      <c r="J422" s="217"/>
      <c r="K422" s="217">
        <v>1</v>
      </c>
      <c r="L422" s="217">
        <v>13</v>
      </c>
      <c r="M422" s="217"/>
      <c r="N422" s="217"/>
      <c r="O422" s="217">
        <v>1</v>
      </c>
      <c r="P422" s="217">
        <v>3</v>
      </c>
      <c r="Q422" s="217"/>
      <c r="R422" s="217">
        <v>10</v>
      </c>
      <c r="S422" s="217"/>
      <c r="T422" s="217">
        <v>1</v>
      </c>
      <c r="U422" s="217"/>
      <c r="V422" s="217"/>
      <c r="W422" s="217"/>
      <c r="X422" s="218">
        <v>42</v>
      </c>
      <c r="Y422" s="221">
        <f t="shared" si="20"/>
        <v>32</v>
      </c>
      <c r="Z422">
        <f t="shared" si="18"/>
        <v>0</v>
      </c>
    </row>
    <row r="423" spans="1:26" x14ac:dyDescent="0.2">
      <c r="A423" s="26">
        <f t="shared" si="19"/>
        <v>42298</v>
      </c>
      <c r="B423" s="216">
        <v>2015</v>
      </c>
      <c r="C423" s="216">
        <v>10</v>
      </c>
      <c r="D423" s="216">
        <v>21</v>
      </c>
      <c r="E423" s="216" t="s">
        <v>152</v>
      </c>
      <c r="F423" s="217">
        <v>28</v>
      </c>
      <c r="G423" s="217">
        <v>2</v>
      </c>
      <c r="H423" s="217"/>
      <c r="I423" s="217">
        <v>3</v>
      </c>
      <c r="J423" s="217"/>
      <c r="K423" s="217"/>
      <c r="L423" s="217">
        <v>1</v>
      </c>
      <c r="M423" s="217"/>
      <c r="N423" s="217"/>
      <c r="O423" s="217"/>
      <c r="P423" s="217"/>
      <c r="Q423" s="217"/>
      <c r="R423" s="217">
        <v>17</v>
      </c>
      <c r="S423" s="217"/>
      <c r="T423" s="217">
        <v>7</v>
      </c>
      <c r="U423" s="217"/>
      <c r="V423" s="217"/>
      <c r="W423" s="217"/>
      <c r="X423" s="218">
        <v>58</v>
      </c>
      <c r="Y423" s="221">
        <f t="shared" si="20"/>
        <v>30</v>
      </c>
      <c r="Z423">
        <f t="shared" si="18"/>
        <v>0</v>
      </c>
    </row>
    <row r="424" spans="1:26" x14ac:dyDescent="0.2">
      <c r="A424" s="26">
        <f t="shared" si="19"/>
        <v>42298</v>
      </c>
      <c r="B424" s="216">
        <v>2015</v>
      </c>
      <c r="C424" s="216">
        <v>10</v>
      </c>
      <c r="D424" s="216">
        <v>21</v>
      </c>
      <c r="E424" s="216" t="s">
        <v>153</v>
      </c>
      <c r="F424" s="217">
        <v>29</v>
      </c>
      <c r="G424" s="217">
        <v>6</v>
      </c>
      <c r="H424" s="217">
        <v>2</v>
      </c>
      <c r="I424" s="217">
        <v>5</v>
      </c>
      <c r="J424" s="217"/>
      <c r="K424" s="217"/>
      <c r="L424" s="217">
        <v>9</v>
      </c>
      <c r="M424" s="217"/>
      <c r="N424" s="217"/>
      <c r="O424" s="217"/>
      <c r="P424" s="217"/>
      <c r="Q424" s="217"/>
      <c r="R424" s="217">
        <v>13</v>
      </c>
      <c r="S424" s="217"/>
      <c r="T424" s="217">
        <v>8</v>
      </c>
      <c r="U424" s="217"/>
      <c r="V424" s="217"/>
      <c r="W424" s="217"/>
      <c r="X424" s="218">
        <v>72</v>
      </c>
      <c r="Y424" s="221">
        <f t="shared" si="20"/>
        <v>43</v>
      </c>
      <c r="Z424">
        <f t="shared" si="18"/>
        <v>0</v>
      </c>
    </row>
    <row r="425" spans="1:26" x14ac:dyDescent="0.2">
      <c r="A425" s="26">
        <f t="shared" si="19"/>
        <v>42299</v>
      </c>
      <c r="B425" s="216">
        <v>2015</v>
      </c>
      <c r="C425" s="216">
        <v>10</v>
      </c>
      <c r="D425" s="216">
        <v>22</v>
      </c>
      <c r="E425" s="216" t="s">
        <v>152</v>
      </c>
      <c r="F425" s="217">
        <v>8</v>
      </c>
      <c r="G425" s="217">
        <v>5</v>
      </c>
      <c r="H425" s="217">
        <v>1</v>
      </c>
      <c r="I425" s="217">
        <v>2</v>
      </c>
      <c r="J425" s="217"/>
      <c r="K425" s="217"/>
      <c r="L425" s="217">
        <v>6</v>
      </c>
      <c r="M425" s="217"/>
      <c r="N425" s="217"/>
      <c r="O425" s="217"/>
      <c r="P425" s="217">
        <v>1</v>
      </c>
      <c r="Q425" s="217"/>
      <c r="R425" s="217"/>
      <c r="S425" s="217"/>
      <c r="T425" s="217">
        <v>1</v>
      </c>
      <c r="U425" s="217"/>
      <c r="V425" s="217"/>
      <c r="W425" s="217"/>
      <c r="X425" s="218">
        <v>24</v>
      </c>
      <c r="Y425" s="221">
        <f t="shared" si="20"/>
        <v>16</v>
      </c>
      <c r="Z425">
        <f t="shared" si="18"/>
        <v>0</v>
      </c>
    </row>
    <row r="426" spans="1:26" x14ac:dyDescent="0.2">
      <c r="A426" s="26">
        <f t="shared" si="19"/>
        <v>42299</v>
      </c>
      <c r="B426" s="216">
        <v>2015</v>
      </c>
      <c r="C426" s="216">
        <v>10</v>
      </c>
      <c r="D426" s="216">
        <v>22</v>
      </c>
      <c r="E426" s="216" t="s">
        <v>153</v>
      </c>
      <c r="F426" s="217">
        <v>12</v>
      </c>
      <c r="G426" s="217">
        <v>9</v>
      </c>
      <c r="H426" s="217">
        <v>6</v>
      </c>
      <c r="I426" s="217">
        <v>7</v>
      </c>
      <c r="J426" s="217"/>
      <c r="K426" s="217"/>
      <c r="L426" s="217">
        <v>24</v>
      </c>
      <c r="M426" s="217"/>
      <c r="N426" s="217"/>
      <c r="O426" s="217"/>
      <c r="P426" s="217">
        <v>3</v>
      </c>
      <c r="Q426" s="217"/>
      <c r="R426" s="217">
        <v>8</v>
      </c>
      <c r="S426" s="217"/>
      <c r="T426" s="217">
        <v>2</v>
      </c>
      <c r="U426" s="217"/>
      <c r="V426" s="217">
        <v>12</v>
      </c>
      <c r="W426" s="217"/>
      <c r="X426" s="218">
        <v>83</v>
      </c>
      <c r="Y426" s="221">
        <f t="shared" si="20"/>
        <v>71</v>
      </c>
      <c r="Z426">
        <f t="shared" si="18"/>
        <v>0</v>
      </c>
    </row>
    <row r="427" spans="1:26" x14ac:dyDescent="0.2">
      <c r="A427" s="26">
        <f t="shared" si="19"/>
        <v>42300</v>
      </c>
      <c r="B427" s="216">
        <v>2015</v>
      </c>
      <c r="C427" s="216">
        <v>10</v>
      </c>
      <c r="D427" s="216">
        <v>23</v>
      </c>
      <c r="E427" s="216" t="s">
        <v>152</v>
      </c>
      <c r="F427" s="217">
        <v>16</v>
      </c>
      <c r="G427" s="217">
        <v>2</v>
      </c>
      <c r="H427" s="217">
        <v>1</v>
      </c>
      <c r="I427" s="217">
        <v>1</v>
      </c>
      <c r="J427" s="217"/>
      <c r="K427" s="217"/>
      <c r="L427" s="217">
        <v>4</v>
      </c>
      <c r="M427" s="217"/>
      <c r="N427" s="217"/>
      <c r="O427" s="217"/>
      <c r="P427" s="217"/>
      <c r="Q427" s="217"/>
      <c r="R427" s="217">
        <v>3</v>
      </c>
      <c r="S427" s="217"/>
      <c r="T427" s="217">
        <v>2</v>
      </c>
      <c r="U427" s="217"/>
      <c r="V427" s="217">
        <v>1</v>
      </c>
      <c r="W427" s="217"/>
      <c r="X427" s="218">
        <v>30</v>
      </c>
      <c r="Y427" s="221">
        <f t="shared" si="20"/>
        <v>14</v>
      </c>
      <c r="Z427">
        <f t="shared" si="18"/>
        <v>0</v>
      </c>
    </row>
    <row r="428" spans="1:26" x14ac:dyDescent="0.2">
      <c r="A428" s="26">
        <f t="shared" si="19"/>
        <v>42300</v>
      </c>
      <c r="B428" s="216">
        <v>2015</v>
      </c>
      <c r="C428" s="216">
        <v>10</v>
      </c>
      <c r="D428" s="216">
        <v>23</v>
      </c>
      <c r="E428" s="216" t="s">
        <v>153</v>
      </c>
      <c r="F428" s="217">
        <v>13</v>
      </c>
      <c r="G428" s="217">
        <v>9</v>
      </c>
      <c r="H428" s="217">
        <v>5</v>
      </c>
      <c r="I428" s="217"/>
      <c r="J428" s="217"/>
      <c r="K428" s="217"/>
      <c r="L428" s="217">
        <v>9</v>
      </c>
      <c r="M428" s="217"/>
      <c r="N428" s="217"/>
      <c r="O428" s="217"/>
      <c r="P428" s="217">
        <v>4</v>
      </c>
      <c r="Q428" s="217"/>
      <c r="R428" s="217">
        <v>14</v>
      </c>
      <c r="S428" s="217"/>
      <c r="T428" s="217">
        <v>1</v>
      </c>
      <c r="U428" s="217"/>
      <c r="V428" s="217">
        <v>1</v>
      </c>
      <c r="W428" s="217"/>
      <c r="X428" s="218">
        <v>56</v>
      </c>
      <c r="Y428" s="221">
        <f t="shared" si="20"/>
        <v>43</v>
      </c>
      <c r="Z428">
        <f t="shared" si="18"/>
        <v>0</v>
      </c>
    </row>
    <row r="429" spans="1:26" x14ac:dyDescent="0.2">
      <c r="A429" s="26">
        <f t="shared" si="19"/>
        <v>42301</v>
      </c>
      <c r="B429" s="216">
        <v>2015</v>
      </c>
      <c r="C429" s="216">
        <v>10</v>
      </c>
      <c r="D429" s="216">
        <v>24</v>
      </c>
      <c r="E429" s="216" t="s">
        <v>152</v>
      </c>
      <c r="F429" s="217"/>
      <c r="G429" s="217"/>
      <c r="H429" s="217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>
        <v>1</v>
      </c>
      <c r="S429" s="217"/>
      <c r="T429" s="217"/>
      <c r="U429" s="217"/>
      <c r="V429" s="217"/>
      <c r="W429" s="217"/>
      <c r="X429" s="218">
        <v>1</v>
      </c>
      <c r="Y429" s="221">
        <f t="shared" si="20"/>
        <v>1</v>
      </c>
      <c r="Z429">
        <f t="shared" si="18"/>
        <v>0</v>
      </c>
    </row>
    <row r="430" spans="1:26" x14ac:dyDescent="0.2">
      <c r="A430" s="26">
        <f t="shared" si="19"/>
        <v>42301</v>
      </c>
      <c r="B430" s="216">
        <v>2015</v>
      </c>
      <c r="C430" s="216">
        <v>10</v>
      </c>
      <c r="D430" s="216">
        <v>24</v>
      </c>
      <c r="E430" s="216" t="s">
        <v>153</v>
      </c>
      <c r="F430" s="217"/>
      <c r="G430" s="217"/>
      <c r="H430" s="217"/>
      <c r="I430" s="217"/>
      <c r="J430" s="217"/>
      <c r="K430" s="217"/>
      <c r="L430" s="217">
        <v>1</v>
      </c>
      <c r="M430" s="217"/>
      <c r="N430" s="217"/>
      <c r="O430" s="217"/>
      <c r="P430" s="217"/>
      <c r="Q430" s="217"/>
      <c r="R430" s="217">
        <v>1</v>
      </c>
      <c r="S430" s="217"/>
      <c r="T430" s="217"/>
      <c r="U430" s="217"/>
      <c r="V430" s="217"/>
      <c r="W430" s="217"/>
      <c r="X430" s="218">
        <v>2</v>
      </c>
      <c r="Y430" s="221">
        <f t="shared" si="20"/>
        <v>2</v>
      </c>
      <c r="Z430">
        <f t="shared" si="18"/>
        <v>2</v>
      </c>
    </row>
    <row r="431" spans="1:26" x14ac:dyDescent="0.2">
      <c r="A431" s="26">
        <f t="shared" si="19"/>
        <v>42302</v>
      </c>
      <c r="B431" s="216">
        <v>2015</v>
      </c>
      <c r="C431" s="216">
        <v>10</v>
      </c>
      <c r="D431" s="216">
        <v>25</v>
      </c>
      <c r="E431" s="216" t="s">
        <v>153</v>
      </c>
      <c r="F431" s="217"/>
      <c r="G431" s="217"/>
      <c r="H431" s="217"/>
      <c r="I431" s="217"/>
      <c r="J431" s="217"/>
      <c r="K431" s="217">
        <v>1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8">
        <v>1</v>
      </c>
      <c r="Y431" s="221">
        <f t="shared" si="20"/>
        <v>1</v>
      </c>
      <c r="Z431">
        <f t="shared" si="18"/>
        <v>0</v>
      </c>
    </row>
    <row r="432" spans="1:26" x14ac:dyDescent="0.2">
      <c r="A432" s="26">
        <f t="shared" si="19"/>
        <v>42303</v>
      </c>
      <c r="B432" s="216">
        <v>2015</v>
      </c>
      <c r="C432" s="216">
        <v>10</v>
      </c>
      <c r="D432" s="216">
        <v>26</v>
      </c>
      <c r="E432" s="216" t="s">
        <v>152</v>
      </c>
      <c r="F432" s="217">
        <v>30</v>
      </c>
      <c r="G432" s="217">
        <v>7</v>
      </c>
      <c r="H432" s="217">
        <v>1</v>
      </c>
      <c r="I432" s="217"/>
      <c r="J432" s="217"/>
      <c r="K432" s="217"/>
      <c r="L432" s="217">
        <v>3</v>
      </c>
      <c r="M432" s="217"/>
      <c r="N432" s="217"/>
      <c r="O432" s="217"/>
      <c r="P432" s="217"/>
      <c r="Q432" s="217"/>
      <c r="R432" s="217">
        <v>2</v>
      </c>
      <c r="S432" s="217"/>
      <c r="T432" s="217">
        <v>2</v>
      </c>
      <c r="U432" s="217"/>
      <c r="V432" s="217"/>
      <c r="W432" s="217"/>
      <c r="X432" s="218">
        <v>45</v>
      </c>
      <c r="Y432" s="221">
        <f t="shared" si="20"/>
        <v>15</v>
      </c>
      <c r="Z432">
        <f t="shared" si="18"/>
        <v>0</v>
      </c>
    </row>
    <row r="433" spans="1:26" x14ac:dyDescent="0.2">
      <c r="A433" s="26">
        <f t="shared" si="19"/>
        <v>42303</v>
      </c>
      <c r="B433" s="216">
        <v>2015</v>
      </c>
      <c r="C433" s="216">
        <v>10</v>
      </c>
      <c r="D433" s="216">
        <v>26</v>
      </c>
      <c r="E433" s="216" t="s">
        <v>153</v>
      </c>
      <c r="F433" s="217">
        <v>3</v>
      </c>
      <c r="G433" s="217">
        <v>18</v>
      </c>
      <c r="H433" s="217">
        <v>16</v>
      </c>
      <c r="I433" s="217">
        <v>5</v>
      </c>
      <c r="J433" s="217"/>
      <c r="K433" s="217">
        <v>1</v>
      </c>
      <c r="L433" s="217">
        <v>16</v>
      </c>
      <c r="M433" s="217"/>
      <c r="N433" s="217"/>
      <c r="O433" s="217"/>
      <c r="P433" s="217">
        <v>1</v>
      </c>
      <c r="Q433" s="217"/>
      <c r="R433" s="217">
        <v>7</v>
      </c>
      <c r="S433" s="217"/>
      <c r="T433" s="217">
        <v>20</v>
      </c>
      <c r="U433" s="217"/>
      <c r="V433" s="217"/>
      <c r="W433" s="217"/>
      <c r="X433" s="218">
        <v>87</v>
      </c>
      <c r="Y433" s="221">
        <f t="shared" si="20"/>
        <v>84</v>
      </c>
      <c r="Z433">
        <f t="shared" si="18"/>
        <v>0</v>
      </c>
    </row>
    <row r="434" spans="1:26" x14ac:dyDescent="0.2">
      <c r="A434" s="26">
        <f t="shared" si="19"/>
        <v>42304</v>
      </c>
      <c r="B434" s="216">
        <v>2015</v>
      </c>
      <c r="C434" s="216">
        <v>10</v>
      </c>
      <c r="D434" s="216">
        <v>27</v>
      </c>
      <c r="E434" s="216" t="s">
        <v>152</v>
      </c>
      <c r="F434" s="217">
        <v>34</v>
      </c>
      <c r="G434" s="217">
        <v>5</v>
      </c>
      <c r="H434" s="217"/>
      <c r="I434" s="217">
        <v>1</v>
      </c>
      <c r="J434" s="217"/>
      <c r="K434" s="217"/>
      <c r="L434" s="217">
        <v>1</v>
      </c>
      <c r="M434" s="217"/>
      <c r="N434" s="217"/>
      <c r="O434" s="217"/>
      <c r="P434" s="217">
        <v>1</v>
      </c>
      <c r="Q434" s="217"/>
      <c r="R434" s="217">
        <v>9</v>
      </c>
      <c r="S434" s="217"/>
      <c r="T434" s="217">
        <v>7</v>
      </c>
      <c r="U434" s="217"/>
      <c r="V434" s="217"/>
      <c r="W434" s="217"/>
      <c r="X434" s="218">
        <v>58</v>
      </c>
      <c r="Y434" s="221">
        <f t="shared" si="20"/>
        <v>24</v>
      </c>
      <c r="Z434">
        <f t="shared" si="18"/>
        <v>0</v>
      </c>
    </row>
    <row r="435" spans="1:26" x14ac:dyDescent="0.2">
      <c r="A435" s="26">
        <f t="shared" si="19"/>
        <v>42304</v>
      </c>
      <c r="B435" s="216">
        <v>2015</v>
      </c>
      <c r="C435" s="216">
        <v>10</v>
      </c>
      <c r="D435" s="216">
        <v>27</v>
      </c>
      <c r="E435" s="216" t="s">
        <v>153</v>
      </c>
      <c r="F435" s="217">
        <v>4</v>
      </c>
      <c r="G435" s="217">
        <v>9</v>
      </c>
      <c r="H435" s="217">
        <v>5</v>
      </c>
      <c r="I435" s="217">
        <v>9</v>
      </c>
      <c r="J435" s="217"/>
      <c r="K435" s="217"/>
      <c r="L435" s="217">
        <v>8</v>
      </c>
      <c r="M435" s="217"/>
      <c r="N435" s="217"/>
      <c r="O435" s="217"/>
      <c r="P435" s="217">
        <v>4</v>
      </c>
      <c r="Q435" s="217"/>
      <c r="R435" s="217">
        <v>1</v>
      </c>
      <c r="S435" s="217"/>
      <c r="T435" s="217">
        <v>13</v>
      </c>
      <c r="U435" s="217"/>
      <c r="V435" s="217"/>
      <c r="W435" s="217"/>
      <c r="X435" s="218">
        <v>53</v>
      </c>
      <c r="Y435" s="221">
        <f t="shared" si="20"/>
        <v>49</v>
      </c>
      <c r="Z435">
        <f t="shared" si="18"/>
        <v>0</v>
      </c>
    </row>
    <row r="436" spans="1:26" x14ac:dyDescent="0.2">
      <c r="A436" s="26">
        <f t="shared" si="19"/>
        <v>42305</v>
      </c>
      <c r="B436" s="216">
        <v>2015</v>
      </c>
      <c r="C436" s="216">
        <v>10</v>
      </c>
      <c r="D436" s="216">
        <v>28</v>
      </c>
      <c r="E436" s="216" t="s">
        <v>152</v>
      </c>
      <c r="F436" s="217">
        <v>28</v>
      </c>
      <c r="G436" s="217">
        <v>8</v>
      </c>
      <c r="H436" s="217"/>
      <c r="I436" s="217"/>
      <c r="J436" s="217"/>
      <c r="K436" s="217"/>
      <c r="L436" s="217">
        <v>2</v>
      </c>
      <c r="M436" s="217"/>
      <c r="N436" s="217"/>
      <c r="O436" s="217"/>
      <c r="P436" s="217">
        <v>2</v>
      </c>
      <c r="Q436" s="217"/>
      <c r="R436" s="217">
        <v>30</v>
      </c>
      <c r="S436" s="217"/>
      <c r="T436" s="217">
        <v>6</v>
      </c>
      <c r="U436" s="217"/>
      <c r="V436" s="217"/>
      <c r="W436" s="217">
        <v>2</v>
      </c>
      <c r="X436" s="218">
        <v>78</v>
      </c>
      <c r="Y436" s="221">
        <f t="shared" si="20"/>
        <v>50</v>
      </c>
      <c r="Z436">
        <f t="shared" si="18"/>
        <v>0</v>
      </c>
    </row>
    <row r="437" spans="1:26" x14ac:dyDescent="0.2">
      <c r="A437" s="26">
        <f t="shared" si="19"/>
        <v>42305</v>
      </c>
      <c r="B437" s="216">
        <v>2015</v>
      </c>
      <c r="C437" s="216">
        <v>10</v>
      </c>
      <c r="D437" s="216">
        <v>28</v>
      </c>
      <c r="E437" s="216" t="s">
        <v>153</v>
      </c>
      <c r="F437" s="217">
        <v>1</v>
      </c>
      <c r="G437" s="217">
        <v>15</v>
      </c>
      <c r="H437" s="217">
        <v>1</v>
      </c>
      <c r="I437" s="217">
        <v>4</v>
      </c>
      <c r="J437" s="217"/>
      <c r="K437" s="217"/>
      <c r="L437" s="217">
        <v>12</v>
      </c>
      <c r="M437" s="217"/>
      <c r="N437" s="217"/>
      <c r="O437" s="217"/>
      <c r="P437" s="217">
        <v>4</v>
      </c>
      <c r="Q437" s="217"/>
      <c r="R437" s="217">
        <v>2</v>
      </c>
      <c r="S437" s="217"/>
      <c r="T437" s="217">
        <v>4</v>
      </c>
      <c r="U437" s="217"/>
      <c r="V437" s="217"/>
      <c r="W437" s="217"/>
      <c r="X437" s="218">
        <v>43</v>
      </c>
      <c r="Y437" s="221">
        <f t="shared" si="20"/>
        <v>42</v>
      </c>
      <c r="Z437">
        <f t="shared" si="18"/>
        <v>0</v>
      </c>
    </row>
    <row r="438" spans="1:26" x14ac:dyDescent="0.2">
      <c r="A438" s="26">
        <f t="shared" si="19"/>
        <v>42306</v>
      </c>
      <c r="B438" s="216">
        <v>2015</v>
      </c>
      <c r="C438" s="216">
        <v>10</v>
      </c>
      <c r="D438" s="216">
        <v>29</v>
      </c>
      <c r="E438" s="216" t="s">
        <v>152</v>
      </c>
      <c r="F438" s="217">
        <v>3</v>
      </c>
      <c r="G438" s="217">
        <v>9</v>
      </c>
      <c r="H438" s="217"/>
      <c r="I438" s="217">
        <v>1</v>
      </c>
      <c r="J438" s="217"/>
      <c r="K438" s="217"/>
      <c r="L438" s="217">
        <v>1</v>
      </c>
      <c r="M438" s="217"/>
      <c r="N438" s="217"/>
      <c r="O438" s="217"/>
      <c r="P438" s="217">
        <v>4</v>
      </c>
      <c r="Q438" s="217"/>
      <c r="R438" s="217">
        <v>22</v>
      </c>
      <c r="S438" s="217"/>
      <c r="T438" s="217">
        <v>2</v>
      </c>
      <c r="U438" s="217"/>
      <c r="V438" s="217"/>
      <c r="W438" s="217"/>
      <c r="X438" s="218">
        <v>42</v>
      </c>
      <c r="Y438" s="221">
        <f t="shared" si="20"/>
        <v>39</v>
      </c>
      <c r="Z438">
        <f t="shared" si="18"/>
        <v>0</v>
      </c>
    </row>
    <row r="439" spans="1:26" x14ac:dyDescent="0.2">
      <c r="A439" s="26">
        <f t="shared" si="19"/>
        <v>42306</v>
      </c>
      <c r="B439" s="216">
        <v>2015</v>
      </c>
      <c r="C439" s="216">
        <v>10</v>
      </c>
      <c r="D439" s="216">
        <v>29</v>
      </c>
      <c r="E439" s="216" t="s">
        <v>153</v>
      </c>
      <c r="F439" s="217">
        <v>7</v>
      </c>
      <c r="G439" s="217">
        <v>3</v>
      </c>
      <c r="H439" s="217">
        <v>6</v>
      </c>
      <c r="I439" s="217">
        <v>8</v>
      </c>
      <c r="J439" s="217"/>
      <c r="K439" s="217">
        <v>1</v>
      </c>
      <c r="L439" s="217">
        <v>23</v>
      </c>
      <c r="M439" s="217"/>
      <c r="N439" s="217"/>
      <c r="O439" s="217"/>
      <c r="P439" s="217">
        <v>3</v>
      </c>
      <c r="Q439" s="217"/>
      <c r="R439" s="217">
        <v>18</v>
      </c>
      <c r="S439" s="217"/>
      <c r="T439" s="217">
        <v>5</v>
      </c>
      <c r="U439" s="217"/>
      <c r="V439" s="217">
        <v>6</v>
      </c>
      <c r="W439" s="217"/>
      <c r="X439" s="218">
        <v>80</v>
      </c>
      <c r="Y439" s="221">
        <f t="shared" si="20"/>
        <v>73</v>
      </c>
      <c r="Z439">
        <f t="shared" si="18"/>
        <v>0</v>
      </c>
    </row>
    <row r="440" spans="1:26" x14ac:dyDescent="0.2">
      <c r="A440" s="26">
        <f t="shared" si="19"/>
        <v>42307</v>
      </c>
      <c r="B440" s="216">
        <v>2015</v>
      </c>
      <c r="C440" s="216">
        <v>10</v>
      </c>
      <c r="D440" s="216">
        <v>30</v>
      </c>
      <c r="E440" s="216" t="s">
        <v>152</v>
      </c>
      <c r="F440" s="217">
        <v>4</v>
      </c>
      <c r="G440" s="217">
        <v>9</v>
      </c>
      <c r="H440" s="217">
        <v>1</v>
      </c>
      <c r="I440" s="217">
        <v>2</v>
      </c>
      <c r="J440" s="217"/>
      <c r="K440" s="217"/>
      <c r="L440" s="217">
        <v>1</v>
      </c>
      <c r="M440" s="217"/>
      <c r="N440" s="217"/>
      <c r="O440" s="217"/>
      <c r="P440" s="217">
        <v>1</v>
      </c>
      <c r="Q440" s="217"/>
      <c r="R440" s="217">
        <v>1</v>
      </c>
      <c r="S440" s="217"/>
      <c r="T440" s="217"/>
      <c r="U440" s="217"/>
      <c r="V440" s="217">
        <v>1</v>
      </c>
      <c r="W440" s="217">
        <v>1</v>
      </c>
      <c r="X440" s="218">
        <v>21</v>
      </c>
      <c r="Y440" s="221">
        <f t="shared" si="20"/>
        <v>17</v>
      </c>
      <c r="Z440">
        <f t="shared" si="18"/>
        <v>0</v>
      </c>
    </row>
    <row r="441" spans="1:26" x14ac:dyDescent="0.2">
      <c r="A441" s="26">
        <f t="shared" si="19"/>
        <v>42307</v>
      </c>
      <c r="B441" s="216">
        <v>2015</v>
      </c>
      <c r="C441" s="216">
        <v>10</v>
      </c>
      <c r="D441" s="216">
        <v>30</v>
      </c>
      <c r="E441" s="216" t="s">
        <v>153</v>
      </c>
      <c r="F441" s="217">
        <v>2</v>
      </c>
      <c r="G441" s="217">
        <v>8</v>
      </c>
      <c r="H441" s="217">
        <v>8</v>
      </c>
      <c r="I441" s="217">
        <v>15</v>
      </c>
      <c r="J441" s="217"/>
      <c r="K441" s="217"/>
      <c r="L441" s="217">
        <v>9</v>
      </c>
      <c r="M441" s="217"/>
      <c r="N441" s="217"/>
      <c r="O441" s="217"/>
      <c r="P441" s="217">
        <v>5</v>
      </c>
      <c r="Q441" s="217"/>
      <c r="R441" s="217">
        <v>1</v>
      </c>
      <c r="S441" s="217"/>
      <c r="T441" s="217">
        <v>2</v>
      </c>
      <c r="U441" s="217"/>
      <c r="V441" s="217">
        <v>2</v>
      </c>
      <c r="W441" s="217"/>
      <c r="X441" s="218">
        <v>52</v>
      </c>
      <c r="Y441" s="221">
        <f t="shared" si="20"/>
        <v>50</v>
      </c>
      <c r="Z441">
        <f t="shared" si="18"/>
        <v>0</v>
      </c>
    </row>
    <row r="442" spans="1:26" x14ac:dyDescent="0.2">
      <c r="A442" s="26">
        <f t="shared" si="19"/>
        <v>42308</v>
      </c>
      <c r="B442" s="216">
        <v>2015</v>
      </c>
      <c r="C442" s="216">
        <v>10</v>
      </c>
      <c r="D442" s="216">
        <v>31</v>
      </c>
      <c r="E442" s="216" t="s">
        <v>152</v>
      </c>
      <c r="F442" s="217"/>
      <c r="G442" s="217"/>
      <c r="H442" s="217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>
        <v>4</v>
      </c>
      <c r="S442" s="217"/>
      <c r="T442" s="217"/>
      <c r="U442" s="217"/>
      <c r="V442" s="217"/>
      <c r="W442" s="217"/>
      <c r="X442" s="218">
        <v>4</v>
      </c>
      <c r="Y442" s="221">
        <f t="shared" si="20"/>
        <v>4</v>
      </c>
      <c r="Z442">
        <f t="shared" si="18"/>
        <v>0</v>
      </c>
    </row>
    <row r="443" spans="1:26" x14ac:dyDescent="0.2">
      <c r="A443" s="26">
        <f t="shared" si="19"/>
        <v>42308</v>
      </c>
      <c r="B443" s="216">
        <v>2015</v>
      </c>
      <c r="C443" s="216">
        <v>10</v>
      </c>
      <c r="D443" s="216">
        <v>31</v>
      </c>
      <c r="E443" s="216" t="s">
        <v>153</v>
      </c>
      <c r="F443" s="217">
        <v>1</v>
      </c>
      <c r="G443" s="217"/>
      <c r="H443" s="217"/>
      <c r="I443" s="217"/>
      <c r="J443" s="217"/>
      <c r="K443" s="217"/>
      <c r="L443" s="217">
        <v>2</v>
      </c>
      <c r="M443" s="217"/>
      <c r="N443" s="217"/>
      <c r="O443" s="217"/>
      <c r="P443" s="217"/>
      <c r="Q443" s="217"/>
      <c r="R443" s="217">
        <v>5</v>
      </c>
      <c r="S443" s="217"/>
      <c r="T443" s="217"/>
      <c r="U443" s="217"/>
      <c r="V443" s="217"/>
      <c r="W443" s="217"/>
      <c r="X443" s="218">
        <v>8</v>
      </c>
      <c r="Y443" s="221">
        <f t="shared" si="20"/>
        <v>7</v>
      </c>
      <c r="Z443">
        <f t="shared" si="18"/>
        <v>8</v>
      </c>
    </row>
    <row r="444" spans="1:26" x14ac:dyDescent="0.2">
      <c r="A444" s="26">
        <f t="shared" si="19"/>
        <v>42311</v>
      </c>
      <c r="B444" s="216">
        <v>2015</v>
      </c>
      <c r="C444" s="216">
        <v>11</v>
      </c>
      <c r="D444" s="216">
        <v>3</v>
      </c>
      <c r="E444" s="216" t="s">
        <v>152</v>
      </c>
      <c r="F444" s="217"/>
      <c r="G444" s="217">
        <v>24</v>
      </c>
      <c r="H444" s="217">
        <v>3</v>
      </c>
      <c r="I444" s="217">
        <v>2</v>
      </c>
      <c r="J444" s="217">
        <v>1</v>
      </c>
      <c r="K444" s="217"/>
      <c r="L444" s="217">
        <v>6</v>
      </c>
      <c r="M444" s="217"/>
      <c r="N444" s="217"/>
      <c r="O444" s="217"/>
      <c r="P444" s="217">
        <v>1</v>
      </c>
      <c r="Q444" s="217"/>
      <c r="R444" s="217">
        <v>1</v>
      </c>
      <c r="S444" s="217"/>
      <c r="T444" s="217">
        <v>2</v>
      </c>
      <c r="U444" s="217"/>
      <c r="V444" s="217"/>
      <c r="W444" s="217"/>
      <c r="X444" s="218">
        <v>40</v>
      </c>
      <c r="Y444" s="221">
        <f t="shared" si="20"/>
        <v>40</v>
      </c>
      <c r="Z444">
        <f t="shared" si="18"/>
        <v>0</v>
      </c>
    </row>
    <row r="445" spans="1:26" x14ac:dyDescent="0.2">
      <c r="A445" s="26">
        <f t="shared" si="19"/>
        <v>42311</v>
      </c>
      <c r="B445" s="216">
        <v>2015</v>
      </c>
      <c r="C445" s="216">
        <v>11</v>
      </c>
      <c r="D445" s="216">
        <v>3</v>
      </c>
      <c r="E445" s="216" t="s">
        <v>153</v>
      </c>
      <c r="F445" s="217">
        <v>2</v>
      </c>
      <c r="G445" s="217">
        <v>4</v>
      </c>
      <c r="H445" s="217">
        <v>12</v>
      </c>
      <c r="I445" s="217">
        <v>3</v>
      </c>
      <c r="J445" s="217"/>
      <c r="K445" s="217"/>
      <c r="L445" s="217">
        <v>24</v>
      </c>
      <c r="M445" s="217"/>
      <c r="N445" s="217"/>
      <c r="O445" s="217"/>
      <c r="P445" s="217"/>
      <c r="Q445" s="217"/>
      <c r="R445" s="217">
        <v>1</v>
      </c>
      <c r="S445" s="217"/>
      <c r="T445" s="217">
        <v>5</v>
      </c>
      <c r="U445" s="217"/>
      <c r="V445" s="217">
        <v>13</v>
      </c>
      <c r="W445" s="217"/>
      <c r="X445" s="218">
        <v>64</v>
      </c>
      <c r="Y445" s="221">
        <f t="shared" si="20"/>
        <v>62</v>
      </c>
      <c r="Z445">
        <f t="shared" si="18"/>
        <v>0</v>
      </c>
    </row>
    <row r="446" spans="1:26" x14ac:dyDescent="0.2">
      <c r="A446" s="26">
        <f t="shared" si="19"/>
        <v>42312</v>
      </c>
      <c r="B446" s="216">
        <v>2015</v>
      </c>
      <c r="C446" s="216">
        <v>11</v>
      </c>
      <c r="D446" s="216">
        <v>4</v>
      </c>
      <c r="E446" s="216" t="s">
        <v>152</v>
      </c>
      <c r="F446" s="217">
        <v>3</v>
      </c>
      <c r="G446" s="217">
        <v>14</v>
      </c>
      <c r="H446" s="217"/>
      <c r="I446" s="217">
        <v>1</v>
      </c>
      <c r="J446" s="217"/>
      <c r="K446" s="217"/>
      <c r="L446" s="217">
        <v>2</v>
      </c>
      <c r="M446" s="217"/>
      <c r="N446" s="217"/>
      <c r="O446" s="217"/>
      <c r="P446" s="217"/>
      <c r="Q446" s="217"/>
      <c r="R446" s="217">
        <v>4</v>
      </c>
      <c r="S446" s="217"/>
      <c r="T446" s="217"/>
      <c r="U446" s="217"/>
      <c r="V446" s="217">
        <v>1</v>
      </c>
      <c r="W446" s="217">
        <v>3</v>
      </c>
      <c r="X446" s="218">
        <v>28</v>
      </c>
      <c r="Y446" s="221">
        <f t="shared" si="20"/>
        <v>25</v>
      </c>
      <c r="Z446">
        <f t="shared" si="18"/>
        <v>0</v>
      </c>
    </row>
    <row r="447" spans="1:26" x14ac:dyDescent="0.2">
      <c r="A447" s="26">
        <f t="shared" si="19"/>
        <v>42312</v>
      </c>
      <c r="B447" s="216">
        <v>2015</v>
      </c>
      <c r="C447" s="216">
        <v>11</v>
      </c>
      <c r="D447" s="216">
        <v>4</v>
      </c>
      <c r="E447" s="216" t="s">
        <v>153</v>
      </c>
      <c r="F447" s="217">
        <v>2</v>
      </c>
      <c r="G447" s="217">
        <v>1</v>
      </c>
      <c r="H447" s="217"/>
      <c r="I447" s="217">
        <v>1</v>
      </c>
      <c r="J447" s="217">
        <v>1</v>
      </c>
      <c r="K447" s="217"/>
      <c r="L447" s="217">
        <v>9</v>
      </c>
      <c r="M447" s="217"/>
      <c r="N447" s="217"/>
      <c r="O447" s="217"/>
      <c r="P447" s="217"/>
      <c r="Q447" s="217"/>
      <c r="R447" s="217">
        <v>4</v>
      </c>
      <c r="S447" s="217"/>
      <c r="T447" s="217">
        <v>4</v>
      </c>
      <c r="U447" s="217"/>
      <c r="V447" s="217">
        <v>1</v>
      </c>
      <c r="W447" s="217"/>
      <c r="X447" s="218">
        <v>23</v>
      </c>
      <c r="Y447" s="221">
        <f t="shared" si="20"/>
        <v>21</v>
      </c>
      <c r="Z447">
        <f t="shared" si="18"/>
        <v>0</v>
      </c>
    </row>
    <row r="448" spans="1:26" x14ac:dyDescent="0.2">
      <c r="A448" s="26">
        <f t="shared" si="19"/>
        <v>42313</v>
      </c>
      <c r="B448" s="216">
        <v>2015</v>
      </c>
      <c r="C448" s="216">
        <v>11</v>
      </c>
      <c r="D448" s="216">
        <v>5</v>
      </c>
      <c r="E448" s="216" t="s">
        <v>152</v>
      </c>
      <c r="F448" s="217">
        <v>70</v>
      </c>
      <c r="G448" s="217">
        <v>23</v>
      </c>
      <c r="H448" s="217"/>
      <c r="I448" s="217">
        <v>5</v>
      </c>
      <c r="J448" s="217"/>
      <c r="K448" s="217"/>
      <c r="L448" s="217">
        <v>5</v>
      </c>
      <c r="M448" s="217"/>
      <c r="N448" s="217"/>
      <c r="O448" s="217"/>
      <c r="P448" s="217"/>
      <c r="Q448" s="217"/>
      <c r="R448" s="217">
        <v>7</v>
      </c>
      <c r="S448" s="217"/>
      <c r="T448" s="217"/>
      <c r="U448" s="217"/>
      <c r="V448" s="217"/>
      <c r="W448" s="217">
        <v>2</v>
      </c>
      <c r="X448" s="218">
        <v>112</v>
      </c>
      <c r="Y448" s="221">
        <f t="shared" si="20"/>
        <v>42</v>
      </c>
      <c r="Z448">
        <f t="shared" si="18"/>
        <v>0</v>
      </c>
    </row>
    <row r="449" spans="1:26" x14ac:dyDescent="0.2">
      <c r="A449" s="26">
        <f t="shared" si="19"/>
        <v>42313</v>
      </c>
      <c r="B449" s="216">
        <v>2015</v>
      </c>
      <c r="C449" s="216">
        <v>11</v>
      </c>
      <c r="D449" s="216">
        <v>5</v>
      </c>
      <c r="E449" s="216" t="s">
        <v>153</v>
      </c>
      <c r="F449" s="217"/>
      <c r="G449" s="217">
        <v>9</v>
      </c>
      <c r="H449" s="217"/>
      <c r="I449" s="217">
        <v>13</v>
      </c>
      <c r="J449" s="217">
        <v>2</v>
      </c>
      <c r="K449" s="217"/>
      <c r="L449" s="217">
        <v>8</v>
      </c>
      <c r="M449" s="217"/>
      <c r="N449" s="217"/>
      <c r="O449" s="217"/>
      <c r="P449" s="217"/>
      <c r="Q449" s="217"/>
      <c r="R449" s="217">
        <v>1</v>
      </c>
      <c r="S449" s="217"/>
      <c r="T449" s="217">
        <v>3</v>
      </c>
      <c r="U449" s="217"/>
      <c r="V449" s="217">
        <v>10</v>
      </c>
      <c r="W449" s="217"/>
      <c r="X449" s="218">
        <v>46</v>
      </c>
      <c r="Y449" s="221">
        <f t="shared" si="20"/>
        <v>46</v>
      </c>
      <c r="Z449">
        <f t="shared" si="18"/>
        <v>0</v>
      </c>
    </row>
    <row r="450" spans="1:26" x14ac:dyDescent="0.2">
      <c r="A450" s="26">
        <f t="shared" si="19"/>
        <v>42314</v>
      </c>
      <c r="B450" s="216">
        <v>2015</v>
      </c>
      <c r="C450" s="216">
        <v>11</v>
      </c>
      <c r="D450" s="216">
        <v>6</v>
      </c>
      <c r="E450" s="216" t="s">
        <v>152</v>
      </c>
      <c r="F450" s="217">
        <v>5</v>
      </c>
      <c r="G450" s="217">
        <v>11</v>
      </c>
      <c r="H450" s="217"/>
      <c r="I450" s="217"/>
      <c r="J450" s="217"/>
      <c r="K450" s="217"/>
      <c r="L450" s="217">
        <v>3</v>
      </c>
      <c r="M450" s="217"/>
      <c r="N450" s="217"/>
      <c r="O450" s="217"/>
      <c r="P450" s="217">
        <v>1</v>
      </c>
      <c r="Q450" s="217"/>
      <c r="R450" s="217">
        <v>2</v>
      </c>
      <c r="S450" s="217"/>
      <c r="T450" s="217">
        <v>5</v>
      </c>
      <c r="U450" s="217"/>
      <c r="V450" s="217"/>
      <c r="W450" s="217">
        <v>1</v>
      </c>
      <c r="X450" s="218">
        <v>28</v>
      </c>
      <c r="Y450" s="221">
        <f t="shared" si="20"/>
        <v>23</v>
      </c>
      <c r="Z450">
        <f t="shared" ref="Z450:Z513" si="21">IF(AND(WEEKDAY(A450,2)=6,E450="Sim"),X450,0)</f>
        <v>0</v>
      </c>
    </row>
    <row r="451" spans="1:26" x14ac:dyDescent="0.2">
      <c r="A451" s="26">
        <f t="shared" ref="A451:A514" si="22">DATE(B451,C451,D451)</f>
        <v>42314</v>
      </c>
      <c r="B451" s="216">
        <v>2015</v>
      </c>
      <c r="C451" s="216">
        <v>11</v>
      </c>
      <c r="D451" s="216">
        <v>6</v>
      </c>
      <c r="E451" s="216" t="s">
        <v>153</v>
      </c>
      <c r="F451" s="217"/>
      <c r="G451" s="217">
        <v>3</v>
      </c>
      <c r="H451" s="217"/>
      <c r="I451" s="217">
        <v>2</v>
      </c>
      <c r="J451" s="217">
        <v>2</v>
      </c>
      <c r="K451" s="217"/>
      <c r="L451" s="217"/>
      <c r="M451" s="217"/>
      <c r="N451" s="217"/>
      <c r="O451" s="217"/>
      <c r="P451" s="217"/>
      <c r="Q451" s="217"/>
      <c r="R451" s="217"/>
      <c r="S451" s="217"/>
      <c r="T451" s="217">
        <v>3</v>
      </c>
      <c r="U451" s="217"/>
      <c r="V451" s="217"/>
      <c r="W451" s="217"/>
      <c r="X451" s="218">
        <v>10</v>
      </c>
      <c r="Y451" s="221">
        <f t="shared" ref="Y451:Y514" si="23">SUM(G451:W451)</f>
        <v>10</v>
      </c>
      <c r="Z451">
        <f t="shared" si="21"/>
        <v>0</v>
      </c>
    </row>
    <row r="452" spans="1:26" x14ac:dyDescent="0.2">
      <c r="A452" s="26">
        <f t="shared" si="22"/>
        <v>42315</v>
      </c>
      <c r="B452" s="216">
        <v>2015</v>
      </c>
      <c r="C452" s="216">
        <v>11</v>
      </c>
      <c r="D452" s="216">
        <v>7</v>
      </c>
      <c r="E452" s="216" t="s">
        <v>153</v>
      </c>
      <c r="F452" s="217"/>
      <c r="G452" s="217"/>
      <c r="H452" s="217"/>
      <c r="I452" s="217"/>
      <c r="J452" s="217"/>
      <c r="K452" s="217"/>
      <c r="L452" s="217">
        <v>1</v>
      </c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8">
        <v>1</v>
      </c>
      <c r="Y452" s="221">
        <f t="shared" si="23"/>
        <v>1</v>
      </c>
      <c r="Z452">
        <f t="shared" si="21"/>
        <v>1</v>
      </c>
    </row>
    <row r="453" spans="1:26" x14ac:dyDescent="0.2">
      <c r="A453" s="26">
        <f t="shared" si="22"/>
        <v>42317</v>
      </c>
      <c r="B453" s="216">
        <v>2015</v>
      </c>
      <c r="C453" s="216">
        <v>11</v>
      </c>
      <c r="D453" s="216">
        <v>9</v>
      </c>
      <c r="E453" s="216" t="s">
        <v>152</v>
      </c>
      <c r="F453" s="217">
        <v>8</v>
      </c>
      <c r="G453" s="217">
        <v>6</v>
      </c>
      <c r="H453" s="217">
        <v>3</v>
      </c>
      <c r="I453" s="217"/>
      <c r="J453" s="217"/>
      <c r="K453" s="217"/>
      <c r="L453" s="217">
        <v>10</v>
      </c>
      <c r="M453" s="217"/>
      <c r="N453" s="217"/>
      <c r="O453" s="217"/>
      <c r="P453" s="217"/>
      <c r="Q453" s="217"/>
      <c r="R453" s="217">
        <v>13</v>
      </c>
      <c r="S453" s="217"/>
      <c r="T453" s="217"/>
      <c r="U453" s="217"/>
      <c r="V453" s="217">
        <v>5</v>
      </c>
      <c r="W453" s="217"/>
      <c r="X453" s="218">
        <v>45</v>
      </c>
      <c r="Y453" s="221">
        <f t="shared" si="23"/>
        <v>37</v>
      </c>
      <c r="Z453">
        <f t="shared" si="21"/>
        <v>0</v>
      </c>
    </row>
    <row r="454" spans="1:26" x14ac:dyDescent="0.2">
      <c r="A454" s="26">
        <f t="shared" si="22"/>
        <v>42317</v>
      </c>
      <c r="B454" s="216">
        <v>2015</v>
      </c>
      <c r="C454" s="216">
        <v>11</v>
      </c>
      <c r="D454" s="216">
        <v>9</v>
      </c>
      <c r="E454" s="216" t="s">
        <v>153</v>
      </c>
      <c r="F454" s="217">
        <v>4</v>
      </c>
      <c r="G454" s="217">
        <v>1</v>
      </c>
      <c r="H454" s="217">
        <v>3</v>
      </c>
      <c r="I454" s="217">
        <v>2</v>
      </c>
      <c r="J454" s="217"/>
      <c r="K454" s="217"/>
      <c r="L454" s="217">
        <v>2</v>
      </c>
      <c r="M454" s="217"/>
      <c r="N454" s="217"/>
      <c r="O454" s="217"/>
      <c r="P454" s="217"/>
      <c r="Q454" s="217"/>
      <c r="R454" s="217">
        <v>9</v>
      </c>
      <c r="S454" s="217"/>
      <c r="T454" s="217"/>
      <c r="U454" s="217"/>
      <c r="V454" s="217">
        <v>1</v>
      </c>
      <c r="W454" s="217"/>
      <c r="X454" s="218">
        <v>22</v>
      </c>
      <c r="Y454" s="221">
        <f t="shared" si="23"/>
        <v>18</v>
      </c>
      <c r="Z454">
        <f t="shared" si="21"/>
        <v>0</v>
      </c>
    </row>
    <row r="455" spans="1:26" x14ac:dyDescent="0.2">
      <c r="A455" s="26">
        <f t="shared" si="22"/>
        <v>42318</v>
      </c>
      <c r="B455" s="216">
        <v>2015</v>
      </c>
      <c r="C455" s="216">
        <v>11</v>
      </c>
      <c r="D455" s="216">
        <v>10</v>
      </c>
      <c r="E455" s="216" t="s">
        <v>152</v>
      </c>
      <c r="F455" s="217">
        <v>1</v>
      </c>
      <c r="G455" s="217">
        <v>7</v>
      </c>
      <c r="H455" s="217"/>
      <c r="I455" s="217">
        <v>1</v>
      </c>
      <c r="J455" s="217"/>
      <c r="K455" s="217"/>
      <c r="L455" s="217">
        <v>1</v>
      </c>
      <c r="M455" s="217"/>
      <c r="N455" s="217"/>
      <c r="O455" s="217"/>
      <c r="P455" s="217"/>
      <c r="Q455" s="217"/>
      <c r="R455" s="217">
        <v>1</v>
      </c>
      <c r="S455" s="217"/>
      <c r="T455" s="217">
        <v>13</v>
      </c>
      <c r="U455" s="217"/>
      <c r="V455" s="217"/>
      <c r="W455" s="217"/>
      <c r="X455" s="218">
        <v>24</v>
      </c>
      <c r="Y455" s="221">
        <f t="shared" si="23"/>
        <v>23</v>
      </c>
      <c r="Z455">
        <f t="shared" si="21"/>
        <v>0</v>
      </c>
    </row>
    <row r="456" spans="1:26" x14ac:dyDescent="0.2">
      <c r="A456" s="26">
        <f t="shared" si="22"/>
        <v>42318</v>
      </c>
      <c r="B456" s="216">
        <v>2015</v>
      </c>
      <c r="C456" s="216">
        <v>11</v>
      </c>
      <c r="D456" s="216">
        <v>10</v>
      </c>
      <c r="E456" s="216" t="s">
        <v>153</v>
      </c>
      <c r="F456" s="217">
        <v>4</v>
      </c>
      <c r="G456" s="217">
        <v>2</v>
      </c>
      <c r="H456" s="217">
        <v>14</v>
      </c>
      <c r="I456" s="217">
        <v>1</v>
      </c>
      <c r="J456" s="217">
        <v>1</v>
      </c>
      <c r="K456" s="217"/>
      <c r="L456" s="217">
        <v>3</v>
      </c>
      <c r="M456" s="217"/>
      <c r="N456" s="217"/>
      <c r="O456" s="217"/>
      <c r="P456" s="217">
        <v>1</v>
      </c>
      <c r="Q456" s="217"/>
      <c r="R456" s="217"/>
      <c r="S456" s="217"/>
      <c r="T456" s="217">
        <v>11</v>
      </c>
      <c r="U456" s="217"/>
      <c r="V456" s="217">
        <v>2</v>
      </c>
      <c r="W456" s="217">
        <v>1</v>
      </c>
      <c r="X456" s="218">
        <v>40</v>
      </c>
      <c r="Y456" s="221">
        <f t="shared" si="23"/>
        <v>36</v>
      </c>
      <c r="Z456">
        <f t="shared" si="21"/>
        <v>0</v>
      </c>
    </row>
    <row r="457" spans="1:26" x14ac:dyDescent="0.2">
      <c r="A457" s="26">
        <f t="shared" si="22"/>
        <v>42319</v>
      </c>
      <c r="B457" s="216">
        <v>2015</v>
      </c>
      <c r="C457" s="216">
        <v>11</v>
      </c>
      <c r="D457" s="216">
        <v>11</v>
      </c>
      <c r="E457" s="216" t="s">
        <v>152</v>
      </c>
      <c r="F457" s="217">
        <v>3</v>
      </c>
      <c r="G457" s="217">
        <v>12</v>
      </c>
      <c r="H457" s="217"/>
      <c r="I457" s="217">
        <v>1</v>
      </c>
      <c r="J457" s="217"/>
      <c r="K457" s="217"/>
      <c r="L457" s="217"/>
      <c r="M457" s="217"/>
      <c r="N457" s="217"/>
      <c r="O457" s="217"/>
      <c r="P457" s="217"/>
      <c r="Q457" s="217"/>
      <c r="R457" s="217">
        <v>1</v>
      </c>
      <c r="S457" s="217"/>
      <c r="T457" s="217">
        <v>10</v>
      </c>
      <c r="U457" s="217"/>
      <c r="V457" s="217"/>
      <c r="W457" s="217"/>
      <c r="X457" s="218">
        <v>27</v>
      </c>
      <c r="Y457" s="221">
        <f t="shared" si="23"/>
        <v>24</v>
      </c>
      <c r="Z457">
        <f t="shared" si="21"/>
        <v>0</v>
      </c>
    </row>
    <row r="458" spans="1:26" x14ac:dyDescent="0.2">
      <c r="A458" s="26">
        <f t="shared" si="22"/>
        <v>42319</v>
      </c>
      <c r="B458" s="216">
        <v>2015</v>
      </c>
      <c r="C458" s="216">
        <v>11</v>
      </c>
      <c r="D458" s="216">
        <v>11</v>
      </c>
      <c r="E458" s="216" t="s">
        <v>153</v>
      </c>
      <c r="F458" s="217">
        <v>1</v>
      </c>
      <c r="G458" s="217">
        <v>6</v>
      </c>
      <c r="H458" s="217">
        <v>1</v>
      </c>
      <c r="I458" s="217">
        <v>5</v>
      </c>
      <c r="J458" s="217">
        <v>4</v>
      </c>
      <c r="K458" s="217"/>
      <c r="L458" s="217"/>
      <c r="M458" s="217"/>
      <c r="N458" s="217"/>
      <c r="O458" s="217"/>
      <c r="P458" s="217"/>
      <c r="Q458" s="217"/>
      <c r="R458" s="217"/>
      <c r="S458" s="217"/>
      <c r="T458" s="217">
        <v>11</v>
      </c>
      <c r="U458" s="217"/>
      <c r="V458" s="217"/>
      <c r="W458" s="217">
        <v>1</v>
      </c>
      <c r="X458" s="218">
        <v>29</v>
      </c>
      <c r="Y458" s="221">
        <f t="shared" si="23"/>
        <v>28</v>
      </c>
      <c r="Z458">
        <f t="shared" si="21"/>
        <v>0</v>
      </c>
    </row>
    <row r="459" spans="1:26" x14ac:dyDescent="0.2">
      <c r="A459" s="26">
        <f t="shared" si="22"/>
        <v>42320</v>
      </c>
      <c r="B459" s="216">
        <v>2015</v>
      </c>
      <c r="C459" s="216">
        <v>11</v>
      </c>
      <c r="D459" s="216">
        <v>12</v>
      </c>
      <c r="E459" s="216" t="s">
        <v>152</v>
      </c>
      <c r="F459" s="217">
        <v>21</v>
      </c>
      <c r="G459" s="217">
        <v>5</v>
      </c>
      <c r="H459" s="217">
        <v>1</v>
      </c>
      <c r="I459" s="217">
        <v>2</v>
      </c>
      <c r="J459" s="217">
        <v>3</v>
      </c>
      <c r="K459" s="217"/>
      <c r="L459" s="217">
        <v>1</v>
      </c>
      <c r="M459" s="217"/>
      <c r="N459" s="217"/>
      <c r="O459" s="217"/>
      <c r="P459" s="217">
        <v>1</v>
      </c>
      <c r="Q459" s="217"/>
      <c r="R459" s="217">
        <v>5</v>
      </c>
      <c r="S459" s="217"/>
      <c r="T459" s="217">
        <v>12</v>
      </c>
      <c r="U459" s="217"/>
      <c r="V459" s="217"/>
      <c r="W459" s="217"/>
      <c r="X459" s="218">
        <v>51</v>
      </c>
      <c r="Y459" s="221">
        <f t="shared" si="23"/>
        <v>30</v>
      </c>
      <c r="Z459">
        <f t="shared" si="21"/>
        <v>0</v>
      </c>
    </row>
    <row r="460" spans="1:26" x14ac:dyDescent="0.2">
      <c r="A460" s="26">
        <f t="shared" si="22"/>
        <v>42320</v>
      </c>
      <c r="B460" s="216">
        <v>2015</v>
      </c>
      <c r="C460" s="216">
        <v>11</v>
      </c>
      <c r="D460" s="216">
        <v>12</v>
      </c>
      <c r="E460" s="216" t="s">
        <v>153</v>
      </c>
      <c r="F460" s="217"/>
      <c r="G460" s="217">
        <v>6</v>
      </c>
      <c r="H460" s="217">
        <v>2</v>
      </c>
      <c r="I460" s="217">
        <v>9</v>
      </c>
      <c r="J460" s="217"/>
      <c r="K460" s="217"/>
      <c r="L460" s="217">
        <v>1</v>
      </c>
      <c r="M460" s="217"/>
      <c r="N460" s="217"/>
      <c r="O460" s="217"/>
      <c r="P460" s="217"/>
      <c r="Q460" s="217"/>
      <c r="R460" s="217">
        <v>7</v>
      </c>
      <c r="S460" s="217"/>
      <c r="T460" s="217">
        <v>9</v>
      </c>
      <c r="U460" s="217"/>
      <c r="V460" s="217">
        <v>17</v>
      </c>
      <c r="W460" s="217"/>
      <c r="X460" s="218">
        <v>51</v>
      </c>
      <c r="Y460" s="221">
        <f t="shared" si="23"/>
        <v>51</v>
      </c>
      <c r="Z460">
        <f t="shared" si="21"/>
        <v>0</v>
      </c>
    </row>
    <row r="461" spans="1:26" x14ac:dyDescent="0.2">
      <c r="A461" s="26">
        <f t="shared" si="22"/>
        <v>42321</v>
      </c>
      <c r="B461" s="216">
        <v>2015</v>
      </c>
      <c r="C461" s="216">
        <v>11</v>
      </c>
      <c r="D461" s="216">
        <v>13</v>
      </c>
      <c r="E461" s="216" t="s">
        <v>152</v>
      </c>
      <c r="F461" s="217">
        <v>25</v>
      </c>
      <c r="G461" s="217">
        <v>7</v>
      </c>
      <c r="H461" s="217">
        <v>1</v>
      </c>
      <c r="I461" s="217">
        <v>1</v>
      </c>
      <c r="J461" s="217">
        <v>2</v>
      </c>
      <c r="K461" s="217"/>
      <c r="L461" s="217">
        <v>1</v>
      </c>
      <c r="M461" s="217"/>
      <c r="N461" s="217"/>
      <c r="O461" s="217"/>
      <c r="P461" s="217">
        <v>1</v>
      </c>
      <c r="Q461" s="217"/>
      <c r="R461" s="217">
        <v>5</v>
      </c>
      <c r="S461" s="217"/>
      <c r="T461" s="217">
        <v>6</v>
      </c>
      <c r="U461" s="217"/>
      <c r="V461" s="217"/>
      <c r="W461" s="217"/>
      <c r="X461" s="218">
        <v>49</v>
      </c>
      <c r="Y461" s="221">
        <f t="shared" si="23"/>
        <v>24</v>
      </c>
      <c r="Z461">
        <f t="shared" si="21"/>
        <v>0</v>
      </c>
    </row>
    <row r="462" spans="1:26" x14ac:dyDescent="0.2">
      <c r="A462" s="26">
        <f t="shared" si="22"/>
        <v>42321</v>
      </c>
      <c r="B462" s="216">
        <v>2015</v>
      </c>
      <c r="C462" s="216">
        <v>11</v>
      </c>
      <c r="D462" s="216">
        <v>13</v>
      </c>
      <c r="E462" s="216" t="s">
        <v>153</v>
      </c>
      <c r="F462" s="217">
        <v>2</v>
      </c>
      <c r="G462" s="217">
        <v>18</v>
      </c>
      <c r="H462" s="217">
        <v>5</v>
      </c>
      <c r="I462" s="217">
        <v>2</v>
      </c>
      <c r="J462" s="217">
        <v>4</v>
      </c>
      <c r="K462" s="217"/>
      <c r="L462" s="217"/>
      <c r="M462" s="217"/>
      <c r="N462" s="217"/>
      <c r="O462" s="217"/>
      <c r="P462" s="217"/>
      <c r="Q462" s="217"/>
      <c r="R462" s="217">
        <v>14</v>
      </c>
      <c r="S462" s="217"/>
      <c r="T462" s="217">
        <v>12</v>
      </c>
      <c r="U462" s="217"/>
      <c r="V462" s="217">
        <v>16</v>
      </c>
      <c r="W462" s="217"/>
      <c r="X462" s="218">
        <v>73</v>
      </c>
      <c r="Y462" s="221">
        <f t="shared" si="23"/>
        <v>71</v>
      </c>
      <c r="Z462">
        <f t="shared" si="21"/>
        <v>0</v>
      </c>
    </row>
    <row r="463" spans="1:26" x14ac:dyDescent="0.2">
      <c r="A463" s="26">
        <f t="shared" si="22"/>
        <v>42322</v>
      </c>
      <c r="B463" s="216">
        <v>2015</v>
      </c>
      <c r="C463" s="216">
        <v>11</v>
      </c>
      <c r="D463" s="216">
        <v>14</v>
      </c>
      <c r="E463" s="216" t="s">
        <v>152</v>
      </c>
      <c r="F463" s="217"/>
      <c r="G463" s="217"/>
      <c r="H463" s="217"/>
      <c r="I463" s="217"/>
      <c r="J463" s="217"/>
      <c r="K463" s="217"/>
      <c r="L463" s="217">
        <v>1</v>
      </c>
      <c r="M463" s="217"/>
      <c r="N463" s="217"/>
      <c r="O463" s="217"/>
      <c r="P463" s="217"/>
      <c r="Q463" s="217"/>
      <c r="R463" s="217"/>
      <c r="S463" s="217"/>
      <c r="T463" s="217"/>
      <c r="U463" s="217"/>
      <c r="V463" s="217">
        <v>1</v>
      </c>
      <c r="W463" s="217"/>
      <c r="X463" s="218">
        <v>2</v>
      </c>
      <c r="Y463" s="221">
        <f t="shared" si="23"/>
        <v>2</v>
      </c>
      <c r="Z463">
        <f t="shared" si="21"/>
        <v>0</v>
      </c>
    </row>
    <row r="464" spans="1:26" x14ac:dyDescent="0.2">
      <c r="A464" s="26">
        <f t="shared" si="22"/>
        <v>42324</v>
      </c>
      <c r="B464" s="216">
        <v>2015</v>
      </c>
      <c r="C464" s="216">
        <v>11</v>
      </c>
      <c r="D464" s="216">
        <v>16</v>
      </c>
      <c r="E464" s="216" t="s">
        <v>152</v>
      </c>
      <c r="F464" s="217">
        <v>7</v>
      </c>
      <c r="G464" s="217">
        <v>5</v>
      </c>
      <c r="H464" s="217">
        <v>1</v>
      </c>
      <c r="I464" s="217">
        <v>6</v>
      </c>
      <c r="J464" s="217"/>
      <c r="K464" s="217"/>
      <c r="L464" s="217">
        <v>4</v>
      </c>
      <c r="M464" s="217"/>
      <c r="N464" s="217"/>
      <c r="O464" s="217"/>
      <c r="P464" s="217">
        <v>1</v>
      </c>
      <c r="Q464" s="217"/>
      <c r="R464" s="217"/>
      <c r="S464" s="217"/>
      <c r="T464" s="217">
        <v>5</v>
      </c>
      <c r="U464" s="217"/>
      <c r="V464" s="217"/>
      <c r="W464" s="217"/>
      <c r="X464" s="218">
        <v>29</v>
      </c>
      <c r="Y464" s="221">
        <f t="shared" si="23"/>
        <v>22</v>
      </c>
      <c r="Z464">
        <f t="shared" si="21"/>
        <v>0</v>
      </c>
    </row>
    <row r="465" spans="1:26" x14ac:dyDescent="0.2">
      <c r="A465" s="26">
        <f t="shared" si="22"/>
        <v>42324</v>
      </c>
      <c r="B465" s="216">
        <v>2015</v>
      </c>
      <c r="C465" s="216">
        <v>11</v>
      </c>
      <c r="D465" s="216">
        <v>16</v>
      </c>
      <c r="E465" s="216" t="s">
        <v>153</v>
      </c>
      <c r="F465" s="217">
        <v>3</v>
      </c>
      <c r="G465" s="217">
        <v>17</v>
      </c>
      <c r="H465" s="217">
        <v>5</v>
      </c>
      <c r="I465" s="217">
        <v>18</v>
      </c>
      <c r="J465" s="217"/>
      <c r="K465" s="217"/>
      <c r="L465" s="217">
        <v>16</v>
      </c>
      <c r="M465" s="217"/>
      <c r="N465" s="217"/>
      <c r="O465" s="217"/>
      <c r="P465" s="217"/>
      <c r="Q465" s="217"/>
      <c r="R465" s="217">
        <v>6</v>
      </c>
      <c r="S465" s="217"/>
      <c r="T465" s="217">
        <v>3</v>
      </c>
      <c r="U465" s="217"/>
      <c r="V465" s="217">
        <v>4</v>
      </c>
      <c r="W465" s="217"/>
      <c r="X465" s="218">
        <v>72</v>
      </c>
      <c r="Y465" s="221">
        <f t="shared" si="23"/>
        <v>69</v>
      </c>
      <c r="Z465">
        <f t="shared" si="21"/>
        <v>0</v>
      </c>
    </row>
    <row r="466" spans="1:26" x14ac:dyDescent="0.2">
      <c r="A466" s="26">
        <f t="shared" si="22"/>
        <v>42325</v>
      </c>
      <c r="B466" s="216">
        <v>2015</v>
      </c>
      <c r="C466" s="216">
        <v>11</v>
      </c>
      <c r="D466" s="216">
        <v>17</v>
      </c>
      <c r="E466" s="216" t="s">
        <v>152</v>
      </c>
      <c r="F466" s="217">
        <v>11</v>
      </c>
      <c r="G466" s="217">
        <v>7</v>
      </c>
      <c r="H466" s="217"/>
      <c r="I466" s="217">
        <v>3</v>
      </c>
      <c r="J466" s="217">
        <v>3</v>
      </c>
      <c r="K466" s="217"/>
      <c r="L466" s="217">
        <v>1</v>
      </c>
      <c r="M466" s="217"/>
      <c r="N466" s="217"/>
      <c r="O466" s="217"/>
      <c r="P466" s="217">
        <v>1</v>
      </c>
      <c r="Q466" s="217"/>
      <c r="R466" s="217">
        <v>9</v>
      </c>
      <c r="S466" s="217"/>
      <c r="T466" s="217">
        <v>3</v>
      </c>
      <c r="U466" s="217"/>
      <c r="V466" s="217">
        <v>8</v>
      </c>
      <c r="W466" s="217"/>
      <c r="X466" s="218">
        <v>46</v>
      </c>
      <c r="Y466" s="221">
        <f t="shared" si="23"/>
        <v>35</v>
      </c>
      <c r="Z466">
        <f t="shared" si="21"/>
        <v>0</v>
      </c>
    </row>
    <row r="467" spans="1:26" x14ac:dyDescent="0.2">
      <c r="A467" s="26">
        <f t="shared" si="22"/>
        <v>42325</v>
      </c>
      <c r="B467" s="216">
        <v>2015</v>
      </c>
      <c r="C467" s="216">
        <v>11</v>
      </c>
      <c r="D467" s="216">
        <v>17</v>
      </c>
      <c r="E467" s="216" t="s">
        <v>153</v>
      </c>
      <c r="F467" s="217">
        <v>9</v>
      </c>
      <c r="G467" s="217">
        <v>12</v>
      </c>
      <c r="H467" s="217">
        <v>1</v>
      </c>
      <c r="I467" s="217">
        <v>9</v>
      </c>
      <c r="J467" s="217">
        <v>3</v>
      </c>
      <c r="K467" s="217"/>
      <c r="L467" s="217"/>
      <c r="M467" s="217"/>
      <c r="N467" s="217"/>
      <c r="O467" s="217"/>
      <c r="P467" s="217">
        <v>1</v>
      </c>
      <c r="Q467" s="217"/>
      <c r="R467" s="217">
        <v>2</v>
      </c>
      <c r="S467" s="217"/>
      <c r="T467" s="217">
        <v>2</v>
      </c>
      <c r="U467" s="217"/>
      <c r="V467" s="217">
        <v>15</v>
      </c>
      <c r="W467" s="217"/>
      <c r="X467" s="218">
        <v>54</v>
      </c>
      <c r="Y467" s="221">
        <f t="shared" si="23"/>
        <v>45</v>
      </c>
      <c r="Z467">
        <f t="shared" si="21"/>
        <v>0</v>
      </c>
    </row>
    <row r="468" spans="1:26" x14ac:dyDescent="0.2">
      <c r="A468" s="26">
        <f t="shared" si="22"/>
        <v>42326</v>
      </c>
      <c r="B468" s="216">
        <v>2015</v>
      </c>
      <c r="C468" s="216">
        <v>11</v>
      </c>
      <c r="D468" s="216">
        <v>18</v>
      </c>
      <c r="E468" s="216" t="s">
        <v>152</v>
      </c>
      <c r="F468" s="217">
        <v>9</v>
      </c>
      <c r="G468" s="217">
        <v>14</v>
      </c>
      <c r="H468" s="217"/>
      <c r="I468" s="217">
        <v>3</v>
      </c>
      <c r="J468" s="217"/>
      <c r="K468" s="217"/>
      <c r="L468" s="217">
        <v>4</v>
      </c>
      <c r="M468" s="217"/>
      <c r="N468" s="217"/>
      <c r="O468" s="217"/>
      <c r="P468" s="217"/>
      <c r="Q468" s="217"/>
      <c r="R468" s="217">
        <v>12</v>
      </c>
      <c r="S468" s="217"/>
      <c r="T468" s="217">
        <v>8</v>
      </c>
      <c r="U468" s="217"/>
      <c r="V468" s="217">
        <v>8</v>
      </c>
      <c r="W468" s="217"/>
      <c r="X468" s="218">
        <v>58</v>
      </c>
      <c r="Y468" s="221">
        <f t="shared" si="23"/>
        <v>49</v>
      </c>
      <c r="Z468">
        <f t="shared" si="21"/>
        <v>0</v>
      </c>
    </row>
    <row r="469" spans="1:26" x14ac:dyDescent="0.2">
      <c r="A469" s="26">
        <f t="shared" si="22"/>
        <v>42326</v>
      </c>
      <c r="B469" s="216">
        <v>2015</v>
      </c>
      <c r="C469" s="216">
        <v>11</v>
      </c>
      <c r="D469" s="216">
        <v>18</v>
      </c>
      <c r="E469" s="216" t="s">
        <v>153</v>
      </c>
      <c r="F469" s="217">
        <v>1</v>
      </c>
      <c r="G469" s="217">
        <v>12</v>
      </c>
      <c r="H469" s="217"/>
      <c r="I469" s="217"/>
      <c r="J469" s="217"/>
      <c r="K469" s="217"/>
      <c r="L469" s="217">
        <v>22</v>
      </c>
      <c r="M469" s="217"/>
      <c r="N469" s="217"/>
      <c r="O469" s="217"/>
      <c r="P469" s="217"/>
      <c r="Q469" s="217"/>
      <c r="R469" s="217">
        <v>6</v>
      </c>
      <c r="S469" s="217"/>
      <c r="T469" s="217">
        <v>8</v>
      </c>
      <c r="U469" s="217"/>
      <c r="V469" s="217">
        <v>15</v>
      </c>
      <c r="W469" s="217"/>
      <c r="X469" s="218">
        <v>64</v>
      </c>
      <c r="Y469" s="221">
        <f t="shared" si="23"/>
        <v>63</v>
      </c>
      <c r="Z469">
        <f t="shared" si="21"/>
        <v>0</v>
      </c>
    </row>
    <row r="470" spans="1:26" x14ac:dyDescent="0.2">
      <c r="A470" s="26">
        <f t="shared" si="22"/>
        <v>42327</v>
      </c>
      <c r="B470" s="216">
        <v>2015</v>
      </c>
      <c r="C470" s="216">
        <v>11</v>
      </c>
      <c r="D470" s="216">
        <v>19</v>
      </c>
      <c r="E470" s="216" t="s">
        <v>152</v>
      </c>
      <c r="F470" s="217">
        <v>15</v>
      </c>
      <c r="G470" s="217">
        <v>12</v>
      </c>
      <c r="H470" s="217"/>
      <c r="I470" s="217">
        <v>1</v>
      </c>
      <c r="J470" s="217"/>
      <c r="K470" s="217"/>
      <c r="L470" s="217">
        <v>4</v>
      </c>
      <c r="M470" s="217"/>
      <c r="N470" s="217"/>
      <c r="O470" s="217"/>
      <c r="P470" s="217">
        <v>1</v>
      </c>
      <c r="Q470" s="217"/>
      <c r="R470" s="217">
        <v>9</v>
      </c>
      <c r="S470" s="217"/>
      <c r="T470" s="217">
        <v>2</v>
      </c>
      <c r="U470" s="217"/>
      <c r="V470" s="217">
        <v>10</v>
      </c>
      <c r="W470" s="217"/>
      <c r="X470" s="218">
        <v>54</v>
      </c>
      <c r="Y470" s="221">
        <f t="shared" si="23"/>
        <v>39</v>
      </c>
      <c r="Z470">
        <f t="shared" si="21"/>
        <v>0</v>
      </c>
    </row>
    <row r="471" spans="1:26" x14ac:dyDescent="0.2">
      <c r="A471" s="26">
        <f t="shared" si="22"/>
        <v>42327</v>
      </c>
      <c r="B471" s="216">
        <v>2015</v>
      </c>
      <c r="C471" s="216">
        <v>11</v>
      </c>
      <c r="D471" s="216">
        <v>19</v>
      </c>
      <c r="E471" s="216" t="s">
        <v>153</v>
      </c>
      <c r="F471" s="217">
        <v>14</v>
      </c>
      <c r="G471" s="217">
        <v>10</v>
      </c>
      <c r="H471" s="217">
        <v>2</v>
      </c>
      <c r="I471" s="217">
        <v>15</v>
      </c>
      <c r="J471" s="217">
        <v>1</v>
      </c>
      <c r="K471" s="217"/>
      <c r="L471" s="217">
        <v>19</v>
      </c>
      <c r="M471" s="217"/>
      <c r="N471" s="217"/>
      <c r="O471" s="217"/>
      <c r="P471" s="217">
        <v>2</v>
      </c>
      <c r="Q471" s="217"/>
      <c r="R471" s="217">
        <v>7</v>
      </c>
      <c r="S471" s="217"/>
      <c r="T471" s="217">
        <v>1</v>
      </c>
      <c r="U471" s="217"/>
      <c r="V471" s="217">
        <v>7</v>
      </c>
      <c r="W471" s="217"/>
      <c r="X471" s="218">
        <v>78</v>
      </c>
      <c r="Y471" s="221">
        <f t="shared" si="23"/>
        <v>64</v>
      </c>
      <c r="Z471">
        <f t="shared" si="21"/>
        <v>0</v>
      </c>
    </row>
    <row r="472" spans="1:26" x14ac:dyDescent="0.2">
      <c r="A472" s="26">
        <f t="shared" si="22"/>
        <v>42328</v>
      </c>
      <c r="B472" s="216">
        <v>2015</v>
      </c>
      <c r="C472" s="216">
        <v>11</v>
      </c>
      <c r="D472" s="216">
        <v>20</v>
      </c>
      <c r="E472" s="216" t="s">
        <v>152</v>
      </c>
      <c r="F472" s="217">
        <v>14</v>
      </c>
      <c r="G472" s="217">
        <v>9</v>
      </c>
      <c r="H472" s="217">
        <v>1</v>
      </c>
      <c r="I472" s="217">
        <v>7</v>
      </c>
      <c r="J472" s="217"/>
      <c r="K472" s="217"/>
      <c r="L472" s="217">
        <v>14</v>
      </c>
      <c r="M472" s="217"/>
      <c r="N472" s="217"/>
      <c r="O472" s="217"/>
      <c r="P472" s="217">
        <v>1</v>
      </c>
      <c r="Q472" s="217"/>
      <c r="R472" s="217">
        <v>12</v>
      </c>
      <c r="S472" s="217"/>
      <c r="T472" s="217"/>
      <c r="U472" s="217"/>
      <c r="V472" s="217">
        <v>1</v>
      </c>
      <c r="W472" s="217"/>
      <c r="X472" s="218">
        <v>59</v>
      </c>
      <c r="Y472" s="221">
        <f t="shared" si="23"/>
        <v>45</v>
      </c>
      <c r="Z472">
        <f t="shared" si="21"/>
        <v>0</v>
      </c>
    </row>
    <row r="473" spans="1:26" x14ac:dyDescent="0.2">
      <c r="A473" s="26">
        <f t="shared" si="22"/>
        <v>42328</v>
      </c>
      <c r="B473" s="216">
        <v>2015</v>
      </c>
      <c r="C473" s="216">
        <v>11</v>
      </c>
      <c r="D473" s="216">
        <v>20</v>
      </c>
      <c r="E473" s="216" t="s">
        <v>153</v>
      </c>
      <c r="F473" s="217">
        <v>3</v>
      </c>
      <c r="G473" s="217">
        <v>3</v>
      </c>
      <c r="H473" s="217"/>
      <c r="I473" s="217">
        <v>8</v>
      </c>
      <c r="J473" s="217">
        <v>1</v>
      </c>
      <c r="K473" s="217"/>
      <c r="L473" s="217">
        <v>37</v>
      </c>
      <c r="M473" s="217"/>
      <c r="N473" s="217"/>
      <c r="O473" s="217"/>
      <c r="P473" s="217"/>
      <c r="Q473" s="217"/>
      <c r="R473" s="217"/>
      <c r="S473" s="217"/>
      <c r="T473" s="217">
        <v>1</v>
      </c>
      <c r="U473" s="217"/>
      <c r="V473" s="217">
        <v>13</v>
      </c>
      <c r="W473" s="217"/>
      <c r="X473" s="218">
        <v>66</v>
      </c>
      <c r="Y473" s="221">
        <f t="shared" si="23"/>
        <v>63</v>
      </c>
      <c r="Z473">
        <f t="shared" si="21"/>
        <v>0</v>
      </c>
    </row>
    <row r="474" spans="1:26" x14ac:dyDescent="0.2">
      <c r="A474" s="26">
        <f t="shared" si="22"/>
        <v>42329</v>
      </c>
      <c r="B474" s="216">
        <v>2015</v>
      </c>
      <c r="C474" s="216">
        <v>11</v>
      </c>
      <c r="D474" s="216">
        <v>21</v>
      </c>
      <c r="E474" s="216" t="s">
        <v>152</v>
      </c>
      <c r="F474" s="217"/>
      <c r="G474" s="217"/>
      <c r="H474" s="217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>
        <v>2</v>
      </c>
      <c r="W474" s="217"/>
      <c r="X474" s="218">
        <v>2</v>
      </c>
      <c r="Y474" s="221">
        <f t="shared" si="23"/>
        <v>2</v>
      </c>
      <c r="Z474">
        <f t="shared" si="21"/>
        <v>0</v>
      </c>
    </row>
    <row r="475" spans="1:26" x14ac:dyDescent="0.2">
      <c r="A475" s="26">
        <f t="shared" si="22"/>
        <v>42329</v>
      </c>
      <c r="B475" s="216">
        <v>2015</v>
      </c>
      <c r="C475" s="216">
        <v>11</v>
      </c>
      <c r="D475" s="216">
        <v>21</v>
      </c>
      <c r="E475" s="216" t="s">
        <v>153</v>
      </c>
      <c r="F475" s="217"/>
      <c r="G475" s="217"/>
      <c r="H475" s="217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>
        <v>8</v>
      </c>
      <c r="W475" s="217"/>
      <c r="X475" s="218">
        <v>8</v>
      </c>
      <c r="Y475" s="221">
        <f t="shared" si="23"/>
        <v>8</v>
      </c>
      <c r="Z475">
        <f t="shared" si="21"/>
        <v>8</v>
      </c>
    </row>
    <row r="476" spans="1:26" x14ac:dyDescent="0.2">
      <c r="A476" s="26">
        <f t="shared" si="22"/>
        <v>42331</v>
      </c>
      <c r="B476" s="216">
        <v>2015</v>
      </c>
      <c r="C476" s="216">
        <v>11</v>
      </c>
      <c r="D476" s="216">
        <v>23</v>
      </c>
      <c r="E476" s="216" t="s">
        <v>152</v>
      </c>
      <c r="F476" s="217">
        <v>4</v>
      </c>
      <c r="G476" s="217"/>
      <c r="H476" s="217"/>
      <c r="I476" s="217">
        <v>3</v>
      </c>
      <c r="J476" s="217"/>
      <c r="K476" s="217"/>
      <c r="L476" s="217"/>
      <c r="M476" s="217"/>
      <c r="N476" s="217"/>
      <c r="O476" s="217"/>
      <c r="P476" s="217">
        <v>2</v>
      </c>
      <c r="Q476" s="217"/>
      <c r="R476" s="217"/>
      <c r="S476" s="217"/>
      <c r="T476" s="217">
        <v>9</v>
      </c>
      <c r="U476" s="217"/>
      <c r="V476" s="217">
        <v>3</v>
      </c>
      <c r="W476" s="217"/>
      <c r="X476" s="218">
        <v>21</v>
      </c>
      <c r="Y476" s="221">
        <f t="shared" si="23"/>
        <v>17</v>
      </c>
      <c r="Z476">
        <f t="shared" si="21"/>
        <v>0</v>
      </c>
    </row>
    <row r="477" spans="1:26" x14ac:dyDescent="0.2">
      <c r="A477" s="26">
        <f t="shared" si="22"/>
        <v>42331</v>
      </c>
      <c r="B477" s="216">
        <v>2015</v>
      </c>
      <c r="C477" s="216">
        <v>11</v>
      </c>
      <c r="D477" s="216">
        <v>23</v>
      </c>
      <c r="E477" s="216" t="s">
        <v>153</v>
      </c>
      <c r="F477" s="217">
        <v>3</v>
      </c>
      <c r="G477" s="217">
        <v>1</v>
      </c>
      <c r="H477" s="217">
        <v>5</v>
      </c>
      <c r="I477" s="217">
        <v>8</v>
      </c>
      <c r="J477" s="217">
        <v>1</v>
      </c>
      <c r="K477" s="217"/>
      <c r="L477" s="217">
        <v>1</v>
      </c>
      <c r="M477" s="217"/>
      <c r="N477" s="217"/>
      <c r="O477" s="217"/>
      <c r="P477" s="217">
        <v>1</v>
      </c>
      <c r="Q477" s="217"/>
      <c r="R477" s="217">
        <v>25</v>
      </c>
      <c r="S477" s="217"/>
      <c r="T477" s="217">
        <v>6</v>
      </c>
      <c r="U477" s="217"/>
      <c r="V477" s="217">
        <v>18</v>
      </c>
      <c r="W477" s="217"/>
      <c r="X477" s="218">
        <v>69</v>
      </c>
      <c r="Y477" s="221">
        <f t="shared" si="23"/>
        <v>66</v>
      </c>
      <c r="Z477">
        <f t="shared" si="21"/>
        <v>0</v>
      </c>
    </row>
    <row r="478" spans="1:26" x14ac:dyDescent="0.2">
      <c r="A478" s="26">
        <f t="shared" si="22"/>
        <v>42332</v>
      </c>
      <c r="B478" s="216">
        <v>2015</v>
      </c>
      <c r="C478" s="216">
        <v>11</v>
      </c>
      <c r="D478" s="216">
        <v>24</v>
      </c>
      <c r="E478" s="216" t="s">
        <v>152</v>
      </c>
      <c r="F478" s="217">
        <v>15</v>
      </c>
      <c r="G478" s="217">
        <v>9</v>
      </c>
      <c r="H478" s="217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>
        <v>11</v>
      </c>
      <c r="U478" s="217"/>
      <c r="V478" s="217"/>
      <c r="W478" s="217"/>
      <c r="X478" s="218">
        <v>35</v>
      </c>
      <c r="Y478" s="221">
        <f t="shared" si="23"/>
        <v>20</v>
      </c>
      <c r="Z478">
        <f t="shared" si="21"/>
        <v>0</v>
      </c>
    </row>
    <row r="479" spans="1:26" x14ac:dyDescent="0.2">
      <c r="A479" s="26">
        <f t="shared" si="22"/>
        <v>42332</v>
      </c>
      <c r="B479" s="216">
        <v>2015</v>
      </c>
      <c r="C479" s="216">
        <v>11</v>
      </c>
      <c r="D479" s="216">
        <v>24</v>
      </c>
      <c r="E479" s="216" t="s">
        <v>153</v>
      </c>
      <c r="F479" s="217">
        <v>5</v>
      </c>
      <c r="G479" s="217">
        <v>16</v>
      </c>
      <c r="H479" s="217">
        <v>2</v>
      </c>
      <c r="I479" s="217">
        <v>4</v>
      </c>
      <c r="J479" s="217">
        <v>1</v>
      </c>
      <c r="K479" s="217"/>
      <c r="L479" s="217">
        <v>1</v>
      </c>
      <c r="M479" s="217"/>
      <c r="N479" s="217"/>
      <c r="O479" s="217"/>
      <c r="P479" s="217"/>
      <c r="Q479" s="217"/>
      <c r="R479" s="217">
        <v>3</v>
      </c>
      <c r="S479" s="217"/>
      <c r="T479" s="217">
        <v>12</v>
      </c>
      <c r="U479" s="217"/>
      <c r="V479" s="217">
        <v>1</v>
      </c>
      <c r="W479" s="217"/>
      <c r="X479" s="218">
        <v>45</v>
      </c>
      <c r="Y479" s="221">
        <f t="shared" si="23"/>
        <v>40</v>
      </c>
      <c r="Z479">
        <f t="shared" si="21"/>
        <v>0</v>
      </c>
    </row>
    <row r="480" spans="1:26" x14ac:dyDescent="0.2">
      <c r="A480" s="26">
        <f t="shared" si="22"/>
        <v>42333</v>
      </c>
      <c r="B480" s="216">
        <v>2015</v>
      </c>
      <c r="C480" s="216">
        <v>11</v>
      </c>
      <c r="D480" s="216">
        <v>25</v>
      </c>
      <c r="E480" s="216" t="s">
        <v>152</v>
      </c>
      <c r="F480" s="217">
        <v>32</v>
      </c>
      <c r="G480" s="217">
        <v>6</v>
      </c>
      <c r="H480" s="217"/>
      <c r="I480" s="217">
        <v>5</v>
      </c>
      <c r="J480" s="217">
        <v>3</v>
      </c>
      <c r="K480" s="217"/>
      <c r="L480" s="217">
        <v>11</v>
      </c>
      <c r="M480" s="217"/>
      <c r="N480" s="217"/>
      <c r="O480" s="217"/>
      <c r="P480" s="217">
        <v>1</v>
      </c>
      <c r="Q480" s="217"/>
      <c r="R480" s="217">
        <v>3</v>
      </c>
      <c r="S480" s="217"/>
      <c r="T480" s="217">
        <v>1</v>
      </c>
      <c r="U480" s="217"/>
      <c r="V480" s="217">
        <v>5</v>
      </c>
      <c r="W480" s="217"/>
      <c r="X480" s="218">
        <v>67</v>
      </c>
      <c r="Y480" s="221">
        <f t="shared" si="23"/>
        <v>35</v>
      </c>
      <c r="Z480">
        <f t="shared" si="21"/>
        <v>0</v>
      </c>
    </row>
    <row r="481" spans="1:26" x14ac:dyDescent="0.2">
      <c r="A481" s="26">
        <f t="shared" si="22"/>
        <v>42333</v>
      </c>
      <c r="B481" s="216">
        <v>2015</v>
      </c>
      <c r="C481" s="216">
        <v>11</v>
      </c>
      <c r="D481" s="216">
        <v>25</v>
      </c>
      <c r="E481" s="216" t="s">
        <v>153</v>
      </c>
      <c r="F481" s="217">
        <v>2</v>
      </c>
      <c r="G481" s="217">
        <v>12</v>
      </c>
      <c r="H481" s="217">
        <v>1</v>
      </c>
      <c r="I481" s="217">
        <v>1</v>
      </c>
      <c r="J481" s="217">
        <v>5</v>
      </c>
      <c r="K481" s="217"/>
      <c r="L481" s="217">
        <v>16</v>
      </c>
      <c r="M481" s="217"/>
      <c r="N481" s="217"/>
      <c r="O481" s="217"/>
      <c r="P481" s="217">
        <v>1</v>
      </c>
      <c r="Q481" s="217"/>
      <c r="R481" s="217">
        <v>7</v>
      </c>
      <c r="S481" s="217"/>
      <c r="T481" s="217">
        <v>2</v>
      </c>
      <c r="U481" s="217"/>
      <c r="V481" s="217"/>
      <c r="W481" s="217"/>
      <c r="X481" s="218">
        <v>47</v>
      </c>
      <c r="Y481" s="221">
        <f t="shared" si="23"/>
        <v>45</v>
      </c>
      <c r="Z481">
        <f t="shared" si="21"/>
        <v>0</v>
      </c>
    </row>
    <row r="482" spans="1:26" x14ac:dyDescent="0.2">
      <c r="A482" s="26">
        <f t="shared" si="22"/>
        <v>42334</v>
      </c>
      <c r="B482" s="216">
        <v>2015</v>
      </c>
      <c r="C482" s="216">
        <v>11</v>
      </c>
      <c r="D482" s="216">
        <v>26</v>
      </c>
      <c r="E482" s="216" t="s">
        <v>152</v>
      </c>
      <c r="F482" s="217">
        <v>5</v>
      </c>
      <c r="G482" s="217">
        <v>2</v>
      </c>
      <c r="H482" s="217">
        <v>1</v>
      </c>
      <c r="I482" s="217">
        <v>3</v>
      </c>
      <c r="J482" s="217"/>
      <c r="K482" s="217"/>
      <c r="L482" s="217">
        <v>3</v>
      </c>
      <c r="M482" s="217"/>
      <c r="N482" s="217"/>
      <c r="O482" s="217"/>
      <c r="P482" s="217">
        <v>1</v>
      </c>
      <c r="Q482" s="217"/>
      <c r="R482" s="217">
        <v>2</v>
      </c>
      <c r="S482" s="217"/>
      <c r="T482" s="217">
        <v>8</v>
      </c>
      <c r="U482" s="217"/>
      <c r="V482" s="217">
        <v>7</v>
      </c>
      <c r="W482" s="217"/>
      <c r="X482" s="218">
        <v>32</v>
      </c>
      <c r="Y482" s="221">
        <f t="shared" si="23"/>
        <v>27</v>
      </c>
      <c r="Z482">
        <f t="shared" si="21"/>
        <v>0</v>
      </c>
    </row>
    <row r="483" spans="1:26" x14ac:dyDescent="0.2">
      <c r="A483" s="26">
        <f t="shared" si="22"/>
        <v>42334</v>
      </c>
      <c r="B483" s="216">
        <v>2015</v>
      </c>
      <c r="C483" s="216">
        <v>11</v>
      </c>
      <c r="D483" s="216">
        <v>26</v>
      </c>
      <c r="E483" s="216" t="s">
        <v>153</v>
      </c>
      <c r="F483" s="217">
        <v>1</v>
      </c>
      <c r="G483" s="217">
        <v>6</v>
      </c>
      <c r="H483" s="217">
        <v>3</v>
      </c>
      <c r="I483" s="217">
        <v>4</v>
      </c>
      <c r="J483" s="217">
        <v>7</v>
      </c>
      <c r="K483" s="217"/>
      <c r="L483" s="217">
        <v>19</v>
      </c>
      <c r="M483" s="217"/>
      <c r="N483" s="217"/>
      <c r="O483" s="217"/>
      <c r="P483" s="217"/>
      <c r="Q483" s="217"/>
      <c r="R483" s="217">
        <v>3</v>
      </c>
      <c r="S483" s="217"/>
      <c r="T483" s="217">
        <v>14</v>
      </c>
      <c r="U483" s="217"/>
      <c r="V483" s="217">
        <v>9</v>
      </c>
      <c r="W483" s="217"/>
      <c r="X483" s="218">
        <v>66</v>
      </c>
      <c r="Y483" s="221">
        <f t="shared" si="23"/>
        <v>65</v>
      </c>
      <c r="Z483">
        <f t="shared" si="21"/>
        <v>0</v>
      </c>
    </row>
    <row r="484" spans="1:26" x14ac:dyDescent="0.2">
      <c r="A484" s="26">
        <f t="shared" si="22"/>
        <v>42335</v>
      </c>
      <c r="B484" s="216">
        <v>2015</v>
      </c>
      <c r="C484" s="216">
        <v>11</v>
      </c>
      <c r="D484" s="216">
        <v>27</v>
      </c>
      <c r="E484" s="216" t="s">
        <v>152</v>
      </c>
      <c r="F484" s="217">
        <v>3</v>
      </c>
      <c r="G484" s="217">
        <v>2</v>
      </c>
      <c r="H484" s="217"/>
      <c r="I484" s="217"/>
      <c r="J484" s="217"/>
      <c r="K484" s="217"/>
      <c r="L484" s="217"/>
      <c r="M484" s="217"/>
      <c r="N484" s="217"/>
      <c r="O484" s="217"/>
      <c r="P484" s="217">
        <v>4</v>
      </c>
      <c r="Q484" s="217"/>
      <c r="R484" s="217"/>
      <c r="S484" s="217"/>
      <c r="T484" s="217">
        <v>11</v>
      </c>
      <c r="U484" s="217"/>
      <c r="V484" s="217"/>
      <c r="W484" s="217"/>
      <c r="X484" s="218">
        <v>20</v>
      </c>
      <c r="Y484" s="221">
        <f t="shared" si="23"/>
        <v>17</v>
      </c>
      <c r="Z484">
        <f t="shared" si="21"/>
        <v>0</v>
      </c>
    </row>
    <row r="485" spans="1:26" x14ac:dyDescent="0.2">
      <c r="A485" s="26">
        <f t="shared" si="22"/>
        <v>42335</v>
      </c>
      <c r="B485" s="216">
        <v>2015</v>
      </c>
      <c r="C485" s="216">
        <v>11</v>
      </c>
      <c r="D485" s="216">
        <v>27</v>
      </c>
      <c r="E485" s="216" t="s">
        <v>153</v>
      </c>
      <c r="F485" s="217">
        <v>1</v>
      </c>
      <c r="G485" s="217">
        <v>2</v>
      </c>
      <c r="H485" s="217">
        <v>4</v>
      </c>
      <c r="I485" s="217"/>
      <c r="J485" s="217"/>
      <c r="K485" s="217"/>
      <c r="L485" s="217">
        <v>1</v>
      </c>
      <c r="M485" s="217"/>
      <c r="N485" s="217"/>
      <c r="O485" s="217"/>
      <c r="P485" s="217"/>
      <c r="Q485" s="217"/>
      <c r="R485" s="217"/>
      <c r="S485" s="217"/>
      <c r="T485" s="217">
        <v>15</v>
      </c>
      <c r="U485" s="217"/>
      <c r="V485" s="217">
        <v>4</v>
      </c>
      <c r="W485" s="217"/>
      <c r="X485" s="218">
        <v>27</v>
      </c>
      <c r="Y485" s="221">
        <f t="shared" si="23"/>
        <v>26</v>
      </c>
      <c r="Z485">
        <f t="shared" si="21"/>
        <v>0</v>
      </c>
    </row>
    <row r="486" spans="1:26" x14ac:dyDescent="0.2">
      <c r="A486" s="26">
        <f t="shared" si="22"/>
        <v>42336</v>
      </c>
      <c r="B486" s="216">
        <v>2015</v>
      </c>
      <c r="C486" s="216">
        <v>11</v>
      </c>
      <c r="D486" s="216">
        <v>28</v>
      </c>
      <c r="E486" s="216" t="s">
        <v>153</v>
      </c>
      <c r="F486" s="217"/>
      <c r="G486" s="217"/>
      <c r="H486" s="217"/>
      <c r="I486" s="217"/>
      <c r="J486" s="217"/>
      <c r="K486" s="217"/>
      <c r="L486" s="217">
        <v>1</v>
      </c>
      <c r="M486" s="217"/>
      <c r="N486" s="217"/>
      <c r="O486" s="217"/>
      <c r="P486" s="217"/>
      <c r="Q486" s="217"/>
      <c r="R486" s="217"/>
      <c r="S486" s="217"/>
      <c r="T486" s="217"/>
      <c r="U486" s="217"/>
      <c r="V486" s="217">
        <v>1</v>
      </c>
      <c r="W486" s="217"/>
      <c r="X486" s="218">
        <v>2</v>
      </c>
      <c r="Y486" s="221">
        <f t="shared" si="23"/>
        <v>2</v>
      </c>
      <c r="Z486">
        <f t="shared" si="21"/>
        <v>2</v>
      </c>
    </row>
    <row r="487" spans="1:26" x14ac:dyDescent="0.2">
      <c r="A487" s="26">
        <f t="shared" si="22"/>
        <v>42339</v>
      </c>
      <c r="B487" s="216">
        <v>2015</v>
      </c>
      <c r="C487" s="216">
        <v>12</v>
      </c>
      <c r="D487" s="216">
        <v>1</v>
      </c>
      <c r="E487" s="216" t="s">
        <v>152</v>
      </c>
      <c r="F487" s="217">
        <v>4</v>
      </c>
      <c r="G487" s="217">
        <v>25</v>
      </c>
      <c r="H487" s="217"/>
      <c r="I487" s="217">
        <v>1</v>
      </c>
      <c r="J487" s="217"/>
      <c r="K487" s="217"/>
      <c r="L487" s="217"/>
      <c r="M487" s="217"/>
      <c r="N487" s="217"/>
      <c r="O487" s="217"/>
      <c r="P487" s="217">
        <v>3</v>
      </c>
      <c r="Q487" s="217"/>
      <c r="R487" s="217"/>
      <c r="S487" s="217"/>
      <c r="T487" s="217">
        <v>9</v>
      </c>
      <c r="U487" s="217"/>
      <c r="V487" s="217"/>
      <c r="W487" s="217"/>
      <c r="X487" s="218">
        <v>42</v>
      </c>
      <c r="Y487" s="221">
        <f t="shared" si="23"/>
        <v>38</v>
      </c>
      <c r="Z487">
        <f t="shared" si="21"/>
        <v>0</v>
      </c>
    </row>
    <row r="488" spans="1:26" x14ac:dyDescent="0.2">
      <c r="A488" s="26">
        <f t="shared" si="22"/>
        <v>42339</v>
      </c>
      <c r="B488" s="216">
        <v>2015</v>
      </c>
      <c r="C488" s="216">
        <v>12</v>
      </c>
      <c r="D488" s="216">
        <v>1</v>
      </c>
      <c r="E488" s="216" t="s">
        <v>153</v>
      </c>
      <c r="F488" s="217"/>
      <c r="G488" s="217">
        <v>5</v>
      </c>
      <c r="H488" s="217">
        <v>7</v>
      </c>
      <c r="I488" s="217">
        <v>11</v>
      </c>
      <c r="J488" s="217"/>
      <c r="K488" s="217"/>
      <c r="L488" s="217">
        <v>12</v>
      </c>
      <c r="M488" s="217"/>
      <c r="N488" s="217"/>
      <c r="O488" s="217"/>
      <c r="P488" s="217"/>
      <c r="Q488" s="217"/>
      <c r="R488" s="217"/>
      <c r="S488" s="217"/>
      <c r="T488" s="217">
        <v>9</v>
      </c>
      <c r="U488" s="217"/>
      <c r="V488" s="217"/>
      <c r="W488" s="217"/>
      <c r="X488" s="218">
        <v>44</v>
      </c>
      <c r="Y488" s="221">
        <f t="shared" si="23"/>
        <v>44</v>
      </c>
      <c r="Z488">
        <f t="shared" si="21"/>
        <v>0</v>
      </c>
    </row>
    <row r="489" spans="1:26" x14ac:dyDescent="0.2">
      <c r="A489" s="26">
        <f t="shared" si="22"/>
        <v>42340</v>
      </c>
      <c r="B489" s="216">
        <v>2015</v>
      </c>
      <c r="C489" s="216">
        <v>12</v>
      </c>
      <c r="D489" s="216">
        <v>2</v>
      </c>
      <c r="E489" s="216" t="s">
        <v>152</v>
      </c>
      <c r="F489" s="217">
        <v>9</v>
      </c>
      <c r="G489" s="217">
        <v>11</v>
      </c>
      <c r="H489" s="217"/>
      <c r="I489" s="217">
        <v>2</v>
      </c>
      <c r="J489" s="217"/>
      <c r="K489" s="217"/>
      <c r="L489" s="217">
        <v>4</v>
      </c>
      <c r="M489" s="217"/>
      <c r="N489" s="217"/>
      <c r="O489" s="217"/>
      <c r="P489" s="217">
        <v>2</v>
      </c>
      <c r="Q489" s="217"/>
      <c r="R489" s="217">
        <v>6</v>
      </c>
      <c r="S489" s="217"/>
      <c r="T489" s="217"/>
      <c r="U489" s="217"/>
      <c r="V489" s="217"/>
      <c r="W489" s="217"/>
      <c r="X489" s="218">
        <v>34</v>
      </c>
      <c r="Y489" s="221">
        <f t="shared" si="23"/>
        <v>25</v>
      </c>
      <c r="Z489">
        <f t="shared" si="21"/>
        <v>0</v>
      </c>
    </row>
    <row r="490" spans="1:26" x14ac:dyDescent="0.2">
      <c r="A490" s="26">
        <f t="shared" si="22"/>
        <v>42340</v>
      </c>
      <c r="B490" s="216">
        <v>2015</v>
      </c>
      <c r="C490" s="216">
        <v>12</v>
      </c>
      <c r="D490" s="216">
        <v>2</v>
      </c>
      <c r="E490" s="216" t="s">
        <v>153</v>
      </c>
      <c r="F490" s="217">
        <v>1</v>
      </c>
      <c r="G490" s="217">
        <v>10</v>
      </c>
      <c r="H490" s="217">
        <v>3</v>
      </c>
      <c r="I490" s="217">
        <v>10</v>
      </c>
      <c r="J490" s="217"/>
      <c r="K490" s="217"/>
      <c r="L490" s="217">
        <v>3</v>
      </c>
      <c r="M490" s="217"/>
      <c r="N490" s="217"/>
      <c r="O490" s="217"/>
      <c r="P490" s="217">
        <v>6</v>
      </c>
      <c r="Q490" s="217"/>
      <c r="R490" s="217">
        <v>7</v>
      </c>
      <c r="S490" s="217"/>
      <c r="T490" s="217"/>
      <c r="U490" s="217"/>
      <c r="V490" s="217"/>
      <c r="W490" s="217"/>
      <c r="X490" s="218">
        <v>40</v>
      </c>
      <c r="Y490" s="221">
        <f t="shared" si="23"/>
        <v>39</v>
      </c>
      <c r="Z490">
        <f t="shared" si="21"/>
        <v>0</v>
      </c>
    </row>
    <row r="491" spans="1:26" x14ac:dyDescent="0.2">
      <c r="A491" s="26">
        <f t="shared" si="22"/>
        <v>42341</v>
      </c>
      <c r="B491" s="216">
        <v>2015</v>
      </c>
      <c r="C491" s="216">
        <v>12</v>
      </c>
      <c r="D491" s="216">
        <v>3</v>
      </c>
      <c r="E491" s="216" t="s">
        <v>152</v>
      </c>
      <c r="F491" s="217">
        <v>5</v>
      </c>
      <c r="G491" s="217"/>
      <c r="H491" s="217"/>
      <c r="I491" s="217"/>
      <c r="J491" s="217">
        <v>1</v>
      </c>
      <c r="K491" s="217"/>
      <c r="L491" s="217">
        <v>1</v>
      </c>
      <c r="M491" s="217"/>
      <c r="N491" s="217"/>
      <c r="O491" s="217"/>
      <c r="P491" s="217"/>
      <c r="Q491" s="217"/>
      <c r="R491" s="217"/>
      <c r="S491" s="217"/>
      <c r="T491" s="217"/>
      <c r="U491" s="217"/>
      <c r="V491" s="217">
        <v>7</v>
      </c>
      <c r="W491" s="217"/>
      <c r="X491" s="218">
        <v>14</v>
      </c>
      <c r="Y491" s="221">
        <f t="shared" si="23"/>
        <v>9</v>
      </c>
      <c r="Z491">
        <f t="shared" si="21"/>
        <v>0</v>
      </c>
    </row>
    <row r="492" spans="1:26" x14ac:dyDescent="0.2">
      <c r="A492" s="26">
        <f t="shared" si="22"/>
        <v>42341</v>
      </c>
      <c r="B492" s="216">
        <v>2015</v>
      </c>
      <c r="C492" s="216">
        <v>12</v>
      </c>
      <c r="D492" s="216">
        <v>3</v>
      </c>
      <c r="E492" s="216" t="s">
        <v>153</v>
      </c>
      <c r="F492" s="217">
        <v>3</v>
      </c>
      <c r="G492" s="217"/>
      <c r="H492" s="217">
        <v>1</v>
      </c>
      <c r="I492" s="217">
        <v>1</v>
      </c>
      <c r="J492" s="217">
        <v>1</v>
      </c>
      <c r="K492" s="217"/>
      <c r="L492" s="217">
        <v>13</v>
      </c>
      <c r="M492" s="217"/>
      <c r="N492" s="217"/>
      <c r="O492" s="217"/>
      <c r="P492" s="217"/>
      <c r="Q492" s="217"/>
      <c r="R492" s="217"/>
      <c r="S492" s="217"/>
      <c r="T492" s="217">
        <v>1</v>
      </c>
      <c r="U492" s="217"/>
      <c r="V492" s="217">
        <v>5</v>
      </c>
      <c r="W492" s="217"/>
      <c r="X492" s="218">
        <v>25</v>
      </c>
      <c r="Y492" s="221">
        <f t="shared" si="23"/>
        <v>22</v>
      </c>
      <c r="Z492">
        <f t="shared" si="21"/>
        <v>0</v>
      </c>
    </row>
    <row r="493" spans="1:26" x14ac:dyDescent="0.2">
      <c r="A493" s="26">
        <f t="shared" si="22"/>
        <v>42342</v>
      </c>
      <c r="B493" s="216">
        <v>2015</v>
      </c>
      <c r="C493" s="216">
        <v>12</v>
      </c>
      <c r="D493" s="216">
        <v>4</v>
      </c>
      <c r="E493" s="216" t="s">
        <v>152</v>
      </c>
      <c r="F493" s="217">
        <v>2</v>
      </c>
      <c r="G493" s="217">
        <v>11</v>
      </c>
      <c r="H493" s="217">
        <v>5</v>
      </c>
      <c r="I493" s="217">
        <v>1</v>
      </c>
      <c r="J493" s="217"/>
      <c r="K493" s="217"/>
      <c r="L493" s="217">
        <v>5</v>
      </c>
      <c r="M493" s="217"/>
      <c r="N493" s="217"/>
      <c r="O493" s="217"/>
      <c r="P493" s="217"/>
      <c r="Q493" s="217"/>
      <c r="R493" s="217">
        <v>12</v>
      </c>
      <c r="S493" s="217"/>
      <c r="T493" s="217"/>
      <c r="U493" s="217"/>
      <c r="V493" s="217"/>
      <c r="W493" s="217"/>
      <c r="X493" s="218">
        <v>36</v>
      </c>
      <c r="Y493" s="221">
        <f t="shared" si="23"/>
        <v>34</v>
      </c>
      <c r="Z493">
        <f t="shared" si="21"/>
        <v>0</v>
      </c>
    </row>
    <row r="494" spans="1:26" x14ac:dyDescent="0.2">
      <c r="A494" s="26">
        <f t="shared" si="22"/>
        <v>42342</v>
      </c>
      <c r="B494" s="216">
        <v>2015</v>
      </c>
      <c r="C494" s="216">
        <v>12</v>
      </c>
      <c r="D494" s="216">
        <v>4</v>
      </c>
      <c r="E494" s="216" t="s">
        <v>153</v>
      </c>
      <c r="F494" s="217"/>
      <c r="G494" s="217">
        <v>6</v>
      </c>
      <c r="H494" s="217">
        <v>8</v>
      </c>
      <c r="I494" s="217">
        <v>10</v>
      </c>
      <c r="J494" s="217"/>
      <c r="K494" s="217"/>
      <c r="L494" s="217">
        <v>16</v>
      </c>
      <c r="M494" s="217"/>
      <c r="N494" s="217"/>
      <c r="O494" s="217"/>
      <c r="P494" s="217"/>
      <c r="Q494" s="217"/>
      <c r="R494" s="217"/>
      <c r="S494" s="217"/>
      <c r="T494" s="217">
        <v>1</v>
      </c>
      <c r="U494" s="217"/>
      <c r="V494" s="217">
        <v>9</v>
      </c>
      <c r="W494" s="217"/>
      <c r="X494" s="218">
        <v>50</v>
      </c>
      <c r="Y494" s="221">
        <f t="shared" si="23"/>
        <v>50</v>
      </c>
      <c r="Z494">
        <f t="shared" si="21"/>
        <v>0</v>
      </c>
    </row>
    <row r="495" spans="1:26" x14ac:dyDescent="0.2">
      <c r="A495" s="26">
        <f t="shared" si="22"/>
        <v>42345</v>
      </c>
      <c r="B495" s="216">
        <v>2015</v>
      </c>
      <c r="C495" s="216">
        <v>12</v>
      </c>
      <c r="D495" s="216">
        <v>7</v>
      </c>
      <c r="E495" s="216" t="s">
        <v>152</v>
      </c>
      <c r="F495" s="217">
        <v>9</v>
      </c>
      <c r="G495" s="217">
        <v>6</v>
      </c>
      <c r="H495" s="217"/>
      <c r="I495" s="217">
        <v>6</v>
      </c>
      <c r="J495" s="217"/>
      <c r="K495" s="217"/>
      <c r="L495" s="217">
        <v>1</v>
      </c>
      <c r="M495" s="217"/>
      <c r="N495" s="217"/>
      <c r="O495" s="217"/>
      <c r="P495" s="217"/>
      <c r="Q495" s="217"/>
      <c r="R495" s="217"/>
      <c r="S495" s="217"/>
      <c r="T495" s="217"/>
      <c r="U495" s="217"/>
      <c r="V495" s="217">
        <v>4</v>
      </c>
      <c r="W495" s="217"/>
      <c r="X495" s="218">
        <v>26</v>
      </c>
      <c r="Y495" s="221">
        <f t="shared" si="23"/>
        <v>17</v>
      </c>
      <c r="Z495">
        <f t="shared" si="21"/>
        <v>0</v>
      </c>
    </row>
    <row r="496" spans="1:26" x14ac:dyDescent="0.2">
      <c r="A496" s="26">
        <f t="shared" si="22"/>
        <v>42345</v>
      </c>
      <c r="B496" s="216">
        <v>2015</v>
      </c>
      <c r="C496" s="216">
        <v>12</v>
      </c>
      <c r="D496" s="216">
        <v>7</v>
      </c>
      <c r="E496" s="216" t="s">
        <v>153</v>
      </c>
      <c r="F496" s="217">
        <v>2</v>
      </c>
      <c r="G496" s="217">
        <v>5</v>
      </c>
      <c r="H496" s="217">
        <v>2</v>
      </c>
      <c r="I496" s="217">
        <v>14</v>
      </c>
      <c r="J496" s="217"/>
      <c r="K496" s="217"/>
      <c r="L496" s="217">
        <v>3</v>
      </c>
      <c r="M496" s="217"/>
      <c r="N496" s="217"/>
      <c r="O496" s="217"/>
      <c r="P496" s="217"/>
      <c r="Q496" s="217"/>
      <c r="R496" s="217"/>
      <c r="S496" s="217"/>
      <c r="T496" s="217"/>
      <c r="U496" s="217"/>
      <c r="V496" s="217">
        <v>14</v>
      </c>
      <c r="W496" s="217"/>
      <c r="X496" s="218">
        <v>40</v>
      </c>
      <c r="Y496" s="221">
        <f t="shared" si="23"/>
        <v>38</v>
      </c>
      <c r="Z496">
        <f t="shared" si="21"/>
        <v>0</v>
      </c>
    </row>
    <row r="497" spans="1:26" x14ac:dyDescent="0.2">
      <c r="A497" s="26">
        <f t="shared" si="22"/>
        <v>42346</v>
      </c>
      <c r="B497" s="216">
        <v>2015</v>
      </c>
      <c r="C497" s="216">
        <v>12</v>
      </c>
      <c r="D497" s="216">
        <v>8</v>
      </c>
      <c r="E497" s="216" t="s">
        <v>152</v>
      </c>
      <c r="F497" s="217">
        <v>7</v>
      </c>
      <c r="G497" s="217">
        <v>23</v>
      </c>
      <c r="H497" s="217">
        <v>1</v>
      </c>
      <c r="I497" s="217"/>
      <c r="J497" s="217">
        <v>4</v>
      </c>
      <c r="K497" s="217"/>
      <c r="L497" s="217">
        <v>2</v>
      </c>
      <c r="M497" s="217"/>
      <c r="N497" s="217"/>
      <c r="O497" s="217"/>
      <c r="P497" s="217">
        <v>1</v>
      </c>
      <c r="Q497" s="217"/>
      <c r="R497" s="217">
        <v>7</v>
      </c>
      <c r="S497" s="217"/>
      <c r="T497" s="217">
        <v>8</v>
      </c>
      <c r="U497" s="217"/>
      <c r="V497" s="217">
        <v>13</v>
      </c>
      <c r="W497" s="217"/>
      <c r="X497" s="218">
        <v>66</v>
      </c>
      <c r="Y497" s="221">
        <f t="shared" si="23"/>
        <v>59</v>
      </c>
      <c r="Z497">
        <f t="shared" si="21"/>
        <v>0</v>
      </c>
    </row>
    <row r="498" spans="1:26" x14ac:dyDescent="0.2">
      <c r="A498" s="26">
        <f t="shared" si="22"/>
        <v>42346</v>
      </c>
      <c r="B498" s="216">
        <v>2015</v>
      </c>
      <c r="C498" s="216">
        <v>12</v>
      </c>
      <c r="D498" s="216">
        <v>8</v>
      </c>
      <c r="E498" s="216" t="s">
        <v>153</v>
      </c>
      <c r="F498" s="217">
        <v>1</v>
      </c>
      <c r="G498" s="217">
        <v>5</v>
      </c>
      <c r="H498" s="217">
        <v>6</v>
      </c>
      <c r="I498" s="217">
        <v>4</v>
      </c>
      <c r="J498" s="217">
        <v>7</v>
      </c>
      <c r="K498" s="217"/>
      <c r="L498" s="217">
        <v>3</v>
      </c>
      <c r="M498" s="217"/>
      <c r="N498" s="217"/>
      <c r="O498" s="217"/>
      <c r="P498" s="217">
        <v>1</v>
      </c>
      <c r="Q498" s="217"/>
      <c r="R498" s="217">
        <v>6</v>
      </c>
      <c r="S498" s="217"/>
      <c r="T498" s="217"/>
      <c r="U498" s="217"/>
      <c r="V498" s="217">
        <v>3</v>
      </c>
      <c r="W498" s="217"/>
      <c r="X498" s="218">
        <v>36</v>
      </c>
      <c r="Y498" s="221">
        <f t="shared" si="23"/>
        <v>35</v>
      </c>
      <c r="Z498">
        <f t="shared" si="21"/>
        <v>0</v>
      </c>
    </row>
    <row r="499" spans="1:26" x14ac:dyDescent="0.2">
      <c r="A499" s="26">
        <f t="shared" si="22"/>
        <v>42347</v>
      </c>
      <c r="B499" s="216">
        <v>2015</v>
      </c>
      <c r="C499" s="216">
        <v>12</v>
      </c>
      <c r="D499" s="216">
        <v>9</v>
      </c>
      <c r="E499" s="216" t="s">
        <v>152</v>
      </c>
      <c r="F499" s="217">
        <v>2</v>
      </c>
      <c r="G499" s="217">
        <v>15</v>
      </c>
      <c r="H499" s="217"/>
      <c r="I499" s="217"/>
      <c r="J499" s="217"/>
      <c r="K499" s="217"/>
      <c r="L499" s="217">
        <v>1</v>
      </c>
      <c r="M499" s="217"/>
      <c r="N499" s="217"/>
      <c r="O499" s="217"/>
      <c r="P499" s="217"/>
      <c r="Q499" s="217"/>
      <c r="R499" s="217"/>
      <c r="S499" s="217"/>
      <c r="T499" s="217">
        <v>14</v>
      </c>
      <c r="U499" s="217"/>
      <c r="V499" s="217"/>
      <c r="W499" s="217"/>
      <c r="X499" s="218">
        <v>32</v>
      </c>
      <c r="Y499" s="221">
        <f t="shared" si="23"/>
        <v>30</v>
      </c>
      <c r="Z499">
        <f t="shared" si="21"/>
        <v>0</v>
      </c>
    </row>
    <row r="500" spans="1:26" x14ac:dyDescent="0.2">
      <c r="A500" s="26">
        <f t="shared" si="22"/>
        <v>42347</v>
      </c>
      <c r="B500" s="216">
        <v>2015</v>
      </c>
      <c r="C500" s="216">
        <v>12</v>
      </c>
      <c r="D500" s="216">
        <v>9</v>
      </c>
      <c r="E500" s="216" t="s">
        <v>153</v>
      </c>
      <c r="F500" s="217">
        <v>4</v>
      </c>
      <c r="G500" s="217">
        <v>2</v>
      </c>
      <c r="H500" s="217"/>
      <c r="I500" s="217">
        <v>3</v>
      </c>
      <c r="J500" s="217">
        <v>1</v>
      </c>
      <c r="K500" s="217"/>
      <c r="L500" s="217">
        <v>17</v>
      </c>
      <c r="M500" s="217"/>
      <c r="N500" s="217"/>
      <c r="O500" s="217"/>
      <c r="P500" s="217"/>
      <c r="Q500" s="217"/>
      <c r="R500" s="217">
        <v>16</v>
      </c>
      <c r="S500" s="217"/>
      <c r="T500" s="217">
        <v>3</v>
      </c>
      <c r="U500" s="217"/>
      <c r="V500" s="217">
        <v>5</v>
      </c>
      <c r="W500" s="217"/>
      <c r="X500" s="218">
        <v>51</v>
      </c>
      <c r="Y500" s="221">
        <f t="shared" si="23"/>
        <v>47</v>
      </c>
      <c r="Z500">
        <f t="shared" si="21"/>
        <v>0</v>
      </c>
    </row>
    <row r="501" spans="1:26" x14ac:dyDescent="0.2">
      <c r="A501" s="26">
        <f t="shared" si="22"/>
        <v>42348</v>
      </c>
      <c r="B501" s="216">
        <v>2015</v>
      </c>
      <c r="C501" s="216">
        <v>12</v>
      </c>
      <c r="D501" s="216">
        <v>10</v>
      </c>
      <c r="E501" s="216" t="s">
        <v>152</v>
      </c>
      <c r="F501" s="217">
        <v>7</v>
      </c>
      <c r="G501" s="217">
        <v>3</v>
      </c>
      <c r="H501" s="217"/>
      <c r="I501" s="217">
        <v>3</v>
      </c>
      <c r="J501" s="217"/>
      <c r="K501" s="217"/>
      <c r="L501" s="217"/>
      <c r="M501" s="217"/>
      <c r="N501" s="217"/>
      <c r="O501" s="217">
        <v>2</v>
      </c>
      <c r="P501" s="217"/>
      <c r="Q501" s="217"/>
      <c r="R501" s="217">
        <v>5</v>
      </c>
      <c r="S501" s="217"/>
      <c r="T501" s="217">
        <v>28</v>
      </c>
      <c r="U501" s="217"/>
      <c r="V501" s="217">
        <v>8</v>
      </c>
      <c r="W501" s="217"/>
      <c r="X501" s="218">
        <v>56</v>
      </c>
      <c r="Y501" s="221">
        <f t="shared" si="23"/>
        <v>49</v>
      </c>
      <c r="Z501">
        <f t="shared" si="21"/>
        <v>0</v>
      </c>
    </row>
    <row r="502" spans="1:26" x14ac:dyDescent="0.2">
      <c r="A502" s="26">
        <f t="shared" si="22"/>
        <v>42348</v>
      </c>
      <c r="B502" s="216">
        <v>2015</v>
      </c>
      <c r="C502" s="216">
        <v>12</v>
      </c>
      <c r="D502" s="216">
        <v>10</v>
      </c>
      <c r="E502" s="216" t="s">
        <v>153</v>
      </c>
      <c r="F502" s="217">
        <v>27</v>
      </c>
      <c r="G502" s="217">
        <v>6</v>
      </c>
      <c r="H502" s="217">
        <v>9</v>
      </c>
      <c r="I502" s="217">
        <v>4</v>
      </c>
      <c r="J502" s="217">
        <v>1</v>
      </c>
      <c r="K502" s="217"/>
      <c r="L502" s="217">
        <v>12</v>
      </c>
      <c r="M502" s="217"/>
      <c r="N502" s="217"/>
      <c r="O502" s="217"/>
      <c r="P502" s="217"/>
      <c r="Q502" s="217"/>
      <c r="R502" s="217">
        <v>3</v>
      </c>
      <c r="S502" s="217"/>
      <c r="T502" s="217">
        <v>5</v>
      </c>
      <c r="U502" s="217"/>
      <c r="V502" s="217">
        <v>21</v>
      </c>
      <c r="W502" s="217"/>
      <c r="X502" s="218">
        <v>88</v>
      </c>
      <c r="Y502" s="221">
        <f t="shared" si="23"/>
        <v>61</v>
      </c>
      <c r="Z502">
        <f t="shared" si="21"/>
        <v>0</v>
      </c>
    </row>
    <row r="503" spans="1:26" x14ac:dyDescent="0.2">
      <c r="A503" s="26">
        <f t="shared" si="22"/>
        <v>42349</v>
      </c>
      <c r="B503" s="216">
        <v>2015</v>
      </c>
      <c r="C503" s="216">
        <v>12</v>
      </c>
      <c r="D503" s="216">
        <v>11</v>
      </c>
      <c r="E503" s="216" t="s">
        <v>152</v>
      </c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>
        <v>3</v>
      </c>
      <c r="W503" s="217"/>
      <c r="X503" s="218">
        <v>3</v>
      </c>
      <c r="Y503" s="221">
        <f t="shared" si="23"/>
        <v>3</v>
      </c>
      <c r="Z503">
        <f t="shared" si="21"/>
        <v>0</v>
      </c>
    </row>
    <row r="504" spans="1:26" x14ac:dyDescent="0.2">
      <c r="A504" s="26">
        <f t="shared" si="22"/>
        <v>42349</v>
      </c>
      <c r="B504" s="216">
        <v>2015</v>
      </c>
      <c r="C504" s="216">
        <v>12</v>
      </c>
      <c r="D504" s="216">
        <v>11</v>
      </c>
      <c r="E504" s="216" t="s">
        <v>153</v>
      </c>
      <c r="F504" s="217">
        <v>1</v>
      </c>
      <c r="G504" s="217"/>
      <c r="H504" s="217">
        <v>3</v>
      </c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>
        <v>1</v>
      </c>
      <c r="U504" s="217"/>
      <c r="V504" s="217">
        <v>6</v>
      </c>
      <c r="W504" s="217"/>
      <c r="X504" s="218">
        <v>11</v>
      </c>
      <c r="Y504" s="221">
        <f t="shared" si="23"/>
        <v>10</v>
      </c>
      <c r="Z504">
        <f t="shared" si="21"/>
        <v>0</v>
      </c>
    </row>
    <row r="505" spans="1:26" x14ac:dyDescent="0.2">
      <c r="A505" s="26">
        <f t="shared" si="22"/>
        <v>42352</v>
      </c>
      <c r="B505" s="216">
        <v>2015</v>
      </c>
      <c r="C505" s="216">
        <v>12</v>
      </c>
      <c r="D505" s="216">
        <v>14</v>
      </c>
      <c r="E505" s="216" t="s">
        <v>152</v>
      </c>
      <c r="F505" s="217">
        <v>4</v>
      </c>
      <c r="G505" s="217">
        <v>7</v>
      </c>
      <c r="H505" s="217"/>
      <c r="I505" s="217"/>
      <c r="J505" s="217"/>
      <c r="K505" s="217"/>
      <c r="L505" s="217">
        <v>3</v>
      </c>
      <c r="M505" s="217"/>
      <c r="N505" s="217"/>
      <c r="O505" s="217"/>
      <c r="P505" s="217"/>
      <c r="Q505" s="217"/>
      <c r="R505" s="217">
        <v>9</v>
      </c>
      <c r="S505" s="217"/>
      <c r="T505" s="217">
        <v>2</v>
      </c>
      <c r="U505" s="217"/>
      <c r="V505" s="217"/>
      <c r="W505" s="217"/>
      <c r="X505" s="218">
        <v>25</v>
      </c>
      <c r="Y505" s="221">
        <f t="shared" si="23"/>
        <v>21</v>
      </c>
      <c r="Z505">
        <f t="shared" si="21"/>
        <v>0</v>
      </c>
    </row>
    <row r="506" spans="1:26" x14ac:dyDescent="0.2">
      <c r="A506" s="26">
        <f t="shared" si="22"/>
        <v>42352</v>
      </c>
      <c r="B506" s="216">
        <v>2015</v>
      </c>
      <c r="C506" s="216">
        <v>12</v>
      </c>
      <c r="D506" s="216">
        <v>14</v>
      </c>
      <c r="E506" s="216" t="s">
        <v>153</v>
      </c>
      <c r="F506" s="217"/>
      <c r="G506" s="217">
        <v>5</v>
      </c>
      <c r="H506" s="217"/>
      <c r="I506" s="217">
        <v>4</v>
      </c>
      <c r="J506" s="217"/>
      <c r="K506" s="217"/>
      <c r="L506" s="217">
        <v>6</v>
      </c>
      <c r="M506" s="217"/>
      <c r="N506" s="217"/>
      <c r="O506" s="217"/>
      <c r="P506" s="217"/>
      <c r="Q506" s="217"/>
      <c r="R506" s="217"/>
      <c r="S506" s="217"/>
      <c r="T506" s="217">
        <v>1</v>
      </c>
      <c r="U506" s="217"/>
      <c r="V506" s="217"/>
      <c r="W506" s="217"/>
      <c r="X506" s="218">
        <v>16</v>
      </c>
      <c r="Y506" s="221">
        <f t="shared" si="23"/>
        <v>16</v>
      </c>
      <c r="Z506">
        <f t="shared" si="21"/>
        <v>0</v>
      </c>
    </row>
    <row r="507" spans="1:26" x14ac:dyDescent="0.2">
      <c r="A507" s="26">
        <f t="shared" si="22"/>
        <v>42353</v>
      </c>
      <c r="B507" s="216">
        <v>2015</v>
      </c>
      <c r="C507" s="216">
        <v>12</v>
      </c>
      <c r="D507" s="216">
        <v>15</v>
      </c>
      <c r="E507" s="216" t="s">
        <v>152</v>
      </c>
      <c r="F507" s="217">
        <v>6</v>
      </c>
      <c r="G507" s="217">
        <v>7</v>
      </c>
      <c r="H507" s="217"/>
      <c r="I507" s="217"/>
      <c r="J507" s="217">
        <v>7</v>
      </c>
      <c r="K507" s="217"/>
      <c r="L507" s="217">
        <v>5</v>
      </c>
      <c r="M507" s="217"/>
      <c r="N507" s="217"/>
      <c r="O507" s="217">
        <v>1</v>
      </c>
      <c r="P507" s="217">
        <v>5</v>
      </c>
      <c r="Q507" s="217"/>
      <c r="R507" s="217">
        <v>6</v>
      </c>
      <c r="S507" s="217"/>
      <c r="T507" s="217">
        <v>1</v>
      </c>
      <c r="U507" s="217"/>
      <c r="V507" s="217">
        <v>1</v>
      </c>
      <c r="W507" s="217"/>
      <c r="X507" s="218">
        <v>39</v>
      </c>
      <c r="Y507" s="221">
        <f t="shared" si="23"/>
        <v>33</v>
      </c>
      <c r="Z507">
        <f t="shared" si="21"/>
        <v>0</v>
      </c>
    </row>
    <row r="508" spans="1:26" x14ac:dyDescent="0.2">
      <c r="A508" s="26">
        <f t="shared" si="22"/>
        <v>42353</v>
      </c>
      <c r="B508" s="216">
        <v>2015</v>
      </c>
      <c r="C508" s="216">
        <v>12</v>
      </c>
      <c r="D508" s="216">
        <v>15</v>
      </c>
      <c r="E508" s="216" t="s">
        <v>153</v>
      </c>
      <c r="F508" s="217">
        <v>1</v>
      </c>
      <c r="G508" s="217">
        <v>7</v>
      </c>
      <c r="H508" s="217">
        <v>2</v>
      </c>
      <c r="I508" s="217">
        <v>1</v>
      </c>
      <c r="J508" s="217">
        <v>1</v>
      </c>
      <c r="K508" s="217"/>
      <c r="L508" s="217">
        <v>16</v>
      </c>
      <c r="M508" s="217"/>
      <c r="N508" s="217"/>
      <c r="O508" s="217"/>
      <c r="P508" s="217">
        <v>1</v>
      </c>
      <c r="Q508" s="217"/>
      <c r="R508" s="217">
        <v>15</v>
      </c>
      <c r="S508" s="217"/>
      <c r="T508" s="217">
        <v>7</v>
      </c>
      <c r="U508" s="217"/>
      <c r="V508" s="217">
        <v>8</v>
      </c>
      <c r="W508" s="217"/>
      <c r="X508" s="218">
        <v>59</v>
      </c>
      <c r="Y508" s="221">
        <f t="shared" si="23"/>
        <v>58</v>
      </c>
      <c r="Z508">
        <f t="shared" si="21"/>
        <v>0</v>
      </c>
    </row>
    <row r="509" spans="1:26" x14ac:dyDescent="0.2">
      <c r="A509" s="26">
        <f t="shared" si="22"/>
        <v>42354</v>
      </c>
      <c r="B509" s="216">
        <v>2015</v>
      </c>
      <c r="C509" s="216">
        <v>12</v>
      </c>
      <c r="D509" s="216">
        <v>16</v>
      </c>
      <c r="E509" s="216" t="s">
        <v>152</v>
      </c>
      <c r="F509" s="217">
        <v>56</v>
      </c>
      <c r="G509" s="217">
        <v>17</v>
      </c>
      <c r="H509" s="217"/>
      <c r="I509" s="217">
        <v>2</v>
      </c>
      <c r="J509" s="217"/>
      <c r="K509" s="217"/>
      <c r="L509" s="217">
        <v>8</v>
      </c>
      <c r="M509" s="217"/>
      <c r="N509" s="217"/>
      <c r="O509" s="217">
        <v>2</v>
      </c>
      <c r="P509" s="217">
        <v>1</v>
      </c>
      <c r="Q509" s="217"/>
      <c r="R509" s="217">
        <v>3</v>
      </c>
      <c r="S509" s="217"/>
      <c r="T509" s="217"/>
      <c r="U509" s="217"/>
      <c r="V509" s="217">
        <v>11</v>
      </c>
      <c r="W509" s="217"/>
      <c r="X509" s="218">
        <v>100</v>
      </c>
      <c r="Y509" s="221">
        <f t="shared" si="23"/>
        <v>44</v>
      </c>
      <c r="Z509">
        <f t="shared" si="21"/>
        <v>0</v>
      </c>
    </row>
    <row r="510" spans="1:26" x14ac:dyDescent="0.2">
      <c r="A510" s="26">
        <f t="shared" si="22"/>
        <v>42354</v>
      </c>
      <c r="B510" s="216">
        <v>2015</v>
      </c>
      <c r="C510" s="216">
        <v>12</v>
      </c>
      <c r="D510" s="216">
        <v>16</v>
      </c>
      <c r="E510" s="216" t="s">
        <v>153</v>
      </c>
      <c r="F510" s="217"/>
      <c r="G510" s="217">
        <v>5</v>
      </c>
      <c r="H510" s="217"/>
      <c r="I510" s="217">
        <v>9</v>
      </c>
      <c r="J510" s="217"/>
      <c r="K510" s="217"/>
      <c r="L510" s="217">
        <v>4</v>
      </c>
      <c r="M510" s="217"/>
      <c r="N510" s="217"/>
      <c r="O510" s="217"/>
      <c r="P510" s="217"/>
      <c r="Q510" s="217"/>
      <c r="R510" s="217">
        <v>9</v>
      </c>
      <c r="S510" s="217"/>
      <c r="T510" s="217"/>
      <c r="U510" s="217"/>
      <c r="V510" s="217">
        <v>17</v>
      </c>
      <c r="W510" s="217"/>
      <c r="X510" s="218">
        <v>44</v>
      </c>
      <c r="Y510" s="221">
        <f t="shared" si="23"/>
        <v>44</v>
      </c>
      <c r="Z510">
        <f t="shared" si="21"/>
        <v>0</v>
      </c>
    </row>
    <row r="511" spans="1:26" x14ac:dyDescent="0.2">
      <c r="A511" s="26">
        <f t="shared" si="22"/>
        <v>42355</v>
      </c>
      <c r="B511" s="216">
        <v>2015</v>
      </c>
      <c r="C511" s="216">
        <v>12</v>
      </c>
      <c r="D511" s="216">
        <v>17</v>
      </c>
      <c r="E511" s="216" t="s">
        <v>152</v>
      </c>
      <c r="F511" s="217">
        <v>7</v>
      </c>
      <c r="G511" s="217">
        <v>23</v>
      </c>
      <c r="H511" s="217">
        <v>2</v>
      </c>
      <c r="I511" s="217">
        <v>3</v>
      </c>
      <c r="J511" s="217"/>
      <c r="K511" s="217"/>
      <c r="L511" s="217">
        <v>11</v>
      </c>
      <c r="M511" s="217"/>
      <c r="N511" s="217"/>
      <c r="O511" s="217"/>
      <c r="P511" s="217">
        <v>1</v>
      </c>
      <c r="Q511" s="217"/>
      <c r="R511" s="217">
        <v>6</v>
      </c>
      <c r="S511" s="217"/>
      <c r="T511" s="217">
        <v>3</v>
      </c>
      <c r="U511" s="217"/>
      <c r="V511" s="217">
        <v>1</v>
      </c>
      <c r="W511" s="217"/>
      <c r="X511" s="218">
        <v>57</v>
      </c>
      <c r="Y511" s="221">
        <f t="shared" si="23"/>
        <v>50</v>
      </c>
      <c r="Z511">
        <f t="shared" si="21"/>
        <v>0</v>
      </c>
    </row>
    <row r="512" spans="1:26" x14ac:dyDescent="0.2">
      <c r="A512" s="26">
        <f t="shared" si="22"/>
        <v>42355</v>
      </c>
      <c r="B512" s="216">
        <v>2015</v>
      </c>
      <c r="C512" s="216">
        <v>12</v>
      </c>
      <c r="D512" s="216">
        <v>17</v>
      </c>
      <c r="E512" s="216" t="s">
        <v>153</v>
      </c>
      <c r="F512" s="217"/>
      <c r="G512" s="217">
        <v>3</v>
      </c>
      <c r="H512" s="217">
        <v>6</v>
      </c>
      <c r="I512" s="217">
        <v>3</v>
      </c>
      <c r="J512" s="217"/>
      <c r="K512" s="217"/>
      <c r="L512" s="217">
        <v>20</v>
      </c>
      <c r="M512" s="217"/>
      <c r="N512" s="217"/>
      <c r="O512" s="217">
        <v>2</v>
      </c>
      <c r="P512" s="217">
        <v>2</v>
      </c>
      <c r="Q512" s="217"/>
      <c r="R512" s="217">
        <v>1</v>
      </c>
      <c r="S512" s="217"/>
      <c r="T512" s="217">
        <v>2</v>
      </c>
      <c r="U512" s="217"/>
      <c r="V512" s="217">
        <v>2</v>
      </c>
      <c r="W512" s="217"/>
      <c r="X512" s="218">
        <v>41</v>
      </c>
      <c r="Y512" s="221">
        <f t="shared" si="23"/>
        <v>41</v>
      </c>
      <c r="Z512">
        <f t="shared" si="21"/>
        <v>0</v>
      </c>
    </row>
    <row r="513" spans="1:26" x14ac:dyDescent="0.2">
      <c r="A513" s="26">
        <f t="shared" si="22"/>
        <v>42356</v>
      </c>
      <c r="B513" s="216">
        <v>2015</v>
      </c>
      <c r="C513" s="216">
        <v>12</v>
      </c>
      <c r="D513" s="216">
        <v>18</v>
      </c>
      <c r="E513" s="216" t="s">
        <v>152</v>
      </c>
      <c r="F513" s="217">
        <v>2</v>
      </c>
      <c r="G513" s="217">
        <v>5</v>
      </c>
      <c r="H513" s="217"/>
      <c r="I513" s="217">
        <v>2</v>
      </c>
      <c r="J513" s="217"/>
      <c r="K513" s="217"/>
      <c r="L513" s="217">
        <v>1</v>
      </c>
      <c r="M513" s="217"/>
      <c r="N513" s="217"/>
      <c r="O513" s="217"/>
      <c r="P513" s="217"/>
      <c r="Q513" s="217"/>
      <c r="R513" s="217"/>
      <c r="S513" s="217"/>
      <c r="T513" s="217"/>
      <c r="U513" s="217"/>
      <c r="V513" s="217">
        <v>1</v>
      </c>
      <c r="W513" s="217"/>
      <c r="X513" s="218">
        <v>11</v>
      </c>
      <c r="Y513" s="221">
        <f t="shared" si="23"/>
        <v>9</v>
      </c>
      <c r="Z513">
        <f t="shared" si="21"/>
        <v>0</v>
      </c>
    </row>
    <row r="514" spans="1:26" x14ac:dyDescent="0.2">
      <c r="A514" s="26">
        <f t="shared" si="22"/>
        <v>42356</v>
      </c>
      <c r="B514" s="216">
        <v>2015</v>
      </c>
      <c r="C514" s="216">
        <v>12</v>
      </c>
      <c r="D514" s="216">
        <v>18</v>
      </c>
      <c r="E514" s="216" t="s">
        <v>153</v>
      </c>
      <c r="F514" s="217"/>
      <c r="G514" s="217">
        <v>3</v>
      </c>
      <c r="H514" s="217">
        <v>5</v>
      </c>
      <c r="I514" s="217">
        <v>6</v>
      </c>
      <c r="J514" s="217">
        <v>3</v>
      </c>
      <c r="K514" s="217"/>
      <c r="L514" s="217">
        <v>18</v>
      </c>
      <c r="M514" s="217"/>
      <c r="N514" s="217"/>
      <c r="O514" s="217"/>
      <c r="P514" s="217"/>
      <c r="Q514" s="217"/>
      <c r="R514" s="217">
        <v>17</v>
      </c>
      <c r="S514" s="217"/>
      <c r="T514" s="217">
        <v>2</v>
      </c>
      <c r="U514" s="217"/>
      <c r="V514" s="217">
        <v>3</v>
      </c>
      <c r="W514" s="217"/>
      <c r="X514" s="218">
        <v>57</v>
      </c>
      <c r="Y514" s="221">
        <f t="shared" si="23"/>
        <v>57</v>
      </c>
      <c r="Z514">
        <f t="shared" ref="Z514:Z531" si="24">IF(AND(WEEKDAY(A514,2)=6,E514="Sim"),X514,0)</f>
        <v>0</v>
      </c>
    </row>
    <row r="515" spans="1:26" x14ac:dyDescent="0.2">
      <c r="A515" s="26">
        <f t="shared" ref="A515:A578" si="25">DATE(B515,C515,D515)</f>
        <v>42357</v>
      </c>
      <c r="B515" s="216">
        <v>2015</v>
      </c>
      <c r="C515" s="216">
        <v>12</v>
      </c>
      <c r="D515" s="216">
        <v>19</v>
      </c>
      <c r="E515" s="216" t="s">
        <v>153</v>
      </c>
      <c r="F515" s="217"/>
      <c r="G515" s="217"/>
      <c r="H515" s="217"/>
      <c r="I515" s="217"/>
      <c r="J515" s="217"/>
      <c r="K515" s="217"/>
      <c r="L515" s="217">
        <v>2</v>
      </c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8">
        <v>2</v>
      </c>
      <c r="Y515" s="221">
        <f t="shared" ref="Y515:Y578" si="26">SUM(G515:W515)</f>
        <v>2</v>
      </c>
      <c r="Z515">
        <f t="shared" si="24"/>
        <v>2</v>
      </c>
    </row>
    <row r="516" spans="1:26" x14ac:dyDescent="0.2">
      <c r="A516" s="26">
        <f t="shared" si="25"/>
        <v>42359</v>
      </c>
      <c r="B516" s="216">
        <v>2015</v>
      </c>
      <c r="C516" s="216">
        <v>12</v>
      </c>
      <c r="D516" s="216">
        <v>21</v>
      </c>
      <c r="E516" s="216" t="s">
        <v>152</v>
      </c>
      <c r="F516" s="217">
        <v>7</v>
      </c>
      <c r="G516" s="217">
        <v>6</v>
      </c>
      <c r="H516" s="217">
        <v>1</v>
      </c>
      <c r="I516" s="217">
        <v>3</v>
      </c>
      <c r="J516" s="217">
        <v>1</v>
      </c>
      <c r="K516" s="217"/>
      <c r="L516" s="217"/>
      <c r="M516" s="217"/>
      <c r="N516" s="217"/>
      <c r="O516" s="217"/>
      <c r="P516" s="217">
        <v>1</v>
      </c>
      <c r="Q516" s="217"/>
      <c r="R516" s="217">
        <v>3</v>
      </c>
      <c r="S516" s="217"/>
      <c r="T516" s="217">
        <v>2</v>
      </c>
      <c r="U516" s="217"/>
      <c r="V516" s="217">
        <v>1</v>
      </c>
      <c r="W516" s="217"/>
      <c r="X516" s="218">
        <v>25</v>
      </c>
      <c r="Y516" s="221">
        <f t="shared" si="26"/>
        <v>18</v>
      </c>
      <c r="Z516">
        <f t="shared" si="24"/>
        <v>0</v>
      </c>
    </row>
    <row r="517" spans="1:26" x14ac:dyDescent="0.2">
      <c r="A517" s="26">
        <f t="shared" si="25"/>
        <v>42359</v>
      </c>
      <c r="B517" s="216">
        <v>2015</v>
      </c>
      <c r="C517" s="216">
        <v>12</v>
      </c>
      <c r="D517" s="216">
        <v>21</v>
      </c>
      <c r="E517" s="216" t="s">
        <v>153</v>
      </c>
      <c r="F517" s="217"/>
      <c r="G517" s="217">
        <v>5</v>
      </c>
      <c r="H517" s="217">
        <v>3</v>
      </c>
      <c r="I517" s="217">
        <v>8</v>
      </c>
      <c r="J517" s="217">
        <v>1</v>
      </c>
      <c r="K517" s="217"/>
      <c r="L517" s="217">
        <v>2</v>
      </c>
      <c r="M517" s="217"/>
      <c r="N517" s="217"/>
      <c r="O517" s="217"/>
      <c r="P517" s="217"/>
      <c r="Q517" s="217"/>
      <c r="R517" s="217"/>
      <c r="S517" s="217"/>
      <c r="T517" s="217">
        <v>1</v>
      </c>
      <c r="U517" s="217"/>
      <c r="V517" s="217"/>
      <c r="W517" s="217"/>
      <c r="X517" s="218">
        <v>20</v>
      </c>
      <c r="Y517" s="221">
        <f t="shared" si="26"/>
        <v>20</v>
      </c>
      <c r="Z517">
        <f t="shared" si="24"/>
        <v>0</v>
      </c>
    </row>
    <row r="518" spans="1:26" x14ac:dyDescent="0.2">
      <c r="A518" s="26">
        <f t="shared" si="25"/>
        <v>42360</v>
      </c>
      <c r="B518" s="216">
        <v>2015</v>
      </c>
      <c r="C518" s="216">
        <v>12</v>
      </c>
      <c r="D518" s="216">
        <v>22</v>
      </c>
      <c r="E518" s="216" t="s">
        <v>152</v>
      </c>
      <c r="F518" s="217">
        <v>4</v>
      </c>
      <c r="G518" s="217">
        <v>11</v>
      </c>
      <c r="H518" s="217"/>
      <c r="I518" s="217">
        <v>2</v>
      </c>
      <c r="J518" s="217"/>
      <c r="K518" s="217"/>
      <c r="L518" s="217">
        <v>8</v>
      </c>
      <c r="M518" s="217"/>
      <c r="N518" s="217"/>
      <c r="O518" s="217"/>
      <c r="P518" s="217"/>
      <c r="Q518" s="217"/>
      <c r="R518" s="217">
        <v>4</v>
      </c>
      <c r="S518" s="217"/>
      <c r="T518" s="217"/>
      <c r="U518" s="217"/>
      <c r="V518" s="217"/>
      <c r="W518" s="217"/>
      <c r="X518" s="218">
        <v>29</v>
      </c>
      <c r="Y518" s="221">
        <f t="shared" si="26"/>
        <v>25</v>
      </c>
      <c r="Z518">
        <f t="shared" si="24"/>
        <v>0</v>
      </c>
    </row>
    <row r="519" spans="1:26" x14ac:dyDescent="0.2">
      <c r="A519" s="26">
        <f t="shared" si="25"/>
        <v>42360</v>
      </c>
      <c r="B519" s="216">
        <v>2015</v>
      </c>
      <c r="C519" s="216">
        <v>12</v>
      </c>
      <c r="D519" s="216">
        <v>22</v>
      </c>
      <c r="E519" s="216" t="s">
        <v>153</v>
      </c>
      <c r="F519" s="217"/>
      <c r="G519" s="217">
        <v>6</v>
      </c>
      <c r="H519" s="217">
        <v>9</v>
      </c>
      <c r="I519" s="217">
        <v>6</v>
      </c>
      <c r="J519" s="217"/>
      <c r="K519" s="217"/>
      <c r="L519" s="217">
        <v>12</v>
      </c>
      <c r="M519" s="217"/>
      <c r="N519" s="217"/>
      <c r="O519" s="217"/>
      <c r="P519" s="217"/>
      <c r="Q519" s="217"/>
      <c r="R519" s="217">
        <v>2</v>
      </c>
      <c r="S519" s="217"/>
      <c r="T519" s="217"/>
      <c r="U519" s="217"/>
      <c r="V519" s="217"/>
      <c r="W519" s="217"/>
      <c r="X519" s="218">
        <v>35</v>
      </c>
      <c r="Y519" s="221">
        <f t="shared" si="26"/>
        <v>35</v>
      </c>
      <c r="Z519">
        <f t="shared" si="24"/>
        <v>0</v>
      </c>
    </row>
    <row r="520" spans="1:26" x14ac:dyDescent="0.2">
      <c r="A520" s="26">
        <f t="shared" si="25"/>
        <v>42361</v>
      </c>
      <c r="B520" s="216">
        <v>2015</v>
      </c>
      <c r="C520" s="216">
        <v>12</v>
      </c>
      <c r="D520" s="216">
        <v>23</v>
      </c>
      <c r="E520" s="216" t="s">
        <v>152</v>
      </c>
      <c r="F520" s="217">
        <v>1</v>
      </c>
      <c r="G520" s="217">
        <v>26</v>
      </c>
      <c r="H520" s="217">
        <v>2</v>
      </c>
      <c r="I520" s="217"/>
      <c r="J520" s="217">
        <v>1</v>
      </c>
      <c r="K520" s="217"/>
      <c r="L520" s="217">
        <v>17</v>
      </c>
      <c r="M520" s="217"/>
      <c r="N520" s="217"/>
      <c r="O520" s="217"/>
      <c r="P520" s="217"/>
      <c r="Q520" s="217"/>
      <c r="R520" s="217">
        <v>11</v>
      </c>
      <c r="S520" s="217"/>
      <c r="T520" s="217">
        <v>17</v>
      </c>
      <c r="U520" s="217"/>
      <c r="V520" s="217">
        <v>8</v>
      </c>
      <c r="W520" s="217"/>
      <c r="X520" s="218">
        <v>83</v>
      </c>
      <c r="Y520" s="221">
        <f t="shared" si="26"/>
        <v>82</v>
      </c>
      <c r="Z520">
        <f t="shared" si="24"/>
        <v>0</v>
      </c>
    </row>
    <row r="521" spans="1:26" x14ac:dyDescent="0.2">
      <c r="A521" s="26">
        <f t="shared" si="25"/>
        <v>42361</v>
      </c>
      <c r="B521" s="216">
        <v>2015</v>
      </c>
      <c r="C521" s="216">
        <v>12</v>
      </c>
      <c r="D521" s="216">
        <v>23</v>
      </c>
      <c r="E521" s="216" t="s">
        <v>153</v>
      </c>
      <c r="F521" s="217"/>
      <c r="G521" s="217">
        <v>2</v>
      </c>
      <c r="H521" s="217">
        <v>2</v>
      </c>
      <c r="I521" s="217"/>
      <c r="J521" s="217"/>
      <c r="K521" s="217"/>
      <c r="L521" s="217">
        <v>9</v>
      </c>
      <c r="M521" s="217"/>
      <c r="N521" s="217"/>
      <c r="O521" s="217"/>
      <c r="P521" s="217"/>
      <c r="Q521" s="217"/>
      <c r="R521" s="217"/>
      <c r="S521" s="217"/>
      <c r="T521" s="217"/>
      <c r="U521" s="217"/>
      <c r="V521" s="217">
        <v>14</v>
      </c>
      <c r="W521" s="217"/>
      <c r="X521" s="218">
        <v>27</v>
      </c>
      <c r="Y521" s="221">
        <f t="shared" si="26"/>
        <v>27</v>
      </c>
      <c r="Z521">
        <f t="shared" si="24"/>
        <v>0</v>
      </c>
    </row>
    <row r="522" spans="1:26" x14ac:dyDescent="0.2">
      <c r="A522" s="26">
        <f t="shared" si="25"/>
        <v>42362</v>
      </c>
      <c r="B522" s="216">
        <v>2015</v>
      </c>
      <c r="C522" s="216">
        <v>12</v>
      </c>
      <c r="D522" s="216">
        <v>24</v>
      </c>
      <c r="E522" s="216" t="s">
        <v>152</v>
      </c>
      <c r="F522" s="217">
        <v>1</v>
      </c>
      <c r="G522" s="217"/>
      <c r="H522" s="217">
        <v>3</v>
      </c>
      <c r="I522" s="217">
        <v>11</v>
      </c>
      <c r="J522" s="217">
        <v>1</v>
      </c>
      <c r="K522" s="217"/>
      <c r="L522" s="217">
        <v>9</v>
      </c>
      <c r="M522" s="217"/>
      <c r="N522" s="217"/>
      <c r="O522" s="217"/>
      <c r="P522" s="217"/>
      <c r="Q522" s="217"/>
      <c r="R522" s="217">
        <v>2</v>
      </c>
      <c r="S522" s="217"/>
      <c r="T522" s="217">
        <v>6</v>
      </c>
      <c r="U522" s="217"/>
      <c r="V522" s="217">
        <v>5</v>
      </c>
      <c r="W522" s="217"/>
      <c r="X522" s="218">
        <v>38</v>
      </c>
      <c r="Y522" s="221">
        <f t="shared" si="26"/>
        <v>37</v>
      </c>
      <c r="Z522">
        <f t="shared" si="24"/>
        <v>0</v>
      </c>
    </row>
    <row r="523" spans="1:26" x14ac:dyDescent="0.2">
      <c r="A523" s="26">
        <f t="shared" si="25"/>
        <v>42362</v>
      </c>
      <c r="B523" s="216">
        <v>2015</v>
      </c>
      <c r="C523" s="216">
        <v>12</v>
      </c>
      <c r="D523" s="216">
        <v>24</v>
      </c>
      <c r="E523" s="216" t="s">
        <v>153</v>
      </c>
      <c r="F523" s="217">
        <v>1</v>
      </c>
      <c r="G523" s="217"/>
      <c r="H523" s="217">
        <v>2</v>
      </c>
      <c r="I523" s="217">
        <v>2</v>
      </c>
      <c r="J523" s="217">
        <v>4</v>
      </c>
      <c r="K523" s="217"/>
      <c r="L523" s="217">
        <v>7</v>
      </c>
      <c r="M523" s="217"/>
      <c r="N523" s="217"/>
      <c r="O523" s="217"/>
      <c r="P523" s="217"/>
      <c r="Q523" s="217"/>
      <c r="R523" s="217">
        <v>1</v>
      </c>
      <c r="S523" s="217"/>
      <c r="T523" s="217"/>
      <c r="U523" s="217"/>
      <c r="V523" s="217">
        <v>1</v>
      </c>
      <c r="W523" s="217"/>
      <c r="X523" s="218">
        <v>18</v>
      </c>
      <c r="Y523" s="221">
        <f t="shared" si="26"/>
        <v>17</v>
      </c>
      <c r="Z523">
        <f t="shared" si="24"/>
        <v>0</v>
      </c>
    </row>
    <row r="524" spans="1:26" x14ac:dyDescent="0.2">
      <c r="A524" s="26">
        <f t="shared" si="25"/>
        <v>42366</v>
      </c>
      <c r="B524" s="216">
        <v>2015</v>
      </c>
      <c r="C524" s="216">
        <v>12</v>
      </c>
      <c r="D524" s="216">
        <v>28</v>
      </c>
      <c r="E524" s="216" t="s">
        <v>152</v>
      </c>
      <c r="F524" s="217">
        <v>6</v>
      </c>
      <c r="G524" s="217"/>
      <c r="H524" s="217"/>
      <c r="I524" s="217">
        <v>3</v>
      </c>
      <c r="J524" s="217"/>
      <c r="K524" s="217"/>
      <c r="L524" s="217">
        <v>5</v>
      </c>
      <c r="M524" s="217"/>
      <c r="N524" s="217"/>
      <c r="O524" s="217"/>
      <c r="P524" s="217"/>
      <c r="Q524" s="217"/>
      <c r="R524" s="217">
        <v>1</v>
      </c>
      <c r="S524" s="217"/>
      <c r="T524" s="217"/>
      <c r="U524" s="217"/>
      <c r="V524" s="217">
        <v>7</v>
      </c>
      <c r="W524" s="217"/>
      <c r="X524" s="218">
        <v>22</v>
      </c>
      <c r="Y524" s="221">
        <f t="shared" si="26"/>
        <v>16</v>
      </c>
      <c r="Z524">
        <f t="shared" si="24"/>
        <v>0</v>
      </c>
    </row>
    <row r="525" spans="1:26" x14ac:dyDescent="0.2">
      <c r="A525" s="26">
        <f t="shared" si="25"/>
        <v>42366</v>
      </c>
      <c r="B525" s="216">
        <v>2015</v>
      </c>
      <c r="C525" s="216">
        <v>12</v>
      </c>
      <c r="D525" s="216">
        <v>28</v>
      </c>
      <c r="E525" s="216" t="s">
        <v>153</v>
      </c>
      <c r="F525" s="217"/>
      <c r="G525" s="217">
        <v>1</v>
      </c>
      <c r="H525" s="217">
        <v>2</v>
      </c>
      <c r="I525" s="217">
        <v>6</v>
      </c>
      <c r="J525" s="217"/>
      <c r="K525" s="217"/>
      <c r="L525" s="217">
        <v>16</v>
      </c>
      <c r="M525" s="217"/>
      <c r="N525" s="217"/>
      <c r="O525" s="217"/>
      <c r="P525" s="217"/>
      <c r="Q525" s="217"/>
      <c r="R525" s="217"/>
      <c r="S525" s="217"/>
      <c r="T525" s="217"/>
      <c r="U525" s="217"/>
      <c r="V525" s="217">
        <v>14</v>
      </c>
      <c r="W525" s="217"/>
      <c r="X525" s="218">
        <v>39</v>
      </c>
      <c r="Y525" s="221">
        <f t="shared" si="26"/>
        <v>39</v>
      </c>
      <c r="Z525">
        <f t="shared" si="24"/>
        <v>0</v>
      </c>
    </row>
    <row r="526" spans="1:26" x14ac:dyDescent="0.2">
      <c r="A526" s="26">
        <f t="shared" si="25"/>
        <v>42367</v>
      </c>
      <c r="B526" s="216">
        <v>2015</v>
      </c>
      <c r="C526" s="216">
        <v>12</v>
      </c>
      <c r="D526" s="216">
        <v>29</v>
      </c>
      <c r="E526" s="216" t="s">
        <v>152</v>
      </c>
      <c r="F526" s="217">
        <v>12</v>
      </c>
      <c r="G526" s="217"/>
      <c r="H526" s="217"/>
      <c r="I526" s="217">
        <v>1</v>
      </c>
      <c r="J526" s="217">
        <v>1</v>
      </c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8">
        <v>14</v>
      </c>
      <c r="Y526" s="221">
        <f t="shared" si="26"/>
        <v>2</v>
      </c>
      <c r="Z526">
        <f t="shared" si="24"/>
        <v>0</v>
      </c>
    </row>
    <row r="527" spans="1:26" x14ac:dyDescent="0.2">
      <c r="A527" s="26">
        <f t="shared" si="25"/>
        <v>42367</v>
      </c>
      <c r="B527" s="216">
        <v>2015</v>
      </c>
      <c r="C527" s="216">
        <v>12</v>
      </c>
      <c r="D527" s="216">
        <v>29</v>
      </c>
      <c r="E527" s="216" t="s">
        <v>153</v>
      </c>
      <c r="F527" s="217">
        <v>9</v>
      </c>
      <c r="G527" s="217"/>
      <c r="H527" s="217">
        <v>2</v>
      </c>
      <c r="I527" s="217">
        <v>6</v>
      </c>
      <c r="J527" s="217"/>
      <c r="K527" s="217"/>
      <c r="L527" s="217">
        <v>10</v>
      </c>
      <c r="M527" s="217"/>
      <c r="N527" s="217"/>
      <c r="O527" s="217"/>
      <c r="P527" s="217"/>
      <c r="Q527" s="217"/>
      <c r="R527" s="217">
        <v>1</v>
      </c>
      <c r="S527" s="217"/>
      <c r="T527" s="217"/>
      <c r="U527" s="217"/>
      <c r="V527" s="217"/>
      <c r="W527" s="217">
        <v>1</v>
      </c>
      <c r="X527" s="218">
        <v>29</v>
      </c>
      <c r="Y527" s="221">
        <f t="shared" si="26"/>
        <v>20</v>
      </c>
      <c r="Z527">
        <f t="shared" si="24"/>
        <v>0</v>
      </c>
    </row>
    <row r="528" spans="1:26" x14ac:dyDescent="0.2">
      <c r="A528" s="26">
        <f t="shared" si="25"/>
        <v>42368</v>
      </c>
      <c r="B528" s="216">
        <v>2015</v>
      </c>
      <c r="C528" s="216">
        <v>12</v>
      </c>
      <c r="D528" s="216">
        <v>30</v>
      </c>
      <c r="E528" s="216" t="s">
        <v>152</v>
      </c>
      <c r="F528" s="217">
        <v>40</v>
      </c>
      <c r="G528" s="217">
        <v>1</v>
      </c>
      <c r="H528" s="217"/>
      <c r="I528" s="217">
        <v>1</v>
      </c>
      <c r="J528" s="217">
        <v>1</v>
      </c>
      <c r="K528" s="217"/>
      <c r="L528" s="217">
        <v>1</v>
      </c>
      <c r="M528" s="217"/>
      <c r="N528" s="217"/>
      <c r="O528" s="217"/>
      <c r="P528" s="217"/>
      <c r="Q528" s="217"/>
      <c r="R528" s="217">
        <v>6</v>
      </c>
      <c r="S528" s="217"/>
      <c r="T528" s="217"/>
      <c r="U528" s="217"/>
      <c r="V528" s="217"/>
      <c r="W528" s="217"/>
      <c r="X528" s="218">
        <v>50</v>
      </c>
      <c r="Y528" s="221">
        <f t="shared" si="26"/>
        <v>10</v>
      </c>
      <c r="Z528">
        <f t="shared" si="24"/>
        <v>0</v>
      </c>
    </row>
    <row r="529" spans="1:26" x14ac:dyDescent="0.2">
      <c r="A529" s="26">
        <f t="shared" si="25"/>
        <v>42368</v>
      </c>
      <c r="B529" s="216">
        <v>2015</v>
      </c>
      <c r="C529" s="216">
        <v>12</v>
      </c>
      <c r="D529" s="216">
        <v>30</v>
      </c>
      <c r="E529" s="216" t="s">
        <v>153</v>
      </c>
      <c r="F529" s="217">
        <v>10</v>
      </c>
      <c r="G529" s="217"/>
      <c r="H529" s="217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>
        <v>5</v>
      </c>
      <c r="S529" s="217"/>
      <c r="T529" s="217"/>
      <c r="U529" s="217"/>
      <c r="V529" s="217"/>
      <c r="W529" s="217"/>
      <c r="X529" s="218">
        <v>15</v>
      </c>
      <c r="Y529" s="221">
        <f t="shared" si="26"/>
        <v>5</v>
      </c>
      <c r="Z529">
        <f t="shared" si="24"/>
        <v>0</v>
      </c>
    </row>
    <row r="530" spans="1:26" x14ac:dyDescent="0.2">
      <c r="A530" s="26">
        <f t="shared" si="25"/>
        <v>42369</v>
      </c>
      <c r="B530" s="216">
        <v>2015</v>
      </c>
      <c r="C530" s="216">
        <v>12</v>
      </c>
      <c r="D530" s="216">
        <v>31</v>
      </c>
      <c r="E530" s="216" t="s">
        <v>152</v>
      </c>
      <c r="F530" s="217">
        <v>7</v>
      </c>
      <c r="G530" s="217"/>
      <c r="H530" s="217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>
        <v>1</v>
      </c>
      <c r="S530" s="217"/>
      <c r="T530" s="217">
        <v>4</v>
      </c>
      <c r="U530" s="217"/>
      <c r="V530" s="217"/>
      <c r="W530" s="217">
        <v>1</v>
      </c>
      <c r="X530" s="218">
        <v>13</v>
      </c>
      <c r="Y530" s="221">
        <f t="shared" si="26"/>
        <v>6</v>
      </c>
      <c r="Z530">
        <f t="shared" si="24"/>
        <v>0</v>
      </c>
    </row>
    <row r="531" spans="1:26" x14ac:dyDescent="0.2">
      <c r="A531" s="26">
        <f t="shared" si="25"/>
        <v>42369</v>
      </c>
      <c r="B531" s="216">
        <v>2015</v>
      </c>
      <c r="C531" s="216">
        <v>12</v>
      </c>
      <c r="D531" s="216">
        <v>31</v>
      </c>
      <c r="E531" s="216" t="s">
        <v>153</v>
      </c>
      <c r="F531" s="217">
        <v>3</v>
      </c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>
        <v>5</v>
      </c>
      <c r="U531" s="217"/>
      <c r="V531" s="217"/>
      <c r="W531" s="217"/>
      <c r="X531" s="218">
        <v>8</v>
      </c>
      <c r="Y531" s="221">
        <f t="shared" si="26"/>
        <v>5</v>
      </c>
      <c r="Z531">
        <f t="shared" si="24"/>
        <v>0</v>
      </c>
    </row>
    <row r="532" spans="1:26" x14ac:dyDescent="0.2">
      <c r="A532" s="26">
        <f t="shared" si="25"/>
        <v>42372</v>
      </c>
      <c r="B532" s="216">
        <v>2016</v>
      </c>
      <c r="C532" s="216">
        <v>1</v>
      </c>
      <c r="D532" s="216">
        <v>3</v>
      </c>
      <c r="E532" s="216" t="s">
        <v>152</v>
      </c>
      <c r="F532" s="217">
        <v>2</v>
      </c>
      <c r="G532" s="217"/>
      <c r="H532" s="217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8">
        <v>2</v>
      </c>
      <c r="Y532" s="221">
        <f t="shared" si="26"/>
        <v>0</v>
      </c>
      <c r="Z532">
        <f>IF(AND(WEEKDAY(A532,2)=6,E532="Sim"),X532,0)</f>
        <v>0</v>
      </c>
    </row>
    <row r="533" spans="1:26" x14ac:dyDescent="0.2">
      <c r="A533" s="26">
        <f t="shared" si="25"/>
        <v>42373</v>
      </c>
      <c r="B533" s="216">
        <v>2016</v>
      </c>
      <c r="C533" s="216">
        <v>1</v>
      </c>
      <c r="D533" s="216">
        <v>4</v>
      </c>
      <c r="E533" s="216" t="s">
        <v>152</v>
      </c>
      <c r="F533" s="217">
        <v>7</v>
      </c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>
        <v>2</v>
      </c>
      <c r="S533" s="217"/>
      <c r="T533" s="217">
        <v>1</v>
      </c>
      <c r="U533" s="217"/>
      <c r="V533" s="217">
        <v>1</v>
      </c>
      <c r="W533" s="217">
        <v>3</v>
      </c>
      <c r="X533" s="218">
        <v>14</v>
      </c>
      <c r="Y533" s="221">
        <f t="shared" si="26"/>
        <v>7</v>
      </c>
      <c r="Z533">
        <f t="shared" ref="Z533:Z596" si="27">IF(AND(WEEKDAY(A533,2)=6,E533="Sim"),X533,0)</f>
        <v>0</v>
      </c>
    </row>
    <row r="534" spans="1:26" x14ac:dyDescent="0.2">
      <c r="A534" s="26">
        <f t="shared" si="25"/>
        <v>42373</v>
      </c>
      <c r="B534" s="216">
        <v>2016</v>
      </c>
      <c r="C534" s="216">
        <v>1</v>
      </c>
      <c r="D534" s="216">
        <v>4</v>
      </c>
      <c r="E534" s="216" t="s">
        <v>153</v>
      </c>
      <c r="F534" s="217">
        <v>4</v>
      </c>
      <c r="G534" s="217"/>
      <c r="H534" s="217">
        <v>5</v>
      </c>
      <c r="I534" s="217">
        <v>1</v>
      </c>
      <c r="J534" s="217"/>
      <c r="K534" s="217"/>
      <c r="L534" s="217">
        <v>29</v>
      </c>
      <c r="M534" s="217"/>
      <c r="N534" s="217"/>
      <c r="O534" s="217"/>
      <c r="P534" s="217"/>
      <c r="Q534" s="217"/>
      <c r="R534" s="217">
        <v>6</v>
      </c>
      <c r="S534" s="217"/>
      <c r="T534" s="217">
        <v>15</v>
      </c>
      <c r="U534" s="217"/>
      <c r="V534" s="217">
        <v>7</v>
      </c>
      <c r="W534" s="217"/>
      <c r="X534" s="218">
        <v>67</v>
      </c>
      <c r="Y534" s="221">
        <f t="shared" si="26"/>
        <v>63</v>
      </c>
      <c r="Z534">
        <f t="shared" si="27"/>
        <v>0</v>
      </c>
    </row>
    <row r="535" spans="1:26" x14ac:dyDescent="0.2">
      <c r="A535" s="26">
        <f t="shared" si="25"/>
        <v>42374</v>
      </c>
      <c r="B535" s="216">
        <v>2016</v>
      </c>
      <c r="C535" s="216">
        <v>1</v>
      </c>
      <c r="D535" s="216">
        <v>5</v>
      </c>
      <c r="E535" s="216" t="s">
        <v>152</v>
      </c>
      <c r="F535" s="217">
        <v>25</v>
      </c>
      <c r="G535" s="217"/>
      <c r="H535" s="217">
        <v>1</v>
      </c>
      <c r="I535" s="217">
        <v>1</v>
      </c>
      <c r="J535" s="217"/>
      <c r="K535" s="217"/>
      <c r="L535" s="217">
        <v>2</v>
      </c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8">
        <v>29</v>
      </c>
      <c r="Y535" s="221">
        <f t="shared" si="26"/>
        <v>4</v>
      </c>
      <c r="Z535">
        <f t="shared" si="27"/>
        <v>0</v>
      </c>
    </row>
    <row r="536" spans="1:26" x14ac:dyDescent="0.2">
      <c r="A536" s="26">
        <f t="shared" si="25"/>
        <v>42374</v>
      </c>
      <c r="B536" s="216">
        <v>2016</v>
      </c>
      <c r="C536" s="216">
        <v>1</v>
      </c>
      <c r="D536" s="216">
        <v>5</v>
      </c>
      <c r="E536" s="216" t="s">
        <v>153</v>
      </c>
      <c r="F536" s="217">
        <v>4</v>
      </c>
      <c r="G536" s="217"/>
      <c r="H536" s="217">
        <v>13</v>
      </c>
      <c r="I536" s="217">
        <v>19</v>
      </c>
      <c r="J536" s="217">
        <v>2</v>
      </c>
      <c r="K536" s="217"/>
      <c r="L536" s="217">
        <v>19</v>
      </c>
      <c r="M536" s="217"/>
      <c r="N536" s="217"/>
      <c r="O536" s="217"/>
      <c r="P536" s="217">
        <v>2</v>
      </c>
      <c r="Q536" s="217"/>
      <c r="R536" s="217">
        <v>9</v>
      </c>
      <c r="S536" s="217"/>
      <c r="T536" s="217">
        <v>12</v>
      </c>
      <c r="U536" s="217"/>
      <c r="V536" s="217">
        <v>12</v>
      </c>
      <c r="W536" s="217"/>
      <c r="X536" s="218">
        <v>92</v>
      </c>
      <c r="Y536" s="221">
        <f t="shared" si="26"/>
        <v>88</v>
      </c>
      <c r="Z536">
        <f t="shared" si="27"/>
        <v>0</v>
      </c>
    </row>
    <row r="537" spans="1:26" x14ac:dyDescent="0.2">
      <c r="A537" s="26">
        <f t="shared" si="25"/>
        <v>42375</v>
      </c>
      <c r="B537" s="216">
        <v>2016</v>
      </c>
      <c r="C537" s="216">
        <v>1</v>
      </c>
      <c r="D537" s="216">
        <v>6</v>
      </c>
      <c r="E537" s="216" t="s">
        <v>152</v>
      </c>
      <c r="F537" s="217">
        <v>16</v>
      </c>
      <c r="G537" s="217">
        <v>1</v>
      </c>
      <c r="H537" s="217"/>
      <c r="I537" s="217"/>
      <c r="J537" s="217"/>
      <c r="K537" s="217"/>
      <c r="L537" s="217">
        <v>1</v>
      </c>
      <c r="M537" s="217"/>
      <c r="N537" s="217"/>
      <c r="O537" s="217"/>
      <c r="P537" s="217"/>
      <c r="Q537" s="217"/>
      <c r="R537" s="217">
        <v>1</v>
      </c>
      <c r="S537" s="217"/>
      <c r="T537" s="217"/>
      <c r="U537" s="217"/>
      <c r="V537" s="217"/>
      <c r="W537" s="217"/>
      <c r="X537" s="218">
        <v>19</v>
      </c>
      <c r="Y537" s="221">
        <f t="shared" si="26"/>
        <v>3</v>
      </c>
      <c r="Z537">
        <f t="shared" si="27"/>
        <v>0</v>
      </c>
    </row>
    <row r="538" spans="1:26" x14ac:dyDescent="0.2">
      <c r="A538" s="26">
        <f t="shared" si="25"/>
        <v>42375</v>
      </c>
      <c r="B538" s="216">
        <v>2016</v>
      </c>
      <c r="C538" s="216">
        <v>1</v>
      </c>
      <c r="D538" s="216">
        <v>6</v>
      </c>
      <c r="E538" s="216" t="s">
        <v>153</v>
      </c>
      <c r="F538" s="217">
        <v>16</v>
      </c>
      <c r="G538" s="217">
        <v>2</v>
      </c>
      <c r="H538" s="217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8">
        <v>18</v>
      </c>
      <c r="Y538" s="221">
        <f t="shared" si="26"/>
        <v>2</v>
      </c>
      <c r="Z538">
        <f t="shared" si="27"/>
        <v>0</v>
      </c>
    </row>
    <row r="539" spans="1:26" x14ac:dyDescent="0.2">
      <c r="A539" s="26">
        <f t="shared" si="25"/>
        <v>42376</v>
      </c>
      <c r="B539" s="216">
        <v>2016</v>
      </c>
      <c r="C539" s="216">
        <v>1</v>
      </c>
      <c r="D539" s="216">
        <v>7</v>
      </c>
      <c r="E539" s="216" t="s">
        <v>152</v>
      </c>
      <c r="F539" s="217">
        <v>2</v>
      </c>
      <c r="G539" s="217"/>
      <c r="H539" s="217">
        <v>3</v>
      </c>
      <c r="I539" s="217">
        <v>3</v>
      </c>
      <c r="J539" s="217"/>
      <c r="K539" s="217"/>
      <c r="L539" s="217">
        <v>2</v>
      </c>
      <c r="M539" s="217"/>
      <c r="N539" s="217"/>
      <c r="O539" s="217"/>
      <c r="P539" s="217"/>
      <c r="Q539" s="217"/>
      <c r="R539" s="217">
        <v>10</v>
      </c>
      <c r="S539" s="217"/>
      <c r="T539" s="217">
        <v>9</v>
      </c>
      <c r="U539" s="217"/>
      <c r="V539" s="217"/>
      <c r="W539" s="217">
        <v>2</v>
      </c>
      <c r="X539" s="218">
        <v>31</v>
      </c>
      <c r="Y539" s="221">
        <f t="shared" si="26"/>
        <v>29</v>
      </c>
      <c r="Z539">
        <f t="shared" si="27"/>
        <v>0</v>
      </c>
    </row>
    <row r="540" spans="1:26" x14ac:dyDescent="0.2">
      <c r="A540" s="26">
        <f t="shared" si="25"/>
        <v>42376</v>
      </c>
      <c r="B540" s="216">
        <v>2016</v>
      </c>
      <c r="C540" s="216">
        <v>1</v>
      </c>
      <c r="D540" s="216">
        <v>7</v>
      </c>
      <c r="E540" s="216" t="s">
        <v>153</v>
      </c>
      <c r="F540" s="217">
        <v>6</v>
      </c>
      <c r="G540" s="217"/>
      <c r="H540" s="217">
        <v>17</v>
      </c>
      <c r="I540" s="217">
        <v>9</v>
      </c>
      <c r="J540" s="217">
        <v>6</v>
      </c>
      <c r="K540" s="217"/>
      <c r="L540" s="217">
        <v>10</v>
      </c>
      <c r="M540" s="217"/>
      <c r="N540" s="217"/>
      <c r="O540" s="217"/>
      <c r="P540" s="217"/>
      <c r="Q540" s="217"/>
      <c r="R540" s="217">
        <v>15</v>
      </c>
      <c r="S540" s="217"/>
      <c r="T540" s="217">
        <v>4</v>
      </c>
      <c r="U540" s="217"/>
      <c r="V540" s="217"/>
      <c r="W540" s="217"/>
      <c r="X540" s="218">
        <v>67</v>
      </c>
      <c r="Y540" s="221">
        <f t="shared" si="26"/>
        <v>61</v>
      </c>
      <c r="Z540">
        <f t="shared" si="27"/>
        <v>0</v>
      </c>
    </row>
    <row r="541" spans="1:26" x14ac:dyDescent="0.2">
      <c r="A541" s="26">
        <f t="shared" si="25"/>
        <v>42377</v>
      </c>
      <c r="B541" s="216">
        <v>2016</v>
      </c>
      <c r="C541" s="216">
        <v>1</v>
      </c>
      <c r="D541" s="216">
        <v>8</v>
      </c>
      <c r="E541" s="216" t="s">
        <v>152</v>
      </c>
      <c r="F541" s="217">
        <v>22</v>
      </c>
      <c r="G541" s="217"/>
      <c r="H541" s="217">
        <v>2</v>
      </c>
      <c r="I541" s="217"/>
      <c r="J541" s="217">
        <v>3</v>
      </c>
      <c r="K541" s="217"/>
      <c r="L541" s="217">
        <v>7</v>
      </c>
      <c r="M541" s="217"/>
      <c r="N541" s="217"/>
      <c r="O541" s="217"/>
      <c r="P541" s="217"/>
      <c r="Q541" s="217"/>
      <c r="R541" s="217">
        <v>5</v>
      </c>
      <c r="S541" s="217"/>
      <c r="T541" s="217"/>
      <c r="U541" s="217"/>
      <c r="V541" s="217"/>
      <c r="W541" s="217"/>
      <c r="X541" s="218">
        <v>39</v>
      </c>
      <c r="Y541" s="221">
        <f t="shared" si="26"/>
        <v>17</v>
      </c>
      <c r="Z541">
        <f t="shared" si="27"/>
        <v>0</v>
      </c>
    </row>
    <row r="542" spans="1:26" x14ac:dyDescent="0.2">
      <c r="A542" s="26">
        <f t="shared" si="25"/>
        <v>42377</v>
      </c>
      <c r="B542" s="216">
        <v>2016</v>
      </c>
      <c r="C542" s="216">
        <v>1</v>
      </c>
      <c r="D542" s="216">
        <v>8</v>
      </c>
      <c r="E542" s="216" t="s">
        <v>153</v>
      </c>
      <c r="F542" s="217">
        <v>2</v>
      </c>
      <c r="G542" s="217"/>
      <c r="H542" s="217"/>
      <c r="I542" s="217"/>
      <c r="J542" s="217">
        <v>2</v>
      </c>
      <c r="K542" s="217"/>
      <c r="L542" s="217">
        <v>6</v>
      </c>
      <c r="M542" s="217"/>
      <c r="N542" s="217"/>
      <c r="O542" s="217"/>
      <c r="P542" s="217"/>
      <c r="Q542" s="217"/>
      <c r="R542" s="217">
        <v>13</v>
      </c>
      <c r="S542" s="217"/>
      <c r="T542" s="217"/>
      <c r="U542" s="217"/>
      <c r="V542" s="217">
        <v>1</v>
      </c>
      <c r="W542" s="217">
        <v>1</v>
      </c>
      <c r="X542" s="218">
        <v>25</v>
      </c>
      <c r="Y542" s="221">
        <f t="shared" si="26"/>
        <v>23</v>
      </c>
      <c r="Z542">
        <f t="shared" si="27"/>
        <v>0</v>
      </c>
    </row>
    <row r="543" spans="1:26" x14ac:dyDescent="0.2">
      <c r="A543" s="26">
        <f t="shared" si="25"/>
        <v>42380</v>
      </c>
      <c r="B543" s="216">
        <v>2016</v>
      </c>
      <c r="C543" s="216">
        <v>1</v>
      </c>
      <c r="D543" s="216">
        <v>11</v>
      </c>
      <c r="E543" s="216" t="s">
        <v>152</v>
      </c>
      <c r="F543" s="217">
        <v>4</v>
      </c>
      <c r="G543" s="217"/>
      <c r="H543" s="217">
        <v>1</v>
      </c>
      <c r="I543" s="217">
        <v>1</v>
      </c>
      <c r="J543" s="217"/>
      <c r="K543" s="217"/>
      <c r="L543" s="217">
        <v>1</v>
      </c>
      <c r="M543" s="217"/>
      <c r="N543" s="217"/>
      <c r="O543" s="217"/>
      <c r="P543" s="217"/>
      <c r="Q543" s="217"/>
      <c r="R543" s="217">
        <v>1</v>
      </c>
      <c r="S543" s="217"/>
      <c r="T543" s="217">
        <v>4</v>
      </c>
      <c r="U543" s="217"/>
      <c r="V543" s="217"/>
      <c r="W543" s="217">
        <v>1</v>
      </c>
      <c r="X543" s="218">
        <v>13</v>
      </c>
      <c r="Y543" s="221">
        <f t="shared" si="26"/>
        <v>9</v>
      </c>
      <c r="Z543">
        <f t="shared" si="27"/>
        <v>0</v>
      </c>
    </row>
    <row r="544" spans="1:26" x14ac:dyDescent="0.2">
      <c r="A544" s="26">
        <f t="shared" si="25"/>
        <v>42380</v>
      </c>
      <c r="B544" s="216">
        <v>2016</v>
      </c>
      <c r="C544" s="216">
        <v>1</v>
      </c>
      <c r="D544" s="216">
        <v>11</v>
      </c>
      <c r="E544" s="216" t="s">
        <v>153</v>
      </c>
      <c r="F544" s="217"/>
      <c r="G544" s="217"/>
      <c r="H544" s="217"/>
      <c r="I544" s="217">
        <v>4</v>
      </c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>
        <v>3</v>
      </c>
      <c r="U544" s="217"/>
      <c r="V544" s="217"/>
      <c r="W544" s="217"/>
      <c r="X544" s="218">
        <v>7</v>
      </c>
      <c r="Y544" s="221">
        <f t="shared" si="26"/>
        <v>7</v>
      </c>
      <c r="Z544">
        <f t="shared" si="27"/>
        <v>0</v>
      </c>
    </row>
    <row r="545" spans="1:26" x14ac:dyDescent="0.2">
      <c r="A545" s="26">
        <f t="shared" si="25"/>
        <v>42381</v>
      </c>
      <c r="B545" s="216">
        <v>2016</v>
      </c>
      <c r="C545" s="216">
        <v>1</v>
      </c>
      <c r="D545" s="216">
        <v>12</v>
      </c>
      <c r="E545" s="216" t="s">
        <v>152</v>
      </c>
      <c r="F545" s="217">
        <v>51</v>
      </c>
      <c r="G545" s="217"/>
      <c r="H545" s="217">
        <v>5</v>
      </c>
      <c r="I545" s="217">
        <v>3</v>
      </c>
      <c r="J545" s="217"/>
      <c r="K545" s="217"/>
      <c r="L545" s="217">
        <v>1</v>
      </c>
      <c r="M545" s="217"/>
      <c r="N545" s="217"/>
      <c r="O545" s="217"/>
      <c r="P545" s="217"/>
      <c r="Q545" s="217"/>
      <c r="R545" s="217">
        <v>10</v>
      </c>
      <c r="S545" s="217"/>
      <c r="T545" s="217">
        <v>5</v>
      </c>
      <c r="U545" s="217"/>
      <c r="V545" s="217"/>
      <c r="W545" s="217"/>
      <c r="X545" s="218">
        <v>75</v>
      </c>
      <c r="Y545" s="221">
        <f t="shared" si="26"/>
        <v>24</v>
      </c>
      <c r="Z545">
        <f t="shared" si="27"/>
        <v>0</v>
      </c>
    </row>
    <row r="546" spans="1:26" x14ac:dyDescent="0.2">
      <c r="A546" s="26">
        <f t="shared" si="25"/>
        <v>42381</v>
      </c>
      <c r="B546" s="216">
        <v>2016</v>
      </c>
      <c r="C546" s="216">
        <v>1</v>
      </c>
      <c r="D546" s="216">
        <v>12</v>
      </c>
      <c r="E546" s="216" t="s">
        <v>153</v>
      </c>
      <c r="F546" s="217">
        <v>37</v>
      </c>
      <c r="G546" s="217"/>
      <c r="H546" s="217">
        <v>11</v>
      </c>
      <c r="I546" s="217">
        <v>3</v>
      </c>
      <c r="J546" s="217"/>
      <c r="K546" s="217"/>
      <c r="L546" s="217">
        <v>1</v>
      </c>
      <c r="M546" s="217"/>
      <c r="N546" s="217"/>
      <c r="O546" s="217"/>
      <c r="P546" s="217"/>
      <c r="Q546" s="217"/>
      <c r="R546" s="217">
        <v>8</v>
      </c>
      <c r="S546" s="217"/>
      <c r="T546" s="217">
        <v>9</v>
      </c>
      <c r="U546" s="217"/>
      <c r="V546" s="217"/>
      <c r="W546" s="217"/>
      <c r="X546" s="218">
        <v>69</v>
      </c>
      <c r="Y546" s="221">
        <f t="shared" si="26"/>
        <v>32</v>
      </c>
      <c r="Z546">
        <f t="shared" si="27"/>
        <v>0</v>
      </c>
    </row>
    <row r="547" spans="1:26" x14ac:dyDescent="0.2">
      <c r="A547" s="26">
        <f t="shared" si="25"/>
        <v>42382</v>
      </c>
      <c r="B547" s="216">
        <v>2016</v>
      </c>
      <c r="C547" s="216">
        <v>1</v>
      </c>
      <c r="D547" s="216">
        <v>13</v>
      </c>
      <c r="E547" s="216" t="s">
        <v>152</v>
      </c>
      <c r="F547" s="217">
        <v>4</v>
      </c>
      <c r="G547" s="217"/>
      <c r="H547" s="217">
        <v>8</v>
      </c>
      <c r="I547" s="217">
        <v>1</v>
      </c>
      <c r="J547" s="217"/>
      <c r="K547" s="217"/>
      <c r="L547" s="217">
        <v>6</v>
      </c>
      <c r="M547" s="217"/>
      <c r="N547" s="217"/>
      <c r="O547" s="217"/>
      <c r="P547" s="217"/>
      <c r="Q547" s="217">
        <v>4</v>
      </c>
      <c r="R547" s="217">
        <v>10</v>
      </c>
      <c r="S547" s="217"/>
      <c r="T547" s="217">
        <v>6</v>
      </c>
      <c r="U547" s="217"/>
      <c r="V547" s="217"/>
      <c r="W547" s="217">
        <v>1</v>
      </c>
      <c r="X547" s="218">
        <v>40</v>
      </c>
      <c r="Y547" s="221">
        <f t="shared" si="26"/>
        <v>36</v>
      </c>
      <c r="Z547">
        <f t="shared" si="27"/>
        <v>0</v>
      </c>
    </row>
    <row r="548" spans="1:26" x14ac:dyDescent="0.2">
      <c r="A548" s="26">
        <f t="shared" si="25"/>
        <v>42382</v>
      </c>
      <c r="B548" s="216">
        <v>2016</v>
      </c>
      <c r="C548" s="216">
        <v>1</v>
      </c>
      <c r="D548" s="216">
        <v>13</v>
      </c>
      <c r="E548" s="216" t="s">
        <v>153</v>
      </c>
      <c r="F548" s="217">
        <v>5</v>
      </c>
      <c r="G548" s="217"/>
      <c r="H548" s="217">
        <v>6</v>
      </c>
      <c r="I548" s="217">
        <v>1</v>
      </c>
      <c r="J548" s="217"/>
      <c r="K548" s="217"/>
      <c r="L548" s="217">
        <v>7</v>
      </c>
      <c r="M548" s="217"/>
      <c r="N548" s="217"/>
      <c r="O548" s="217"/>
      <c r="P548" s="217"/>
      <c r="Q548" s="217"/>
      <c r="R548" s="217">
        <v>10</v>
      </c>
      <c r="S548" s="217"/>
      <c r="T548" s="217">
        <v>10</v>
      </c>
      <c r="U548" s="217"/>
      <c r="V548" s="217"/>
      <c r="W548" s="217"/>
      <c r="X548" s="218">
        <v>39</v>
      </c>
      <c r="Y548" s="221">
        <f t="shared" si="26"/>
        <v>34</v>
      </c>
      <c r="Z548">
        <f t="shared" si="27"/>
        <v>0</v>
      </c>
    </row>
    <row r="549" spans="1:26" x14ac:dyDescent="0.2">
      <c r="A549" s="26">
        <f t="shared" si="25"/>
        <v>42383</v>
      </c>
      <c r="B549" s="216">
        <v>2016</v>
      </c>
      <c r="C549" s="216">
        <v>1</v>
      </c>
      <c r="D549" s="216">
        <v>14</v>
      </c>
      <c r="E549" s="216" t="s">
        <v>152</v>
      </c>
      <c r="F549" s="217">
        <v>4</v>
      </c>
      <c r="G549" s="217"/>
      <c r="H549" s="217">
        <v>2</v>
      </c>
      <c r="I549" s="217"/>
      <c r="J549" s="217"/>
      <c r="K549" s="217"/>
      <c r="L549" s="217">
        <v>7</v>
      </c>
      <c r="M549" s="217"/>
      <c r="N549" s="217"/>
      <c r="O549" s="217"/>
      <c r="P549" s="217"/>
      <c r="Q549" s="217"/>
      <c r="R549" s="217">
        <v>6</v>
      </c>
      <c r="S549" s="217"/>
      <c r="T549" s="217">
        <v>3</v>
      </c>
      <c r="U549" s="217"/>
      <c r="V549" s="217"/>
      <c r="W549" s="217"/>
      <c r="X549" s="218">
        <v>22</v>
      </c>
      <c r="Y549" s="221">
        <f t="shared" si="26"/>
        <v>18</v>
      </c>
      <c r="Z549">
        <f t="shared" si="27"/>
        <v>0</v>
      </c>
    </row>
    <row r="550" spans="1:26" x14ac:dyDescent="0.2">
      <c r="A550" s="26">
        <f t="shared" si="25"/>
        <v>42383</v>
      </c>
      <c r="B550" s="216">
        <v>2016</v>
      </c>
      <c r="C550" s="216">
        <v>1</v>
      </c>
      <c r="D550" s="216">
        <v>14</v>
      </c>
      <c r="E550" s="216" t="s">
        <v>153</v>
      </c>
      <c r="F550" s="217">
        <v>8</v>
      </c>
      <c r="G550" s="217"/>
      <c r="H550" s="217">
        <v>5</v>
      </c>
      <c r="I550" s="217">
        <v>1</v>
      </c>
      <c r="J550" s="217"/>
      <c r="K550" s="217"/>
      <c r="L550" s="217">
        <v>15</v>
      </c>
      <c r="M550" s="217"/>
      <c r="N550" s="217"/>
      <c r="O550" s="217"/>
      <c r="P550" s="217"/>
      <c r="Q550" s="217"/>
      <c r="R550" s="217">
        <v>9</v>
      </c>
      <c r="S550" s="217"/>
      <c r="T550" s="217">
        <v>6</v>
      </c>
      <c r="U550" s="217"/>
      <c r="V550" s="217"/>
      <c r="W550" s="217"/>
      <c r="X550" s="218">
        <v>44</v>
      </c>
      <c r="Y550" s="221">
        <f t="shared" si="26"/>
        <v>36</v>
      </c>
      <c r="Z550">
        <f t="shared" si="27"/>
        <v>0</v>
      </c>
    </row>
    <row r="551" spans="1:26" x14ac:dyDescent="0.2">
      <c r="A551" s="26">
        <f t="shared" si="25"/>
        <v>42384</v>
      </c>
      <c r="B551" s="216">
        <v>2016</v>
      </c>
      <c r="C551" s="216">
        <v>1</v>
      </c>
      <c r="D551" s="216">
        <v>15</v>
      </c>
      <c r="E551" s="216" t="s">
        <v>152</v>
      </c>
      <c r="F551" s="217">
        <v>1</v>
      </c>
      <c r="G551" s="217"/>
      <c r="H551" s="217">
        <v>1</v>
      </c>
      <c r="I551" s="217">
        <v>4</v>
      </c>
      <c r="J551" s="217"/>
      <c r="K551" s="217"/>
      <c r="L551" s="217">
        <v>2</v>
      </c>
      <c r="M551" s="217"/>
      <c r="N551" s="217"/>
      <c r="O551" s="217"/>
      <c r="P551" s="217"/>
      <c r="Q551" s="217"/>
      <c r="R551" s="217">
        <v>6</v>
      </c>
      <c r="S551" s="217"/>
      <c r="T551" s="217">
        <v>8</v>
      </c>
      <c r="U551" s="217"/>
      <c r="V551" s="217"/>
      <c r="W551" s="217"/>
      <c r="X551" s="218">
        <v>22</v>
      </c>
      <c r="Y551" s="221">
        <f t="shared" si="26"/>
        <v>21</v>
      </c>
      <c r="Z551">
        <f t="shared" si="27"/>
        <v>0</v>
      </c>
    </row>
    <row r="552" spans="1:26" x14ac:dyDescent="0.2">
      <c r="A552" s="26">
        <f t="shared" si="25"/>
        <v>42384</v>
      </c>
      <c r="B552" s="216">
        <v>2016</v>
      </c>
      <c r="C552" s="216">
        <v>1</v>
      </c>
      <c r="D552" s="216">
        <v>15</v>
      </c>
      <c r="E552" s="216" t="s">
        <v>153</v>
      </c>
      <c r="F552" s="217"/>
      <c r="G552" s="217"/>
      <c r="H552" s="217">
        <v>3</v>
      </c>
      <c r="I552" s="217">
        <v>6</v>
      </c>
      <c r="J552" s="217"/>
      <c r="K552" s="217"/>
      <c r="L552" s="217">
        <v>12</v>
      </c>
      <c r="M552" s="217"/>
      <c r="N552" s="217"/>
      <c r="O552" s="217"/>
      <c r="P552" s="217"/>
      <c r="Q552" s="217"/>
      <c r="R552" s="217">
        <v>3</v>
      </c>
      <c r="S552" s="217"/>
      <c r="T552" s="217">
        <v>6</v>
      </c>
      <c r="U552" s="217"/>
      <c r="V552" s="217"/>
      <c r="W552" s="217"/>
      <c r="X552" s="218">
        <v>30</v>
      </c>
      <c r="Y552" s="221">
        <f t="shared" si="26"/>
        <v>30</v>
      </c>
      <c r="Z552">
        <f t="shared" si="27"/>
        <v>0</v>
      </c>
    </row>
    <row r="553" spans="1:26" x14ac:dyDescent="0.2">
      <c r="A553" s="26">
        <f t="shared" si="25"/>
        <v>42385</v>
      </c>
      <c r="B553" s="216">
        <v>2016</v>
      </c>
      <c r="C553" s="216">
        <v>1</v>
      </c>
      <c r="D553" s="216">
        <v>16</v>
      </c>
      <c r="E553" s="216" t="s">
        <v>152</v>
      </c>
      <c r="F553" s="217"/>
      <c r="G553" s="217"/>
      <c r="H553" s="217"/>
      <c r="I553" s="217">
        <v>5</v>
      </c>
      <c r="J553" s="217"/>
      <c r="K553" s="217"/>
      <c r="L553" s="217">
        <v>4</v>
      </c>
      <c r="M553" s="217"/>
      <c r="N553" s="217"/>
      <c r="O553" s="217"/>
      <c r="P553" s="217"/>
      <c r="Q553" s="217"/>
      <c r="R553" s="217">
        <v>4</v>
      </c>
      <c r="S553" s="217"/>
      <c r="T553" s="217"/>
      <c r="U553" s="217"/>
      <c r="V553" s="217"/>
      <c r="W553" s="217"/>
      <c r="X553" s="218">
        <v>13</v>
      </c>
      <c r="Y553" s="221">
        <f t="shared" si="26"/>
        <v>13</v>
      </c>
      <c r="Z553">
        <f t="shared" si="27"/>
        <v>0</v>
      </c>
    </row>
    <row r="554" spans="1:26" x14ac:dyDescent="0.2">
      <c r="A554" s="26">
        <f t="shared" si="25"/>
        <v>42385</v>
      </c>
      <c r="B554" s="216">
        <v>2016</v>
      </c>
      <c r="C554" s="216">
        <v>1</v>
      </c>
      <c r="D554" s="216">
        <v>16</v>
      </c>
      <c r="E554" s="216" t="s">
        <v>153</v>
      </c>
      <c r="F554" s="217">
        <v>5</v>
      </c>
      <c r="G554" s="217"/>
      <c r="H554" s="217"/>
      <c r="I554" s="217">
        <v>11</v>
      </c>
      <c r="J554" s="217"/>
      <c r="K554" s="217"/>
      <c r="L554" s="217">
        <v>14</v>
      </c>
      <c r="M554" s="217"/>
      <c r="N554" s="217"/>
      <c r="O554" s="217"/>
      <c r="P554" s="217"/>
      <c r="Q554" s="217"/>
      <c r="R554" s="217">
        <v>13</v>
      </c>
      <c r="S554" s="217"/>
      <c r="T554" s="217"/>
      <c r="U554" s="217"/>
      <c r="V554" s="217"/>
      <c r="W554" s="217"/>
      <c r="X554" s="218">
        <v>43</v>
      </c>
      <c r="Y554" s="221">
        <f t="shared" si="26"/>
        <v>38</v>
      </c>
      <c r="Z554">
        <f t="shared" si="27"/>
        <v>43</v>
      </c>
    </row>
    <row r="555" spans="1:26" x14ac:dyDescent="0.2">
      <c r="A555" s="26">
        <f t="shared" si="25"/>
        <v>42387</v>
      </c>
      <c r="B555" s="216">
        <v>2016</v>
      </c>
      <c r="C555" s="216">
        <v>1</v>
      </c>
      <c r="D555" s="216">
        <v>18</v>
      </c>
      <c r="E555" s="216" t="s">
        <v>152</v>
      </c>
      <c r="F555" s="217">
        <v>7</v>
      </c>
      <c r="G555" s="217"/>
      <c r="H555" s="217">
        <v>1</v>
      </c>
      <c r="I555" s="217">
        <v>5</v>
      </c>
      <c r="J555" s="217">
        <v>1</v>
      </c>
      <c r="K555" s="217"/>
      <c r="L555" s="217">
        <v>1</v>
      </c>
      <c r="M555" s="217"/>
      <c r="N555" s="217"/>
      <c r="O555" s="217"/>
      <c r="P555" s="217"/>
      <c r="Q555" s="217"/>
      <c r="R555" s="217"/>
      <c r="S555" s="217"/>
      <c r="T555" s="217">
        <v>4</v>
      </c>
      <c r="U555" s="217"/>
      <c r="V555" s="217"/>
      <c r="W555" s="217"/>
      <c r="X555" s="218">
        <v>19</v>
      </c>
      <c r="Y555" s="221">
        <f t="shared" si="26"/>
        <v>12</v>
      </c>
      <c r="Z555">
        <f t="shared" si="27"/>
        <v>0</v>
      </c>
    </row>
    <row r="556" spans="1:26" x14ac:dyDescent="0.2">
      <c r="A556" s="26">
        <f t="shared" si="25"/>
        <v>42387</v>
      </c>
      <c r="B556" s="216">
        <v>2016</v>
      </c>
      <c r="C556" s="216">
        <v>1</v>
      </c>
      <c r="D556" s="216">
        <v>18</v>
      </c>
      <c r="E556" s="216" t="s">
        <v>153</v>
      </c>
      <c r="F556" s="217"/>
      <c r="G556" s="217"/>
      <c r="H556" s="217">
        <v>5</v>
      </c>
      <c r="I556" s="217">
        <v>2</v>
      </c>
      <c r="J556" s="217">
        <v>1</v>
      </c>
      <c r="K556" s="217"/>
      <c r="L556" s="217">
        <v>12</v>
      </c>
      <c r="M556" s="217"/>
      <c r="N556" s="217"/>
      <c r="O556" s="217"/>
      <c r="P556" s="217"/>
      <c r="Q556" s="217"/>
      <c r="R556" s="217">
        <v>1</v>
      </c>
      <c r="S556" s="217"/>
      <c r="T556" s="217">
        <v>5</v>
      </c>
      <c r="U556" s="217"/>
      <c r="V556" s="217"/>
      <c r="W556" s="217"/>
      <c r="X556" s="218">
        <v>26</v>
      </c>
      <c r="Y556" s="221">
        <f t="shared" si="26"/>
        <v>26</v>
      </c>
      <c r="Z556">
        <f t="shared" si="27"/>
        <v>0</v>
      </c>
    </row>
    <row r="557" spans="1:26" x14ac:dyDescent="0.2">
      <c r="A557" s="26">
        <f t="shared" si="25"/>
        <v>42388</v>
      </c>
      <c r="B557" s="216">
        <v>2016</v>
      </c>
      <c r="C557" s="216">
        <v>1</v>
      </c>
      <c r="D557" s="216">
        <v>19</v>
      </c>
      <c r="E557" s="216" t="s">
        <v>152</v>
      </c>
      <c r="F557" s="217">
        <v>8</v>
      </c>
      <c r="G557" s="217"/>
      <c r="H557" s="217">
        <v>4</v>
      </c>
      <c r="I557" s="217">
        <v>2</v>
      </c>
      <c r="J557" s="217"/>
      <c r="K557" s="217"/>
      <c r="L557" s="217"/>
      <c r="M557" s="217"/>
      <c r="N557" s="217"/>
      <c r="O557" s="217"/>
      <c r="P557" s="217"/>
      <c r="Q557" s="217"/>
      <c r="R557" s="217">
        <v>2</v>
      </c>
      <c r="S557" s="217"/>
      <c r="T557" s="217">
        <v>7</v>
      </c>
      <c r="U557" s="217"/>
      <c r="V557" s="217"/>
      <c r="W557" s="217"/>
      <c r="X557" s="218">
        <v>23</v>
      </c>
      <c r="Y557" s="221">
        <f t="shared" si="26"/>
        <v>15</v>
      </c>
      <c r="Z557">
        <f t="shared" si="27"/>
        <v>0</v>
      </c>
    </row>
    <row r="558" spans="1:26" x14ac:dyDescent="0.2">
      <c r="A558" s="26">
        <f t="shared" si="25"/>
        <v>42388</v>
      </c>
      <c r="B558" s="216">
        <v>2016</v>
      </c>
      <c r="C558" s="216">
        <v>1</v>
      </c>
      <c r="D558" s="216">
        <v>19</v>
      </c>
      <c r="E558" s="216" t="s">
        <v>153</v>
      </c>
      <c r="F558" s="217"/>
      <c r="G558" s="217"/>
      <c r="H558" s="217">
        <v>11</v>
      </c>
      <c r="I558" s="217">
        <v>6</v>
      </c>
      <c r="J558" s="217"/>
      <c r="K558" s="217"/>
      <c r="L558" s="217">
        <v>7</v>
      </c>
      <c r="M558" s="217"/>
      <c r="N558" s="217"/>
      <c r="O558" s="217"/>
      <c r="P558" s="217">
        <v>1</v>
      </c>
      <c r="Q558" s="217"/>
      <c r="R558" s="217">
        <v>4</v>
      </c>
      <c r="S558" s="217"/>
      <c r="T558" s="217">
        <v>5</v>
      </c>
      <c r="U558" s="217"/>
      <c r="V558" s="217"/>
      <c r="W558" s="217"/>
      <c r="X558" s="218">
        <v>34</v>
      </c>
      <c r="Y558" s="221">
        <f t="shared" si="26"/>
        <v>34</v>
      </c>
      <c r="Z558">
        <f t="shared" si="27"/>
        <v>0</v>
      </c>
    </row>
    <row r="559" spans="1:26" x14ac:dyDescent="0.2">
      <c r="A559" s="26">
        <f t="shared" si="25"/>
        <v>42389</v>
      </c>
      <c r="B559" s="216">
        <v>2016</v>
      </c>
      <c r="C559" s="216">
        <v>1</v>
      </c>
      <c r="D559" s="216">
        <v>20</v>
      </c>
      <c r="E559" s="216" t="s">
        <v>152</v>
      </c>
      <c r="F559" s="217">
        <v>9</v>
      </c>
      <c r="G559" s="217"/>
      <c r="H559" s="217">
        <v>3</v>
      </c>
      <c r="I559" s="217">
        <v>1</v>
      </c>
      <c r="J559" s="217"/>
      <c r="K559" s="217"/>
      <c r="L559" s="217">
        <v>1</v>
      </c>
      <c r="M559" s="217"/>
      <c r="N559" s="217"/>
      <c r="O559" s="217"/>
      <c r="P559" s="217">
        <v>4</v>
      </c>
      <c r="Q559" s="217"/>
      <c r="R559" s="217">
        <v>2</v>
      </c>
      <c r="S559" s="217"/>
      <c r="T559" s="217">
        <v>2</v>
      </c>
      <c r="U559" s="217"/>
      <c r="V559" s="217"/>
      <c r="W559" s="217">
        <v>1</v>
      </c>
      <c r="X559" s="218">
        <v>23</v>
      </c>
      <c r="Y559" s="221">
        <f t="shared" si="26"/>
        <v>14</v>
      </c>
      <c r="Z559">
        <f t="shared" si="27"/>
        <v>0</v>
      </c>
    </row>
    <row r="560" spans="1:26" x14ac:dyDescent="0.2">
      <c r="A560" s="26">
        <f t="shared" si="25"/>
        <v>42389</v>
      </c>
      <c r="B560" s="216">
        <v>2016</v>
      </c>
      <c r="C560" s="216">
        <v>1</v>
      </c>
      <c r="D560" s="216">
        <v>20</v>
      </c>
      <c r="E560" s="216" t="s">
        <v>153</v>
      </c>
      <c r="F560" s="217"/>
      <c r="G560" s="217"/>
      <c r="H560" s="217">
        <v>5</v>
      </c>
      <c r="I560" s="217"/>
      <c r="J560" s="217">
        <v>3</v>
      </c>
      <c r="K560" s="217"/>
      <c r="L560" s="217">
        <v>7</v>
      </c>
      <c r="M560" s="217"/>
      <c r="N560" s="217"/>
      <c r="O560" s="217"/>
      <c r="P560" s="217">
        <v>6</v>
      </c>
      <c r="Q560" s="217"/>
      <c r="R560" s="217">
        <v>2</v>
      </c>
      <c r="S560" s="217"/>
      <c r="T560" s="217">
        <v>6</v>
      </c>
      <c r="U560" s="217"/>
      <c r="V560" s="217"/>
      <c r="W560" s="217">
        <v>2</v>
      </c>
      <c r="X560" s="218">
        <v>31</v>
      </c>
      <c r="Y560" s="221">
        <f t="shared" si="26"/>
        <v>31</v>
      </c>
      <c r="Z560">
        <f t="shared" si="27"/>
        <v>0</v>
      </c>
    </row>
    <row r="561" spans="1:26" x14ac:dyDescent="0.2">
      <c r="A561" s="26">
        <f t="shared" si="25"/>
        <v>42390</v>
      </c>
      <c r="B561" s="216">
        <v>2016</v>
      </c>
      <c r="C561" s="216">
        <v>1</v>
      </c>
      <c r="D561" s="216">
        <v>21</v>
      </c>
      <c r="E561" s="216" t="s">
        <v>152</v>
      </c>
      <c r="F561" s="217">
        <v>11</v>
      </c>
      <c r="G561" s="217"/>
      <c r="H561" s="217"/>
      <c r="I561" s="217">
        <v>2</v>
      </c>
      <c r="J561" s="217"/>
      <c r="K561" s="217"/>
      <c r="L561" s="217">
        <v>3</v>
      </c>
      <c r="M561" s="217"/>
      <c r="N561" s="217"/>
      <c r="O561" s="217"/>
      <c r="P561" s="217"/>
      <c r="Q561" s="217"/>
      <c r="R561" s="217">
        <v>5</v>
      </c>
      <c r="S561" s="217"/>
      <c r="T561" s="217">
        <v>20</v>
      </c>
      <c r="U561" s="217"/>
      <c r="V561" s="217"/>
      <c r="W561" s="217"/>
      <c r="X561" s="218">
        <v>41</v>
      </c>
      <c r="Y561" s="221">
        <f t="shared" si="26"/>
        <v>30</v>
      </c>
      <c r="Z561">
        <f t="shared" si="27"/>
        <v>0</v>
      </c>
    </row>
    <row r="562" spans="1:26" x14ac:dyDescent="0.2">
      <c r="A562" s="26">
        <f t="shared" si="25"/>
        <v>42390</v>
      </c>
      <c r="B562" s="216">
        <v>2016</v>
      </c>
      <c r="C562" s="216">
        <v>1</v>
      </c>
      <c r="D562" s="216">
        <v>21</v>
      </c>
      <c r="E562" s="216" t="s">
        <v>153</v>
      </c>
      <c r="F562" s="217">
        <v>3</v>
      </c>
      <c r="G562" s="217"/>
      <c r="H562" s="217">
        <v>6</v>
      </c>
      <c r="I562" s="217">
        <v>7</v>
      </c>
      <c r="J562" s="217">
        <v>4</v>
      </c>
      <c r="K562" s="217"/>
      <c r="L562" s="217">
        <v>5</v>
      </c>
      <c r="M562" s="217"/>
      <c r="N562" s="217"/>
      <c r="O562" s="217"/>
      <c r="P562" s="217">
        <v>1</v>
      </c>
      <c r="Q562" s="217"/>
      <c r="R562" s="217">
        <v>4</v>
      </c>
      <c r="S562" s="217"/>
      <c r="T562" s="217">
        <v>7</v>
      </c>
      <c r="U562" s="217"/>
      <c r="V562" s="217"/>
      <c r="W562" s="217"/>
      <c r="X562" s="218">
        <v>37</v>
      </c>
      <c r="Y562" s="221">
        <f t="shared" si="26"/>
        <v>34</v>
      </c>
      <c r="Z562">
        <f t="shared" si="27"/>
        <v>0</v>
      </c>
    </row>
    <row r="563" spans="1:26" x14ac:dyDescent="0.2">
      <c r="A563" s="26">
        <f t="shared" si="25"/>
        <v>42391</v>
      </c>
      <c r="B563" s="216">
        <v>2016</v>
      </c>
      <c r="C563" s="216">
        <v>1</v>
      </c>
      <c r="D563" s="216">
        <v>22</v>
      </c>
      <c r="E563" s="216" t="s">
        <v>152</v>
      </c>
      <c r="F563" s="217">
        <v>3</v>
      </c>
      <c r="G563" s="217"/>
      <c r="H563" s="217">
        <v>3</v>
      </c>
      <c r="I563" s="217"/>
      <c r="J563" s="217"/>
      <c r="K563" s="217"/>
      <c r="L563" s="217">
        <v>1</v>
      </c>
      <c r="M563" s="217"/>
      <c r="N563" s="217"/>
      <c r="O563" s="217"/>
      <c r="P563" s="217">
        <v>1</v>
      </c>
      <c r="Q563" s="217"/>
      <c r="R563" s="217"/>
      <c r="S563" s="217"/>
      <c r="T563" s="217">
        <v>5</v>
      </c>
      <c r="U563" s="217"/>
      <c r="V563" s="217">
        <v>22</v>
      </c>
      <c r="W563" s="217"/>
      <c r="X563" s="218">
        <v>35</v>
      </c>
      <c r="Y563" s="221">
        <f t="shared" si="26"/>
        <v>32</v>
      </c>
      <c r="Z563">
        <f t="shared" si="27"/>
        <v>0</v>
      </c>
    </row>
    <row r="564" spans="1:26" x14ac:dyDescent="0.2">
      <c r="A564" s="26">
        <f t="shared" si="25"/>
        <v>42391</v>
      </c>
      <c r="B564" s="216">
        <v>2016</v>
      </c>
      <c r="C564" s="216">
        <v>1</v>
      </c>
      <c r="D564" s="216">
        <v>22</v>
      </c>
      <c r="E564" s="216" t="s">
        <v>153</v>
      </c>
      <c r="F564" s="217">
        <v>4</v>
      </c>
      <c r="G564" s="217"/>
      <c r="H564" s="217">
        <v>2</v>
      </c>
      <c r="I564" s="217">
        <v>10</v>
      </c>
      <c r="J564" s="217"/>
      <c r="K564" s="217"/>
      <c r="L564" s="217">
        <v>9</v>
      </c>
      <c r="M564" s="217"/>
      <c r="N564" s="217"/>
      <c r="O564" s="217"/>
      <c r="P564" s="217">
        <v>4</v>
      </c>
      <c r="Q564" s="217"/>
      <c r="R564" s="217">
        <v>1</v>
      </c>
      <c r="S564" s="217"/>
      <c r="T564" s="217">
        <v>6</v>
      </c>
      <c r="U564" s="217"/>
      <c r="V564" s="217">
        <v>7</v>
      </c>
      <c r="W564" s="217"/>
      <c r="X564" s="218">
        <v>43</v>
      </c>
      <c r="Y564" s="221">
        <f t="shared" si="26"/>
        <v>39</v>
      </c>
      <c r="Z564">
        <f t="shared" si="27"/>
        <v>0</v>
      </c>
    </row>
    <row r="565" spans="1:26" x14ac:dyDescent="0.2">
      <c r="A565" s="26">
        <f t="shared" si="25"/>
        <v>42392</v>
      </c>
      <c r="B565" s="216">
        <v>2016</v>
      </c>
      <c r="C565" s="216">
        <v>1</v>
      </c>
      <c r="D565" s="216">
        <v>23</v>
      </c>
      <c r="E565" s="216" t="s">
        <v>152</v>
      </c>
      <c r="F565" s="217"/>
      <c r="G565" s="217"/>
      <c r="H565" s="217"/>
      <c r="I565" s="217">
        <v>1</v>
      </c>
      <c r="J565" s="217"/>
      <c r="K565" s="217"/>
      <c r="L565" s="217">
        <v>2</v>
      </c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8">
        <v>3</v>
      </c>
      <c r="Y565" s="221">
        <f t="shared" si="26"/>
        <v>3</v>
      </c>
      <c r="Z565">
        <f t="shared" si="27"/>
        <v>0</v>
      </c>
    </row>
    <row r="566" spans="1:26" x14ac:dyDescent="0.2">
      <c r="A566" s="26">
        <f t="shared" si="25"/>
        <v>42392</v>
      </c>
      <c r="B566" s="216">
        <v>2016</v>
      </c>
      <c r="C566" s="216">
        <v>1</v>
      </c>
      <c r="D566" s="216">
        <v>23</v>
      </c>
      <c r="E566" s="216" t="s">
        <v>153</v>
      </c>
      <c r="F566" s="217">
        <v>1</v>
      </c>
      <c r="G566" s="217"/>
      <c r="H566" s="217">
        <v>5</v>
      </c>
      <c r="I566" s="217">
        <v>1</v>
      </c>
      <c r="J566" s="217"/>
      <c r="K566" s="217"/>
      <c r="L566" s="217">
        <v>14</v>
      </c>
      <c r="M566" s="217"/>
      <c r="N566" s="217"/>
      <c r="O566" s="217"/>
      <c r="P566" s="217"/>
      <c r="Q566" s="217"/>
      <c r="R566" s="217"/>
      <c r="S566" s="217"/>
      <c r="T566" s="217"/>
      <c r="U566" s="217"/>
      <c r="V566" s="217">
        <v>18</v>
      </c>
      <c r="W566" s="217"/>
      <c r="X566" s="218">
        <v>39</v>
      </c>
      <c r="Y566" s="221">
        <f t="shared" si="26"/>
        <v>38</v>
      </c>
      <c r="Z566">
        <f t="shared" si="27"/>
        <v>39</v>
      </c>
    </row>
    <row r="567" spans="1:26" x14ac:dyDescent="0.2">
      <c r="A567" s="26">
        <f t="shared" si="25"/>
        <v>42394</v>
      </c>
      <c r="B567" s="216">
        <v>2016</v>
      </c>
      <c r="C567" s="216">
        <v>1</v>
      </c>
      <c r="D567" s="216">
        <v>25</v>
      </c>
      <c r="E567" s="216" t="s">
        <v>152</v>
      </c>
      <c r="F567" s="217">
        <v>15</v>
      </c>
      <c r="G567" s="217"/>
      <c r="H567" s="217">
        <v>2</v>
      </c>
      <c r="I567" s="217">
        <v>3</v>
      </c>
      <c r="J567" s="217">
        <v>3</v>
      </c>
      <c r="K567" s="217"/>
      <c r="L567" s="217">
        <v>2</v>
      </c>
      <c r="M567" s="217"/>
      <c r="N567" s="217"/>
      <c r="O567" s="217"/>
      <c r="P567" s="217"/>
      <c r="Q567" s="217"/>
      <c r="R567" s="217">
        <v>6</v>
      </c>
      <c r="S567" s="217"/>
      <c r="T567" s="217">
        <v>3</v>
      </c>
      <c r="U567" s="217"/>
      <c r="V567" s="217">
        <v>4</v>
      </c>
      <c r="W567" s="217"/>
      <c r="X567" s="218">
        <v>38</v>
      </c>
      <c r="Y567" s="221">
        <f t="shared" si="26"/>
        <v>23</v>
      </c>
      <c r="Z567">
        <f t="shared" si="27"/>
        <v>0</v>
      </c>
    </row>
    <row r="568" spans="1:26" x14ac:dyDescent="0.2">
      <c r="A568" s="26">
        <f t="shared" si="25"/>
        <v>42394</v>
      </c>
      <c r="B568" s="216">
        <v>2016</v>
      </c>
      <c r="C568" s="216">
        <v>1</v>
      </c>
      <c r="D568" s="216">
        <v>25</v>
      </c>
      <c r="E568" s="216" t="s">
        <v>153</v>
      </c>
      <c r="F568" s="217"/>
      <c r="G568" s="217"/>
      <c r="H568" s="217"/>
      <c r="I568" s="217">
        <v>7</v>
      </c>
      <c r="J568" s="217">
        <v>9</v>
      </c>
      <c r="K568" s="217"/>
      <c r="L568" s="217">
        <v>5</v>
      </c>
      <c r="M568" s="217"/>
      <c r="N568" s="217"/>
      <c r="O568" s="217"/>
      <c r="P568" s="217">
        <v>2</v>
      </c>
      <c r="Q568" s="217"/>
      <c r="R568" s="217">
        <v>7</v>
      </c>
      <c r="S568" s="217"/>
      <c r="T568" s="217">
        <v>3</v>
      </c>
      <c r="U568" s="217"/>
      <c r="V568" s="217">
        <v>4</v>
      </c>
      <c r="W568" s="217"/>
      <c r="X568" s="218">
        <v>37</v>
      </c>
      <c r="Y568" s="221">
        <f t="shared" si="26"/>
        <v>37</v>
      </c>
      <c r="Z568">
        <f t="shared" si="27"/>
        <v>0</v>
      </c>
    </row>
    <row r="569" spans="1:26" x14ac:dyDescent="0.2">
      <c r="A569" s="26">
        <f t="shared" si="25"/>
        <v>42395</v>
      </c>
      <c r="B569" s="216">
        <v>2016</v>
      </c>
      <c r="C569" s="216">
        <v>1</v>
      </c>
      <c r="D569" s="216">
        <v>26</v>
      </c>
      <c r="E569" s="216" t="s">
        <v>152</v>
      </c>
      <c r="F569" s="217">
        <v>17</v>
      </c>
      <c r="G569" s="217"/>
      <c r="H569" s="217">
        <v>2</v>
      </c>
      <c r="I569" s="217">
        <v>2</v>
      </c>
      <c r="J569" s="217"/>
      <c r="K569" s="217"/>
      <c r="L569" s="217">
        <v>2</v>
      </c>
      <c r="M569" s="217"/>
      <c r="N569" s="217"/>
      <c r="O569" s="217"/>
      <c r="P569" s="217">
        <v>2</v>
      </c>
      <c r="Q569" s="217"/>
      <c r="R569" s="217">
        <v>6</v>
      </c>
      <c r="S569" s="217"/>
      <c r="T569" s="217">
        <v>2</v>
      </c>
      <c r="U569" s="217"/>
      <c r="V569" s="217">
        <v>3</v>
      </c>
      <c r="W569" s="217"/>
      <c r="X569" s="218">
        <v>36</v>
      </c>
      <c r="Y569" s="221">
        <f t="shared" si="26"/>
        <v>19</v>
      </c>
      <c r="Z569">
        <f t="shared" si="27"/>
        <v>0</v>
      </c>
    </row>
    <row r="570" spans="1:26" x14ac:dyDescent="0.2">
      <c r="A570" s="26">
        <f t="shared" si="25"/>
        <v>42395</v>
      </c>
      <c r="B570" s="216">
        <v>2016</v>
      </c>
      <c r="C570" s="216">
        <v>1</v>
      </c>
      <c r="D570" s="216">
        <v>26</v>
      </c>
      <c r="E570" s="216" t="s">
        <v>153</v>
      </c>
      <c r="F570" s="217">
        <v>1</v>
      </c>
      <c r="G570" s="217"/>
      <c r="H570" s="217">
        <v>2</v>
      </c>
      <c r="I570" s="217">
        <v>8</v>
      </c>
      <c r="J570" s="217">
        <v>6</v>
      </c>
      <c r="K570" s="217"/>
      <c r="L570" s="217">
        <v>6</v>
      </c>
      <c r="M570" s="217"/>
      <c r="N570" s="217"/>
      <c r="O570" s="217"/>
      <c r="P570" s="217"/>
      <c r="Q570" s="217"/>
      <c r="R570" s="217">
        <v>2</v>
      </c>
      <c r="S570" s="217"/>
      <c r="T570" s="217">
        <v>6</v>
      </c>
      <c r="U570" s="217"/>
      <c r="V570" s="217">
        <v>3</v>
      </c>
      <c r="W570" s="217"/>
      <c r="X570" s="218">
        <v>34</v>
      </c>
      <c r="Y570" s="221">
        <f t="shared" si="26"/>
        <v>33</v>
      </c>
      <c r="Z570">
        <f t="shared" si="27"/>
        <v>0</v>
      </c>
    </row>
    <row r="571" spans="1:26" x14ac:dyDescent="0.2">
      <c r="A571" s="26">
        <f t="shared" si="25"/>
        <v>42396</v>
      </c>
      <c r="B571" s="216">
        <v>2016</v>
      </c>
      <c r="C571" s="216">
        <v>1</v>
      </c>
      <c r="D571" s="216">
        <v>27</v>
      </c>
      <c r="E571" s="216" t="s">
        <v>152</v>
      </c>
      <c r="F571" s="217">
        <v>1</v>
      </c>
      <c r="G571" s="217"/>
      <c r="H571" s="217"/>
      <c r="I571" s="217"/>
      <c r="J571" s="217"/>
      <c r="K571" s="217"/>
      <c r="L571" s="217">
        <v>6</v>
      </c>
      <c r="M571" s="217"/>
      <c r="N571" s="217"/>
      <c r="O571" s="217"/>
      <c r="P571" s="217"/>
      <c r="Q571" s="217"/>
      <c r="R571" s="217">
        <v>1</v>
      </c>
      <c r="S571" s="217"/>
      <c r="T571" s="217">
        <v>12</v>
      </c>
      <c r="U571" s="217"/>
      <c r="V571" s="217">
        <v>2</v>
      </c>
      <c r="W571" s="217"/>
      <c r="X571" s="218">
        <v>22</v>
      </c>
      <c r="Y571" s="221">
        <f t="shared" si="26"/>
        <v>21</v>
      </c>
      <c r="Z571">
        <f t="shared" si="27"/>
        <v>0</v>
      </c>
    </row>
    <row r="572" spans="1:26" x14ac:dyDescent="0.2">
      <c r="A572" s="26">
        <f t="shared" si="25"/>
        <v>42396</v>
      </c>
      <c r="B572" s="216">
        <v>2016</v>
      </c>
      <c r="C572" s="216">
        <v>1</v>
      </c>
      <c r="D572" s="216">
        <v>27</v>
      </c>
      <c r="E572" s="216" t="s">
        <v>153</v>
      </c>
      <c r="F572" s="217">
        <v>1</v>
      </c>
      <c r="G572" s="217"/>
      <c r="H572" s="217">
        <v>3</v>
      </c>
      <c r="I572" s="217">
        <v>12</v>
      </c>
      <c r="J572" s="217"/>
      <c r="K572" s="217"/>
      <c r="L572" s="217">
        <v>18</v>
      </c>
      <c r="M572" s="217"/>
      <c r="N572" s="217"/>
      <c r="O572" s="217"/>
      <c r="P572" s="217">
        <v>1</v>
      </c>
      <c r="Q572" s="217"/>
      <c r="R572" s="217">
        <v>2</v>
      </c>
      <c r="S572" s="217"/>
      <c r="T572" s="217">
        <v>8</v>
      </c>
      <c r="U572" s="217"/>
      <c r="V572" s="217">
        <v>15</v>
      </c>
      <c r="W572" s="217"/>
      <c r="X572" s="218">
        <v>60</v>
      </c>
      <c r="Y572" s="221">
        <f t="shared" si="26"/>
        <v>59</v>
      </c>
      <c r="Z572">
        <f t="shared" si="27"/>
        <v>0</v>
      </c>
    </row>
    <row r="573" spans="1:26" x14ac:dyDescent="0.2">
      <c r="A573" s="26">
        <f t="shared" si="25"/>
        <v>42397</v>
      </c>
      <c r="B573" s="216">
        <v>2016</v>
      </c>
      <c r="C573" s="216">
        <v>1</v>
      </c>
      <c r="D573" s="216">
        <v>28</v>
      </c>
      <c r="E573" s="216" t="s">
        <v>152</v>
      </c>
      <c r="F573" s="217">
        <v>3</v>
      </c>
      <c r="G573" s="217"/>
      <c r="H573" s="217"/>
      <c r="I573" s="217">
        <v>3</v>
      </c>
      <c r="J573" s="217"/>
      <c r="K573" s="217"/>
      <c r="L573" s="217">
        <v>1</v>
      </c>
      <c r="M573" s="217"/>
      <c r="N573" s="217"/>
      <c r="O573" s="217"/>
      <c r="P573" s="217"/>
      <c r="Q573" s="217">
        <v>1</v>
      </c>
      <c r="R573" s="217"/>
      <c r="S573" s="217"/>
      <c r="T573" s="217">
        <v>13</v>
      </c>
      <c r="U573" s="217"/>
      <c r="V573" s="217">
        <v>1</v>
      </c>
      <c r="W573" s="217"/>
      <c r="X573" s="218">
        <v>22</v>
      </c>
      <c r="Y573" s="221">
        <f t="shared" si="26"/>
        <v>19</v>
      </c>
      <c r="Z573">
        <f t="shared" si="27"/>
        <v>0</v>
      </c>
    </row>
    <row r="574" spans="1:26" x14ac:dyDescent="0.2">
      <c r="A574" s="26">
        <f t="shared" si="25"/>
        <v>42397</v>
      </c>
      <c r="B574" s="216">
        <v>2016</v>
      </c>
      <c r="C574" s="216">
        <v>1</v>
      </c>
      <c r="D574" s="216">
        <v>28</v>
      </c>
      <c r="E574" s="216" t="s">
        <v>153</v>
      </c>
      <c r="F574" s="217">
        <v>3</v>
      </c>
      <c r="G574" s="217"/>
      <c r="H574" s="217">
        <v>1</v>
      </c>
      <c r="I574" s="217">
        <v>9</v>
      </c>
      <c r="J574" s="217">
        <v>2</v>
      </c>
      <c r="K574" s="217"/>
      <c r="L574" s="217">
        <v>4</v>
      </c>
      <c r="M574" s="217"/>
      <c r="N574" s="217"/>
      <c r="O574" s="217"/>
      <c r="P574" s="217"/>
      <c r="Q574" s="217">
        <v>3</v>
      </c>
      <c r="R574" s="217">
        <v>3</v>
      </c>
      <c r="S574" s="217"/>
      <c r="T574" s="217">
        <v>12</v>
      </c>
      <c r="U574" s="217"/>
      <c r="V574" s="217">
        <v>8</v>
      </c>
      <c r="W574" s="217"/>
      <c r="X574" s="218">
        <v>45</v>
      </c>
      <c r="Y574" s="221">
        <f t="shared" si="26"/>
        <v>42</v>
      </c>
      <c r="Z574">
        <f t="shared" si="27"/>
        <v>0</v>
      </c>
    </row>
    <row r="575" spans="1:26" x14ac:dyDescent="0.2">
      <c r="A575" s="26">
        <f t="shared" si="25"/>
        <v>42398</v>
      </c>
      <c r="B575" s="216">
        <v>2016</v>
      </c>
      <c r="C575" s="216">
        <v>1</v>
      </c>
      <c r="D575" s="216">
        <v>29</v>
      </c>
      <c r="E575" s="216" t="s">
        <v>152</v>
      </c>
      <c r="F575" s="217">
        <v>16</v>
      </c>
      <c r="G575" s="217"/>
      <c r="H575" s="217">
        <v>2</v>
      </c>
      <c r="I575" s="217">
        <v>1</v>
      </c>
      <c r="J575" s="217"/>
      <c r="K575" s="217"/>
      <c r="L575" s="217">
        <v>1</v>
      </c>
      <c r="M575" s="217"/>
      <c r="N575" s="217"/>
      <c r="O575" s="217"/>
      <c r="P575" s="217"/>
      <c r="Q575" s="217"/>
      <c r="R575" s="217">
        <v>1</v>
      </c>
      <c r="S575" s="217"/>
      <c r="T575" s="217">
        <v>1</v>
      </c>
      <c r="U575" s="217"/>
      <c r="V575" s="217"/>
      <c r="W575" s="217"/>
      <c r="X575" s="218">
        <v>22</v>
      </c>
      <c r="Y575" s="221">
        <f t="shared" si="26"/>
        <v>6</v>
      </c>
      <c r="Z575">
        <f t="shared" si="27"/>
        <v>0</v>
      </c>
    </row>
    <row r="576" spans="1:26" x14ac:dyDescent="0.2">
      <c r="A576" s="26">
        <f t="shared" si="25"/>
        <v>42398</v>
      </c>
      <c r="B576" s="216">
        <v>2016</v>
      </c>
      <c r="C576" s="216">
        <v>1</v>
      </c>
      <c r="D576" s="216">
        <v>29</v>
      </c>
      <c r="E576" s="216" t="s">
        <v>153</v>
      </c>
      <c r="F576" s="217">
        <v>1</v>
      </c>
      <c r="G576" s="217"/>
      <c r="H576" s="217">
        <v>1</v>
      </c>
      <c r="I576" s="217">
        <v>2</v>
      </c>
      <c r="J576" s="217">
        <v>1</v>
      </c>
      <c r="K576" s="217"/>
      <c r="L576" s="217">
        <v>9</v>
      </c>
      <c r="M576" s="217"/>
      <c r="N576" s="217"/>
      <c r="O576" s="217"/>
      <c r="P576" s="217">
        <v>4</v>
      </c>
      <c r="Q576" s="217"/>
      <c r="R576" s="217">
        <v>6</v>
      </c>
      <c r="S576" s="217"/>
      <c r="T576" s="217">
        <v>6</v>
      </c>
      <c r="U576" s="217"/>
      <c r="V576" s="217"/>
      <c r="W576" s="217"/>
      <c r="X576" s="218">
        <v>30</v>
      </c>
      <c r="Y576" s="221">
        <f t="shared" si="26"/>
        <v>29</v>
      </c>
      <c r="Z576">
        <f t="shared" si="27"/>
        <v>0</v>
      </c>
    </row>
    <row r="577" spans="1:26" x14ac:dyDescent="0.2">
      <c r="A577" s="26">
        <f t="shared" si="25"/>
        <v>42401</v>
      </c>
      <c r="B577" s="216">
        <v>2016</v>
      </c>
      <c r="C577" s="216">
        <v>2</v>
      </c>
      <c r="D577" s="216">
        <v>1</v>
      </c>
      <c r="E577" s="216" t="s">
        <v>152</v>
      </c>
      <c r="F577" s="217">
        <v>5</v>
      </c>
      <c r="G577" s="217"/>
      <c r="H577" s="217"/>
      <c r="I577" s="217">
        <v>7</v>
      </c>
      <c r="J577" s="217"/>
      <c r="K577" s="217"/>
      <c r="L577" s="217">
        <v>3</v>
      </c>
      <c r="M577" s="217"/>
      <c r="N577" s="217"/>
      <c r="O577" s="217"/>
      <c r="P577" s="217"/>
      <c r="Q577" s="217"/>
      <c r="R577" s="217"/>
      <c r="S577" s="217"/>
      <c r="T577" s="217">
        <v>8</v>
      </c>
      <c r="U577" s="217"/>
      <c r="V577" s="217"/>
      <c r="W577" s="217"/>
      <c r="X577" s="218">
        <v>23</v>
      </c>
      <c r="Y577" s="221">
        <f t="shared" si="26"/>
        <v>18</v>
      </c>
      <c r="Z577">
        <f t="shared" si="27"/>
        <v>0</v>
      </c>
    </row>
    <row r="578" spans="1:26" x14ac:dyDescent="0.2">
      <c r="A578" s="26">
        <f t="shared" si="25"/>
        <v>42401</v>
      </c>
      <c r="B578" s="216">
        <v>2016</v>
      </c>
      <c r="C578" s="216">
        <v>2</v>
      </c>
      <c r="D578" s="216">
        <v>1</v>
      </c>
      <c r="E578" s="216" t="s">
        <v>153</v>
      </c>
      <c r="F578" s="217">
        <v>1</v>
      </c>
      <c r="G578" s="217"/>
      <c r="H578" s="217">
        <v>1</v>
      </c>
      <c r="I578" s="217">
        <v>7</v>
      </c>
      <c r="J578" s="217"/>
      <c r="K578" s="217"/>
      <c r="L578" s="217">
        <v>16</v>
      </c>
      <c r="M578" s="217"/>
      <c r="N578" s="217"/>
      <c r="O578" s="217"/>
      <c r="P578" s="217">
        <v>6</v>
      </c>
      <c r="Q578" s="217"/>
      <c r="R578" s="217">
        <v>6</v>
      </c>
      <c r="S578" s="217"/>
      <c r="T578" s="217">
        <v>10</v>
      </c>
      <c r="U578" s="217"/>
      <c r="V578" s="217">
        <v>3</v>
      </c>
      <c r="W578" s="217"/>
      <c r="X578" s="218">
        <v>50</v>
      </c>
      <c r="Y578" s="221">
        <f t="shared" si="26"/>
        <v>49</v>
      </c>
      <c r="Z578">
        <f t="shared" si="27"/>
        <v>0</v>
      </c>
    </row>
    <row r="579" spans="1:26" x14ac:dyDescent="0.2">
      <c r="A579" s="26">
        <f t="shared" ref="A579:A642" si="28">DATE(B579,C579,D579)</f>
        <v>42402</v>
      </c>
      <c r="B579" s="216">
        <v>2016</v>
      </c>
      <c r="C579" s="216">
        <v>2</v>
      </c>
      <c r="D579" s="216">
        <v>2</v>
      </c>
      <c r="E579" s="216" t="s">
        <v>152</v>
      </c>
      <c r="F579" s="217">
        <v>8</v>
      </c>
      <c r="G579" s="217"/>
      <c r="H579" s="217">
        <v>2</v>
      </c>
      <c r="I579" s="217">
        <v>1</v>
      </c>
      <c r="J579" s="217"/>
      <c r="K579" s="217"/>
      <c r="L579" s="217">
        <v>4</v>
      </c>
      <c r="M579" s="217"/>
      <c r="N579" s="217"/>
      <c r="O579" s="217"/>
      <c r="P579" s="217">
        <v>1</v>
      </c>
      <c r="Q579" s="217"/>
      <c r="R579" s="217">
        <v>1</v>
      </c>
      <c r="S579" s="217"/>
      <c r="T579" s="217">
        <v>1</v>
      </c>
      <c r="U579" s="217"/>
      <c r="V579" s="217">
        <v>2</v>
      </c>
      <c r="W579" s="217"/>
      <c r="X579" s="218">
        <v>20</v>
      </c>
      <c r="Y579" s="221">
        <f t="shared" ref="Y579:Y642" si="29">SUM(G579:W579)</f>
        <v>12</v>
      </c>
      <c r="Z579">
        <f t="shared" si="27"/>
        <v>0</v>
      </c>
    </row>
    <row r="580" spans="1:26" x14ac:dyDescent="0.2">
      <c r="A580" s="26">
        <f t="shared" si="28"/>
        <v>42402</v>
      </c>
      <c r="B580" s="216">
        <v>2016</v>
      </c>
      <c r="C580" s="216">
        <v>2</v>
      </c>
      <c r="D580" s="216">
        <v>2</v>
      </c>
      <c r="E580" s="216" t="s">
        <v>153</v>
      </c>
      <c r="F580" s="217"/>
      <c r="G580" s="217"/>
      <c r="H580" s="217">
        <v>2</v>
      </c>
      <c r="I580" s="217">
        <v>7</v>
      </c>
      <c r="J580" s="217"/>
      <c r="K580" s="217"/>
      <c r="L580" s="217">
        <v>4</v>
      </c>
      <c r="M580" s="217"/>
      <c r="N580" s="217"/>
      <c r="O580" s="217"/>
      <c r="P580" s="217">
        <v>5</v>
      </c>
      <c r="Q580" s="217"/>
      <c r="R580" s="217">
        <v>26</v>
      </c>
      <c r="S580" s="217"/>
      <c r="T580" s="217">
        <v>6</v>
      </c>
      <c r="U580" s="217"/>
      <c r="V580" s="217">
        <v>4</v>
      </c>
      <c r="W580" s="217"/>
      <c r="X580" s="218">
        <v>54</v>
      </c>
      <c r="Y580" s="221">
        <f t="shared" si="29"/>
        <v>54</v>
      </c>
      <c r="Z580">
        <f t="shared" si="27"/>
        <v>0</v>
      </c>
    </row>
    <row r="581" spans="1:26" x14ac:dyDescent="0.2">
      <c r="A581" s="26">
        <f t="shared" si="28"/>
        <v>42403</v>
      </c>
      <c r="B581" s="216">
        <v>2016</v>
      </c>
      <c r="C581" s="216">
        <v>2</v>
      </c>
      <c r="D581" s="216">
        <v>3</v>
      </c>
      <c r="E581" s="216" t="s">
        <v>152</v>
      </c>
      <c r="F581" s="217">
        <v>18</v>
      </c>
      <c r="G581" s="217"/>
      <c r="H581" s="217"/>
      <c r="I581" s="217">
        <v>5</v>
      </c>
      <c r="J581" s="217"/>
      <c r="K581" s="217"/>
      <c r="L581" s="217">
        <v>5</v>
      </c>
      <c r="M581" s="217"/>
      <c r="N581" s="217"/>
      <c r="O581" s="217"/>
      <c r="P581" s="217">
        <v>6</v>
      </c>
      <c r="Q581" s="217"/>
      <c r="R581" s="217"/>
      <c r="S581" s="217"/>
      <c r="T581" s="217">
        <v>2</v>
      </c>
      <c r="U581" s="217"/>
      <c r="V581" s="217">
        <v>2</v>
      </c>
      <c r="W581" s="217"/>
      <c r="X581" s="218">
        <v>38</v>
      </c>
      <c r="Y581" s="221">
        <f t="shared" si="29"/>
        <v>20</v>
      </c>
      <c r="Z581">
        <f t="shared" si="27"/>
        <v>0</v>
      </c>
    </row>
    <row r="582" spans="1:26" x14ac:dyDescent="0.2">
      <c r="A582" s="26">
        <f t="shared" si="28"/>
        <v>42403</v>
      </c>
      <c r="B582" s="216">
        <v>2016</v>
      </c>
      <c r="C582" s="216">
        <v>2</v>
      </c>
      <c r="D582" s="216">
        <v>3</v>
      </c>
      <c r="E582" s="216" t="s">
        <v>153</v>
      </c>
      <c r="F582" s="217"/>
      <c r="G582" s="217"/>
      <c r="H582" s="217">
        <v>4</v>
      </c>
      <c r="I582" s="217">
        <v>4</v>
      </c>
      <c r="J582" s="217"/>
      <c r="K582" s="217"/>
      <c r="L582" s="217">
        <v>21</v>
      </c>
      <c r="M582" s="217"/>
      <c r="N582" s="217"/>
      <c r="O582" s="217"/>
      <c r="P582" s="217">
        <v>6</v>
      </c>
      <c r="Q582" s="217"/>
      <c r="R582" s="217">
        <v>18</v>
      </c>
      <c r="S582" s="217"/>
      <c r="T582" s="217">
        <v>6</v>
      </c>
      <c r="U582" s="217"/>
      <c r="V582" s="217">
        <v>2</v>
      </c>
      <c r="W582" s="217"/>
      <c r="X582" s="218">
        <v>61</v>
      </c>
      <c r="Y582" s="221">
        <f t="shared" si="29"/>
        <v>61</v>
      </c>
      <c r="Z582">
        <f t="shared" si="27"/>
        <v>0</v>
      </c>
    </row>
    <row r="583" spans="1:26" x14ac:dyDescent="0.2">
      <c r="A583" s="26">
        <f t="shared" si="28"/>
        <v>42404</v>
      </c>
      <c r="B583" s="216">
        <v>2016</v>
      </c>
      <c r="C583" s="216">
        <v>2</v>
      </c>
      <c r="D583" s="216">
        <v>4</v>
      </c>
      <c r="E583" s="216" t="s">
        <v>152</v>
      </c>
      <c r="F583" s="217">
        <v>8</v>
      </c>
      <c r="G583" s="217"/>
      <c r="H583" s="217"/>
      <c r="I583" s="217"/>
      <c r="J583" s="217"/>
      <c r="K583" s="217"/>
      <c r="L583" s="217">
        <v>3</v>
      </c>
      <c r="M583" s="217"/>
      <c r="N583" s="217"/>
      <c r="O583" s="217"/>
      <c r="P583" s="217"/>
      <c r="Q583" s="217"/>
      <c r="R583" s="217">
        <v>3</v>
      </c>
      <c r="S583" s="217"/>
      <c r="T583" s="217">
        <v>2</v>
      </c>
      <c r="U583" s="217"/>
      <c r="V583" s="217">
        <v>2</v>
      </c>
      <c r="W583" s="217"/>
      <c r="X583" s="218">
        <v>18</v>
      </c>
      <c r="Y583" s="221">
        <f t="shared" si="29"/>
        <v>10</v>
      </c>
      <c r="Z583">
        <f t="shared" si="27"/>
        <v>0</v>
      </c>
    </row>
    <row r="584" spans="1:26" x14ac:dyDescent="0.2">
      <c r="A584" s="26">
        <f t="shared" si="28"/>
        <v>42404</v>
      </c>
      <c r="B584" s="216">
        <v>2016</v>
      </c>
      <c r="C584" s="216">
        <v>2</v>
      </c>
      <c r="D584" s="216">
        <v>4</v>
      </c>
      <c r="E584" s="216" t="s">
        <v>153</v>
      </c>
      <c r="F584" s="217">
        <v>1</v>
      </c>
      <c r="G584" s="217"/>
      <c r="H584" s="217">
        <v>5</v>
      </c>
      <c r="I584" s="217">
        <v>4</v>
      </c>
      <c r="J584" s="217"/>
      <c r="K584" s="217"/>
      <c r="L584" s="217">
        <v>24</v>
      </c>
      <c r="M584" s="217"/>
      <c r="N584" s="217"/>
      <c r="O584" s="217"/>
      <c r="P584" s="217">
        <v>5</v>
      </c>
      <c r="Q584" s="217"/>
      <c r="R584" s="217">
        <v>8</v>
      </c>
      <c r="S584" s="217"/>
      <c r="T584" s="217">
        <v>7</v>
      </c>
      <c r="U584" s="217"/>
      <c r="V584" s="217">
        <v>19</v>
      </c>
      <c r="W584" s="217"/>
      <c r="X584" s="218">
        <v>73</v>
      </c>
      <c r="Y584" s="221">
        <f t="shared" si="29"/>
        <v>72</v>
      </c>
      <c r="Z584">
        <f t="shared" si="27"/>
        <v>0</v>
      </c>
    </row>
    <row r="585" spans="1:26" x14ac:dyDescent="0.2">
      <c r="A585" s="26">
        <f t="shared" si="28"/>
        <v>42405</v>
      </c>
      <c r="B585" s="216">
        <v>2016</v>
      </c>
      <c r="C585" s="216">
        <v>2</v>
      </c>
      <c r="D585" s="216">
        <v>5</v>
      </c>
      <c r="E585" s="216" t="s">
        <v>152</v>
      </c>
      <c r="F585" s="217"/>
      <c r="G585" s="217"/>
      <c r="H585" s="217">
        <v>1</v>
      </c>
      <c r="I585" s="217"/>
      <c r="J585" s="217"/>
      <c r="K585" s="217"/>
      <c r="L585" s="217"/>
      <c r="M585" s="217"/>
      <c r="N585" s="217"/>
      <c r="O585" s="217"/>
      <c r="P585" s="217">
        <v>1</v>
      </c>
      <c r="Q585" s="217"/>
      <c r="R585" s="217"/>
      <c r="S585" s="217"/>
      <c r="T585" s="217">
        <v>5</v>
      </c>
      <c r="U585" s="217"/>
      <c r="V585" s="217">
        <v>4</v>
      </c>
      <c r="W585" s="217"/>
      <c r="X585" s="218">
        <v>11</v>
      </c>
      <c r="Y585" s="221">
        <f t="shared" si="29"/>
        <v>11</v>
      </c>
      <c r="Z585">
        <f t="shared" si="27"/>
        <v>0</v>
      </c>
    </row>
    <row r="586" spans="1:26" x14ac:dyDescent="0.2">
      <c r="A586" s="26">
        <f t="shared" si="28"/>
        <v>42405</v>
      </c>
      <c r="B586" s="216">
        <v>2016</v>
      </c>
      <c r="C586" s="216">
        <v>2</v>
      </c>
      <c r="D586" s="216">
        <v>5</v>
      </c>
      <c r="E586" s="216" t="s">
        <v>153</v>
      </c>
      <c r="F586" s="217">
        <v>13</v>
      </c>
      <c r="G586" s="217"/>
      <c r="H586" s="217">
        <v>5</v>
      </c>
      <c r="I586" s="217"/>
      <c r="J586" s="217"/>
      <c r="K586" s="217"/>
      <c r="L586" s="217">
        <v>2</v>
      </c>
      <c r="M586" s="217"/>
      <c r="N586" s="217"/>
      <c r="O586" s="217"/>
      <c r="P586" s="217">
        <v>1</v>
      </c>
      <c r="Q586" s="217"/>
      <c r="R586" s="217"/>
      <c r="S586" s="217"/>
      <c r="T586" s="217">
        <v>7</v>
      </c>
      <c r="U586" s="217"/>
      <c r="V586" s="217">
        <v>5</v>
      </c>
      <c r="W586" s="217"/>
      <c r="X586" s="218">
        <v>33</v>
      </c>
      <c r="Y586" s="221">
        <f t="shared" si="29"/>
        <v>20</v>
      </c>
      <c r="Z586">
        <f t="shared" si="27"/>
        <v>0</v>
      </c>
    </row>
    <row r="587" spans="1:26" x14ac:dyDescent="0.2">
      <c r="A587" s="26">
        <f t="shared" si="28"/>
        <v>42406</v>
      </c>
      <c r="B587" s="216">
        <v>2016</v>
      </c>
      <c r="C587" s="216">
        <v>2</v>
      </c>
      <c r="D587" s="216">
        <v>6</v>
      </c>
      <c r="E587" s="216" t="s">
        <v>152</v>
      </c>
      <c r="F587" s="217">
        <v>5</v>
      </c>
      <c r="G587" s="217"/>
      <c r="H587" s="217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8">
        <v>5</v>
      </c>
      <c r="Y587" s="221">
        <f t="shared" si="29"/>
        <v>0</v>
      </c>
      <c r="Z587">
        <f t="shared" si="27"/>
        <v>0</v>
      </c>
    </row>
    <row r="588" spans="1:26" x14ac:dyDescent="0.2">
      <c r="A588" s="26">
        <f t="shared" si="28"/>
        <v>42406</v>
      </c>
      <c r="B588" s="216">
        <v>2016</v>
      </c>
      <c r="C588" s="216">
        <v>2</v>
      </c>
      <c r="D588" s="216">
        <v>6</v>
      </c>
      <c r="E588" s="216" t="s">
        <v>153</v>
      </c>
      <c r="F588" s="217"/>
      <c r="G588" s="217"/>
      <c r="H588" s="217">
        <v>7</v>
      </c>
      <c r="I588" s="217"/>
      <c r="J588" s="217"/>
      <c r="K588" s="217"/>
      <c r="L588" s="217">
        <v>11</v>
      </c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8">
        <v>18</v>
      </c>
      <c r="Y588" s="221">
        <f t="shared" si="29"/>
        <v>18</v>
      </c>
      <c r="Z588">
        <f t="shared" si="27"/>
        <v>18</v>
      </c>
    </row>
    <row r="589" spans="1:26" x14ac:dyDescent="0.2">
      <c r="A589" s="26">
        <f t="shared" si="28"/>
        <v>42409</v>
      </c>
      <c r="B589" s="216">
        <v>2016</v>
      </c>
      <c r="C589" s="216">
        <v>2</v>
      </c>
      <c r="D589" s="216">
        <v>9</v>
      </c>
      <c r="E589" s="216" t="s">
        <v>152</v>
      </c>
      <c r="F589" s="217"/>
      <c r="G589" s="217"/>
      <c r="H589" s="217"/>
      <c r="I589" s="217"/>
      <c r="J589" s="217"/>
      <c r="K589" s="217"/>
      <c r="L589" s="217"/>
      <c r="M589" s="217"/>
      <c r="N589" s="217"/>
      <c r="O589" s="217"/>
      <c r="P589" s="217">
        <v>1</v>
      </c>
      <c r="Q589" s="217"/>
      <c r="R589" s="217"/>
      <c r="S589" s="217"/>
      <c r="T589" s="217"/>
      <c r="U589" s="217"/>
      <c r="V589" s="217"/>
      <c r="W589" s="217"/>
      <c r="X589" s="218">
        <v>1</v>
      </c>
      <c r="Y589" s="221">
        <f t="shared" si="29"/>
        <v>1</v>
      </c>
      <c r="Z589">
        <f t="shared" si="27"/>
        <v>0</v>
      </c>
    </row>
    <row r="590" spans="1:26" x14ac:dyDescent="0.2">
      <c r="A590" s="26">
        <f t="shared" si="28"/>
        <v>42410</v>
      </c>
      <c r="B590" s="216">
        <v>2016</v>
      </c>
      <c r="C590" s="216">
        <v>2</v>
      </c>
      <c r="D590" s="216">
        <v>10</v>
      </c>
      <c r="E590" s="216" t="s">
        <v>152</v>
      </c>
      <c r="F590" s="217">
        <v>1</v>
      </c>
      <c r="G590" s="217">
        <v>1</v>
      </c>
      <c r="H590" s="217"/>
      <c r="I590" s="217"/>
      <c r="J590" s="217"/>
      <c r="K590" s="217"/>
      <c r="L590" s="217">
        <v>1</v>
      </c>
      <c r="M590" s="217"/>
      <c r="N590" s="217"/>
      <c r="O590" s="217"/>
      <c r="P590" s="217">
        <v>1</v>
      </c>
      <c r="Q590" s="217"/>
      <c r="R590" s="217">
        <v>3</v>
      </c>
      <c r="S590" s="217"/>
      <c r="T590" s="217"/>
      <c r="U590" s="217"/>
      <c r="V590" s="217">
        <v>2</v>
      </c>
      <c r="W590" s="217"/>
      <c r="X590" s="218">
        <v>9</v>
      </c>
      <c r="Y590" s="221">
        <f t="shared" si="29"/>
        <v>8</v>
      </c>
      <c r="Z590">
        <f t="shared" si="27"/>
        <v>0</v>
      </c>
    </row>
    <row r="591" spans="1:26" x14ac:dyDescent="0.2">
      <c r="A591" s="26">
        <f t="shared" si="28"/>
        <v>42410</v>
      </c>
      <c r="B591" s="216">
        <v>2016</v>
      </c>
      <c r="C591" s="216">
        <v>2</v>
      </c>
      <c r="D591" s="216">
        <v>10</v>
      </c>
      <c r="E591" s="216" t="s">
        <v>153</v>
      </c>
      <c r="F591" s="217"/>
      <c r="G591" s="217">
        <v>5</v>
      </c>
      <c r="H591" s="217"/>
      <c r="I591" s="217"/>
      <c r="J591" s="217"/>
      <c r="K591" s="217"/>
      <c r="L591" s="217">
        <v>3</v>
      </c>
      <c r="M591" s="217"/>
      <c r="N591" s="217"/>
      <c r="O591" s="217"/>
      <c r="P591" s="217"/>
      <c r="Q591" s="217"/>
      <c r="R591" s="217">
        <v>2</v>
      </c>
      <c r="S591" s="217"/>
      <c r="T591" s="217">
        <v>2</v>
      </c>
      <c r="U591" s="217"/>
      <c r="V591" s="217">
        <v>8</v>
      </c>
      <c r="W591" s="217"/>
      <c r="X591" s="218">
        <v>20</v>
      </c>
      <c r="Y591" s="221">
        <f t="shared" si="29"/>
        <v>20</v>
      </c>
      <c r="Z591">
        <f t="shared" si="27"/>
        <v>0</v>
      </c>
    </row>
    <row r="592" spans="1:26" x14ac:dyDescent="0.2">
      <c r="A592" s="26">
        <f t="shared" si="28"/>
        <v>42411</v>
      </c>
      <c r="B592" s="216">
        <v>2016</v>
      </c>
      <c r="C592" s="216">
        <v>2</v>
      </c>
      <c r="D592" s="216">
        <v>11</v>
      </c>
      <c r="E592" s="216" t="s">
        <v>152</v>
      </c>
      <c r="F592" s="217">
        <v>9</v>
      </c>
      <c r="G592" s="217">
        <v>5</v>
      </c>
      <c r="H592" s="217"/>
      <c r="I592" s="217"/>
      <c r="J592" s="217"/>
      <c r="K592" s="217"/>
      <c r="L592" s="217">
        <v>2</v>
      </c>
      <c r="M592" s="217">
        <v>1</v>
      </c>
      <c r="N592" s="217"/>
      <c r="O592" s="217"/>
      <c r="P592" s="217">
        <v>2</v>
      </c>
      <c r="Q592" s="217"/>
      <c r="R592" s="217">
        <v>5</v>
      </c>
      <c r="S592" s="217"/>
      <c r="T592" s="217">
        <v>3</v>
      </c>
      <c r="U592" s="217"/>
      <c r="V592" s="217"/>
      <c r="W592" s="217"/>
      <c r="X592" s="218">
        <v>27</v>
      </c>
      <c r="Y592" s="221">
        <f t="shared" si="29"/>
        <v>18</v>
      </c>
      <c r="Z592">
        <f t="shared" si="27"/>
        <v>0</v>
      </c>
    </row>
    <row r="593" spans="1:26" x14ac:dyDescent="0.2">
      <c r="A593" s="26">
        <f t="shared" si="28"/>
        <v>42411</v>
      </c>
      <c r="B593" s="216">
        <v>2016</v>
      </c>
      <c r="C593" s="216">
        <v>2</v>
      </c>
      <c r="D593" s="216">
        <v>11</v>
      </c>
      <c r="E593" s="216" t="s">
        <v>153</v>
      </c>
      <c r="F593" s="217">
        <v>10</v>
      </c>
      <c r="G593" s="217">
        <v>8</v>
      </c>
      <c r="H593" s="217">
        <v>4</v>
      </c>
      <c r="I593" s="217">
        <v>1</v>
      </c>
      <c r="J593" s="217">
        <v>1</v>
      </c>
      <c r="K593" s="217"/>
      <c r="L593" s="217">
        <v>3</v>
      </c>
      <c r="M593" s="217"/>
      <c r="N593" s="217"/>
      <c r="O593" s="217"/>
      <c r="P593" s="217">
        <v>7</v>
      </c>
      <c r="Q593" s="217"/>
      <c r="R593" s="217">
        <v>10</v>
      </c>
      <c r="S593" s="217"/>
      <c r="T593" s="217">
        <v>3</v>
      </c>
      <c r="U593" s="217"/>
      <c r="V593" s="217">
        <v>4</v>
      </c>
      <c r="W593" s="217"/>
      <c r="X593" s="218">
        <v>51</v>
      </c>
      <c r="Y593" s="221">
        <f t="shared" si="29"/>
        <v>41</v>
      </c>
      <c r="Z593">
        <f t="shared" si="27"/>
        <v>0</v>
      </c>
    </row>
    <row r="594" spans="1:26" x14ac:dyDescent="0.2">
      <c r="A594" s="26">
        <f t="shared" si="28"/>
        <v>42412</v>
      </c>
      <c r="B594" s="216">
        <v>2016</v>
      </c>
      <c r="C594" s="216">
        <v>2</v>
      </c>
      <c r="D594" s="216">
        <v>12</v>
      </c>
      <c r="E594" s="216" t="s">
        <v>152</v>
      </c>
      <c r="F594" s="217">
        <v>3</v>
      </c>
      <c r="G594" s="217">
        <v>5</v>
      </c>
      <c r="H594" s="217"/>
      <c r="I594" s="217"/>
      <c r="J594" s="217"/>
      <c r="K594" s="217"/>
      <c r="L594" s="217"/>
      <c r="M594" s="217"/>
      <c r="N594" s="217"/>
      <c r="O594" s="217"/>
      <c r="P594" s="217">
        <v>3</v>
      </c>
      <c r="Q594" s="217"/>
      <c r="R594" s="217">
        <v>7</v>
      </c>
      <c r="S594" s="217"/>
      <c r="T594" s="217">
        <v>2</v>
      </c>
      <c r="U594" s="217"/>
      <c r="V594" s="217">
        <v>7</v>
      </c>
      <c r="W594" s="217"/>
      <c r="X594" s="218">
        <v>27</v>
      </c>
      <c r="Y594" s="221">
        <f t="shared" si="29"/>
        <v>24</v>
      </c>
      <c r="Z594">
        <f t="shared" si="27"/>
        <v>0</v>
      </c>
    </row>
    <row r="595" spans="1:26" x14ac:dyDescent="0.2">
      <c r="A595" s="26">
        <f t="shared" si="28"/>
        <v>42412</v>
      </c>
      <c r="B595" s="216">
        <v>2016</v>
      </c>
      <c r="C595" s="216">
        <v>2</v>
      </c>
      <c r="D595" s="216">
        <v>12</v>
      </c>
      <c r="E595" s="216" t="s">
        <v>153</v>
      </c>
      <c r="F595" s="217">
        <v>2</v>
      </c>
      <c r="G595" s="217">
        <v>14</v>
      </c>
      <c r="H595" s="217">
        <v>6</v>
      </c>
      <c r="I595" s="217"/>
      <c r="J595" s="217"/>
      <c r="K595" s="217"/>
      <c r="L595" s="217">
        <v>8</v>
      </c>
      <c r="M595" s="217"/>
      <c r="N595" s="217"/>
      <c r="O595" s="217"/>
      <c r="P595" s="217">
        <v>3</v>
      </c>
      <c r="Q595" s="217"/>
      <c r="R595" s="217">
        <v>9</v>
      </c>
      <c r="S595" s="217"/>
      <c r="T595" s="217">
        <v>7</v>
      </c>
      <c r="U595" s="217"/>
      <c r="V595" s="217">
        <v>9</v>
      </c>
      <c r="W595" s="217"/>
      <c r="X595" s="218">
        <v>58</v>
      </c>
      <c r="Y595" s="221">
        <f t="shared" si="29"/>
        <v>56</v>
      </c>
      <c r="Z595">
        <f t="shared" si="27"/>
        <v>0</v>
      </c>
    </row>
    <row r="596" spans="1:26" x14ac:dyDescent="0.2">
      <c r="A596" s="26">
        <f t="shared" si="28"/>
        <v>42413</v>
      </c>
      <c r="B596" s="216">
        <v>2016</v>
      </c>
      <c r="C596" s="216">
        <v>2</v>
      </c>
      <c r="D596" s="216">
        <v>13</v>
      </c>
      <c r="E596" s="216" t="s">
        <v>152</v>
      </c>
      <c r="F596" s="217">
        <v>2</v>
      </c>
      <c r="G596" s="217"/>
      <c r="H596" s="217"/>
      <c r="I596" s="217"/>
      <c r="J596" s="217"/>
      <c r="K596" s="217"/>
      <c r="L596" s="217"/>
      <c r="M596" s="217"/>
      <c r="N596" s="217"/>
      <c r="O596" s="217">
        <v>5</v>
      </c>
      <c r="P596" s="217"/>
      <c r="Q596" s="217">
        <v>1</v>
      </c>
      <c r="R596" s="217">
        <v>4</v>
      </c>
      <c r="S596" s="217"/>
      <c r="T596" s="217"/>
      <c r="U596" s="217"/>
      <c r="V596" s="217"/>
      <c r="W596" s="217"/>
      <c r="X596" s="218">
        <v>12</v>
      </c>
      <c r="Y596" s="221">
        <f t="shared" si="29"/>
        <v>10</v>
      </c>
      <c r="Z596">
        <f t="shared" si="27"/>
        <v>0</v>
      </c>
    </row>
    <row r="597" spans="1:26" x14ac:dyDescent="0.2">
      <c r="A597" s="26">
        <f t="shared" si="28"/>
        <v>42413</v>
      </c>
      <c r="B597" s="216">
        <v>2016</v>
      </c>
      <c r="C597" s="216">
        <v>2</v>
      </c>
      <c r="D597" s="216">
        <v>13</v>
      </c>
      <c r="E597" s="216" t="s">
        <v>153</v>
      </c>
      <c r="F597" s="217"/>
      <c r="G597" s="217"/>
      <c r="H597" s="217">
        <v>11</v>
      </c>
      <c r="I597" s="217"/>
      <c r="J597" s="217"/>
      <c r="K597" s="217"/>
      <c r="L597" s="217"/>
      <c r="M597" s="217"/>
      <c r="N597" s="217"/>
      <c r="O597" s="217">
        <v>9</v>
      </c>
      <c r="P597" s="217"/>
      <c r="Q597" s="217"/>
      <c r="R597" s="217">
        <v>12</v>
      </c>
      <c r="S597" s="217"/>
      <c r="T597" s="217"/>
      <c r="U597" s="217"/>
      <c r="V597" s="217"/>
      <c r="W597" s="217"/>
      <c r="X597" s="218">
        <v>32</v>
      </c>
      <c r="Y597" s="221">
        <f t="shared" si="29"/>
        <v>32</v>
      </c>
      <c r="Z597">
        <f t="shared" ref="Z597:Z660" si="30">IF(AND(WEEKDAY(A597,2)=6,E597="Sim"),X597,0)</f>
        <v>32</v>
      </c>
    </row>
    <row r="598" spans="1:26" x14ac:dyDescent="0.2">
      <c r="A598" s="26">
        <f t="shared" si="28"/>
        <v>42415</v>
      </c>
      <c r="B598" s="216">
        <v>2016</v>
      </c>
      <c r="C598" s="216">
        <v>2</v>
      </c>
      <c r="D598" s="216">
        <v>15</v>
      </c>
      <c r="E598" s="216" t="s">
        <v>152</v>
      </c>
      <c r="F598" s="217">
        <v>1</v>
      </c>
      <c r="G598" s="217"/>
      <c r="H598" s="217"/>
      <c r="I598" s="217">
        <v>2</v>
      </c>
      <c r="J598" s="217"/>
      <c r="K598" s="217"/>
      <c r="L598" s="217"/>
      <c r="M598" s="217"/>
      <c r="N598" s="217"/>
      <c r="O598" s="217"/>
      <c r="P598" s="217">
        <v>1</v>
      </c>
      <c r="Q598" s="217"/>
      <c r="R598" s="217">
        <v>3</v>
      </c>
      <c r="S598" s="217"/>
      <c r="T598" s="217">
        <v>1</v>
      </c>
      <c r="U598" s="217"/>
      <c r="V598" s="217"/>
      <c r="W598" s="217"/>
      <c r="X598" s="218">
        <v>8</v>
      </c>
      <c r="Y598" s="221">
        <f t="shared" si="29"/>
        <v>7</v>
      </c>
      <c r="Z598">
        <f t="shared" si="30"/>
        <v>0</v>
      </c>
    </row>
    <row r="599" spans="1:26" x14ac:dyDescent="0.2">
      <c r="A599" s="26">
        <f t="shared" si="28"/>
        <v>42415</v>
      </c>
      <c r="B599" s="216">
        <v>2016</v>
      </c>
      <c r="C599" s="216">
        <v>2</v>
      </c>
      <c r="D599" s="216">
        <v>15</v>
      </c>
      <c r="E599" s="216" t="s">
        <v>153</v>
      </c>
      <c r="F599" s="217">
        <v>1</v>
      </c>
      <c r="G599" s="217">
        <v>26</v>
      </c>
      <c r="H599" s="217">
        <v>4</v>
      </c>
      <c r="I599" s="217">
        <v>9</v>
      </c>
      <c r="J599" s="217"/>
      <c r="K599" s="217"/>
      <c r="L599" s="217"/>
      <c r="M599" s="217"/>
      <c r="N599" s="217"/>
      <c r="O599" s="217"/>
      <c r="P599" s="217">
        <v>3</v>
      </c>
      <c r="Q599" s="217"/>
      <c r="R599" s="217">
        <v>2</v>
      </c>
      <c r="S599" s="217"/>
      <c r="T599" s="217">
        <v>3</v>
      </c>
      <c r="U599" s="217"/>
      <c r="V599" s="217">
        <v>4</v>
      </c>
      <c r="W599" s="217"/>
      <c r="X599" s="218">
        <v>52</v>
      </c>
      <c r="Y599" s="221">
        <f t="shared" si="29"/>
        <v>51</v>
      </c>
      <c r="Z599">
        <f t="shared" si="30"/>
        <v>0</v>
      </c>
    </row>
    <row r="600" spans="1:26" x14ac:dyDescent="0.2">
      <c r="A600" s="26">
        <f t="shared" si="28"/>
        <v>42416</v>
      </c>
      <c r="B600" s="216">
        <v>2016</v>
      </c>
      <c r="C600" s="216">
        <v>2</v>
      </c>
      <c r="D600" s="216">
        <v>16</v>
      </c>
      <c r="E600" s="216" t="s">
        <v>152</v>
      </c>
      <c r="F600" s="217">
        <v>1</v>
      </c>
      <c r="G600" s="217">
        <v>5</v>
      </c>
      <c r="H600" s="217">
        <v>1</v>
      </c>
      <c r="I600" s="217">
        <v>2</v>
      </c>
      <c r="J600" s="217"/>
      <c r="K600" s="217"/>
      <c r="L600" s="217"/>
      <c r="M600" s="217"/>
      <c r="N600" s="217"/>
      <c r="O600" s="217">
        <v>2</v>
      </c>
      <c r="P600" s="217">
        <v>2</v>
      </c>
      <c r="Q600" s="217"/>
      <c r="R600" s="217">
        <v>5</v>
      </c>
      <c r="S600" s="217"/>
      <c r="T600" s="217">
        <v>2</v>
      </c>
      <c r="U600" s="217"/>
      <c r="V600" s="217">
        <v>3</v>
      </c>
      <c r="W600" s="217"/>
      <c r="X600" s="218">
        <v>23</v>
      </c>
      <c r="Y600" s="221">
        <f t="shared" si="29"/>
        <v>22</v>
      </c>
      <c r="Z600">
        <f t="shared" si="30"/>
        <v>0</v>
      </c>
    </row>
    <row r="601" spans="1:26" x14ac:dyDescent="0.2">
      <c r="A601" s="26">
        <f t="shared" si="28"/>
        <v>42416</v>
      </c>
      <c r="B601" s="216">
        <v>2016</v>
      </c>
      <c r="C601" s="216">
        <v>2</v>
      </c>
      <c r="D601" s="216">
        <v>16</v>
      </c>
      <c r="E601" s="216" t="s">
        <v>153</v>
      </c>
      <c r="F601" s="217">
        <v>1</v>
      </c>
      <c r="G601" s="217">
        <v>18</v>
      </c>
      <c r="H601" s="217">
        <v>5</v>
      </c>
      <c r="I601" s="217">
        <v>12</v>
      </c>
      <c r="J601" s="217">
        <v>2</v>
      </c>
      <c r="K601" s="217"/>
      <c r="L601" s="217"/>
      <c r="M601" s="217"/>
      <c r="N601" s="217"/>
      <c r="O601" s="217"/>
      <c r="P601" s="217">
        <v>1</v>
      </c>
      <c r="Q601" s="217"/>
      <c r="R601" s="217">
        <v>4</v>
      </c>
      <c r="S601" s="217"/>
      <c r="T601" s="217">
        <v>7</v>
      </c>
      <c r="U601" s="217"/>
      <c r="V601" s="217">
        <v>6</v>
      </c>
      <c r="W601" s="217"/>
      <c r="X601" s="218">
        <v>56</v>
      </c>
      <c r="Y601" s="221">
        <f t="shared" si="29"/>
        <v>55</v>
      </c>
      <c r="Z601">
        <f t="shared" si="30"/>
        <v>0</v>
      </c>
    </row>
    <row r="602" spans="1:26" x14ac:dyDescent="0.2">
      <c r="A602" s="26">
        <f t="shared" si="28"/>
        <v>42417</v>
      </c>
      <c r="B602" s="216">
        <v>2016</v>
      </c>
      <c r="C602" s="216">
        <v>2</v>
      </c>
      <c r="D602" s="216">
        <v>17</v>
      </c>
      <c r="E602" s="216" t="s">
        <v>152</v>
      </c>
      <c r="F602" s="217"/>
      <c r="G602" s="217">
        <v>4</v>
      </c>
      <c r="H602" s="217"/>
      <c r="I602" s="217">
        <v>1</v>
      </c>
      <c r="J602" s="217"/>
      <c r="K602" s="217"/>
      <c r="L602" s="217">
        <v>1</v>
      </c>
      <c r="M602" s="217">
        <v>1</v>
      </c>
      <c r="N602" s="217"/>
      <c r="O602" s="217">
        <v>1</v>
      </c>
      <c r="P602" s="217">
        <v>2</v>
      </c>
      <c r="Q602" s="217"/>
      <c r="R602" s="217">
        <v>8</v>
      </c>
      <c r="S602" s="217"/>
      <c r="T602" s="217">
        <v>3</v>
      </c>
      <c r="U602" s="217"/>
      <c r="V602" s="217">
        <v>3</v>
      </c>
      <c r="W602" s="217"/>
      <c r="X602" s="218">
        <v>24</v>
      </c>
      <c r="Y602" s="221">
        <f t="shared" si="29"/>
        <v>24</v>
      </c>
      <c r="Z602">
        <f t="shared" si="30"/>
        <v>0</v>
      </c>
    </row>
    <row r="603" spans="1:26" x14ac:dyDescent="0.2">
      <c r="A603" s="26">
        <f t="shared" si="28"/>
        <v>42417</v>
      </c>
      <c r="B603" s="216">
        <v>2016</v>
      </c>
      <c r="C603" s="216">
        <v>2</v>
      </c>
      <c r="D603" s="216">
        <v>17</v>
      </c>
      <c r="E603" s="216" t="s">
        <v>153</v>
      </c>
      <c r="F603" s="217"/>
      <c r="G603" s="217">
        <v>6</v>
      </c>
      <c r="H603" s="217">
        <v>5</v>
      </c>
      <c r="I603" s="217">
        <v>9</v>
      </c>
      <c r="J603" s="217">
        <v>1</v>
      </c>
      <c r="K603" s="217"/>
      <c r="L603" s="217">
        <v>1</v>
      </c>
      <c r="M603" s="217"/>
      <c r="N603" s="217"/>
      <c r="O603" s="217"/>
      <c r="P603" s="217">
        <v>1</v>
      </c>
      <c r="Q603" s="217"/>
      <c r="R603" s="217">
        <v>7</v>
      </c>
      <c r="S603" s="217"/>
      <c r="T603" s="217">
        <v>5</v>
      </c>
      <c r="U603" s="217">
        <v>2</v>
      </c>
      <c r="V603" s="217">
        <v>4</v>
      </c>
      <c r="W603" s="217"/>
      <c r="X603" s="218">
        <v>41</v>
      </c>
      <c r="Y603" s="221">
        <f t="shared" si="29"/>
        <v>41</v>
      </c>
      <c r="Z603">
        <f t="shared" si="30"/>
        <v>0</v>
      </c>
    </row>
    <row r="604" spans="1:26" x14ac:dyDescent="0.2">
      <c r="A604" s="26">
        <f t="shared" si="28"/>
        <v>42418</v>
      </c>
      <c r="B604" s="216">
        <v>2016</v>
      </c>
      <c r="C604" s="216">
        <v>2</v>
      </c>
      <c r="D604" s="216">
        <v>18</v>
      </c>
      <c r="E604" s="216" t="s">
        <v>152</v>
      </c>
      <c r="F604" s="217">
        <v>2</v>
      </c>
      <c r="G604" s="217">
        <v>5</v>
      </c>
      <c r="H604" s="217"/>
      <c r="I604" s="217"/>
      <c r="J604" s="217"/>
      <c r="K604" s="217"/>
      <c r="L604" s="217"/>
      <c r="M604" s="217"/>
      <c r="N604" s="217"/>
      <c r="O604" s="217">
        <v>3</v>
      </c>
      <c r="P604" s="217">
        <v>1</v>
      </c>
      <c r="Q604" s="217"/>
      <c r="R604" s="217">
        <v>6</v>
      </c>
      <c r="S604" s="217"/>
      <c r="T604" s="217"/>
      <c r="U604" s="217"/>
      <c r="V604" s="217">
        <v>1</v>
      </c>
      <c r="W604" s="217"/>
      <c r="X604" s="218">
        <v>18</v>
      </c>
      <c r="Y604" s="221">
        <f t="shared" si="29"/>
        <v>16</v>
      </c>
      <c r="Z604">
        <f t="shared" si="30"/>
        <v>0</v>
      </c>
    </row>
    <row r="605" spans="1:26" x14ac:dyDescent="0.2">
      <c r="A605" s="26">
        <f t="shared" si="28"/>
        <v>42418</v>
      </c>
      <c r="B605" s="216">
        <v>2016</v>
      </c>
      <c r="C605" s="216">
        <v>2</v>
      </c>
      <c r="D605" s="216">
        <v>18</v>
      </c>
      <c r="E605" s="216" t="s">
        <v>153</v>
      </c>
      <c r="F605" s="217">
        <v>1</v>
      </c>
      <c r="G605" s="217">
        <v>13</v>
      </c>
      <c r="H605" s="217">
        <v>8</v>
      </c>
      <c r="I605" s="217">
        <v>10</v>
      </c>
      <c r="J605" s="217"/>
      <c r="K605" s="217"/>
      <c r="L605" s="217"/>
      <c r="M605" s="217"/>
      <c r="N605" s="217"/>
      <c r="O605" s="217"/>
      <c r="P605" s="217">
        <v>3</v>
      </c>
      <c r="Q605" s="217"/>
      <c r="R605" s="217">
        <v>7</v>
      </c>
      <c r="S605" s="217"/>
      <c r="T605" s="217">
        <v>17</v>
      </c>
      <c r="U605" s="217">
        <v>1</v>
      </c>
      <c r="V605" s="217">
        <v>4</v>
      </c>
      <c r="W605" s="217"/>
      <c r="X605" s="218">
        <v>64</v>
      </c>
      <c r="Y605" s="221">
        <f t="shared" si="29"/>
        <v>63</v>
      </c>
      <c r="Z605">
        <f t="shared" si="30"/>
        <v>0</v>
      </c>
    </row>
    <row r="606" spans="1:26" x14ac:dyDescent="0.2">
      <c r="A606" s="26">
        <f t="shared" si="28"/>
        <v>42419</v>
      </c>
      <c r="B606" s="216">
        <v>2016</v>
      </c>
      <c r="C606" s="216">
        <v>2</v>
      </c>
      <c r="D606" s="216">
        <v>19</v>
      </c>
      <c r="E606" s="216" t="s">
        <v>152</v>
      </c>
      <c r="F606" s="217"/>
      <c r="G606" s="217">
        <v>5</v>
      </c>
      <c r="H606" s="217">
        <v>2</v>
      </c>
      <c r="I606" s="217">
        <v>2</v>
      </c>
      <c r="J606" s="217"/>
      <c r="K606" s="217"/>
      <c r="L606" s="217"/>
      <c r="M606" s="217">
        <v>17</v>
      </c>
      <c r="N606" s="217"/>
      <c r="O606" s="217">
        <v>1</v>
      </c>
      <c r="P606" s="217"/>
      <c r="Q606" s="217"/>
      <c r="R606" s="217">
        <v>9</v>
      </c>
      <c r="S606" s="217"/>
      <c r="T606" s="217"/>
      <c r="U606" s="217"/>
      <c r="V606" s="217"/>
      <c r="W606" s="217"/>
      <c r="X606" s="218">
        <v>36</v>
      </c>
      <c r="Y606" s="221">
        <f t="shared" si="29"/>
        <v>36</v>
      </c>
      <c r="Z606">
        <f t="shared" si="30"/>
        <v>0</v>
      </c>
    </row>
    <row r="607" spans="1:26" x14ac:dyDescent="0.2">
      <c r="A607" s="26">
        <f t="shared" si="28"/>
        <v>42419</v>
      </c>
      <c r="B607" s="216">
        <v>2016</v>
      </c>
      <c r="C607" s="216">
        <v>2</v>
      </c>
      <c r="D607" s="216">
        <v>19</v>
      </c>
      <c r="E607" s="216" t="s">
        <v>153</v>
      </c>
      <c r="F607" s="217">
        <v>2</v>
      </c>
      <c r="G607" s="217">
        <v>9</v>
      </c>
      <c r="H607" s="217">
        <v>3</v>
      </c>
      <c r="I607" s="217">
        <v>7</v>
      </c>
      <c r="J607" s="217"/>
      <c r="K607" s="217"/>
      <c r="L607" s="217">
        <v>1</v>
      </c>
      <c r="M607" s="217">
        <v>1</v>
      </c>
      <c r="N607" s="217"/>
      <c r="O607" s="217"/>
      <c r="P607" s="217">
        <v>2</v>
      </c>
      <c r="Q607" s="217"/>
      <c r="R607" s="217">
        <v>6</v>
      </c>
      <c r="S607" s="217"/>
      <c r="T607" s="217">
        <v>20</v>
      </c>
      <c r="U607" s="217"/>
      <c r="V607" s="217"/>
      <c r="W607" s="217"/>
      <c r="X607" s="218">
        <v>51</v>
      </c>
      <c r="Y607" s="221">
        <f t="shared" si="29"/>
        <v>49</v>
      </c>
      <c r="Z607">
        <f t="shared" si="30"/>
        <v>0</v>
      </c>
    </row>
    <row r="608" spans="1:26" x14ac:dyDescent="0.2">
      <c r="A608" s="26">
        <f t="shared" si="28"/>
        <v>42420</v>
      </c>
      <c r="B608" s="216">
        <v>2016</v>
      </c>
      <c r="C608" s="216">
        <v>2</v>
      </c>
      <c r="D608" s="216">
        <v>20</v>
      </c>
      <c r="E608" s="216" t="s">
        <v>152</v>
      </c>
      <c r="F608" s="217">
        <v>5</v>
      </c>
      <c r="G608" s="217"/>
      <c r="H608" s="217"/>
      <c r="I608" s="217">
        <v>2</v>
      </c>
      <c r="J608" s="217"/>
      <c r="K608" s="217"/>
      <c r="L608" s="217">
        <v>2</v>
      </c>
      <c r="M608" s="217"/>
      <c r="N608" s="217"/>
      <c r="O608" s="217"/>
      <c r="P608" s="217"/>
      <c r="Q608" s="217"/>
      <c r="R608" s="217">
        <v>9</v>
      </c>
      <c r="S608" s="217"/>
      <c r="T608" s="217"/>
      <c r="U608" s="217"/>
      <c r="V608" s="217"/>
      <c r="W608" s="217"/>
      <c r="X608" s="218">
        <v>18</v>
      </c>
      <c r="Y608" s="221">
        <f t="shared" si="29"/>
        <v>13</v>
      </c>
      <c r="Z608">
        <f t="shared" si="30"/>
        <v>0</v>
      </c>
    </row>
    <row r="609" spans="1:26" x14ac:dyDescent="0.2">
      <c r="A609" s="26">
        <f t="shared" si="28"/>
        <v>42420</v>
      </c>
      <c r="B609" s="216">
        <v>2016</v>
      </c>
      <c r="C609" s="216">
        <v>2</v>
      </c>
      <c r="D609" s="216">
        <v>20</v>
      </c>
      <c r="E609" s="216" t="s">
        <v>153</v>
      </c>
      <c r="F609" s="217"/>
      <c r="G609" s="217"/>
      <c r="H609" s="217">
        <v>1</v>
      </c>
      <c r="I609" s="217">
        <v>14</v>
      </c>
      <c r="J609" s="217"/>
      <c r="K609" s="217"/>
      <c r="L609" s="217">
        <v>6</v>
      </c>
      <c r="M609" s="217"/>
      <c r="N609" s="217"/>
      <c r="O609" s="217"/>
      <c r="P609" s="217"/>
      <c r="Q609" s="217"/>
      <c r="R609" s="217">
        <v>18</v>
      </c>
      <c r="S609" s="217"/>
      <c r="T609" s="217"/>
      <c r="U609" s="217"/>
      <c r="V609" s="217"/>
      <c r="W609" s="217"/>
      <c r="X609" s="218">
        <v>39</v>
      </c>
      <c r="Y609" s="221">
        <f t="shared" si="29"/>
        <v>39</v>
      </c>
      <c r="Z609">
        <f t="shared" si="30"/>
        <v>39</v>
      </c>
    </row>
    <row r="610" spans="1:26" x14ac:dyDescent="0.2">
      <c r="A610" s="26">
        <f t="shared" si="28"/>
        <v>42422</v>
      </c>
      <c r="B610" s="216">
        <v>2016</v>
      </c>
      <c r="C610" s="216">
        <v>2</v>
      </c>
      <c r="D610" s="216">
        <v>22</v>
      </c>
      <c r="E610" s="216" t="s">
        <v>152</v>
      </c>
      <c r="F610" s="217">
        <v>3</v>
      </c>
      <c r="G610" s="217">
        <v>17</v>
      </c>
      <c r="H610" s="217"/>
      <c r="I610" s="217">
        <v>2</v>
      </c>
      <c r="J610" s="217"/>
      <c r="K610" s="217"/>
      <c r="L610" s="217">
        <v>2</v>
      </c>
      <c r="M610" s="217">
        <v>3</v>
      </c>
      <c r="N610" s="217"/>
      <c r="O610" s="217"/>
      <c r="P610" s="217">
        <v>2</v>
      </c>
      <c r="Q610" s="217"/>
      <c r="R610" s="217"/>
      <c r="S610" s="217"/>
      <c r="T610" s="217">
        <v>1</v>
      </c>
      <c r="U610" s="217"/>
      <c r="V610" s="217">
        <v>2</v>
      </c>
      <c r="W610" s="217"/>
      <c r="X610" s="218">
        <v>32</v>
      </c>
      <c r="Y610" s="221">
        <f t="shared" si="29"/>
        <v>29</v>
      </c>
      <c r="Z610">
        <f t="shared" si="30"/>
        <v>0</v>
      </c>
    </row>
    <row r="611" spans="1:26" x14ac:dyDescent="0.2">
      <c r="A611" s="26">
        <f t="shared" si="28"/>
        <v>42422</v>
      </c>
      <c r="B611" s="216">
        <v>2016</v>
      </c>
      <c r="C611" s="216">
        <v>2</v>
      </c>
      <c r="D611" s="216">
        <v>22</v>
      </c>
      <c r="E611" s="216" t="s">
        <v>153</v>
      </c>
      <c r="F611" s="217">
        <v>3</v>
      </c>
      <c r="G611" s="217">
        <v>22</v>
      </c>
      <c r="H611" s="217">
        <v>8</v>
      </c>
      <c r="I611" s="217">
        <v>10</v>
      </c>
      <c r="J611" s="217"/>
      <c r="K611" s="217"/>
      <c r="L611" s="217">
        <v>1</v>
      </c>
      <c r="M611" s="217"/>
      <c r="N611" s="217"/>
      <c r="O611" s="217"/>
      <c r="P611" s="217">
        <v>3</v>
      </c>
      <c r="Q611" s="217"/>
      <c r="R611" s="217">
        <v>1</v>
      </c>
      <c r="S611" s="217"/>
      <c r="T611" s="217">
        <v>25</v>
      </c>
      <c r="U611" s="217">
        <v>9</v>
      </c>
      <c r="V611" s="217">
        <v>12</v>
      </c>
      <c r="W611" s="217"/>
      <c r="X611" s="218">
        <v>94</v>
      </c>
      <c r="Y611" s="221">
        <f t="shared" si="29"/>
        <v>91</v>
      </c>
      <c r="Z611">
        <f t="shared" si="30"/>
        <v>0</v>
      </c>
    </row>
    <row r="612" spans="1:26" x14ac:dyDescent="0.2">
      <c r="A612" s="26">
        <f t="shared" si="28"/>
        <v>42423</v>
      </c>
      <c r="B612" s="216">
        <v>2016</v>
      </c>
      <c r="C612" s="216">
        <v>2</v>
      </c>
      <c r="D612" s="216">
        <v>23</v>
      </c>
      <c r="E612" s="216" t="s">
        <v>152</v>
      </c>
      <c r="F612" s="217">
        <v>3</v>
      </c>
      <c r="G612" s="217">
        <v>1</v>
      </c>
      <c r="H612" s="217"/>
      <c r="I612" s="217"/>
      <c r="J612" s="217"/>
      <c r="K612" s="217"/>
      <c r="L612" s="217">
        <v>7</v>
      </c>
      <c r="M612" s="217">
        <v>1</v>
      </c>
      <c r="N612" s="217"/>
      <c r="O612" s="217"/>
      <c r="P612" s="217">
        <v>4</v>
      </c>
      <c r="Q612" s="217"/>
      <c r="R612" s="217">
        <v>7</v>
      </c>
      <c r="S612" s="217"/>
      <c r="T612" s="217">
        <v>1</v>
      </c>
      <c r="U612" s="217"/>
      <c r="V612" s="217">
        <v>4</v>
      </c>
      <c r="W612" s="217"/>
      <c r="X612" s="218">
        <v>28</v>
      </c>
      <c r="Y612" s="221">
        <f t="shared" si="29"/>
        <v>25</v>
      </c>
      <c r="Z612">
        <f t="shared" si="30"/>
        <v>0</v>
      </c>
    </row>
    <row r="613" spans="1:26" x14ac:dyDescent="0.2">
      <c r="A613" s="26">
        <f t="shared" si="28"/>
        <v>42423</v>
      </c>
      <c r="B613" s="216">
        <v>2016</v>
      </c>
      <c r="C613" s="216">
        <v>2</v>
      </c>
      <c r="D613" s="216">
        <v>23</v>
      </c>
      <c r="E613" s="216" t="s">
        <v>153</v>
      </c>
      <c r="F613" s="217">
        <v>10</v>
      </c>
      <c r="G613" s="217">
        <v>4</v>
      </c>
      <c r="H613" s="217">
        <v>6</v>
      </c>
      <c r="I613" s="217">
        <v>11</v>
      </c>
      <c r="J613" s="217"/>
      <c r="K613" s="217"/>
      <c r="L613" s="217">
        <v>11</v>
      </c>
      <c r="M613" s="217">
        <v>1</v>
      </c>
      <c r="N613" s="217"/>
      <c r="O613" s="217"/>
      <c r="P613" s="217">
        <v>5</v>
      </c>
      <c r="Q613" s="217"/>
      <c r="R613" s="217">
        <v>8</v>
      </c>
      <c r="S613" s="217"/>
      <c r="T613" s="217">
        <v>3</v>
      </c>
      <c r="U613" s="217">
        <v>3</v>
      </c>
      <c r="V613" s="217">
        <v>7</v>
      </c>
      <c r="W613" s="217"/>
      <c r="X613" s="218">
        <v>69</v>
      </c>
      <c r="Y613" s="221">
        <f t="shared" si="29"/>
        <v>59</v>
      </c>
      <c r="Z613">
        <f t="shared" si="30"/>
        <v>0</v>
      </c>
    </row>
    <row r="614" spans="1:26" x14ac:dyDescent="0.2">
      <c r="A614" s="26">
        <f t="shared" si="28"/>
        <v>42424</v>
      </c>
      <c r="B614" s="216">
        <v>2016</v>
      </c>
      <c r="C614" s="216">
        <v>2</v>
      </c>
      <c r="D614" s="216">
        <v>24</v>
      </c>
      <c r="E614" s="216" t="s">
        <v>152</v>
      </c>
      <c r="F614" s="217"/>
      <c r="G614" s="217">
        <v>13</v>
      </c>
      <c r="H614" s="217"/>
      <c r="I614" s="217">
        <v>1</v>
      </c>
      <c r="J614" s="217"/>
      <c r="K614" s="217"/>
      <c r="L614" s="217">
        <v>1</v>
      </c>
      <c r="M614" s="217">
        <v>13</v>
      </c>
      <c r="N614" s="217"/>
      <c r="O614" s="217"/>
      <c r="P614" s="217">
        <v>1</v>
      </c>
      <c r="Q614" s="217"/>
      <c r="R614" s="217">
        <v>6</v>
      </c>
      <c r="S614" s="217"/>
      <c r="T614" s="217">
        <v>6</v>
      </c>
      <c r="U614" s="217">
        <v>2</v>
      </c>
      <c r="V614" s="217">
        <v>2</v>
      </c>
      <c r="W614" s="217"/>
      <c r="X614" s="218">
        <v>45</v>
      </c>
      <c r="Y614" s="221">
        <f t="shared" si="29"/>
        <v>45</v>
      </c>
      <c r="Z614">
        <f t="shared" si="30"/>
        <v>0</v>
      </c>
    </row>
    <row r="615" spans="1:26" x14ac:dyDescent="0.2">
      <c r="A615" s="26">
        <f t="shared" si="28"/>
        <v>42424</v>
      </c>
      <c r="B615" s="216">
        <v>2016</v>
      </c>
      <c r="C615" s="216">
        <v>2</v>
      </c>
      <c r="D615" s="216">
        <v>24</v>
      </c>
      <c r="E615" s="216" t="s">
        <v>153</v>
      </c>
      <c r="F615" s="217">
        <v>1</v>
      </c>
      <c r="G615" s="217">
        <v>9</v>
      </c>
      <c r="H615" s="217">
        <v>5</v>
      </c>
      <c r="I615" s="217">
        <v>5</v>
      </c>
      <c r="J615" s="217"/>
      <c r="K615" s="217"/>
      <c r="L615" s="217">
        <v>7</v>
      </c>
      <c r="M615" s="217">
        <v>5</v>
      </c>
      <c r="N615" s="217"/>
      <c r="O615" s="217"/>
      <c r="P615" s="217">
        <v>2</v>
      </c>
      <c r="Q615" s="217"/>
      <c r="R615" s="217"/>
      <c r="S615" s="217"/>
      <c r="T615" s="217">
        <v>12</v>
      </c>
      <c r="U615" s="217">
        <v>16</v>
      </c>
      <c r="V615" s="217">
        <v>3</v>
      </c>
      <c r="W615" s="217"/>
      <c r="X615" s="218">
        <v>65</v>
      </c>
      <c r="Y615" s="221">
        <f t="shared" si="29"/>
        <v>64</v>
      </c>
      <c r="Z615">
        <f t="shared" si="30"/>
        <v>0</v>
      </c>
    </row>
    <row r="616" spans="1:26" x14ac:dyDescent="0.2">
      <c r="A616" s="26">
        <f t="shared" si="28"/>
        <v>42425</v>
      </c>
      <c r="B616" s="216">
        <v>2016</v>
      </c>
      <c r="C616" s="216">
        <v>2</v>
      </c>
      <c r="D616" s="216">
        <v>25</v>
      </c>
      <c r="E616" s="216" t="s">
        <v>152</v>
      </c>
      <c r="F616" s="217"/>
      <c r="G616" s="217">
        <v>7</v>
      </c>
      <c r="H616" s="217"/>
      <c r="I616" s="217">
        <v>2</v>
      </c>
      <c r="J616" s="217"/>
      <c r="K616" s="217"/>
      <c r="L616" s="217">
        <v>3</v>
      </c>
      <c r="M616" s="217"/>
      <c r="N616" s="217"/>
      <c r="O616" s="217">
        <v>3</v>
      </c>
      <c r="P616" s="217"/>
      <c r="Q616" s="217"/>
      <c r="R616" s="217">
        <v>6</v>
      </c>
      <c r="S616" s="217"/>
      <c r="T616" s="217">
        <v>1</v>
      </c>
      <c r="U616" s="217"/>
      <c r="V616" s="217">
        <v>3</v>
      </c>
      <c r="W616" s="217"/>
      <c r="X616" s="218">
        <v>25</v>
      </c>
      <c r="Y616" s="221">
        <f t="shared" si="29"/>
        <v>25</v>
      </c>
      <c r="Z616">
        <f t="shared" si="30"/>
        <v>0</v>
      </c>
    </row>
    <row r="617" spans="1:26" x14ac:dyDescent="0.2">
      <c r="A617" s="26">
        <f t="shared" si="28"/>
        <v>42425</v>
      </c>
      <c r="B617" s="216">
        <v>2016</v>
      </c>
      <c r="C617" s="216">
        <v>2</v>
      </c>
      <c r="D617" s="216">
        <v>25</v>
      </c>
      <c r="E617" s="216" t="s">
        <v>153</v>
      </c>
      <c r="F617" s="217"/>
      <c r="G617" s="217">
        <v>15</v>
      </c>
      <c r="H617" s="217">
        <v>6</v>
      </c>
      <c r="I617" s="217">
        <v>12</v>
      </c>
      <c r="J617" s="217"/>
      <c r="K617" s="217"/>
      <c r="L617" s="217">
        <v>9</v>
      </c>
      <c r="M617" s="217"/>
      <c r="N617" s="217"/>
      <c r="O617" s="217"/>
      <c r="P617" s="217"/>
      <c r="Q617" s="217"/>
      <c r="R617" s="217">
        <v>12</v>
      </c>
      <c r="S617" s="217"/>
      <c r="T617" s="217">
        <v>12</v>
      </c>
      <c r="U617" s="217"/>
      <c r="V617" s="217">
        <v>11</v>
      </c>
      <c r="W617" s="217"/>
      <c r="X617" s="218">
        <v>77</v>
      </c>
      <c r="Y617" s="221">
        <f t="shared" si="29"/>
        <v>77</v>
      </c>
      <c r="Z617">
        <f t="shared" si="30"/>
        <v>0</v>
      </c>
    </row>
    <row r="618" spans="1:26" x14ac:dyDescent="0.2">
      <c r="A618" s="26">
        <f t="shared" si="28"/>
        <v>42426</v>
      </c>
      <c r="B618" s="216">
        <v>2016</v>
      </c>
      <c r="C618" s="216">
        <v>2</v>
      </c>
      <c r="D618" s="216">
        <v>26</v>
      </c>
      <c r="E618" s="216" t="s">
        <v>152</v>
      </c>
      <c r="F618" s="217">
        <v>6</v>
      </c>
      <c r="G618" s="217">
        <v>5</v>
      </c>
      <c r="H618" s="217">
        <v>3</v>
      </c>
      <c r="I618" s="217">
        <v>2</v>
      </c>
      <c r="J618" s="217"/>
      <c r="K618" s="217"/>
      <c r="L618" s="217">
        <v>1</v>
      </c>
      <c r="M618" s="217">
        <v>1</v>
      </c>
      <c r="N618" s="217"/>
      <c r="O618" s="217">
        <v>3</v>
      </c>
      <c r="P618" s="217"/>
      <c r="Q618" s="217"/>
      <c r="R618" s="217"/>
      <c r="S618" s="217"/>
      <c r="T618" s="217">
        <v>3</v>
      </c>
      <c r="U618" s="217"/>
      <c r="V618" s="217">
        <v>6</v>
      </c>
      <c r="W618" s="217"/>
      <c r="X618" s="218">
        <v>30</v>
      </c>
      <c r="Y618" s="221">
        <f t="shared" si="29"/>
        <v>24</v>
      </c>
      <c r="Z618">
        <f t="shared" si="30"/>
        <v>0</v>
      </c>
    </row>
    <row r="619" spans="1:26" x14ac:dyDescent="0.2">
      <c r="A619" s="26">
        <f t="shared" si="28"/>
        <v>42426</v>
      </c>
      <c r="B619" s="216">
        <v>2016</v>
      </c>
      <c r="C619" s="216">
        <v>2</v>
      </c>
      <c r="D619" s="216">
        <v>26</v>
      </c>
      <c r="E619" s="216" t="s">
        <v>153</v>
      </c>
      <c r="F619" s="217">
        <v>1</v>
      </c>
      <c r="G619" s="217">
        <v>8</v>
      </c>
      <c r="H619" s="217">
        <v>4</v>
      </c>
      <c r="I619" s="217">
        <v>1</v>
      </c>
      <c r="J619" s="217"/>
      <c r="K619" s="217"/>
      <c r="L619" s="217"/>
      <c r="M619" s="217">
        <v>7</v>
      </c>
      <c r="N619" s="217"/>
      <c r="O619" s="217"/>
      <c r="P619" s="217">
        <v>3</v>
      </c>
      <c r="Q619" s="217"/>
      <c r="R619" s="217">
        <v>3</v>
      </c>
      <c r="S619" s="217"/>
      <c r="T619" s="217">
        <v>4</v>
      </c>
      <c r="U619" s="217"/>
      <c r="V619" s="217">
        <v>7</v>
      </c>
      <c r="W619" s="217"/>
      <c r="X619" s="218">
        <v>38</v>
      </c>
      <c r="Y619" s="221">
        <f t="shared" si="29"/>
        <v>37</v>
      </c>
      <c r="Z619">
        <f t="shared" si="30"/>
        <v>0</v>
      </c>
    </row>
    <row r="620" spans="1:26" x14ac:dyDescent="0.2">
      <c r="A620" s="26">
        <f t="shared" si="28"/>
        <v>42427</v>
      </c>
      <c r="B620" s="216">
        <v>2016</v>
      </c>
      <c r="C620" s="216">
        <v>2</v>
      </c>
      <c r="D620" s="216">
        <v>27</v>
      </c>
      <c r="E620" s="216" t="s">
        <v>152</v>
      </c>
      <c r="F620" s="217">
        <v>2</v>
      </c>
      <c r="G620" s="217"/>
      <c r="H620" s="217">
        <v>1</v>
      </c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>
        <v>9</v>
      </c>
      <c r="W620" s="217"/>
      <c r="X620" s="218">
        <v>12</v>
      </c>
      <c r="Y620" s="221">
        <f t="shared" si="29"/>
        <v>10</v>
      </c>
      <c r="Z620">
        <f t="shared" si="30"/>
        <v>0</v>
      </c>
    </row>
    <row r="621" spans="1:26" x14ac:dyDescent="0.2">
      <c r="A621" s="26">
        <f t="shared" si="28"/>
        <v>42427</v>
      </c>
      <c r="B621" s="216">
        <v>2016</v>
      </c>
      <c r="C621" s="216">
        <v>2</v>
      </c>
      <c r="D621" s="216">
        <v>27</v>
      </c>
      <c r="E621" s="216" t="s">
        <v>153</v>
      </c>
      <c r="F621" s="217"/>
      <c r="G621" s="217"/>
      <c r="H621" s="217">
        <v>9</v>
      </c>
      <c r="I621" s="217">
        <v>11</v>
      </c>
      <c r="J621" s="217"/>
      <c r="K621" s="217"/>
      <c r="L621" s="217">
        <v>4</v>
      </c>
      <c r="M621" s="217"/>
      <c r="N621" s="217"/>
      <c r="O621" s="217"/>
      <c r="P621" s="217"/>
      <c r="Q621" s="217"/>
      <c r="R621" s="217"/>
      <c r="S621" s="217"/>
      <c r="T621" s="217"/>
      <c r="U621" s="217"/>
      <c r="V621" s="217">
        <v>7</v>
      </c>
      <c r="W621" s="217"/>
      <c r="X621" s="218">
        <v>31</v>
      </c>
      <c r="Y621" s="221">
        <f t="shared" si="29"/>
        <v>31</v>
      </c>
      <c r="Z621">
        <f t="shared" si="30"/>
        <v>31</v>
      </c>
    </row>
    <row r="622" spans="1:26" x14ac:dyDescent="0.2">
      <c r="A622" s="26">
        <f t="shared" si="28"/>
        <v>42429</v>
      </c>
      <c r="B622" s="216">
        <v>2016</v>
      </c>
      <c r="C622" s="216">
        <v>2</v>
      </c>
      <c r="D622" s="216">
        <v>29</v>
      </c>
      <c r="E622" s="216" t="s">
        <v>152</v>
      </c>
      <c r="F622" s="217"/>
      <c r="G622" s="217">
        <v>6</v>
      </c>
      <c r="H622" s="217"/>
      <c r="I622" s="217">
        <v>5</v>
      </c>
      <c r="J622" s="217"/>
      <c r="K622" s="217"/>
      <c r="L622" s="217">
        <v>2</v>
      </c>
      <c r="M622" s="217">
        <v>2</v>
      </c>
      <c r="N622" s="217"/>
      <c r="O622" s="217">
        <v>6</v>
      </c>
      <c r="P622" s="217"/>
      <c r="Q622" s="217"/>
      <c r="R622" s="217">
        <v>7</v>
      </c>
      <c r="S622" s="217"/>
      <c r="T622" s="217">
        <v>6</v>
      </c>
      <c r="U622" s="217"/>
      <c r="V622" s="217">
        <v>2</v>
      </c>
      <c r="W622" s="217"/>
      <c r="X622" s="218">
        <v>36</v>
      </c>
      <c r="Y622" s="221">
        <f t="shared" si="29"/>
        <v>36</v>
      </c>
      <c r="Z622">
        <f t="shared" si="30"/>
        <v>0</v>
      </c>
    </row>
    <row r="623" spans="1:26" x14ac:dyDescent="0.2">
      <c r="A623" s="26">
        <f t="shared" si="28"/>
        <v>42429</v>
      </c>
      <c r="B623" s="216">
        <v>2016</v>
      </c>
      <c r="C623" s="216">
        <v>2</v>
      </c>
      <c r="D623" s="216">
        <v>29</v>
      </c>
      <c r="E623" s="216" t="s">
        <v>153</v>
      </c>
      <c r="F623" s="217">
        <v>2</v>
      </c>
      <c r="G623" s="217">
        <v>14</v>
      </c>
      <c r="H623" s="217">
        <v>7</v>
      </c>
      <c r="I623" s="217">
        <v>5</v>
      </c>
      <c r="J623" s="217"/>
      <c r="K623" s="217"/>
      <c r="L623" s="217">
        <v>10</v>
      </c>
      <c r="M623" s="217">
        <v>12</v>
      </c>
      <c r="N623" s="217"/>
      <c r="O623" s="217"/>
      <c r="P623" s="217">
        <v>12</v>
      </c>
      <c r="Q623" s="217"/>
      <c r="R623" s="217">
        <v>7</v>
      </c>
      <c r="S623" s="217"/>
      <c r="T623" s="217">
        <v>8</v>
      </c>
      <c r="U623" s="217"/>
      <c r="V623" s="217">
        <v>5</v>
      </c>
      <c r="W623" s="217">
        <v>1</v>
      </c>
      <c r="X623" s="218">
        <v>83</v>
      </c>
      <c r="Y623" s="221">
        <f t="shared" si="29"/>
        <v>81</v>
      </c>
      <c r="Z623">
        <f t="shared" si="30"/>
        <v>0</v>
      </c>
    </row>
    <row r="624" spans="1:26" x14ac:dyDescent="0.2">
      <c r="A624" s="26">
        <f t="shared" si="28"/>
        <v>42430</v>
      </c>
      <c r="B624" s="216">
        <v>2016</v>
      </c>
      <c r="C624" s="216">
        <v>3</v>
      </c>
      <c r="D624" s="216">
        <v>1</v>
      </c>
      <c r="E624" s="216" t="s">
        <v>152</v>
      </c>
      <c r="F624" s="217">
        <v>2</v>
      </c>
      <c r="G624" s="217">
        <v>3</v>
      </c>
      <c r="H624" s="217"/>
      <c r="I624" s="217"/>
      <c r="J624" s="217"/>
      <c r="K624" s="217"/>
      <c r="L624" s="217"/>
      <c r="M624" s="217">
        <v>1</v>
      </c>
      <c r="N624" s="217"/>
      <c r="O624" s="217"/>
      <c r="P624" s="217">
        <v>1</v>
      </c>
      <c r="Q624" s="217"/>
      <c r="R624" s="217">
        <v>2</v>
      </c>
      <c r="S624" s="217"/>
      <c r="T624" s="217">
        <v>1</v>
      </c>
      <c r="U624" s="217"/>
      <c r="V624" s="217">
        <v>2</v>
      </c>
      <c r="W624" s="217"/>
      <c r="X624" s="218">
        <v>12</v>
      </c>
      <c r="Y624" s="221">
        <f t="shared" si="29"/>
        <v>10</v>
      </c>
      <c r="Z624">
        <f t="shared" si="30"/>
        <v>0</v>
      </c>
    </row>
    <row r="625" spans="1:26" x14ac:dyDescent="0.2">
      <c r="A625" s="26">
        <f t="shared" si="28"/>
        <v>42430</v>
      </c>
      <c r="B625" s="216">
        <v>2016</v>
      </c>
      <c r="C625" s="216">
        <v>3</v>
      </c>
      <c r="D625" s="216">
        <v>1</v>
      </c>
      <c r="E625" s="216" t="s">
        <v>153</v>
      </c>
      <c r="F625" s="217">
        <v>1</v>
      </c>
      <c r="G625" s="217">
        <v>10</v>
      </c>
      <c r="H625" s="217"/>
      <c r="I625" s="217">
        <v>13</v>
      </c>
      <c r="J625" s="217"/>
      <c r="K625" s="217"/>
      <c r="L625" s="217">
        <v>1</v>
      </c>
      <c r="M625" s="217">
        <v>5</v>
      </c>
      <c r="N625" s="217"/>
      <c r="O625" s="217"/>
      <c r="P625" s="217">
        <v>5</v>
      </c>
      <c r="Q625" s="217"/>
      <c r="R625" s="217">
        <v>8</v>
      </c>
      <c r="S625" s="217"/>
      <c r="T625" s="217">
        <v>1</v>
      </c>
      <c r="U625" s="217"/>
      <c r="V625" s="217">
        <v>5</v>
      </c>
      <c r="W625" s="217"/>
      <c r="X625" s="218">
        <v>49</v>
      </c>
      <c r="Y625" s="221">
        <f t="shared" si="29"/>
        <v>48</v>
      </c>
      <c r="Z625">
        <f t="shared" si="30"/>
        <v>0</v>
      </c>
    </row>
    <row r="626" spans="1:26" x14ac:dyDescent="0.2">
      <c r="A626" s="26">
        <f t="shared" si="28"/>
        <v>42431</v>
      </c>
      <c r="B626" s="216">
        <v>2016</v>
      </c>
      <c r="C626" s="216">
        <v>3</v>
      </c>
      <c r="D626" s="216">
        <v>2</v>
      </c>
      <c r="E626" s="216" t="s">
        <v>152</v>
      </c>
      <c r="F626" s="217">
        <v>1</v>
      </c>
      <c r="G626" s="217">
        <v>2</v>
      </c>
      <c r="H626" s="217"/>
      <c r="I626" s="217">
        <v>5</v>
      </c>
      <c r="J626" s="217"/>
      <c r="K626" s="217"/>
      <c r="L626" s="217"/>
      <c r="M626" s="217"/>
      <c r="N626" s="217"/>
      <c r="O626" s="217">
        <v>2</v>
      </c>
      <c r="P626" s="217">
        <v>1</v>
      </c>
      <c r="Q626" s="217"/>
      <c r="R626" s="217">
        <v>8</v>
      </c>
      <c r="S626" s="217"/>
      <c r="T626" s="217">
        <v>5</v>
      </c>
      <c r="U626" s="217"/>
      <c r="V626" s="217">
        <v>5</v>
      </c>
      <c r="W626" s="217"/>
      <c r="X626" s="218">
        <v>29</v>
      </c>
      <c r="Y626" s="221">
        <f t="shared" si="29"/>
        <v>28</v>
      </c>
      <c r="Z626">
        <f t="shared" si="30"/>
        <v>0</v>
      </c>
    </row>
    <row r="627" spans="1:26" x14ac:dyDescent="0.2">
      <c r="A627" s="26">
        <f t="shared" si="28"/>
        <v>42431</v>
      </c>
      <c r="B627" s="216">
        <v>2016</v>
      </c>
      <c r="C627" s="216">
        <v>3</v>
      </c>
      <c r="D627" s="216">
        <v>2</v>
      </c>
      <c r="E627" s="216" t="s">
        <v>153</v>
      </c>
      <c r="F627" s="217"/>
      <c r="G627" s="217">
        <v>10</v>
      </c>
      <c r="H627" s="217">
        <v>6</v>
      </c>
      <c r="I627" s="217">
        <v>5</v>
      </c>
      <c r="J627" s="217"/>
      <c r="K627" s="217"/>
      <c r="L627" s="217">
        <v>8</v>
      </c>
      <c r="M627" s="217">
        <v>7</v>
      </c>
      <c r="N627" s="217"/>
      <c r="O627" s="217"/>
      <c r="P627" s="217">
        <v>1</v>
      </c>
      <c r="Q627" s="217"/>
      <c r="R627" s="217">
        <v>8</v>
      </c>
      <c r="S627" s="217"/>
      <c r="T627" s="217">
        <v>8</v>
      </c>
      <c r="U627" s="217"/>
      <c r="V627" s="217">
        <v>6</v>
      </c>
      <c r="W627" s="217"/>
      <c r="X627" s="218">
        <v>59</v>
      </c>
      <c r="Y627" s="221">
        <f t="shared" si="29"/>
        <v>59</v>
      </c>
      <c r="Z627">
        <f t="shared" si="30"/>
        <v>0</v>
      </c>
    </row>
    <row r="628" spans="1:26" x14ac:dyDescent="0.2">
      <c r="A628" s="26">
        <f t="shared" si="28"/>
        <v>42432</v>
      </c>
      <c r="B628" s="216">
        <v>2016</v>
      </c>
      <c r="C628" s="216">
        <v>3</v>
      </c>
      <c r="D628" s="216">
        <v>3</v>
      </c>
      <c r="E628" s="216" t="s">
        <v>152</v>
      </c>
      <c r="F628" s="217">
        <v>1</v>
      </c>
      <c r="G628" s="217">
        <v>3</v>
      </c>
      <c r="H628" s="217"/>
      <c r="I628" s="217">
        <v>2</v>
      </c>
      <c r="J628" s="217"/>
      <c r="K628" s="217"/>
      <c r="L628" s="217">
        <v>6</v>
      </c>
      <c r="M628" s="217">
        <v>1</v>
      </c>
      <c r="N628" s="217"/>
      <c r="O628" s="217">
        <v>1</v>
      </c>
      <c r="P628" s="217">
        <v>1</v>
      </c>
      <c r="Q628" s="217"/>
      <c r="R628" s="217">
        <v>1</v>
      </c>
      <c r="S628" s="217"/>
      <c r="T628" s="217"/>
      <c r="U628" s="217"/>
      <c r="V628" s="217"/>
      <c r="W628" s="217"/>
      <c r="X628" s="218">
        <v>16</v>
      </c>
      <c r="Y628" s="221">
        <f t="shared" si="29"/>
        <v>15</v>
      </c>
      <c r="Z628">
        <f t="shared" si="30"/>
        <v>0</v>
      </c>
    </row>
    <row r="629" spans="1:26" x14ac:dyDescent="0.2">
      <c r="A629" s="26">
        <f t="shared" si="28"/>
        <v>42432</v>
      </c>
      <c r="B629" s="216">
        <v>2016</v>
      </c>
      <c r="C629" s="216">
        <v>3</v>
      </c>
      <c r="D629" s="216">
        <v>3</v>
      </c>
      <c r="E629" s="216" t="s">
        <v>153</v>
      </c>
      <c r="F629" s="217"/>
      <c r="G629" s="217">
        <v>12</v>
      </c>
      <c r="H629" s="217">
        <v>4</v>
      </c>
      <c r="I629" s="217">
        <v>7</v>
      </c>
      <c r="J629" s="217"/>
      <c r="K629" s="217"/>
      <c r="L629" s="217">
        <v>15</v>
      </c>
      <c r="M629" s="217">
        <v>5</v>
      </c>
      <c r="N629" s="217"/>
      <c r="O629" s="217"/>
      <c r="P629" s="217">
        <v>5</v>
      </c>
      <c r="Q629" s="217"/>
      <c r="R629" s="217">
        <v>1</v>
      </c>
      <c r="S629" s="217"/>
      <c r="T629" s="217">
        <v>1</v>
      </c>
      <c r="U629" s="217"/>
      <c r="V629" s="217">
        <v>3</v>
      </c>
      <c r="W629" s="217"/>
      <c r="X629" s="218">
        <v>53</v>
      </c>
      <c r="Y629" s="221">
        <f t="shared" si="29"/>
        <v>53</v>
      </c>
      <c r="Z629">
        <f t="shared" si="30"/>
        <v>0</v>
      </c>
    </row>
    <row r="630" spans="1:26" x14ac:dyDescent="0.2">
      <c r="A630" s="26">
        <f t="shared" si="28"/>
        <v>42433</v>
      </c>
      <c r="B630" s="216">
        <v>2016</v>
      </c>
      <c r="C630" s="216">
        <v>3</v>
      </c>
      <c r="D630" s="216">
        <v>4</v>
      </c>
      <c r="E630" s="216" t="s">
        <v>152</v>
      </c>
      <c r="F630" s="217"/>
      <c r="G630" s="217">
        <v>2</v>
      </c>
      <c r="H630" s="217"/>
      <c r="I630" s="217">
        <v>3</v>
      </c>
      <c r="J630" s="217"/>
      <c r="K630" s="217"/>
      <c r="L630" s="217"/>
      <c r="M630" s="217">
        <v>1</v>
      </c>
      <c r="N630" s="217"/>
      <c r="O630" s="217"/>
      <c r="P630" s="217"/>
      <c r="Q630" s="217"/>
      <c r="R630" s="217">
        <v>3</v>
      </c>
      <c r="S630" s="217"/>
      <c r="T630" s="217"/>
      <c r="U630" s="217"/>
      <c r="V630" s="217">
        <v>1</v>
      </c>
      <c r="W630" s="217"/>
      <c r="X630" s="218">
        <v>10</v>
      </c>
      <c r="Y630" s="221">
        <f t="shared" si="29"/>
        <v>10</v>
      </c>
      <c r="Z630">
        <f t="shared" si="30"/>
        <v>0</v>
      </c>
    </row>
    <row r="631" spans="1:26" x14ac:dyDescent="0.2">
      <c r="A631" s="26">
        <f t="shared" si="28"/>
        <v>42433</v>
      </c>
      <c r="B631" s="216">
        <v>2016</v>
      </c>
      <c r="C631" s="216">
        <v>3</v>
      </c>
      <c r="D631" s="216">
        <v>4</v>
      </c>
      <c r="E631" s="216" t="s">
        <v>153</v>
      </c>
      <c r="F631" s="217">
        <v>1</v>
      </c>
      <c r="G631" s="217">
        <v>8</v>
      </c>
      <c r="H631" s="217">
        <v>8</v>
      </c>
      <c r="I631" s="217">
        <v>4</v>
      </c>
      <c r="J631" s="217"/>
      <c r="K631" s="217"/>
      <c r="L631" s="217">
        <v>12</v>
      </c>
      <c r="M631" s="217">
        <v>1</v>
      </c>
      <c r="N631" s="217"/>
      <c r="O631" s="217"/>
      <c r="P631" s="217">
        <v>1</v>
      </c>
      <c r="Q631" s="217"/>
      <c r="R631" s="217">
        <v>8</v>
      </c>
      <c r="S631" s="217"/>
      <c r="T631" s="217">
        <v>1</v>
      </c>
      <c r="U631" s="217"/>
      <c r="V631" s="217">
        <v>5</v>
      </c>
      <c r="W631" s="217"/>
      <c r="X631" s="218">
        <v>49</v>
      </c>
      <c r="Y631" s="221">
        <f t="shared" si="29"/>
        <v>48</v>
      </c>
      <c r="Z631">
        <f t="shared" si="30"/>
        <v>0</v>
      </c>
    </row>
    <row r="632" spans="1:26" x14ac:dyDescent="0.2">
      <c r="A632" s="26">
        <f t="shared" si="28"/>
        <v>42434</v>
      </c>
      <c r="B632" s="216">
        <v>2016</v>
      </c>
      <c r="C632" s="216">
        <v>3</v>
      </c>
      <c r="D632" s="216">
        <v>5</v>
      </c>
      <c r="E632" s="216" t="s">
        <v>152</v>
      </c>
      <c r="F632" s="217">
        <v>3</v>
      </c>
      <c r="G632" s="217"/>
      <c r="H632" s="217"/>
      <c r="I632" s="217"/>
      <c r="J632" s="217"/>
      <c r="K632" s="217"/>
      <c r="L632" s="217">
        <v>1</v>
      </c>
      <c r="M632" s="217"/>
      <c r="N632" s="217"/>
      <c r="O632" s="217"/>
      <c r="P632" s="217"/>
      <c r="Q632" s="217"/>
      <c r="R632" s="217"/>
      <c r="S632" s="217"/>
      <c r="T632" s="217"/>
      <c r="U632" s="217"/>
      <c r="V632" s="217">
        <v>3</v>
      </c>
      <c r="W632" s="217"/>
      <c r="X632" s="218">
        <v>7</v>
      </c>
      <c r="Y632" s="221">
        <f t="shared" si="29"/>
        <v>4</v>
      </c>
      <c r="Z632">
        <f t="shared" si="30"/>
        <v>0</v>
      </c>
    </row>
    <row r="633" spans="1:26" x14ac:dyDescent="0.2">
      <c r="A633" s="26">
        <f t="shared" si="28"/>
        <v>42434</v>
      </c>
      <c r="B633" s="216">
        <v>2016</v>
      </c>
      <c r="C633" s="216">
        <v>3</v>
      </c>
      <c r="D633" s="216">
        <v>5</v>
      </c>
      <c r="E633" s="216" t="s">
        <v>153</v>
      </c>
      <c r="F633" s="217"/>
      <c r="G633" s="217"/>
      <c r="H633" s="217">
        <v>7</v>
      </c>
      <c r="I633" s="217"/>
      <c r="J633" s="217"/>
      <c r="K633" s="217"/>
      <c r="L633" s="217">
        <v>7</v>
      </c>
      <c r="M633" s="217"/>
      <c r="N633" s="217"/>
      <c r="O633" s="217"/>
      <c r="P633" s="217"/>
      <c r="Q633" s="217"/>
      <c r="R633" s="217"/>
      <c r="S633" s="217"/>
      <c r="T633" s="217"/>
      <c r="U633" s="217"/>
      <c r="V633" s="217">
        <v>8</v>
      </c>
      <c r="W633" s="217"/>
      <c r="X633" s="218">
        <v>22</v>
      </c>
      <c r="Y633" s="221">
        <f t="shared" si="29"/>
        <v>22</v>
      </c>
      <c r="Z633">
        <f t="shared" si="30"/>
        <v>22</v>
      </c>
    </row>
    <row r="634" spans="1:26" x14ac:dyDescent="0.2">
      <c r="A634" s="26">
        <f t="shared" si="28"/>
        <v>42436</v>
      </c>
      <c r="B634" s="216">
        <v>2016</v>
      </c>
      <c r="C634" s="216">
        <v>3</v>
      </c>
      <c r="D634" s="216">
        <v>7</v>
      </c>
      <c r="E634" s="216" t="s">
        <v>152</v>
      </c>
      <c r="F634" s="217">
        <v>3</v>
      </c>
      <c r="G634" s="217">
        <v>6</v>
      </c>
      <c r="H634" s="217"/>
      <c r="I634" s="217">
        <v>3</v>
      </c>
      <c r="J634" s="217">
        <v>1</v>
      </c>
      <c r="K634" s="217"/>
      <c r="L634" s="217"/>
      <c r="M634" s="217"/>
      <c r="N634" s="217"/>
      <c r="O634" s="217">
        <v>8</v>
      </c>
      <c r="P634" s="217"/>
      <c r="Q634" s="217"/>
      <c r="R634" s="217"/>
      <c r="S634" s="217"/>
      <c r="T634" s="217"/>
      <c r="U634" s="217"/>
      <c r="V634" s="217">
        <v>1</v>
      </c>
      <c r="W634" s="217"/>
      <c r="X634" s="218">
        <v>22</v>
      </c>
      <c r="Y634" s="221">
        <f t="shared" si="29"/>
        <v>19</v>
      </c>
      <c r="Z634">
        <f t="shared" si="30"/>
        <v>0</v>
      </c>
    </row>
    <row r="635" spans="1:26" x14ac:dyDescent="0.2">
      <c r="A635" s="26">
        <f t="shared" si="28"/>
        <v>42436</v>
      </c>
      <c r="B635" s="216">
        <v>2016</v>
      </c>
      <c r="C635" s="216">
        <v>3</v>
      </c>
      <c r="D635" s="216">
        <v>7</v>
      </c>
      <c r="E635" s="216" t="s">
        <v>153</v>
      </c>
      <c r="F635" s="217"/>
      <c r="G635" s="217">
        <v>10</v>
      </c>
      <c r="H635" s="217">
        <v>4</v>
      </c>
      <c r="I635" s="217">
        <v>8</v>
      </c>
      <c r="J635" s="217">
        <v>7</v>
      </c>
      <c r="K635" s="217"/>
      <c r="L635" s="217">
        <v>3</v>
      </c>
      <c r="M635" s="217"/>
      <c r="N635" s="217"/>
      <c r="O635" s="217"/>
      <c r="P635" s="217">
        <v>1</v>
      </c>
      <c r="Q635" s="217"/>
      <c r="R635" s="217"/>
      <c r="S635" s="217"/>
      <c r="T635" s="217"/>
      <c r="U635" s="217"/>
      <c r="V635" s="217">
        <v>7</v>
      </c>
      <c r="W635" s="217"/>
      <c r="X635" s="218">
        <v>40</v>
      </c>
      <c r="Y635" s="221">
        <f t="shared" si="29"/>
        <v>40</v>
      </c>
      <c r="Z635">
        <f t="shared" si="30"/>
        <v>0</v>
      </c>
    </row>
    <row r="636" spans="1:26" x14ac:dyDescent="0.2">
      <c r="A636" s="26">
        <f t="shared" si="28"/>
        <v>42437</v>
      </c>
      <c r="B636" s="216">
        <v>2016</v>
      </c>
      <c r="C636" s="216">
        <v>3</v>
      </c>
      <c r="D636" s="216">
        <v>8</v>
      </c>
      <c r="E636" s="216" t="s">
        <v>152</v>
      </c>
      <c r="F636" s="217">
        <v>1</v>
      </c>
      <c r="G636" s="217">
        <v>8</v>
      </c>
      <c r="H636" s="217"/>
      <c r="I636" s="217">
        <v>1</v>
      </c>
      <c r="J636" s="217">
        <v>3</v>
      </c>
      <c r="K636" s="217"/>
      <c r="L636" s="217">
        <v>5</v>
      </c>
      <c r="M636" s="217"/>
      <c r="N636" s="217"/>
      <c r="O636" s="217">
        <v>3</v>
      </c>
      <c r="P636" s="217"/>
      <c r="Q636" s="217"/>
      <c r="R636" s="217">
        <v>2</v>
      </c>
      <c r="S636" s="217"/>
      <c r="T636" s="217"/>
      <c r="U636" s="217"/>
      <c r="V636" s="217">
        <v>1</v>
      </c>
      <c r="W636" s="217"/>
      <c r="X636" s="218">
        <v>24</v>
      </c>
      <c r="Y636" s="221">
        <f t="shared" si="29"/>
        <v>23</v>
      </c>
      <c r="Z636">
        <f t="shared" si="30"/>
        <v>0</v>
      </c>
    </row>
    <row r="637" spans="1:26" x14ac:dyDescent="0.2">
      <c r="A637" s="26">
        <f t="shared" si="28"/>
        <v>42437</v>
      </c>
      <c r="B637" s="216">
        <v>2016</v>
      </c>
      <c r="C637" s="216">
        <v>3</v>
      </c>
      <c r="D637" s="216">
        <v>8</v>
      </c>
      <c r="E637" s="216" t="s">
        <v>153</v>
      </c>
      <c r="F637" s="217">
        <v>4</v>
      </c>
      <c r="G637" s="217">
        <v>4</v>
      </c>
      <c r="H637" s="217">
        <v>5</v>
      </c>
      <c r="I637" s="217">
        <v>6</v>
      </c>
      <c r="J637" s="217">
        <v>2</v>
      </c>
      <c r="K637" s="217"/>
      <c r="L637" s="217">
        <v>9</v>
      </c>
      <c r="M637" s="217">
        <v>13</v>
      </c>
      <c r="N637" s="217"/>
      <c r="O637" s="217"/>
      <c r="P637" s="217">
        <v>3</v>
      </c>
      <c r="Q637" s="217"/>
      <c r="R637" s="217">
        <v>1</v>
      </c>
      <c r="S637" s="217"/>
      <c r="T637" s="217"/>
      <c r="U637" s="217"/>
      <c r="V637" s="217">
        <v>9</v>
      </c>
      <c r="W637" s="217"/>
      <c r="X637" s="218">
        <v>56</v>
      </c>
      <c r="Y637" s="221">
        <f t="shared" si="29"/>
        <v>52</v>
      </c>
      <c r="Z637">
        <f t="shared" si="30"/>
        <v>0</v>
      </c>
    </row>
    <row r="638" spans="1:26" x14ac:dyDescent="0.2">
      <c r="A638" s="26">
        <f t="shared" si="28"/>
        <v>42438</v>
      </c>
      <c r="B638" s="216">
        <v>2016</v>
      </c>
      <c r="C638" s="216">
        <v>3</v>
      </c>
      <c r="D638" s="216">
        <v>9</v>
      </c>
      <c r="E638" s="216" t="s">
        <v>152</v>
      </c>
      <c r="F638" s="217">
        <v>11</v>
      </c>
      <c r="G638" s="217">
        <v>6</v>
      </c>
      <c r="H638" s="217">
        <v>2</v>
      </c>
      <c r="I638" s="217"/>
      <c r="J638" s="217">
        <v>4</v>
      </c>
      <c r="K638" s="217"/>
      <c r="L638" s="217">
        <v>5</v>
      </c>
      <c r="M638" s="217"/>
      <c r="N638" s="217"/>
      <c r="O638" s="217">
        <v>2</v>
      </c>
      <c r="P638" s="217">
        <v>3</v>
      </c>
      <c r="Q638" s="217"/>
      <c r="R638" s="217">
        <v>6</v>
      </c>
      <c r="S638" s="217"/>
      <c r="T638" s="217">
        <v>3</v>
      </c>
      <c r="U638" s="217"/>
      <c r="V638" s="217"/>
      <c r="W638" s="217"/>
      <c r="X638" s="218">
        <v>42</v>
      </c>
      <c r="Y638" s="221">
        <f t="shared" si="29"/>
        <v>31</v>
      </c>
      <c r="Z638">
        <f t="shared" si="30"/>
        <v>0</v>
      </c>
    </row>
    <row r="639" spans="1:26" x14ac:dyDescent="0.2">
      <c r="A639" s="26">
        <f t="shared" si="28"/>
        <v>42438</v>
      </c>
      <c r="B639" s="216">
        <v>2016</v>
      </c>
      <c r="C639" s="216">
        <v>3</v>
      </c>
      <c r="D639" s="216">
        <v>9</v>
      </c>
      <c r="E639" s="216" t="s">
        <v>153</v>
      </c>
      <c r="F639" s="217"/>
      <c r="G639" s="217">
        <v>10</v>
      </c>
      <c r="H639" s="217">
        <v>5</v>
      </c>
      <c r="I639" s="217">
        <v>7</v>
      </c>
      <c r="J639" s="217">
        <v>5</v>
      </c>
      <c r="K639" s="217"/>
      <c r="L639" s="217">
        <v>4</v>
      </c>
      <c r="M639" s="217"/>
      <c r="N639" s="217"/>
      <c r="O639" s="217"/>
      <c r="P639" s="217">
        <v>4</v>
      </c>
      <c r="Q639" s="217"/>
      <c r="R639" s="217">
        <v>9</v>
      </c>
      <c r="S639" s="217"/>
      <c r="T639" s="217">
        <v>4</v>
      </c>
      <c r="U639" s="217"/>
      <c r="V639" s="217">
        <v>13</v>
      </c>
      <c r="W639" s="217"/>
      <c r="X639" s="218">
        <v>61</v>
      </c>
      <c r="Y639" s="221">
        <f t="shared" si="29"/>
        <v>61</v>
      </c>
      <c r="Z639">
        <f t="shared" si="30"/>
        <v>0</v>
      </c>
    </row>
    <row r="640" spans="1:26" x14ac:dyDescent="0.2">
      <c r="A640" s="26">
        <f t="shared" si="28"/>
        <v>42439</v>
      </c>
      <c r="B640" s="216">
        <v>2016</v>
      </c>
      <c r="C640" s="216">
        <v>3</v>
      </c>
      <c r="D640" s="216">
        <v>10</v>
      </c>
      <c r="E640" s="216" t="s">
        <v>152</v>
      </c>
      <c r="F640" s="217">
        <v>7</v>
      </c>
      <c r="G640" s="217">
        <v>5</v>
      </c>
      <c r="H640" s="217"/>
      <c r="I640" s="217">
        <v>1</v>
      </c>
      <c r="J640" s="217">
        <v>1</v>
      </c>
      <c r="K640" s="217"/>
      <c r="L640" s="217">
        <v>2</v>
      </c>
      <c r="M640" s="217"/>
      <c r="N640" s="217"/>
      <c r="O640" s="217">
        <v>4</v>
      </c>
      <c r="P640" s="217">
        <v>1</v>
      </c>
      <c r="Q640" s="217"/>
      <c r="R640" s="217">
        <v>3</v>
      </c>
      <c r="S640" s="217"/>
      <c r="T640" s="217">
        <v>4</v>
      </c>
      <c r="U640" s="217"/>
      <c r="V640" s="217">
        <v>3</v>
      </c>
      <c r="W640" s="217"/>
      <c r="X640" s="218">
        <v>31</v>
      </c>
      <c r="Y640" s="221">
        <f t="shared" si="29"/>
        <v>24</v>
      </c>
      <c r="Z640">
        <f t="shared" si="30"/>
        <v>0</v>
      </c>
    </row>
    <row r="641" spans="1:26" x14ac:dyDescent="0.2">
      <c r="A641" s="26">
        <f t="shared" si="28"/>
        <v>42439</v>
      </c>
      <c r="B641" s="216">
        <v>2016</v>
      </c>
      <c r="C641" s="216">
        <v>3</v>
      </c>
      <c r="D641" s="216">
        <v>10</v>
      </c>
      <c r="E641" s="216" t="s">
        <v>153</v>
      </c>
      <c r="F641" s="217">
        <v>8</v>
      </c>
      <c r="G641" s="217">
        <v>8</v>
      </c>
      <c r="H641" s="217">
        <v>5</v>
      </c>
      <c r="I641" s="217">
        <v>8</v>
      </c>
      <c r="J641" s="217">
        <v>7</v>
      </c>
      <c r="K641" s="217"/>
      <c r="L641" s="217">
        <v>5</v>
      </c>
      <c r="M641" s="217">
        <v>6</v>
      </c>
      <c r="N641" s="217"/>
      <c r="O641" s="217"/>
      <c r="P641" s="217">
        <v>1</v>
      </c>
      <c r="Q641" s="217"/>
      <c r="R641" s="217">
        <v>7</v>
      </c>
      <c r="S641" s="217"/>
      <c r="T641" s="217">
        <v>9</v>
      </c>
      <c r="U641" s="217"/>
      <c r="V641" s="217">
        <v>14</v>
      </c>
      <c r="W641" s="217"/>
      <c r="X641" s="218">
        <v>78</v>
      </c>
      <c r="Y641" s="221">
        <f t="shared" si="29"/>
        <v>70</v>
      </c>
      <c r="Z641">
        <f t="shared" si="30"/>
        <v>0</v>
      </c>
    </row>
    <row r="642" spans="1:26" x14ac:dyDescent="0.2">
      <c r="A642" s="26">
        <f t="shared" si="28"/>
        <v>42440</v>
      </c>
      <c r="B642" s="216">
        <v>2016</v>
      </c>
      <c r="C642" s="216">
        <v>3</v>
      </c>
      <c r="D642" s="216">
        <v>11</v>
      </c>
      <c r="E642" s="216" t="s">
        <v>152</v>
      </c>
      <c r="F642" s="217">
        <v>3</v>
      </c>
      <c r="G642" s="217">
        <v>5</v>
      </c>
      <c r="H642" s="217"/>
      <c r="I642" s="217">
        <v>2</v>
      </c>
      <c r="J642" s="217"/>
      <c r="K642" s="217"/>
      <c r="L642" s="217">
        <v>10</v>
      </c>
      <c r="M642" s="217">
        <v>1</v>
      </c>
      <c r="N642" s="217"/>
      <c r="O642" s="217">
        <v>6</v>
      </c>
      <c r="P642" s="217">
        <v>1</v>
      </c>
      <c r="Q642" s="217"/>
      <c r="R642" s="217"/>
      <c r="S642" s="217"/>
      <c r="T642" s="217">
        <v>2</v>
      </c>
      <c r="U642" s="217"/>
      <c r="V642" s="217">
        <v>1</v>
      </c>
      <c r="W642" s="217"/>
      <c r="X642" s="218">
        <v>31</v>
      </c>
      <c r="Y642" s="221">
        <f t="shared" si="29"/>
        <v>28</v>
      </c>
      <c r="Z642">
        <f t="shared" si="30"/>
        <v>0</v>
      </c>
    </row>
    <row r="643" spans="1:26" x14ac:dyDescent="0.2">
      <c r="A643" s="26">
        <f t="shared" ref="A643:A706" si="31">DATE(B643,C643,D643)</f>
        <v>42440</v>
      </c>
      <c r="B643" s="216">
        <v>2016</v>
      </c>
      <c r="C643" s="216">
        <v>3</v>
      </c>
      <c r="D643" s="216">
        <v>11</v>
      </c>
      <c r="E643" s="216" t="s">
        <v>153</v>
      </c>
      <c r="F643" s="217"/>
      <c r="G643" s="217">
        <v>7</v>
      </c>
      <c r="H643" s="217">
        <v>3</v>
      </c>
      <c r="I643" s="217">
        <v>5</v>
      </c>
      <c r="J643" s="217"/>
      <c r="K643" s="217"/>
      <c r="L643" s="217">
        <v>10</v>
      </c>
      <c r="M643" s="217">
        <v>1</v>
      </c>
      <c r="N643" s="217"/>
      <c r="O643" s="217"/>
      <c r="P643" s="217">
        <v>8</v>
      </c>
      <c r="Q643" s="217"/>
      <c r="R643" s="217">
        <v>4</v>
      </c>
      <c r="S643" s="217"/>
      <c r="T643" s="217">
        <v>2</v>
      </c>
      <c r="U643" s="217"/>
      <c r="V643" s="217">
        <v>1</v>
      </c>
      <c r="W643" s="217"/>
      <c r="X643" s="218">
        <v>41</v>
      </c>
      <c r="Y643" s="221">
        <f t="shared" ref="Y643:Y706" si="32">SUM(G643:W643)</f>
        <v>41</v>
      </c>
      <c r="Z643">
        <f t="shared" si="30"/>
        <v>0</v>
      </c>
    </row>
    <row r="644" spans="1:26" x14ac:dyDescent="0.2">
      <c r="A644" s="26">
        <f t="shared" si="31"/>
        <v>42443</v>
      </c>
      <c r="B644" s="216">
        <v>2016</v>
      </c>
      <c r="C644" s="216">
        <v>3</v>
      </c>
      <c r="D644" s="216">
        <v>14</v>
      </c>
      <c r="E644" s="216" t="s">
        <v>152</v>
      </c>
      <c r="F644" s="217">
        <v>1</v>
      </c>
      <c r="G644" s="217">
        <v>8</v>
      </c>
      <c r="H644" s="217">
        <v>1</v>
      </c>
      <c r="I644" s="217">
        <v>1</v>
      </c>
      <c r="J644" s="217"/>
      <c r="K644" s="217"/>
      <c r="L644" s="217">
        <v>7</v>
      </c>
      <c r="M644" s="217"/>
      <c r="N644" s="217"/>
      <c r="O644" s="217">
        <v>1</v>
      </c>
      <c r="P644" s="217">
        <v>2</v>
      </c>
      <c r="Q644" s="217"/>
      <c r="R644" s="217"/>
      <c r="S644" s="217"/>
      <c r="T644" s="217">
        <v>4</v>
      </c>
      <c r="U644" s="217"/>
      <c r="V644" s="217"/>
      <c r="W644" s="217"/>
      <c r="X644" s="218">
        <v>25</v>
      </c>
      <c r="Y644" s="221">
        <f t="shared" si="32"/>
        <v>24</v>
      </c>
      <c r="Z644">
        <f t="shared" si="30"/>
        <v>0</v>
      </c>
    </row>
    <row r="645" spans="1:26" x14ac:dyDescent="0.2">
      <c r="A645" s="26">
        <f t="shared" si="31"/>
        <v>42443</v>
      </c>
      <c r="B645" s="216">
        <v>2016</v>
      </c>
      <c r="C645" s="216">
        <v>3</v>
      </c>
      <c r="D645" s="216">
        <v>14</v>
      </c>
      <c r="E645" s="216" t="s">
        <v>153</v>
      </c>
      <c r="F645" s="217">
        <v>3</v>
      </c>
      <c r="G645" s="217">
        <v>9</v>
      </c>
      <c r="H645" s="217">
        <v>5</v>
      </c>
      <c r="I645" s="217">
        <v>5</v>
      </c>
      <c r="J645" s="217"/>
      <c r="K645" s="217"/>
      <c r="L645" s="217">
        <v>5</v>
      </c>
      <c r="M645" s="217"/>
      <c r="N645" s="217"/>
      <c r="O645" s="217"/>
      <c r="P645" s="217">
        <v>4</v>
      </c>
      <c r="Q645" s="217"/>
      <c r="R645" s="217"/>
      <c r="S645" s="217"/>
      <c r="T645" s="217">
        <v>10</v>
      </c>
      <c r="U645" s="217"/>
      <c r="V645" s="217"/>
      <c r="W645" s="217"/>
      <c r="X645" s="218">
        <v>41</v>
      </c>
      <c r="Y645" s="221">
        <f t="shared" si="32"/>
        <v>38</v>
      </c>
      <c r="Z645">
        <f t="shared" si="30"/>
        <v>0</v>
      </c>
    </row>
    <row r="646" spans="1:26" x14ac:dyDescent="0.2">
      <c r="A646" s="26">
        <f t="shared" si="31"/>
        <v>42444</v>
      </c>
      <c r="B646" s="216">
        <v>2016</v>
      </c>
      <c r="C646" s="216">
        <v>3</v>
      </c>
      <c r="D646" s="216">
        <v>15</v>
      </c>
      <c r="E646" s="216" t="s">
        <v>152</v>
      </c>
      <c r="F646" s="217">
        <v>9</v>
      </c>
      <c r="G646" s="217">
        <v>3</v>
      </c>
      <c r="H646" s="217"/>
      <c r="I646" s="217">
        <v>3</v>
      </c>
      <c r="J646" s="217"/>
      <c r="K646" s="217"/>
      <c r="L646" s="217">
        <v>2</v>
      </c>
      <c r="M646" s="217"/>
      <c r="N646" s="217"/>
      <c r="O646" s="217">
        <v>3</v>
      </c>
      <c r="P646" s="217"/>
      <c r="Q646" s="217"/>
      <c r="R646" s="217">
        <v>4</v>
      </c>
      <c r="S646" s="217"/>
      <c r="T646" s="217"/>
      <c r="U646" s="217"/>
      <c r="V646" s="217"/>
      <c r="W646" s="217"/>
      <c r="X646" s="218">
        <v>24</v>
      </c>
      <c r="Y646" s="221">
        <f t="shared" si="32"/>
        <v>15</v>
      </c>
      <c r="Z646">
        <f t="shared" si="30"/>
        <v>0</v>
      </c>
    </row>
    <row r="647" spans="1:26" x14ac:dyDescent="0.2">
      <c r="A647" s="26">
        <f t="shared" si="31"/>
        <v>42444</v>
      </c>
      <c r="B647" s="216">
        <v>2016</v>
      </c>
      <c r="C647" s="216">
        <v>3</v>
      </c>
      <c r="D647" s="216">
        <v>15</v>
      </c>
      <c r="E647" s="216" t="s">
        <v>153</v>
      </c>
      <c r="F647" s="217">
        <v>10</v>
      </c>
      <c r="G647" s="217">
        <v>9</v>
      </c>
      <c r="H647" s="217">
        <v>8</v>
      </c>
      <c r="I647" s="217">
        <v>2</v>
      </c>
      <c r="J647" s="217"/>
      <c r="K647" s="217"/>
      <c r="L647" s="217">
        <v>14</v>
      </c>
      <c r="M647" s="217">
        <v>8</v>
      </c>
      <c r="N647" s="217"/>
      <c r="O647" s="217"/>
      <c r="P647" s="217">
        <v>4</v>
      </c>
      <c r="Q647" s="217"/>
      <c r="R647" s="217">
        <v>13</v>
      </c>
      <c r="S647" s="217"/>
      <c r="T647" s="217"/>
      <c r="U647" s="217"/>
      <c r="V647" s="217"/>
      <c r="W647" s="217"/>
      <c r="X647" s="218">
        <v>68</v>
      </c>
      <c r="Y647" s="221">
        <f t="shared" si="32"/>
        <v>58</v>
      </c>
      <c r="Z647">
        <f t="shared" si="30"/>
        <v>0</v>
      </c>
    </row>
    <row r="648" spans="1:26" x14ac:dyDescent="0.2">
      <c r="A648" s="26">
        <f t="shared" si="31"/>
        <v>42445</v>
      </c>
      <c r="B648" s="216">
        <v>2016</v>
      </c>
      <c r="C648" s="216">
        <v>3</v>
      </c>
      <c r="D648" s="216">
        <v>16</v>
      </c>
      <c r="E648" s="216" t="s">
        <v>152</v>
      </c>
      <c r="F648" s="217">
        <v>1</v>
      </c>
      <c r="G648" s="217">
        <v>1</v>
      </c>
      <c r="H648" s="217">
        <v>1</v>
      </c>
      <c r="I648" s="217">
        <v>2</v>
      </c>
      <c r="J648" s="217"/>
      <c r="K648" s="217"/>
      <c r="L648" s="217">
        <v>6</v>
      </c>
      <c r="M648" s="217"/>
      <c r="N648" s="217"/>
      <c r="O648" s="217">
        <v>3</v>
      </c>
      <c r="P648" s="217"/>
      <c r="Q648" s="217"/>
      <c r="R648" s="217">
        <v>6</v>
      </c>
      <c r="S648" s="217"/>
      <c r="T648" s="217">
        <v>8</v>
      </c>
      <c r="U648" s="217"/>
      <c r="V648" s="217"/>
      <c r="W648" s="217"/>
      <c r="X648" s="218">
        <v>28</v>
      </c>
      <c r="Y648" s="221">
        <f t="shared" si="32"/>
        <v>27</v>
      </c>
      <c r="Z648">
        <f t="shared" si="30"/>
        <v>0</v>
      </c>
    </row>
    <row r="649" spans="1:26" x14ac:dyDescent="0.2">
      <c r="A649" s="26">
        <f t="shared" si="31"/>
        <v>42445</v>
      </c>
      <c r="B649" s="216">
        <v>2016</v>
      </c>
      <c r="C649" s="216">
        <v>3</v>
      </c>
      <c r="D649" s="216">
        <v>16</v>
      </c>
      <c r="E649" s="216" t="s">
        <v>153</v>
      </c>
      <c r="F649" s="217"/>
      <c r="G649" s="217">
        <v>6</v>
      </c>
      <c r="H649" s="217">
        <v>5</v>
      </c>
      <c r="I649" s="217">
        <v>5</v>
      </c>
      <c r="J649" s="217"/>
      <c r="K649" s="217"/>
      <c r="L649" s="217">
        <v>10</v>
      </c>
      <c r="M649" s="217"/>
      <c r="N649" s="217"/>
      <c r="O649" s="217"/>
      <c r="P649" s="217">
        <v>6</v>
      </c>
      <c r="Q649" s="217"/>
      <c r="R649" s="217">
        <v>4</v>
      </c>
      <c r="S649" s="217"/>
      <c r="T649" s="217">
        <v>13</v>
      </c>
      <c r="U649" s="217"/>
      <c r="V649" s="217">
        <v>1</v>
      </c>
      <c r="W649" s="217"/>
      <c r="X649" s="218">
        <v>50</v>
      </c>
      <c r="Y649" s="221">
        <f t="shared" si="32"/>
        <v>50</v>
      </c>
      <c r="Z649">
        <f t="shared" si="30"/>
        <v>0</v>
      </c>
    </row>
    <row r="650" spans="1:26" x14ac:dyDescent="0.2">
      <c r="A650" s="26">
        <f t="shared" si="31"/>
        <v>42446</v>
      </c>
      <c r="B650" s="216">
        <v>2016</v>
      </c>
      <c r="C650" s="216">
        <v>3</v>
      </c>
      <c r="D650" s="216">
        <v>17</v>
      </c>
      <c r="E650" s="216" t="s">
        <v>152</v>
      </c>
      <c r="F650" s="217">
        <v>4</v>
      </c>
      <c r="G650" s="217"/>
      <c r="H650" s="217">
        <v>1</v>
      </c>
      <c r="I650" s="217">
        <v>1</v>
      </c>
      <c r="J650" s="217"/>
      <c r="K650" s="217"/>
      <c r="L650" s="217">
        <v>5</v>
      </c>
      <c r="M650" s="217"/>
      <c r="N650" s="217"/>
      <c r="O650" s="217"/>
      <c r="P650" s="217"/>
      <c r="Q650" s="217"/>
      <c r="R650" s="217">
        <v>2</v>
      </c>
      <c r="S650" s="217"/>
      <c r="T650" s="217">
        <v>9</v>
      </c>
      <c r="U650" s="217"/>
      <c r="V650" s="217"/>
      <c r="W650" s="217"/>
      <c r="X650" s="218">
        <v>22</v>
      </c>
      <c r="Y650" s="221">
        <f t="shared" si="32"/>
        <v>18</v>
      </c>
      <c r="Z650">
        <f t="shared" si="30"/>
        <v>0</v>
      </c>
    </row>
    <row r="651" spans="1:26" x14ac:dyDescent="0.2">
      <c r="A651" s="26">
        <f t="shared" si="31"/>
        <v>42446</v>
      </c>
      <c r="B651" s="216">
        <v>2016</v>
      </c>
      <c r="C651" s="216">
        <v>3</v>
      </c>
      <c r="D651" s="216">
        <v>17</v>
      </c>
      <c r="E651" s="216" t="s">
        <v>153</v>
      </c>
      <c r="F651" s="217"/>
      <c r="G651" s="217"/>
      <c r="H651" s="217">
        <v>6</v>
      </c>
      <c r="I651" s="217">
        <v>6</v>
      </c>
      <c r="J651" s="217"/>
      <c r="K651" s="217"/>
      <c r="L651" s="217">
        <v>10</v>
      </c>
      <c r="M651" s="217">
        <v>1</v>
      </c>
      <c r="N651" s="217"/>
      <c r="O651" s="217"/>
      <c r="P651" s="217">
        <v>2</v>
      </c>
      <c r="Q651" s="217"/>
      <c r="R651" s="217">
        <v>13</v>
      </c>
      <c r="S651" s="217"/>
      <c r="T651" s="217">
        <v>12</v>
      </c>
      <c r="U651" s="217"/>
      <c r="V651" s="217"/>
      <c r="W651" s="217"/>
      <c r="X651" s="218">
        <v>50</v>
      </c>
      <c r="Y651" s="221">
        <f t="shared" si="32"/>
        <v>50</v>
      </c>
      <c r="Z651">
        <f t="shared" si="30"/>
        <v>0</v>
      </c>
    </row>
    <row r="652" spans="1:26" x14ac:dyDescent="0.2">
      <c r="A652" s="26">
        <f t="shared" si="31"/>
        <v>42447</v>
      </c>
      <c r="B652" s="216">
        <v>2016</v>
      </c>
      <c r="C652" s="216">
        <v>3</v>
      </c>
      <c r="D652" s="216">
        <v>18</v>
      </c>
      <c r="E652" s="216" t="s">
        <v>152</v>
      </c>
      <c r="F652" s="217">
        <v>3</v>
      </c>
      <c r="G652" s="217"/>
      <c r="H652" s="217"/>
      <c r="I652" s="217">
        <v>2</v>
      </c>
      <c r="J652" s="217"/>
      <c r="K652" s="217"/>
      <c r="L652" s="217"/>
      <c r="M652" s="217"/>
      <c r="N652" s="217"/>
      <c r="O652" s="217">
        <v>1</v>
      </c>
      <c r="P652" s="217">
        <v>3</v>
      </c>
      <c r="Q652" s="217"/>
      <c r="R652" s="217">
        <v>3</v>
      </c>
      <c r="S652" s="217"/>
      <c r="T652" s="217">
        <v>9</v>
      </c>
      <c r="U652" s="217"/>
      <c r="V652" s="217"/>
      <c r="W652" s="217"/>
      <c r="X652" s="218">
        <v>21</v>
      </c>
      <c r="Y652" s="221">
        <f t="shared" si="32"/>
        <v>18</v>
      </c>
      <c r="Z652">
        <f t="shared" si="30"/>
        <v>0</v>
      </c>
    </row>
    <row r="653" spans="1:26" x14ac:dyDescent="0.2">
      <c r="A653" s="26">
        <f t="shared" si="31"/>
        <v>42447</v>
      </c>
      <c r="B653" s="216">
        <v>2016</v>
      </c>
      <c r="C653" s="216">
        <v>3</v>
      </c>
      <c r="D653" s="216">
        <v>18</v>
      </c>
      <c r="E653" s="216" t="s">
        <v>153</v>
      </c>
      <c r="F653" s="217">
        <v>6</v>
      </c>
      <c r="G653" s="217">
        <v>10</v>
      </c>
      <c r="H653" s="217">
        <v>2</v>
      </c>
      <c r="I653" s="217">
        <v>2</v>
      </c>
      <c r="J653" s="217"/>
      <c r="K653" s="217"/>
      <c r="L653" s="217">
        <v>4</v>
      </c>
      <c r="M653" s="217">
        <v>2</v>
      </c>
      <c r="N653" s="217"/>
      <c r="O653" s="217"/>
      <c r="P653" s="217">
        <v>5</v>
      </c>
      <c r="Q653" s="217"/>
      <c r="R653" s="217">
        <v>6</v>
      </c>
      <c r="S653" s="217"/>
      <c r="T653" s="217">
        <v>1</v>
      </c>
      <c r="U653" s="217"/>
      <c r="V653" s="217"/>
      <c r="W653" s="217"/>
      <c r="X653" s="218">
        <v>38</v>
      </c>
      <c r="Y653" s="221">
        <f t="shared" si="32"/>
        <v>32</v>
      </c>
      <c r="Z653">
        <f t="shared" si="30"/>
        <v>0</v>
      </c>
    </row>
    <row r="654" spans="1:26" x14ac:dyDescent="0.2">
      <c r="A654" s="26">
        <f t="shared" si="31"/>
        <v>42448</v>
      </c>
      <c r="B654" s="216">
        <v>2016</v>
      </c>
      <c r="C654" s="216">
        <v>3</v>
      </c>
      <c r="D654" s="216">
        <v>19</v>
      </c>
      <c r="E654" s="216" t="s">
        <v>152</v>
      </c>
      <c r="F654" s="217">
        <v>2</v>
      </c>
      <c r="G654" s="217"/>
      <c r="H654" s="217"/>
      <c r="I654" s="217">
        <v>11</v>
      </c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8">
        <v>13</v>
      </c>
      <c r="Y654" s="221">
        <f t="shared" si="32"/>
        <v>11</v>
      </c>
      <c r="Z654">
        <f t="shared" si="30"/>
        <v>0</v>
      </c>
    </row>
    <row r="655" spans="1:26" x14ac:dyDescent="0.2">
      <c r="A655" s="26">
        <f t="shared" si="31"/>
        <v>42448</v>
      </c>
      <c r="B655" s="216">
        <v>2016</v>
      </c>
      <c r="C655" s="216">
        <v>3</v>
      </c>
      <c r="D655" s="216">
        <v>19</v>
      </c>
      <c r="E655" s="216" t="s">
        <v>153</v>
      </c>
      <c r="F655" s="217"/>
      <c r="G655" s="217"/>
      <c r="H655" s="217">
        <v>10</v>
      </c>
      <c r="I655" s="217">
        <v>10</v>
      </c>
      <c r="J655" s="217"/>
      <c r="K655" s="217"/>
      <c r="L655" s="217">
        <v>8</v>
      </c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8">
        <v>28</v>
      </c>
      <c r="Y655" s="221">
        <f t="shared" si="32"/>
        <v>28</v>
      </c>
      <c r="Z655">
        <f t="shared" si="30"/>
        <v>28</v>
      </c>
    </row>
    <row r="656" spans="1:26" x14ac:dyDescent="0.2">
      <c r="A656" s="26">
        <f t="shared" si="31"/>
        <v>42450</v>
      </c>
      <c r="B656" s="216">
        <v>2016</v>
      </c>
      <c r="C656" s="216">
        <v>3</v>
      </c>
      <c r="D656" s="216">
        <v>21</v>
      </c>
      <c r="E656" s="216" t="s">
        <v>152</v>
      </c>
      <c r="F656" s="217">
        <v>3</v>
      </c>
      <c r="G656" s="217">
        <v>4</v>
      </c>
      <c r="H656" s="217"/>
      <c r="I656" s="217">
        <v>5</v>
      </c>
      <c r="J656" s="217"/>
      <c r="K656" s="217"/>
      <c r="L656" s="217"/>
      <c r="M656" s="217"/>
      <c r="N656" s="217"/>
      <c r="O656" s="217">
        <v>1</v>
      </c>
      <c r="P656" s="217">
        <v>1</v>
      </c>
      <c r="Q656" s="217"/>
      <c r="R656" s="217"/>
      <c r="S656" s="217"/>
      <c r="T656" s="217">
        <v>7</v>
      </c>
      <c r="U656" s="217"/>
      <c r="V656" s="217"/>
      <c r="W656" s="217"/>
      <c r="X656" s="218">
        <v>21</v>
      </c>
      <c r="Y656" s="221">
        <f t="shared" si="32"/>
        <v>18</v>
      </c>
      <c r="Z656">
        <f t="shared" si="30"/>
        <v>0</v>
      </c>
    </row>
    <row r="657" spans="1:26" x14ac:dyDescent="0.2">
      <c r="A657" s="26">
        <f t="shared" si="31"/>
        <v>42450</v>
      </c>
      <c r="B657" s="216">
        <v>2016</v>
      </c>
      <c r="C657" s="216">
        <v>3</v>
      </c>
      <c r="D657" s="216">
        <v>21</v>
      </c>
      <c r="E657" s="216" t="s">
        <v>153</v>
      </c>
      <c r="F657" s="217"/>
      <c r="G657" s="217">
        <v>6</v>
      </c>
      <c r="H657" s="217">
        <v>3</v>
      </c>
      <c r="I657" s="217">
        <v>4</v>
      </c>
      <c r="J657" s="217"/>
      <c r="K657" s="217"/>
      <c r="L657" s="217">
        <v>13</v>
      </c>
      <c r="M657" s="217">
        <v>1</v>
      </c>
      <c r="N657" s="217"/>
      <c r="O657" s="217">
        <v>1</v>
      </c>
      <c r="P657" s="217">
        <v>3</v>
      </c>
      <c r="Q657" s="217"/>
      <c r="R657" s="217">
        <v>3</v>
      </c>
      <c r="S657" s="217"/>
      <c r="T657" s="217">
        <v>7</v>
      </c>
      <c r="U657" s="217"/>
      <c r="V657" s="217"/>
      <c r="W657" s="217"/>
      <c r="X657" s="218">
        <v>41</v>
      </c>
      <c r="Y657" s="221">
        <f t="shared" si="32"/>
        <v>41</v>
      </c>
      <c r="Z657">
        <f t="shared" si="30"/>
        <v>0</v>
      </c>
    </row>
    <row r="658" spans="1:26" x14ac:dyDescent="0.2">
      <c r="A658" s="26">
        <f t="shared" si="31"/>
        <v>42451</v>
      </c>
      <c r="B658" s="216">
        <v>2016</v>
      </c>
      <c r="C658" s="216">
        <v>3</v>
      </c>
      <c r="D658" s="216">
        <v>22</v>
      </c>
      <c r="E658" s="216" t="s">
        <v>152</v>
      </c>
      <c r="F658" s="217">
        <v>1</v>
      </c>
      <c r="G658" s="217"/>
      <c r="H658" s="217"/>
      <c r="I658" s="217">
        <v>1</v>
      </c>
      <c r="J658" s="217"/>
      <c r="K658" s="217"/>
      <c r="L658" s="217">
        <v>5</v>
      </c>
      <c r="M658" s="217"/>
      <c r="N658" s="217"/>
      <c r="O658" s="217"/>
      <c r="P658" s="217">
        <v>3</v>
      </c>
      <c r="Q658" s="217"/>
      <c r="R658" s="217">
        <v>8</v>
      </c>
      <c r="S658" s="217"/>
      <c r="T658" s="217">
        <v>2</v>
      </c>
      <c r="U658" s="217"/>
      <c r="V658" s="217"/>
      <c r="W658" s="217"/>
      <c r="X658" s="218">
        <v>20</v>
      </c>
      <c r="Y658" s="221">
        <f t="shared" si="32"/>
        <v>19</v>
      </c>
      <c r="Z658">
        <f t="shared" si="30"/>
        <v>0</v>
      </c>
    </row>
    <row r="659" spans="1:26" x14ac:dyDescent="0.2">
      <c r="A659" s="26">
        <f t="shared" si="31"/>
        <v>42451</v>
      </c>
      <c r="B659" s="216">
        <v>2016</v>
      </c>
      <c r="C659" s="216">
        <v>3</v>
      </c>
      <c r="D659" s="216">
        <v>22</v>
      </c>
      <c r="E659" s="216" t="s">
        <v>153</v>
      </c>
      <c r="F659" s="217">
        <v>1</v>
      </c>
      <c r="G659" s="217">
        <v>3</v>
      </c>
      <c r="H659" s="217">
        <v>5</v>
      </c>
      <c r="I659" s="217">
        <v>8</v>
      </c>
      <c r="J659" s="217"/>
      <c r="K659" s="217"/>
      <c r="L659" s="217">
        <v>13</v>
      </c>
      <c r="M659" s="217">
        <v>2</v>
      </c>
      <c r="N659" s="217"/>
      <c r="O659" s="217"/>
      <c r="P659" s="217">
        <v>5</v>
      </c>
      <c r="Q659" s="217"/>
      <c r="R659" s="217">
        <v>9</v>
      </c>
      <c r="S659" s="217"/>
      <c r="T659" s="217">
        <v>1</v>
      </c>
      <c r="U659" s="217"/>
      <c r="V659" s="217"/>
      <c r="W659" s="217"/>
      <c r="X659" s="218">
        <v>47</v>
      </c>
      <c r="Y659" s="221">
        <f t="shared" si="32"/>
        <v>46</v>
      </c>
      <c r="Z659">
        <f t="shared" si="30"/>
        <v>0</v>
      </c>
    </row>
    <row r="660" spans="1:26" x14ac:dyDescent="0.2">
      <c r="A660" s="26">
        <f t="shared" si="31"/>
        <v>42452</v>
      </c>
      <c r="B660" s="216">
        <v>2016</v>
      </c>
      <c r="C660" s="216">
        <v>3</v>
      </c>
      <c r="D660" s="216">
        <v>23</v>
      </c>
      <c r="E660" s="216" t="s">
        <v>152</v>
      </c>
      <c r="F660" s="217"/>
      <c r="G660" s="217">
        <v>5</v>
      </c>
      <c r="H660" s="217">
        <v>1</v>
      </c>
      <c r="I660" s="217">
        <v>1</v>
      </c>
      <c r="J660" s="217"/>
      <c r="K660" s="217"/>
      <c r="L660" s="217">
        <v>2</v>
      </c>
      <c r="M660" s="217"/>
      <c r="N660" s="217"/>
      <c r="O660" s="217">
        <v>1</v>
      </c>
      <c r="P660" s="217"/>
      <c r="Q660" s="217"/>
      <c r="R660" s="217"/>
      <c r="S660" s="217"/>
      <c r="T660" s="217">
        <v>6</v>
      </c>
      <c r="U660" s="217"/>
      <c r="V660" s="217"/>
      <c r="W660" s="217"/>
      <c r="X660" s="218">
        <v>16</v>
      </c>
      <c r="Y660" s="221">
        <f t="shared" si="32"/>
        <v>16</v>
      </c>
      <c r="Z660">
        <f t="shared" si="30"/>
        <v>0</v>
      </c>
    </row>
    <row r="661" spans="1:26" x14ac:dyDescent="0.2">
      <c r="A661" s="26">
        <f t="shared" si="31"/>
        <v>42452</v>
      </c>
      <c r="B661" s="216">
        <v>2016</v>
      </c>
      <c r="C661" s="216">
        <v>3</v>
      </c>
      <c r="D661" s="216">
        <v>23</v>
      </c>
      <c r="E661" s="216" t="s">
        <v>153</v>
      </c>
      <c r="F661" s="217"/>
      <c r="G661" s="217">
        <v>12</v>
      </c>
      <c r="H661" s="217">
        <v>3</v>
      </c>
      <c r="I661" s="217">
        <v>5</v>
      </c>
      <c r="J661" s="217"/>
      <c r="K661" s="217"/>
      <c r="L661" s="217">
        <v>7</v>
      </c>
      <c r="M661" s="217">
        <v>1</v>
      </c>
      <c r="N661" s="217"/>
      <c r="O661" s="217"/>
      <c r="P661" s="217">
        <v>2</v>
      </c>
      <c r="Q661" s="217"/>
      <c r="R661" s="217">
        <v>11</v>
      </c>
      <c r="S661" s="217"/>
      <c r="T661" s="217">
        <v>8</v>
      </c>
      <c r="U661" s="217"/>
      <c r="V661" s="217"/>
      <c r="W661" s="217"/>
      <c r="X661" s="218">
        <v>49</v>
      </c>
      <c r="Y661" s="221">
        <f t="shared" si="32"/>
        <v>49</v>
      </c>
      <c r="Z661">
        <f t="shared" ref="Z661:Z709" si="33">IF(AND(WEEKDAY(A661,2)=6,E661="Sim"),X661,0)</f>
        <v>0</v>
      </c>
    </row>
    <row r="662" spans="1:26" x14ac:dyDescent="0.2">
      <c r="A662" s="26">
        <f t="shared" si="31"/>
        <v>42453</v>
      </c>
      <c r="B662" s="216">
        <v>2016</v>
      </c>
      <c r="C662" s="216">
        <v>3</v>
      </c>
      <c r="D662" s="216">
        <v>24</v>
      </c>
      <c r="E662" s="216" t="s">
        <v>152</v>
      </c>
      <c r="F662" s="217">
        <v>6</v>
      </c>
      <c r="G662" s="217"/>
      <c r="H662" s="217"/>
      <c r="I662" s="217">
        <v>2</v>
      </c>
      <c r="J662" s="217"/>
      <c r="K662" s="217"/>
      <c r="L662" s="217"/>
      <c r="M662" s="217"/>
      <c r="N662" s="217"/>
      <c r="O662" s="217">
        <v>3</v>
      </c>
      <c r="P662" s="217">
        <v>2</v>
      </c>
      <c r="Q662" s="217"/>
      <c r="R662" s="217">
        <v>2</v>
      </c>
      <c r="S662" s="217"/>
      <c r="T662" s="217">
        <v>3</v>
      </c>
      <c r="U662" s="217"/>
      <c r="V662" s="217"/>
      <c r="W662" s="217"/>
      <c r="X662" s="218">
        <v>18</v>
      </c>
      <c r="Y662" s="221">
        <f t="shared" si="32"/>
        <v>12</v>
      </c>
      <c r="Z662">
        <f t="shared" si="33"/>
        <v>0</v>
      </c>
    </row>
    <row r="663" spans="1:26" x14ac:dyDescent="0.2">
      <c r="A663" s="26">
        <f t="shared" si="31"/>
        <v>42453</v>
      </c>
      <c r="B663" s="216">
        <v>2016</v>
      </c>
      <c r="C663" s="216">
        <v>3</v>
      </c>
      <c r="D663" s="216">
        <v>24</v>
      </c>
      <c r="E663" s="216" t="s">
        <v>153</v>
      </c>
      <c r="F663" s="217">
        <v>2</v>
      </c>
      <c r="G663" s="217"/>
      <c r="H663" s="217"/>
      <c r="I663" s="217">
        <v>3</v>
      </c>
      <c r="J663" s="217"/>
      <c r="K663" s="217"/>
      <c r="L663" s="217"/>
      <c r="M663" s="217">
        <v>4</v>
      </c>
      <c r="N663" s="217"/>
      <c r="O663" s="217"/>
      <c r="P663" s="217">
        <v>1</v>
      </c>
      <c r="Q663" s="217"/>
      <c r="R663" s="217">
        <v>4</v>
      </c>
      <c r="S663" s="217"/>
      <c r="T663" s="217">
        <v>4</v>
      </c>
      <c r="U663" s="217"/>
      <c r="V663" s="217"/>
      <c r="W663" s="217"/>
      <c r="X663" s="218">
        <v>18</v>
      </c>
      <c r="Y663" s="221">
        <f t="shared" si="32"/>
        <v>16</v>
      </c>
      <c r="Z663">
        <f t="shared" si="33"/>
        <v>0</v>
      </c>
    </row>
    <row r="664" spans="1:26" x14ac:dyDescent="0.2">
      <c r="A664" s="26">
        <f t="shared" si="31"/>
        <v>42457</v>
      </c>
      <c r="B664" s="216">
        <v>2016</v>
      </c>
      <c r="C664" s="216">
        <v>3</v>
      </c>
      <c r="D664" s="216">
        <v>28</v>
      </c>
      <c r="E664" s="216" t="s">
        <v>152</v>
      </c>
      <c r="F664" s="217">
        <v>3</v>
      </c>
      <c r="G664" s="217">
        <v>14</v>
      </c>
      <c r="H664" s="217"/>
      <c r="I664" s="217"/>
      <c r="J664" s="217"/>
      <c r="K664" s="217"/>
      <c r="L664" s="217">
        <v>5</v>
      </c>
      <c r="M664" s="217"/>
      <c r="N664" s="217"/>
      <c r="O664" s="217">
        <v>3</v>
      </c>
      <c r="P664" s="217">
        <v>7</v>
      </c>
      <c r="Q664" s="217"/>
      <c r="R664" s="217"/>
      <c r="S664" s="217"/>
      <c r="T664" s="217">
        <v>6</v>
      </c>
      <c r="U664" s="217"/>
      <c r="V664" s="217"/>
      <c r="W664" s="217"/>
      <c r="X664" s="218">
        <v>38</v>
      </c>
      <c r="Y664" s="221">
        <f t="shared" si="32"/>
        <v>35</v>
      </c>
      <c r="Z664">
        <f t="shared" si="33"/>
        <v>0</v>
      </c>
    </row>
    <row r="665" spans="1:26" x14ac:dyDescent="0.2">
      <c r="A665" s="26">
        <f t="shared" si="31"/>
        <v>42457</v>
      </c>
      <c r="B665" s="216">
        <v>2016</v>
      </c>
      <c r="C665" s="216">
        <v>3</v>
      </c>
      <c r="D665" s="216">
        <v>28</v>
      </c>
      <c r="E665" s="216" t="s">
        <v>153</v>
      </c>
      <c r="F665" s="217"/>
      <c r="G665" s="217">
        <v>19</v>
      </c>
      <c r="H665" s="217">
        <v>6</v>
      </c>
      <c r="I665" s="217">
        <v>7</v>
      </c>
      <c r="J665" s="217"/>
      <c r="K665" s="217"/>
      <c r="L665" s="217">
        <v>4</v>
      </c>
      <c r="M665" s="217">
        <v>6</v>
      </c>
      <c r="N665" s="217">
        <v>2</v>
      </c>
      <c r="O665" s="217"/>
      <c r="P665" s="217">
        <v>3</v>
      </c>
      <c r="Q665" s="217"/>
      <c r="R665" s="217">
        <v>9</v>
      </c>
      <c r="S665" s="217"/>
      <c r="T665" s="217">
        <v>6</v>
      </c>
      <c r="U665" s="217"/>
      <c r="V665" s="217"/>
      <c r="W665" s="217"/>
      <c r="X665" s="218">
        <v>62</v>
      </c>
      <c r="Y665" s="221">
        <f t="shared" si="32"/>
        <v>62</v>
      </c>
      <c r="Z665">
        <f t="shared" si="33"/>
        <v>0</v>
      </c>
    </row>
    <row r="666" spans="1:26" x14ac:dyDescent="0.2">
      <c r="A666" s="26">
        <f t="shared" si="31"/>
        <v>42458</v>
      </c>
      <c r="B666" s="216">
        <v>2016</v>
      </c>
      <c r="C666" s="216">
        <v>3</v>
      </c>
      <c r="D666" s="216">
        <v>29</v>
      </c>
      <c r="E666" s="216" t="s">
        <v>152</v>
      </c>
      <c r="F666" s="217">
        <v>4</v>
      </c>
      <c r="G666" s="217">
        <v>1</v>
      </c>
      <c r="H666" s="217">
        <v>1</v>
      </c>
      <c r="I666" s="217">
        <v>3</v>
      </c>
      <c r="J666" s="217"/>
      <c r="K666" s="217"/>
      <c r="L666" s="217">
        <v>3</v>
      </c>
      <c r="M666" s="217"/>
      <c r="N666" s="217"/>
      <c r="O666" s="217"/>
      <c r="P666" s="217">
        <v>4</v>
      </c>
      <c r="Q666" s="217"/>
      <c r="R666" s="217">
        <v>9</v>
      </c>
      <c r="S666" s="217"/>
      <c r="T666" s="217">
        <v>1</v>
      </c>
      <c r="U666" s="217"/>
      <c r="V666" s="217"/>
      <c r="W666" s="217"/>
      <c r="X666" s="218">
        <v>26</v>
      </c>
      <c r="Y666" s="221">
        <f t="shared" si="32"/>
        <v>22</v>
      </c>
      <c r="Z666">
        <f t="shared" si="33"/>
        <v>0</v>
      </c>
    </row>
    <row r="667" spans="1:26" x14ac:dyDescent="0.2">
      <c r="A667" s="26">
        <f t="shared" si="31"/>
        <v>42458</v>
      </c>
      <c r="B667" s="216">
        <v>2016</v>
      </c>
      <c r="C667" s="216">
        <v>3</v>
      </c>
      <c r="D667" s="216">
        <v>29</v>
      </c>
      <c r="E667" s="216" t="s">
        <v>153</v>
      </c>
      <c r="F667" s="217">
        <v>1</v>
      </c>
      <c r="G667" s="217">
        <v>6</v>
      </c>
      <c r="H667" s="217">
        <v>1</v>
      </c>
      <c r="I667" s="217">
        <v>3</v>
      </c>
      <c r="J667" s="217"/>
      <c r="K667" s="217"/>
      <c r="L667" s="217">
        <v>7</v>
      </c>
      <c r="M667" s="217"/>
      <c r="N667" s="217"/>
      <c r="O667" s="217"/>
      <c r="P667" s="217">
        <v>2</v>
      </c>
      <c r="Q667" s="217"/>
      <c r="R667" s="217">
        <v>6</v>
      </c>
      <c r="S667" s="217"/>
      <c r="T667" s="217">
        <v>6</v>
      </c>
      <c r="U667" s="217"/>
      <c r="V667" s="217"/>
      <c r="W667" s="217"/>
      <c r="X667" s="218">
        <v>32</v>
      </c>
      <c r="Y667" s="221">
        <f t="shared" si="32"/>
        <v>31</v>
      </c>
      <c r="Z667">
        <f t="shared" si="33"/>
        <v>0</v>
      </c>
    </row>
    <row r="668" spans="1:26" x14ac:dyDescent="0.2">
      <c r="A668" s="26">
        <f t="shared" si="31"/>
        <v>42459</v>
      </c>
      <c r="B668" s="216">
        <v>2016</v>
      </c>
      <c r="C668" s="216">
        <v>3</v>
      </c>
      <c r="D668" s="216">
        <v>30</v>
      </c>
      <c r="E668" s="216" t="s">
        <v>152</v>
      </c>
      <c r="F668" s="217">
        <v>1</v>
      </c>
      <c r="G668" s="217">
        <v>5</v>
      </c>
      <c r="H668" s="217">
        <v>1</v>
      </c>
      <c r="I668" s="217">
        <v>4</v>
      </c>
      <c r="J668" s="217"/>
      <c r="K668" s="217"/>
      <c r="L668" s="217">
        <v>7</v>
      </c>
      <c r="M668" s="217"/>
      <c r="N668" s="217"/>
      <c r="O668" s="217">
        <v>5</v>
      </c>
      <c r="P668" s="217">
        <v>4</v>
      </c>
      <c r="Q668" s="217"/>
      <c r="R668" s="217">
        <v>2</v>
      </c>
      <c r="S668" s="217"/>
      <c r="T668" s="217">
        <v>5</v>
      </c>
      <c r="U668" s="217"/>
      <c r="V668" s="217"/>
      <c r="W668" s="217"/>
      <c r="X668" s="218">
        <v>34</v>
      </c>
      <c r="Y668" s="221">
        <f t="shared" si="32"/>
        <v>33</v>
      </c>
      <c r="Z668">
        <f t="shared" si="33"/>
        <v>0</v>
      </c>
    </row>
    <row r="669" spans="1:26" x14ac:dyDescent="0.2">
      <c r="A669" s="26">
        <f t="shared" si="31"/>
        <v>42459</v>
      </c>
      <c r="B669" s="216">
        <v>2016</v>
      </c>
      <c r="C669" s="216">
        <v>3</v>
      </c>
      <c r="D669" s="216">
        <v>30</v>
      </c>
      <c r="E669" s="216" t="s">
        <v>153</v>
      </c>
      <c r="F669" s="217">
        <v>1</v>
      </c>
      <c r="G669" s="217">
        <v>6</v>
      </c>
      <c r="H669" s="217">
        <v>3</v>
      </c>
      <c r="I669" s="217">
        <v>7</v>
      </c>
      <c r="J669" s="217"/>
      <c r="K669" s="217"/>
      <c r="L669" s="217">
        <v>13</v>
      </c>
      <c r="M669" s="217">
        <v>2</v>
      </c>
      <c r="N669" s="217">
        <v>1</v>
      </c>
      <c r="O669" s="217"/>
      <c r="P669" s="217">
        <v>8</v>
      </c>
      <c r="Q669" s="217"/>
      <c r="R669" s="217">
        <v>6</v>
      </c>
      <c r="S669" s="217"/>
      <c r="T669" s="217">
        <v>9</v>
      </c>
      <c r="U669" s="217"/>
      <c r="V669" s="217"/>
      <c r="W669" s="217"/>
      <c r="X669" s="218">
        <v>56</v>
      </c>
      <c r="Y669" s="221">
        <f t="shared" si="32"/>
        <v>55</v>
      </c>
      <c r="Z669">
        <f t="shared" si="33"/>
        <v>0</v>
      </c>
    </row>
    <row r="670" spans="1:26" x14ac:dyDescent="0.2">
      <c r="A670" s="26">
        <f t="shared" si="31"/>
        <v>42460</v>
      </c>
      <c r="B670" s="216">
        <v>2016</v>
      </c>
      <c r="C670" s="216">
        <v>3</v>
      </c>
      <c r="D670" s="216">
        <v>31</v>
      </c>
      <c r="E670" s="216" t="s">
        <v>152</v>
      </c>
      <c r="F670" s="217"/>
      <c r="G670" s="217">
        <v>6</v>
      </c>
      <c r="H670" s="217"/>
      <c r="I670" s="217"/>
      <c r="J670" s="217"/>
      <c r="K670" s="217"/>
      <c r="L670" s="217">
        <v>2</v>
      </c>
      <c r="M670" s="217"/>
      <c r="N670" s="217"/>
      <c r="O670" s="217">
        <v>2</v>
      </c>
      <c r="P670" s="217"/>
      <c r="Q670" s="217"/>
      <c r="R670" s="217">
        <v>3</v>
      </c>
      <c r="S670" s="217"/>
      <c r="T670" s="217">
        <v>4</v>
      </c>
      <c r="U670" s="217"/>
      <c r="V670" s="217"/>
      <c r="W670" s="217"/>
      <c r="X670" s="218">
        <v>17</v>
      </c>
      <c r="Y670" s="221">
        <f t="shared" si="32"/>
        <v>17</v>
      </c>
      <c r="Z670">
        <f t="shared" si="33"/>
        <v>0</v>
      </c>
    </row>
    <row r="671" spans="1:26" x14ac:dyDescent="0.2">
      <c r="A671" s="26">
        <f t="shared" si="31"/>
        <v>42460</v>
      </c>
      <c r="B671" s="216">
        <v>2016</v>
      </c>
      <c r="C671" s="216">
        <v>3</v>
      </c>
      <c r="D671" s="216">
        <v>31</v>
      </c>
      <c r="E671" s="216" t="s">
        <v>153</v>
      </c>
      <c r="F671" s="217"/>
      <c r="G671" s="217">
        <v>5</v>
      </c>
      <c r="H671" s="217">
        <v>1</v>
      </c>
      <c r="I671" s="217">
        <v>3</v>
      </c>
      <c r="J671" s="217"/>
      <c r="K671" s="217"/>
      <c r="L671" s="217">
        <v>7</v>
      </c>
      <c r="M671" s="217">
        <v>9</v>
      </c>
      <c r="N671" s="217"/>
      <c r="O671" s="217"/>
      <c r="P671" s="217">
        <v>4</v>
      </c>
      <c r="Q671" s="217"/>
      <c r="R671" s="217">
        <v>7</v>
      </c>
      <c r="S671" s="217"/>
      <c r="T671" s="217">
        <v>8</v>
      </c>
      <c r="U671" s="217"/>
      <c r="V671" s="217"/>
      <c r="W671" s="217"/>
      <c r="X671" s="218">
        <v>44</v>
      </c>
      <c r="Y671" s="221">
        <f t="shared" si="32"/>
        <v>44</v>
      </c>
      <c r="Z671">
        <f t="shared" si="33"/>
        <v>0</v>
      </c>
    </row>
    <row r="672" spans="1:26" x14ac:dyDescent="0.2">
      <c r="A672" s="26">
        <f t="shared" si="31"/>
        <v>42461</v>
      </c>
      <c r="B672" s="216">
        <v>2016</v>
      </c>
      <c r="C672" s="216">
        <v>4</v>
      </c>
      <c r="D672" s="216">
        <v>1</v>
      </c>
      <c r="E672" s="216" t="s">
        <v>152</v>
      </c>
      <c r="F672" s="217">
        <v>3</v>
      </c>
      <c r="G672" s="217"/>
      <c r="H672" s="217"/>
      <c r="I672" s="217">
        <v>2</v>
      </c>
      <c r="J672" s="217"/>
      <c r="K672" s="217"/>
      <c r="L672" s="217"/>
      <c r="M672" s="217"/>
      <c r="N672" s="217"/>
      <c r="O672" s="217">
        <v>4</v>
      </c>
      <c r="P672" s="217">
        <v>2</v>
      </c>
      <c r="Q672" s="217"/>
      <c r="R672" s="217">
        <v>4</v>
      </c>
      <c r="S672" s="217"/>
      <c r="T672" s="217">
        <v>5</v>
      </c>
      <c r="U672" s="217"/>
      <c r="V672" s="217"/>
      <c r="W672" s="217"/>
      <c r="X672" s="218">
        <v>20</v>
      </c>
      <c r="Y672" s="221">
        <f t="shared" si="32"/>
        <v>17</v>
      </c>
      <c r="Z672">
        <f t="shared" si="33"/>
        <v>0</v>
      </c>
    </row>
    <row r="673" spans="1:26" x14ac:dyDescent="0.2">
      <c r="A673" s="26">
        <f t="shared" si="31"/>
        <v>42461</v>
      </c>
      <c r="B673" s="216">
        <v>2016</v>
      </c>
      <c r="C673" s="216">
        <v>4</v>
      </c>
      <c r="D673" s="216">
        <v>1</v>
      </c>
      <c r="E673" s="216" t="s">
        <v>153</v>
      </c>
      <c r="F673" s="217">
        <v>1</v>
      </c>
      <c r="G673" s="217">
        <v>1</v>
      </c>
      <c r="H673" s="217">
        <v>4</v>
      </c>
      <c r="I673" s="217">
        <v>8</v>
      </c>
      <c r="J673" s="217"/>
      <c r="K673" s="217"/>
      <c r="L673" s="217">
        <v>1</v>
      </c>
      <c r="M673" s="217">
        <v>1</v>
      </c>
      <c r="N673" s="217">
        <v>7</v>
      </c>
      <c r="O673" s="217"/>
      <c r="P673" s="217">
        <v>9</v>
      </c>
      <c r="Q673" s="217"/>
      <c r="R673" s="217">
        <v>3</v>
      </c>
      <c r="S673" s="217"/>
      <c r="T673" s="217">
        <v>12</v>
      </c>
      <c r="U673" s="217"/>
      <c r="V673" s="217"/>
      <c r="W673" s="217"/>
      <c r="X673" s="218">
        <v>47</v>
      </c>
      <c r="Y673" s="221">
        <f t="shared" si="32"/>
        <v>46</v>
      </c>
      <c r="Z673">
        <f t="shared" si="33"/>
        <v>0</v>
      </c>
    </row>
    <row r="674" spans="1:26" x14ac:dyDescent="0.2">
      <c r="A674" s="26">
        <f t="shared" si="31"/>
        <v>42462</v>
      </c>
      <c r="B674" s="216">
        <v>2016</v>
      </c>
      <c r="C674" s="216">
        <v>4</v>
      </c>
      <c r="D674" s="216">
        <v>2</v>
      </c>
      <c r="E674" s="216" t="s">
        <v>152</v>
      </c>
      <c r="F674" s="217"/>
      <c r="G674" s="217"/>
      <c r="H674" s="217"/>
      <c r="I674" s="217"/>
      <c r="J674" s="217"/>
      <c r="K674" s="217"/>
      <c r="L674" s="217">
        <v>6</v>
      </c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8">
        <v>6</v>
      </c>
      <c r="Y674" s="221">
        <f t="shared" si="32"/>
        <v>6</v>
      </c>
      <c r="Z674">
        <f t="shared" si="33"/>
        <v>0</v>
      </c>
    </row>
    <row r="675" spans="1:26" x14ac:dyDescent="0.2">
      <c r="A675" s="26">
        <f t="shared" si="31"/>
        <v>42462</v>
      </c>
      <c r="B675" s="216">
        <v>2016</v>
      </c>
      <c r="C675" s="216">
        <v>4</v>
      </c>
      <c r="D675" s="216">
        <v>2</v>
      </c>
      <c r="E675" s="216" t="s">
        <v>153</v>
      </c>
      <c r="F675" s="217">
        <v>1</v>
      </c>
      <c r="G675" s="217"/>
      <c r="H675" s="217"/>
      <c r="I675" s="217"/>
      <c r="J675" s="217"/>
      <c r="K675" s="217"/>
      <c r="L675" s="217">
        <v>16</v>
      </c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8">
        <v>17</v>
      </c>
      <c r="Y675" s="221">
        <f t="shared" si="32"/>
        <v>16</v>
      </c>
      <c r="Z675">
        <f t="shared" si="33"/>
        <v>17</v>
      </c>
    </row>
    <row r="676" spans="1:26" x14ac:dyDescent="0.2">
      <c r="A676" s="26">
        <f t="shared" si="31"/>
        <v>42464</v>
      </c>
      <c r="B676" s="216">
        <v>2016</v>
      </c>
      <c r="C676" s="216">
        <v>4</v>
      </c>
      <c r="D676" s="216">
        <v>4</v>
      </c>
      <c r="E676" s="216" t="s">
        <v>152</v>
      </c>
      <c r="F676" s="217"/>
      <c r="G676" s="217">
        <v>4</v>
      </c>
      <c r="H676" s="217"/>
      <c r="I676" s="217">
        <v>1</v>
      </c>
      <c r="J676" s="217"/>
      <c r="K676" s="217"/>
      <c r="L676" s="217">
        <v>5</v>
      </c>
      <c r="M676" s="217"/>
      <c r="N676" s="217"/>
      <c r="O676" s="217">
        <v>3</v>
      </c>
      <c r="P676" s="217"/>
      <c r="Q676" s="217"/>
      <c r="R676" s="217">
        <v>1</v>
      </c>
      <c r="S676" s="217"/>
      <c r="T676" s="217">
        <v>26</v>
      </c>
      <c r="U676" s="217"/>
      <c r="V676" s="217">
        <v>12</v>
      </c>
      <c r="W676" s="217"/>
      <c r="X676" s="218">
        <v>52</v>
      </c>
      <c r="Y676" s="221">
        <f t="shared" si="32"/>
        <v>52</v>
      </c>
      <c r="Z676">
        <f t="shared" si="33"/>
        <v>0</v>
      </c>
    </row>
    <row r="677" spans="1:26" x14ac:dyDescent="0.2">
      <c r="A677" s="26">
        <f t="shared" si="31"/>
        <v>42464</v>
      </c>
      <c r="B677" s="216">
        <v>2016</v>
      </c>
      <c r="C677" s="216">
        <v>4</v>
      </c>
      <c r="D677" s="216">
        <v>4</v>
      </c>
      <c r="E677" s="216" t="s">
        <v>153</v>
      </c>
      <c r="F677" s="217">
        <v>1</v>
      </c>
      <c r="G677" s="217">
        <v>11</v>
      </c>
      <c r="H677" s="217">
        <v>3</v>
      </c>
      <c r="I677" s="217">
        <v>7</v>
      </c>
      <c r="J677" s="217"/>
      <c r="K677" s="217"/>
      <c r="L677" s="217">
        <v>10</v>
      </c>
      <c r="M677" s="217">
        <v>3</v>
      </c>
      <c r="N677" s="217">
        <v>1</v>
      </c>
      <c r="O677" s="217"/>
      <c r="P677" s="217">
        <v>5</v>
      </c>
      <c r="Q677" s="217"/>
      <c r="R677" s="217">
        <v>2</v>
      </c>
      <c r="S677" s="217"/>
      <c r="T677" s="217">
        <v>2</v>
      </c>
      <c r="U677" s="217"/>
      <c r="V677" s="217">
        <v>6</v>
      </c>
      <c r="W677" s="217"/>
      <c r="X677" s="218">
        <v>51</v>
      </c>
      <c r="Y677" s="221">
        <f t="shared" si="32"/>
        <v>50</v>
      </c>
      <c r="Z677">
        <f t="shared" si="33"/>
        <v>0</v>
      </c>
    </row>
    <row r="678" spans="1:26" x14ac:dyDescent="0.2">
      <c r="A678" s="26">
        <f t="shared" si="31"/>
        <v>42465</v>
      </c>
      <c r="B678" s="216">
        <v>2016</v>
      </c>
      <c r="C678" s="216">
        <v>4</v>
      </c>
      <c r="D678" s="216">
        <v>5</v>
      </c>
      <c r="E678" s="216" t="s">
        <v>152</v>
      </c>
      <c r="F678" s="217">
        <v>1</v>
      </c>
      <c r="G678" s="217">
        <v>6</v>
      </c>
      <c r="H678" s="217">
        <v>2</v>
      </c>
      <c r="I678" s="217">
        <v>2</v>
      </c>
      <c r="J678" s="217"/>
      <c r="K678" s="217"/>
      <c r="L678" s="217">
        <v>4</v>
      </c>
      <c r="M678" s="217"/>
      <c r="N678" s="217"/>
      <c r="O678" s="217">
        <v>12</v>
      </c>
      <c r="P678" s="217">
        <v>8</v>
      </c>
      <c r="Q678" s="217"/>
      <c r="R678" s="217">
        <v>4</v>
      </c>
      <c r="S678" s="217"/>
      <c r="T678" s="217">
        <v>7</v>
      </c>
      <c r="U678" s="217"/>
      <c r="V678" s="217"/>
      <c r="W678" s="217"/>
      <c r="X678" s="218">
        <v>46</v>
      </c>
      <c r="Y678" s="221">
        <f t="shared" si="32"/>
        <v>45</v>
      </c>
      <c r="Z678">
        <f t="shared" si="33"/>
        <v>0</v>
      </c>
    </row>
    <row r="679" spans="1:26" x14ac:dyDescent="0.2">
      <c r="A679" s="26">
        <f t="shared" si="31"/>
        <v>42465</v>
      </c>
      <c r="B679" s="216">
        <v>2016</v>
      </c>
      <c r="C679" s="216">
        <v>4</v>
      </c>
      <c r="D679" s="216">
        <v>5</v>
      </c>
      <c r="E679" s="216" t="s">
        <v>153</v>
      </c>
      <c r="F679" s="217"/>
      <c r="G679" s="217">
        <v>9</v>
      </c>
      <c r="H679" s="217">
        <v>3</v>
      </c>
      <c r="I679" s="217">
        <v>3</v>
      </c>
      <c r="J679" s="217"/>
      <c r="K679" s="217"/>
      <c r="L679" s="217">
        <v>15</v>
      </c>
      <c r="M679" s="217">
        <v>3</v>
      </c>
      <c r="N679" s="217"/>
      <c r="O679" s="217"/>
      <c r="P679" s="217">
        <v>3</v>
      </c>
      <c r="Q679" s="217"/>
      <c r="R679" s="217">
        <v>8</v>
      </c>
      <c r="S679" s="217"/>
      <c r="T679" s="217">
        <v>19</v>
      </c>
      <c r="U679" s="217"/>
      <c r="V679" s="217">
        <v>3</v>
      </c>
      <c r="W679" s="217"/>
      <c r="X679" s="218">
        <v>66</v>
      </c>
      <c r="Y679" s="221">
        <f t="shared" si="32"/>
        <v>66</v>
      </c>
      <c r="Z679">
        <f t="shared" si="33"/>
        <v>0</v>
      </c>
    </row>
    <row r="680" spans="1:26" x14ac:dyDescent="0.2">
      <c r="A680" s="26">
        <f t="shared" si="31"/>
        <v>42466</v>
      </c>
      <c r="B680" s="216">
        <v>2016</v>
      </c>
      <c r="C680" s="216">
        <v>4</v>
      </c>
      <c r="D680" s="216">
        <v>6</v>
      </c>
      <c r="E680" s="216" t="s">
        <v>152</v>
      </c>
      <c r="F680" s="217"/>
      <c r="G680" s="217">
        <v>10</v>
      </c>
      <c r="H680" s="217"/>
      <c r="I680" s="217">
        <v>12</v>
      </c>
      <c r="J680" s="217"/>
      <c r="K680" s="217"/>
      <c r="L680" s="217">
        <v>1</v>
      </c>
      <c r="M680" s="217"/>
      <c r="N680" s="217"/>
      <c r="O680" s="217">
        <v>4</v>
      </c>
      <c r="P680" s="217">
        <v>1</v>
      </c>
      <c r="Q680" s="217"/>
      <c r="R680" s="217">
        <v>4</v>
      </c>
      <c r="S680" s="217"/>
      <c r="T680" s="217">
        <v>2</v>
      </c>
      <c r="U680" s="217"/>
      <c r="V680" s="217"/>
      <c r="W680" s="217"/>
      <c r="X680" s="218">
        <v>34</v>
      </c>
      <c r="Y680" s="221">
        <f t="shared" si="32"/>
        <v>34</v>
      </c>
      <c r="Z680">
        <f t="shared" si="33"/>
        <v>0</v>
      </c>
    </row>
    <row r="681" spans="1:26" x14ac:dyDescent="0.2">
      <c r="A681" s="26">
        <f t="shared" si="31"/>
        <v>42466</v>
      </c>
      <c r="B681" s="216">
        <v>2016</v>
      </c>
      <c r="C681" s="216">
        <v>4</v>
      </c>
      <c r="D681" s="216">
        <v>6</v>
      </c>
      <c r="E681" s="216" t="s">
        <v>153</v>
      </c>
      <c r="F681" s="217">
        <v>1</v>
      </c>
      <c r="G681" s="217">
        <v>5</v>
      </c>
      <c r="H681" s="217">
        <v>5</v>
      </c>
      <c r="I681" s="217">
        <v>3</v>
      </c>
      <c r="J681" s="217"/>
      <c r="K681" s="217"/>
      <c r="L681" s="217">
        <v>7</v>
      </c>
      <c r="M681" s="217"/>
      <c r="N681" s="217"/>
      <c r="O681" s="217"/>
      <c r="P681" s="217">
        <v>4</v>
      </c>
      <c r="Q681" s="217"/>
      <c r="R681" s="217">
        <v>2</v>
      </c>
      <c r="S681" s="217"/>
      <c r="T681" s="217">
        <v>8</v>
      </c>
      <c r="U681" s="217"/>
      <c r="V681" s="217"/>
      <c r="W681" s="217"/>
      <c r="X681" s="218">
        <v>35</v>
      </c>
      <c r="Y681" s="221">
        <f t="shared" si="32"/>
        <v>34</v>
      </c>
      <c r="Z681">
        <f t="shared" si="33"/>
        <v>0</v>
      </c>
    </row>
    <row r="682" spans="1:26" x14ac:dyDescent="0.2">
      <c r="A682" s="26">
        <f t="shared" si="31"/>
        <v>42467</v>
      </c>
      <c r="B682" s="216">
        <v>2016</v>
      </c>
      <c r="C682" s="216">
        <v>4</v>
      </c>
      <c r="D682" s="216">
        <v>7</v>
      </c>
      <c r="E682" s="216" t="s">
        <v>152</v>
      </c>
      <c r="F682" s="217">
        <v>1</v>
      </c>
      <c r="G682" s="217">
        <v>8</v>
      </c>
      <c r="H682" s="217">
        <v>1</v>
      </c>
      <c r="I682" s="217">
        <v>3</v>
      </c>
      <c r="J682" s="217"/>
      <c r="K682" s="217"/>
      <c r="L682" s="217">
        <v>10</v>
      </c>
      <c r="M682" s="217"/>
      <c r="N682" s="217"/>
      <c r="O682" s="217">
        <v>3</v>
      </c>
      <c r="P682" s="217">
        <v>2</v>
      </c>
      <c r="Q682" s="217"/>
      <c r="R682" s="217">
        <v>9</v>
      </c>
      <c r="S682" s="217"/>
      <c r="T682" s="217">
        <v>10</v>
      </c>
      <c r="U682" s="217"/>
      <c r="V682" s="217">
        <v>3</v>
      </c>
      <c r="W682" s="217"/>
      <c r="X682" s="218">
        <v>50</v>
      </c>
      <c r="Y682" s="221">
        <f t="shared" si="32"/>
        <v>49</v>
      </c>
      <c r="Z682">
        <f t="shared" si="33"/>
        <v>0</v>
      </c>
    </row>
    <row r="683" spans="1:26" x14ac:dyDescent="0.2">
      <c r="A683" s="26">
        <f t="shared" si="31"/>
        <v>42467</v>
      </c>
      <c r="B683" s="216">
        <v>2016</v>
      </c>
      <c r="C683" s="216">
        <v>4</v>
      </c>
      <c r="D683" s="216">
        <v>7</v>
      </c>
      <c r="E683" s="216" t="s">
        <v>153</v>
      </c>
      <c r="F683" s="217"/>
      <c r="G683" s="217">
        <v>12</v>
      </c>
      <c r="H683" s="217">
        <v>1</v>
      </c>
      <c r="I683" s="217">
        <v>8</v>
      </c>
      <c r="J683" s="217"/>
      <c r="K683" s="217">
        <v>1</v>
      </c>
      <c r="L683" s="217">
        <v>7</v>
      </c>
      <c r="M683" s="217">
        <v>1</v>
      </c>
      <c r="N683" s="217"/>
      <c r="O683" s="217"/>
      <c r="P683" s="217">
        <v>5</v>
      </c>
      <c r="Q683" s="217"/>
      <c r="R683" s="217">
        <v>4</v>
      </c>
      <c r="S683" s="217"/>
      <c r="T683" s="217">
        <v>7</v>
      </c>
      <c r="U683" s="217"/>
      <c r="V683" s="217">
        <v>5</v>
      </c>
      <c r="W683" s="217"/>
      <c r="X683" s="218">
        <v>51</v>
      </c>
      <c r="Y683" s="221">
        <f t="shared" si="32"/>
        <v>51</v>
      </c>
      <c r="Z683">
        <f t="shared" si="33"/>
        <v>0</v>
      </c>
    </row>
    <row r="684" spans="1:26" x14ac:dyDescent="0.2">
      <c r="A684" s="26">
        <f t="shared" si="31"/>
        <v>42468</v>
      </c>
      <c r="B684" s="216">
        <v>2016</v>
      </c>
      <c r="C684" s="216">
        <v>4</v>
      </c>
      <c r="D684" s="216">
        <v>8</v>
      </c>
      <c r="E684" s="216" t="s">
        <v>152</v>
      </c>
      <c r="F684" s="217"/>
      <c r="G684" s="217">
        <v>11</v>
      </c>
      <c r="H684" s="217">
        <v>1</v>
      </c>
      <c r="I684" s="217">
        <v>4</v>
      </c>
      <c r="J684" s="217"/>
      <c r="K684" s="217"/>
      <c r="L684" s="217">
        <v>2</v>
      </c>
      <c r="M684" s="217"/>
      <c r="N684" s="217"/>
      <c r="O684" s="217">
        <v>2</v>
      </c>
      <c r="P684" s="217">
        <v>12</v>
      </c>
      <c r="Q684" s="217"/>
      <c r="R684" s="217">
        <v>4</v>
      </c>
      <c r="S684" s="217"/>
      <c r="T684" s="217">
        <v>2</v>
      </c>
      <c r="U684" s="217"/>
      <c r="V684" s="217">
        <v>2</v>
      </c>
      <c r="W684" s="217"/>
      <c r="X684" s="218">
        <v>40</v>
      </c>
      <c r="Y684" s="221">
        <f t="shared" si="32"/>
        <v>40</v>
      </c>
      <c r="Z684">
        <f t="shared" si="33"/>
        <v>0</v>
      </c>
    </row>
    <row r="685" spans="1:26" x14ac:dyDescent="0.2">
      <c r="A685" s="26">
        <f t="shared" si="31"/>
        <v>42468</v>
      </c>
      <c r="B685" s="216">
        <v>2016</v>
      </c>
      <c r="C685" s="216">
        <v>4</v>
      </c>
      <c r="D685" s="216">
        <v>8</v>
      </c>
      <c r="E685" s="216" t="s">
        <v>153</v>
      </c>
      <c r="F685" s="217">
        <v>1</v>
      </c>
      <c r="G685" s="217">
        <v>14</v>
      </c>
      <c r="H685" s="217">
        <v>4</v>
      </c>
      <c r="I685" s="217">
        <v>5</v>
      </c>
      <c r="J685" s="217"/>
      <c r="K685" s="217"/>
      <c r="L685" s="217">
        <v>7</v>
      </c>
      <c r="M685" s="217"/>
      <c r="N685" s="217">
        <v>9</v>
      </c>
      <c r="O685" s="217"/>
      <c r="P685" s="217">
        <v>3</v>
      </c>
      <c r="Q685" s="217"/>
      <c r="R685" s="217">
        <v>4</v>
      </c>
      <c r="S685" s="217"/>
      <c r="T685" s="217">
        <v>12</v>
      </c>
      <c r="U685" s="217"/>
      <c r="V685" s="217">
        <v>3</v>
      </c>
      <c r="W685" s="217"/>
      <c r="X685" s="218">
        <v>62</v>
      </c>
      <c r="Y685" s="221">
        <f t="shared" si="32"/>
        <v>61</v>
      </c>
      <c r="Z685">
        <f t="shared" si="33"/>
        <v>0</v>
      </c>
    </row>
    <row r="686" spans="1:26" x14ac:dyDescent="0.2">
      <c r="A686" s="26">
        <f t="shared" si="31"/>
        <v>42469</v>
      </c>
      <c r="B686" s="216">
        <v>2016</v>
      </c>
      <c r="C686" s="216">
        <v>4</v>
      </c>
      <c r="D686" s="216">
        <v>9</v>
      </c>
      <c r="E686" s="216" t="s">
        <v>152</v>
      </c>
      <c r="F686" s="217">
        <v>5</v>
      </c>
      <c r="G686" s="217"/>
      <c r="H686" s="217"/>
      <c r="I686" s="217">
        <v>6</v>
      </c>
      <c r="J686" s="217"/>
      <c r="K686" s="217"/>
      <c r="L686" s="217">
        <v>2</v>
      </c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8">
        <v>13</v>
      </c>
      <c r="Y686" s="221">
        <f t="shared" si="32"/>
        <v>8</v>
      </c>
      <c r="Z686">
        <f t="shared" si="33"/>
        <v>0</v>
      </c>
    </row>
    <row r="687" spans="1:26" x14ac:dyDescent="0.2">
      <c r="A687" s="26">
        <f t="shared" si="31"/>
        <v>42469</v>
      </c>
      <c r="B687" s="216">
        <v>2016</v>
      </c>
      <c r="C687" s="216">
        <v>4</v>
      </c>
      <c r="D687" s="216">
        <v>9</v>
      </c>
      <c r="E687" s="216" t="s">
        <v>153</v>
      </c>
      <c r="F687" s="217">
        <v>10</v>
      </c>
      <c r="G687" s="217"/>
      <c r="H687" s="217">
        <v>6</v>
      </c>
      <c r="I687" s="217">
        <v>15</v>
      </c>
      <c r="J687" s="217"/>
      <c r="K687" s="217"/>
      <c r="L687" s="217">
        <v>6</v>
      </c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8">
        <v>37</v>
      </c>
      <c r="Y687" s="221">
        <f t="shared" si="32"/>
        <v>27</v>
      </c>
      <c r="Z687">
        <f t="shared" si="33"/>
        <v>37</v>
      </c>
    </row>
    <row r="688" spans="1:26" x14ac:dyDescent="0.2">
      <c r="A688" s="26">
        <f t="shared" si="31"/>
        <v>42471</v>
      </c>
      <c r="B688" s="216">
        <v>2016</v>
      </c>
      <c r="C688" s="216">
        <v>4</v>
      </c>
      <c r="D688" s="216">
        <v>11</v>
      </c>
      <c r="E688" s="216" t="s">
        <v>152</v>
      </c>
      <c r="F688" s="217">
        <v>1</v>
      </c>
      <c r="G688" s="217">
        <v>7</v>
      </c>
      <c r="H688" s="217">
        <v>1</v>
      </c>
      <c r="I688" s="217">
        <v>4</v>
      </c>
      <c r="J688" s="217"/>
      <c r="K688" s="217"/>
      <c r="L688" s="217">
        <v>1</v>
      </c>
      <c r="M688" s="217"/>
      <c r="N688" s="217">
        <v>2</v>
      </c>
      <c r="O688" s="217">
        <v>2</v>
      </c>
      <c r="P688" s="217">
        <v>2</v>
      </c>
      <c r="Q688" s="217"/>
      <c r="R688" s="217">
        <v>5</v>
      </c>
      <c r="S688" s="217"/>
      <c r="T688" s="217">
        <v>3</v>
      </c>
      <c r="U688" s="217"/>
      <c r="V688" s="217">
        <v>2</v>
      </c>
      <c r="W688" s="217"/>
      <c r="X688" s="218">
        <v>30</v>
      </c>
      <c r="Y688" s="221">
        <f t="shared" si="32"/>
        <v>29</v>
      </c>
      <c r="Z688">
        <f t="shared" si="33"/>
        <v>0</v>
      </c>
    </row>
    <row r="689" spans="1:26" x14ac:dyDescent="0.2">
      <c r="A689" s="26">
        <f t="shared" si="31"/>
        <v>42471</v>
      </c>
      <c r="B689" s="216">
        <v>2016</v>
      </c>
      <c r="C689" s="216">
        <v>4</v>
      </c>
      <c r="D689" s="216">
        <v>11</v>
      </c>
      <c r="E689" s="216" t="s">
        <v>153</v>
      </c>
      <c r="F689" s="217">
        <v>1</v>
      </c>
      <c r="G689" s="217">
        <v>5</v>
      </c>
      <c r="H689" s="217">
        <v>2</v>
      </c>
      <c r="I689" s="217">
        <v>8</v>
      </c>
      <c r="J689" s="217"/>
      <c r="K689" s="217"/>
      <c r="L689" s="217">
        <v>15</v>
      </c>
      <c r="M689" s="217">
        <v>2</v>
      </c>
      <c r="N689" s="217"/>
      <c r="O689" s="217"/>
      <c r="P689" s="217">
        <v>5</v>
      </c>
      <c r="Q689" s="217"/>
      <c r="R689" s="217">
        <v>6</v>
      </c>
      <c r="S689" s="217"/>
      <c r="T689" s="217">
        <v>10</v>
      </c>
      <c r="U689" s="217"/>
      <c r="V689" s="217">
        <v>8</v>
      </c>
      <c r="W689" s="217"/>
      <c r="X689" s="218">
        <v>62</v>
      </c>
      <c r="Y689" s="221">
        <f t="shared" si="32"/>
        <v>61</v>
      </c>
      <c r="Z689">
        <f t="shared" si="33"/>
        <v>0</v>
      </c>
    </row>
    <row r="690" spans="1:26" x14ac:dyDescent="0.2">
      <c r="A690" s="26">
        <f t="shared" si="31"/>
        <v>42472</v>
      </c>
      <c r="B690" s="216">
        <v>2016</v>
      </c>
      <c r="C690" s="216">
        <v>4</v>
      </c>
      <c r="D690" s="216">
        <v>12</v>
      </c>
      <c r="E690" s="216" t="s">
        <v>152</v>
      </c>
      <c r="F690" s="217">
        <v>1</v>
      </c>
      <c r="G690" s="217">
        <v>3</v>
      </c>
      <c r="H690" s="217"/>
      <c r="I690" s="217">
        <v>1</v>
      </c>
      <c r="J690" s="217"/>
      <c r="K690" s="217"/>
      <c r="L690" s="217"/>
      <c r="M690" s="217"/>
      <c r="N690" s="217">
        <v>3</v>
      </c>
      <c r="O690" s="217">
        <v>1</v>
      </c>
      <c r="P690" s="217">
        <v>5</v>
      </c>
      <c r="Q690" s="217"/>
      <c r="R690" s="217">
        <v>6</v>
      </c>
      <c r="S690" s="217"/>
      <c r="T690" s="217">
        <v>3</v>
      </c>
      <c r="U690" s="217"/>
      <c r="V690" s="217"/>
      <c r="W690" s="217"/>
      <c r="X690" s="218">
        <v>23</v>
      </c>
      <c r="Y690" s="221">
        <f t="shared" si="32"/>
        <v>22</v>
      </c>
      <c r="Z690">
        <f t="shared" si="33"/>
        <v>0</v>
      </c>
    </row>
    <row r="691" spans="1:26" x14ac:dyDescent="0.2">
      <c r="A691" s="26">
        <f t="shared" si="31"/>
        <v>42472</v>
      </c>
      <c r="B691" s="216">
        <v>2016</v>
      </c>
      <c r="C691" s="216">
        <v>4</v>
      </c>
      <c r="D691" s="216">
        <v>12</v>
      </c>
      <c r="E691" s="216" t="s">
        <v>153</v>
      </c>
      <c r="F691" s="217"/>
      <c r="G691" s="217">
        <v>4</v>
      </c>
      <c r="H691" s="217">
        <v>5</v>
      </c>
      <c r="I691" s="217">
        <v>10</v>
      </c>
      <c r="J691" s="217"/>
      <c r="K691" s="217"/>
      <c r="L691" s="217"/>
      <c r="M691" s="217"/>
      <c r="N691" s="217">
        <v>3</v>
      </c>
      <c r="O691" s="217"/>
      <c r="P691" s="217">
        <v>4</v>
      </c>
      <c r="Q691" s="217"/>
      <c r="R691" s="217">
        <v>9</v>
      </c>
      <c r="S691" s="217"/>
      <c r="T691" s="217">
        <v>11</v>
      </c>
      <c r="U691" s="217"/>
      <c r="V691" s="217"/>
      <c r="W691" s="217"/>
      <c r="X691" s="218">
        <v>46</v>
      </c>
      <c r="Y691" s="221">
        <f t="shared" si="32"/>
        <v>46</v>
      </c>
      <c r="Z691">
        <f t="shared" si="33"/>
        <v>0</v>
      </c>
    </row>
    <row r="692" spans="1:26" x14ac:dyDescent="0.2">
      <c r="A692" s="26">
        <f t="shared" si="31"/>
        <v>42473</v>
      </c>
      <c r="B692" s="216">
        <v>2016</v>
      </c>
      <c r="C692" s="216">
        <v>4</v>
      </c>
      <c r="D692" s="216">
        <v>13</v>
      </c>
      <c r="E692" s="216" t="s">
        <v>152</v>
      </c>
      <c r="F692" s="217"/>
      <c r="G692" s="217">
        <v>4</v>
      </c>
      <c r="H692" s="217">
        <v>1</v>
      </c>
      <c r="I692" s="217">
        <v>2</v>
      </c>
      <c r="J692" s="217"/>
      <c r="K692" s="217"/>
      <c r="L692" s="217">
        <v>2</v>
      </c>
      <c r="M692" s="217"/>
      <c r="N692" s="217"/>
      <c r="O692" s="217">
        <v>4</v>
      </c>
      <c r="P692" s="217">
        <v>4</v>
      </c>
      <c r="Q692" s="217"/>
      <c r="R692" s="217"/>
      <c r="S692" s="217"/>
      <c r="T692" s="217">
        <v>20</v>
      </c>
      <c r="U692" s="217"/>
      <c r="V692" s="217">
        <v>1</v>
      </c>
      <c r="W692" s="217"/>
      <c r="X692" s="218">
        <v>38</v>
      </c>
      <c r="Y692" s="221">
        <f t="shared" si="32"/>
        <v>38</v>
      </c>
      <c r="Z692">
        <f t="shared" si="33"/>
        <v>0</v>
      </c>
    </row>
    <row r="693" spans="1:26" x14ac:dyDescent="0.2">
      <c r="A693" s="26">
        <f t="shared" si="31"/>
        <v>42473</v>
      </c>
      <c r="B693" s="216">
        <v>2016</v>
      </c>
      <c r="C693" s="216">
        <v>4</v>
      </c>
      <c r="D693" s="216">
        <v>13</v>
      </c>
      <c r="E693" s="216" t="s">
        <v>153</v>
      </c>
      <c r="F693" s="217"/>
      <c r="G693" s="217">
        <v>8</v>
      </c>
      <c r="H693" s="217">
        <v>7</v>
      </c>
      <c r="I693" s="217">
        <v>11</v>
      </c>
      <c r="J693" s="217"/>
      <c r="K693" s="217"/>
      <c r="L693" s="217">
        <v>4</v>
      </c>
      <c r="M693" s="217">
        <v>2</v>
      </c>
      <c r="N693" s="217"/>
      <c r="O693" s="217">
        <v>1</v>
      </c>
      <c r="P693" s="217">
        <v>2</v>
      </c>
      <c r="Q693" s="217"/>
      <c r="R693" s="217"/>
      <c r="S693" s="217"/>
      <c r="T693" s="217">
        <v>5</v>
      </c>
      <c r="U693" s="217"/>
      <c r="V693" s="217">
        <v>10</v>
      </c>
      <c r="W693" s="217"/>
      <c r="X693" s="218">
        <v>50</v>
      </c>
      <c r="Y693" s="221">
        <f t="shared" si="32"/>
        <v>50</v>
      </c>
      <c r="Z693">
        <f t="shared" si="33"/>
        <v>0</v>
      </c>
    </row>
    <row r="694" spans="1:26" x14ac:dyDescent="0.2">
      <c r="A694" s="26">
        <f t="shared" si="31"/>
        <v>42474</v>
      </c>
      <c r="B694" s="216">
        <v>2016</v>
      </c>
      <c r="C694" s="216">
        <v>4</v>
      </c>
      <c r="D694" s="216">
        <v>14</v>
      </c>
      <c r="E694" s="216" t="s">
        <v>152</v>
      </c>
      <c r="F694" s="217"/>
      <c r="G694" s="217"/>
      <c r="H694" s="217"/>
      <c r="I694" s="217">
        <v>2</v>
      </c>
      <c r="J694" s="217"/>
      <c r="K694" s="217"/>
      <c r="L694" s="217">
        <v>4</v>
      </c>
      <c r="M694" s="217"/>
      <c r="N694" s="217"/>
      <c r="O694" s="217">
        <v>1</v>
      </c>
      <c r="P694" s="217">
        <v>9</v>
      </c>
      <c r="Q694" s="217"/>
      <c r="R694" s="217">
        <v>9</v>
      </c>
      <c r="S694" s="217"/>
      <c r="T694" s="217">
        <v>1</v>
      </c>
      <c r="U694" s="217"/>
      <c r="V694" s="217"/>
      <c r="W694" s="217"/>
      <c r="X694" s="218">
        <v>26</v>
      </c>
      <c r="Y694" s="221">
        <f t="shared" si="32"/>
        <v>26</v>
      </c>
      <c r="Z694">
        <f t="shared" si="33"/>
        <v>0</v>
      </c>
    </row>
    <row r="695" spans="1:26" x14ac:dyDescent="0.2">
      <c r="A695" s="26">
        <f t="shared" si="31"/>
        <v>42474</v>
      </c>
      <c r="B695" s="216">
        <v>2016</v>
      </c>
      <c r="C695" s="216">
        <v>4</v>
      </c>
      <c r="D695" s="216">
        <v>14</v>
      </c>
      <c r="E695" s="216" t="s">
        <v>153</v>
      </c>
      <c r="F695" s="217"/>
      <c r="G695" s="217">
        <v>4</v>
      </c>
      <c r="H695" s="217">
        <v>3</v>
      </c>
      <c r="I695" s="217">
        <v>3</v>
      </c>
      <c r="J695" s="217"/>
      <c r="K695" s="217"/>
      <c r="L695" s="217">
        <v>14</v>
      </c>
      <c r="M695" s="217">
        <v>8</v>
      </c>
      <c r="N695" s="217"/>
      <c r="O695" s="217"/>
      <c r="P695" s="217">
        <v>6</v>
      </c>
      <c r="Q695" s="217"/>
      <c r="R695" s="217">
        <v>4</v>
      </c>
      <c r="S695" s="217"/>
      <c r="T695" s="217">
        <v>5</v>
      </c>
      <c r="U695" s="217"/>
      <c r="V695" s="217">
        <v>6</v>
      </c>
      <c r="W695" s="217"/>
      <c r="X695" s="218">
        <v>53</v>
      </c>
      <c r="Y695" s="221">
        <f t="shared" si="32"/>
        <v>53</v>
      </c>
      <c r="Z695">
        <f t="shared" si="33"/>
        <v>0</v>
      </c>
    </row>
    <row r="696" spans="1:26" x14ac:dyDescent="0.2">
      <c r="A696" s="26">
        <f t="shared" si="31"/>
        <v>42475</v>
      </c>
      <c r="B696" s="216">
        <v>2016</v>
      </c>
      <c r="C696" s="216">
        <v>4</v>
      </c>
      <c r="D696" s="216">
        <v>15</v>
      </c>
      <c r="E696" s="216" t="s">
        <v>152</v>
      </c>
      <c r="F696" s="217"/>
      <c r="G696" s="217">
        <v>2</v>
      </c>
      <c r="H696" s="217"/>
      <c r="I696" s="217">
        <v>1</v>
      </c>
      <c r="J696" s="217"/>
      <c r="K696" s="217"/>
      <c r="L696" s="217">
        <v>6</v>
      </c>
      <c r="M696" s="217"/>
      <c r="N696" s="217"/>
      <c r="O696" s="217">
        <v>1</v>
      </c>
      <c r="P696" s="217">
        <v>7</v>
      </c>
      <c r="Q696" s="217"/>
      <c r="R696" s="217">
        <v>1</v>
      </c>
      <c r="S696" s="217"/>
      <c r="T696" s="217">
        <v>11</v>
      </c>
      <c r="U696" s="217"/>
      <c r="V696" s="217"/>
      <c r="W696" s="217"/>
      <c r="X696" s="218">
        <v>29</v>
      </c>
      <c r="Y696" s="221">
        <f t="shared" si="32"/>
        <v>29</v>
      </c>
      <c r="Z696">
        <f t="shared" si="33"/>
        <v>0</v>
      </c>
    </row>
    <row r="697" spans="1:26" x14ac:dyDescent="0.2">
      <c r="A697" s="26">
        <f t="shared" si="31"/>
        <v>42475</v>
      </c>
      <c r="B697" s="216">
        <v>2016</v>
      </c>
      <c r="C697" s="216">
        <v>4</v>
      </c>
      <c r="D697" s="216">
        <v>15</v>
      </c>
      <c r="E697" s="216" t="s">
        <v>153</v>
      </c>
      <c r="F697" s="217"/>
      <c r="G697" s="217">
        <v>6</v>
      </c>
      <c r="H697" s="217">
        <v>6</v>
      </c>
      <c r="I697" s="217">
        <v>5</v>
      </c>
      <c r="J697" s="217"/>
      <c r="K697" s="217"/>
      <c r="L697" s="217">
        <v>6</v>
      </c>
      <c r="M697" s="217">
        <v>4</v>
      </c>
      <c r="N697" s="217"/>
      <c r="O697" s="217"/>
      <c r="P697" s="217">
        <v>5</v>
      </c>
      <c r="Q697" s="217">
        <v>5</v>
      </c>
      <c r="R697" s="217">
        <v>2</v>
      </c>
      <c r="S697" s="217"/>
      <c r="T697" s="217">
        <v>13</v>
      </c>
      <c r="U697" s="217"/>
      <c r="V697" s="217"/>
      <c r="W697" s="217"/>
      <c r="X697" s="218">
        <v>52</v>
      </c>
      <c r="Y697" s="221">
        <f t="shared" si="32"/>
        <v>52</v>
      </c>
      <c r="Z697">
        <f t="shared" si="33"/>
        <v>0</v>
      </c>
    </row>
    <row r="698" spans="1:26" x14ac:dyDescent="0.2">
      <c r="A698" s="26">
        <f t="shared" si="31"/>
        <v>42476</v>
      </c>
      <c r="B698" s="216">
        <v>2016</v>
      </c>
      <c r="C698" s="216">
        <v>4</v>
      </c>
      <c r="D698" s="216">
        <v>16</v>
      </c>
      <c r="E698" s="216" t="s">
        <v>152</v>
      </c>
      <c r="F698" s="217"/>
      <c r="G698" s="217"/>
      <c r="H698" s="217"/>
      <c r="I698" s="217"/>
      <c r="J698" s="217"/>
      <c r="K698" s="217"/>
      <c r="L698" s="217">
        <v>7</v>
      </c>
      <c r="M698" s="217"/>
      <c r="N698" s="217"/>
      <c r="O698" s="217"/>
      <c r="P698" s="217"/>
      <c r="Q698" s="217">
        <v>9</v>
      </c>
      <c r="R698" s="217"/>
      <c r="S698" s="217"/>
      <c r="T698" s="217"/>
      <c r="U698" s="217"/>
      <c r="V698" s="217"/>
      <c r="W698" s="217"/>
      <c r="X698" s="218">
        <v>16</v>
      </c>
      <c r="Y698" s="221">
        <f t="shared" si="32"/>
        <v>16</v>
      </c>
      <c r="Z698">
        <f t="shared" si="33"/>
        <v>0</v>
      </c>
    </row>
    <row r="699" spans="1:26" x14ac:dyDescent="0.2">
      <c r="A699" s="26">
        <f t="shared" si="31"/>
        <v>42476</v>
      </c>
      <c r="B699" s="216">
        <v>2016</v>
      </c>
      <c r="C699" s="216">
        <v>4</v>
      </c>
      <c r="D699" s="216">
        <v>16</v>
      </c>
      <c r="E699" s="216" t="s">
        <v>153</v>
      </c>
      <c r="F699" s="217"/>
      <c r="G699" s="217"/>
      <c r="H699" s="217"/>
      <c r="I699" s="217"/>
      <c r="J699" s="217"/>
      <c r="K699" s="217"/>
      <c r="L699" s="217">
        <v>5</v>
      </c>
      <c r="M699" s="217"/>
      <c r="N699" s="217"/>
      <c r="O699" s="217"/>
      <c r="P699" s="217"/>
      <c r="Q699" s="217">
        <v>6</v>
      </c>
      <c r="R699" s="217"/>
      <c r="S699" s="217"/>
      <c r="T699" s="217"/>
      <c r="U699" s="217"/>
      <c r="V699" s="217"/>
      <c r="W699" s="217"/>
      <c r="X699" s="218">
        <v>11</v>
      </c>
      <c r="Y699" s="221">
        <f t="shared" si="32"/>
        <v>11</v>
      </c>
      <c r="Z699">
        <f t="shared" si="33"/>
        <v>11</v>
      </c>
    </row>
    <row r="700" spans="1:26" x14ac:dyDescent="0.2">
      <c r="A700" s="26">
        <f t="shared" si="31"/>
        <v>42478</v>
      </c>
      <c r="B700" s="216">
        <v>2016</v>
      </c>
      <c r="C700" s="216">
        <v>4</v>
      </c>
      <c r="D700" s="216">
        <v>18</v>
      </c>
      <c r="E700" s="216" t="s">
        <v>152</v>
      </c>
      <c r="F700" s="217">
        <v>1</v>
      </c>
      <c r="G700" s="217">
        <v>6</v>
      </c>
      <c r="H700" s="217"/>
      <c r="I700" s="217"/>
      <c r="J700" s="217"/>
      <c r="K700" s="217"/>
      <c r="L700" s="217"/>
      <c r="M700" s="217"/>
      <c r="N700" s="217"/>
      <c r="O700" s="217">
        <v>1</v>
      </c>
      <c r="P700" s="217">
        <v>4</v>
      </c>
      <c r="Q700" s="217"/>
      <c r="R700" s="217"/>
      <c r="S700" s="217"/>
      <c r="T700" s="217">
        <v>2</v>
      </c>
      <c r="U700" s="217"/>
      <c r="V700" s="217">
        <v>1</v>
      </c>
      <c r="W700" s="217"/>
      <c r="X700" s="218">
        <v>15</v>
      </c>
      <c r="Y700" s="221">
        <f t="shared" si="32"/>
        <v>14</v>
      </c>
      <c r="Z700">
        <f t="shared" si="33"/>
        <v>0</v>
      </c>
    </row>
    <row r="701" spans="1:26" x14ac:dyDescent="0.2">
      <c r="A701" s="26">
        <f t="shared" si="31"/>
        <v>42478</v>
      </c>
      <c r="B701" s="216">
        <v>2016</v>
      </c>
      <c r="C701" s="216">
        <v>4</v>
      </c>
      <c r="D701" s="216">
        <v>18</v>
      </c>
      <c r="E701" s="216" t="s">
        <v>153</v>
      </c>
      <c r="F701" s="217"/>
      <c r="G701" s="217">
        <v>3</v>
      </c>
      <c r="H701" s="217">
        <v>2</v>
      </c>
      <c r="I701" s="217"/>
      <c r="J701" s="217"/>
      <c r="K701" s="217"/>
      <c r="L701" s="217">
        <v>6</v>
      </c>
      <c r="M701" s="217">
        <v>4</v>
      </c>
      <c r="N701" s="217">
        <v>1</v>
      </c>
      <c r="O701" s="217"/>
      <c r="P701" s="217">
        <v>2</v>
      </c>
      <c r="Q701" s="217">
        <v>1</v>
      </c>
      <c r="R701" s="217"/>
      <c r="S701" s="217"/>
      <c r="T701" s="217">
        <v>1</v>
      </c>
      <c r="U701" s="217"/>
      <c r="V701" s="217">
        <v>6</v>
      </c>
      <c r="W701" s="217"/>
      <c r="X701" s="218">
        <v>26</v>
      </c>
      <c r="Y701" s="221">
        <f t="shared" si="32"/>
        <v>26</v>
      </c>
      <c r="Z701">
        <f t="shared" si="33"/>
        <v>0</v>
      </c>
    </row>
    <row r="702" spans="1:26" x14ac:dyDescent="0.2">
      <c r="A702" s="26">
        <f t="shared" si="31"/>
        <v>42479</v>
      </c>
      <c r="B702" s="216">
        <v>2016</v>
      </c>
      <c r="C702" s="216">
        <v>4</v>
      </c>
      <c r="D702" s="216">
        <v>19</v>
      </c>
      <c r="E702" s="216" t="s">
        <v>152</v>
      </c>
      <c r="F702" s="217">
        <v>2</v>
      </c>
      <c r="G702" s="217">
        <v>4</v>
      </c>
      <c r="H702" s="217"/>
      <c r="I702" s="217">
        <v>1</v>
      </c>
      <c r="J702" s="217"/>
      <c r="K702" s="217"/>
      <c r="L702" s="217">
        <v>1</v>
      </c>
      <c r="M702" s="217"/>
      <c r="N702" s="217">
        <v>1</v>
      </c>
      <c r="O702" s="217">
        <v>1</v>
      </c>
      <c r="P702" s="217">
        <v>1</v>
      </c>
      <c r="Q702" s="217">
        <v>3</v>
      </c>
      <c r="R702" s="217">
        <v>3</v>
      </c>
      <c r="S702" s="217"/>
      <c r="T702" s="217">
        <v>16</v>
      </c>
      <c r="U702" s="217"/>
      <c r="V702" s="217">
        <v>4</v>
      </c>
      <c r="W702" s="217"/>
      <c r="X702" s="218">
        <v>37</v>
      </c>
      <c r="Y702" s="221">
        <f t="shared" si="32"/>
        <v>35</v>
      </c>
      <c r="Z702">
        <f t="shared" si="33"/>
        <v>0</v>
      </c>
    </row>
    <row r="703" spans="1:26" x14ac:dyDescent="0.2">
      <c r="A703" s="26">
        <f t="shared" si="31"/>
        <v>42479</v>
      </c>
      <c r="B703" s="216">
        <v>2016</v>
      </c>
      <c r="C703" s="216">
        <v>4</v>
      </c>
      <c r="D703" s="216">
        <v>19</v>
      </c>
      <c r="E703" s="216" t="s">
        <v>153</v>
      </c>
      <c r="F703" s="217">
        <v>1</v>
      </c>
      <c r="G703" s="217">
        <v>13</v>
      </c>
      <c r="H703" s="217">
        <v>6</v>
      </c>
      <c r="I703" s="217"/>
      <c r="J703" s="217"/>
      <c r="K703" s="217"/>
      <c r="L703" s="217">
        <v>9</v>
      </c>
      <c r="M703" s="217"/>
      <c r="N703" s="217"/>
      <c r="O703" s="217"/>
      <c r="P703" s="217">
        <v>5</v>
      </c>
      <c r="Q703" s="217">
        <v>6</v>
      </c>
      <c r="R703" s="217">
        <v>3</v>
      </c>
      <c r="S703" s="217"/>
      <c r="T703" s="217">
        <v>5</v>
      </c>
      <c r="U703" s="217"/>
      <c r="V703" s="217">
        <v>3</v>
      </c>
      <c r="W703" s="217"/>
      <c r="X703" s="218">
        <v>51</v>
      </c>
      <c r="Y703" s="221">
        <f t="shared" si="32"/>
        <v>50</v>
      </c>
      <c r="Z703">
        <f t="shared" si="33"/>
        <v>0</v>
      </c>
    </row>
    <row r="704" spans="1:26" x14ac:dyDescent="0.2">
      <c r="A704" s="26">
        <f t="shared" si="31"/>
        <v>42480</v>
      </c>
      <c r="B704" s="216">
        <v>2016</v>
      </c>
      <c r="C704" s="216">
        <v>4</v>
      </c>
      <c r="D704" s="216">
        <v>20</v>
      </c>
      <c r="E704" s="216" t="s">
        <v>152</v>
      </c>
      <c r="F704" s="217">
        <v>2</v>
      </c>
      <c r="G704" s="217">
        <v>3</v>
      </c>
      <c r="H704" s="217"/>
      <c r="I704" s="217">
        <v>1</v>
      </c>
      <c r="J704" s="217"/>
      <c r="K704" s="217"/>
      <c r="L704" s="217">
        <v>12</v>
      </c>
      <c r="M704" s="217"/>
      <c r="N704" s="217">
        <v>1</v>
      </c>
      <c r="O704" s="217">
        <v>2</v>
      </c>
      <c r="P704" s="217"/>
      <c r="Q704" s="217">
        <v>2</v>
      </c>
      <c r="R704" s="217">
        <v>1</v>
      </c>
      <c r="S704" s="217"/>
      <c r="T704" s="217">
        <v>2</v>
      </c>
      <c r="U704" s="217"/>
      <c r="V704" s="217"/>
      <c r="W704" s="217"/>
      <c r="X704" s="218">
        <v>26</v>
      </c>
      <c r="Y704" s="221">
        <f t="shared" si="32"/>
        <v>24</v>
      </c>
      <c r="Z704">
        <f t="shared" si="33"/>
        <v>0</v>
      </c>
    </row>
    <row r="705" spans="1:26" x14ac:dyDescent="0.2">
      <c r="A705" s="26">
        <f t="shared" si="31"/>
        <v>42480</v>
      </c>
      <c r="B705" s="216">
        <v>2016</v>
      </c>
      <c r="C705" s="216">
        <v>4</v>
      </c>
      <c r="D705" s="216">
        <v>20</v>
      </c>
      <c r="E705" s="216" t="s">
        <v>153</v>
      </c>
      <c r="F705" s="217">
        <v>1</v>
      </c>
      <c r="G705" s="217">
        <v>6</v>
      </c>
      <c r="H705" s="217">
        <v>5</v>
      </c>
      <c r="I705" s="217"/>
      <c r="J705" s="217"/>
      <c r="K705" s="217"/>
      <c r="L705" s="217">
        <v>7</v>
      </c>
      <c r="M705" s="217">
        <v>5</v>
      </c>
      <c r="N705" s="217">
        <v>3</v>
      </c>
      <c r="O705" s="217"/>
      <c r="P705" s="217"/>
      <c r="Q705" s="217"/>
      <c r="R705" s="217">
        <v>1</v>
      </c>
      <c r="S705" s="217"/>
      <c r="T705" s="217">
        <v>20</v>
      </c>
      <c r="U705" s="217"/>
      <c r="V705" s="217">
        <v>3</v>
      </c>
      <c r="W705" s="217"/>
      <c r="X705" s="218">
        <v>51</v>
      </c>
      <c r="Y705" s="221">
        <f t="shared" si="32"/>
        <v>50</v>
      </c>
      <c r="Z705">
        <f t="shared" si="33"/>
        <v>0</v>
      </c>
    </row>
    <row r="706" spans="1:26" x14ac:dyDescent="0.2">
      <c r="A706" s="26">
        <f t="shared" si="31"/>
        <v>42482</v>
      </c>
      <c r="B706" s="216">
        <v>2016</v>
      </c>
      <c r="C706" s="216">
        <v>4</v>
      </c>
      <c r="D706" s="216">
        <v>22</v>
      </c>
      <c r="E706" s="216" t="s">
        <v>152</v>
      </c>
      <c r="F706" s="217">
        <v>15</v>
      </c>
      <c r="G706" s="217"/>
      <c r="H706" s="217"/>
      <c r="I706" s="217"/>
      <c r="J706" s="217"/>
      <c r="K706" s="217"/>
      <c r="L706" s="217">
        <v>1</v>
      </c>
      <c r="M706" s="217"/>
      <c r="N706" s="217">
        <v>64</v>
      </c>
      <c r="O706" s="217">
        <v>1</v>
      </c>
      <c r="P706" s="217"/>
      <c r="Q706" s="217"/>
      <c r="R706" s="217">
        <v>1</v>
      </c>
      <c r="S706" s="217"/>
      <c r="T706" s="217"/>
      <c r="U706" s="217"/>
      <c r="V706" s="217"/>
      <c r="W706" s="217"/>
      <c r="X706" s="218">
        <v>82</v>
      </c>
      <c r="Y706" s="221">
        <f t="shared" si="32"/>
        <v>67</v>
      </c>
      <c r="Z706">
        <f t="shared" si="33"/>
        <v>0</v>
      </c>
    </row>
    <row r="707" spans="1:26" x14ac:dyDescent="0.2">
      <c r="A707" s="26">
        <f t="shared" ref="A707:A770" si="34">DATE(B707,C707,D707)</f>
        <v>42482</v>
      </c>
      <c r="B707" s="216">
        <v>2016</v>
      </c>
      <c r="C707" s="216">
        <v>4</v>
      </c>
      <c r="D707" s="216">
        <v>22</v>
      </c>
      <c r="E707" s="216" t="s">
        <v>153</v>
      </c>
      <c r="F707" s="217">
        <v>1</v>
      </c>
      <c r="G707" s="217">
        <v>6</v>
      </c>
      <c r="H707" s="217"/>
      <c r="I707" s="217"/>
      <c r="J707" s="217"/>
      <c r="K707" s="217"/>
      <c r="L707" s="217">
        <v>8</v>
      </c>
      <c r="M707" s="217"/>
      <c r="N707" s="217"/>
      <c r="O707" s="217"/>
      <c r="P707" s="217">
        <v>5</v>
      </c>
      <c r="Q707" s="217">
        <v>1</v>
      </c>
      <c r="R707" s="217"/>
      <c r="S707" s="217"/>
      <c r="T707" s="217"/>
      <c r="U707" s="217"/>
      <c r="V707" s="217"/>
      <c r="W707" s="217"/>
      <c r="X707" s="218">
        <v>21</v>
      </c>
      <c r="Y707" s="221">
        <f t="shared" ref="Y707:Y770" si="35">SUM(G707:W707)</f>
        <v>20</v>
      </c>
      <c r="Z707">
        <f t="shared" si="33"/>
        <v>0</v>
      </c>
    </row>
    <row r="708" spans="1:26" x14ac:dyDescent="0.2">
      <c r="A708" s="26">
        <f t="shared" si="34"/>
        <v>42485</v>
      </c>
      <c r="B708" s="216">
        <v>2016</v>
      </c>
      <c r="C708" s="216">
        <v>4</v>
      </c>
      <c r="D708" s="216">
        <v>25</v>
      </c>
      <c r="E708" s="216" t="s">
        <v>152</v>
      </c>
      <c r="F708" s="217">
        <v>1</v>
      </c>
      <c r="G708" s="217">
        <v>3</v>
      </c>
      <c r="H708" s="217"/>
      <c r="I708" s="217">
        <v>5</v>
      </c>
      <c r="J708" s="217"/>
      <c r="K708" s="217"/>
      <c r="L708" s="217">
        <v>3</v>
      </c>
      <c r="M708" s="217"/>
      <c r="N708" s="217">
        <v>14</v>
      </c>
      <c r="O708" s="217">
        <v>2</v>
      </c>
      <c r="P708" s="217"/>
      <c r="Q708" s="217">
        <v>1</v>
      </c>
      <c r="R708" s="217">
        <v>1</v>
      </c>
      <c r="S708" s="217"/>
      <c r="T708" s="217">
        <v>1</v>
      </c>
      <c r="U708" s="217"/>
      <c r="V708" s="217">
        <v>5</v>
      </c>
      <c r="W708" s="217"/>
      <c r="X708" s="218">
        <v>36</v>
      </c>
      <c r="Y708" s="221">
        <f t="shared" si="35"/>
        <v>35</v>
      </c>
      <c r="Z708">
        <f t="shared" si="33"/>
        <v>0</v>
      </c>
    </row>
    <row r="709" spans="1:26" x14ac:dyDescent="0.2">
      <c r="A709" s="26">
        <f t="shared" si="34"/>
        <v>42485</v>
      </c>
      <c r="B709" s="216">
        <v>2016</v>
      </c>
      <c r="C709" s="216">
        <v>4</v>
      </c>
      <c r="D709" s="216">
        <v>25</v>
      </c>
      <c r="E709" s="216" t="s">
        <v>153</v>
      </c>
      <c r="F709" s="217"/>
      <c r="G709" s="217">
        <v>13</v>
      </c>
      <c r="H709" s="217">
        <v>2</v>
      </c>
      <c r="I709" s="217">
        <v>6</v>
      </c>
      <c r="J709" s="217"/>
      <c r="K709" s="217"/>
      <c r="L709" s="217">
        <v>18</v>
      </c>
      <c r="M709" s="217">
        <v>4</v>
      </c>
      <c r="N709" s="217"/>
      <c r="O709" s="217"/>
      <c r="P709" s="217"/>
      <c r="Q709" s="217">
        <v>6</v>
      </c>
      <c r="R709" s="217">
        <v>3</v>
      </c>
      <c r="S709" s="217"/>
      <c r="T709" s="217">
        <v>1</v>
      </c>
      <c r="U709" s="217"/>
      <c r="V709" s="217">
        <v>5</v>
      </c>
      <c r="W709" s="217"/>
      <c r="X709" s="218">
        <v>58</v>
      </c>
      <c r="Y709" s="221">
        <f t="shared" si="35"/>
        <v>58</v>
      </c>
      <c r="Z709">
        <f t="shared" si="33"/>
        <v>0</v>
      </c>
    </row>
    <row r="710" spans="1:26" x14ac:dyDescent="0.2">
      <c r="A710" s="26">
        <f t="shared" si="34"/>
        <v>42486</v>
      </c>
      <c r="B710" s="216">
        <v>2016</v>
      </c>
      <c r="C710" s="216">
        <v>4</v>
      </c>
      <c r="D710" s="216">
        <v>26</v>
      </c>
      <c r="E710" s="216" t="s">
        <v>152</v>
      </c>
      <c r="F710" s="217">
        <v>3</v>
      </c>
      <c r="G710" s="217">
        <v>2</v>
      </c>
      <c r="H710" s="217"/>
      <c r="I710" s="217">
        <v>1</v>
      </c>
      <c r="J710" s="217"/>
      <c r="K710" s="217"/>
      <c r="L710" s="217"/>
      <c r="M710" s="217"/>
      <c r="N710" s="217"/>
      <c r="O710" s="217"/>
      <c r="P710" s="217">
        <v>4</v>
      </c>
      <c r="Q710" s="217"/>
      <c r="R710" s="217"/>
      <c r="S710" s="217"/>
      <c r="T710" s="217"/>
      <c r="U710" s="217"/>
      <c r="V710" s="217"/>
      <c r="W710" s="217"/>
      <c r="X710" s="218">
        <v>10</v>
      </c>
      <c r="Y710" s="221">
        <f t="shared" si="35"/>
        <v>7</v>
      </c>
      <c r="Z710">
        <f t="shared" ref="Z710:Z770" si="36">IF(OR(WEEKDAY(A710,2)=6,WEEKDAY(A710,2)=7),X710,0)</f>
        <v>0</v>
      </c>
    </row>
    <row r="711" spans="1:26" x14ac:dyDescent="0.2">
      <c r="A711" s="26">
        <f t="shared" si="34"/>
        <v>42486</v>
      </c>
      <c r="B711" s="216">
        <v>2016</v>
      </c>
      <c r="C711" s="216">
        <v>4</v>
      </c>
      <c r="D711" s="216">
        <v>26</v>
      </c>
      <c r="E711" s="216" t="s">
        <v>153</v>
      </c>
      <c r="F711" s="217"/>
      <c r="G711" s="217">
        <v>3</v>
      </c>
      <c r="H711" s="217">
        <v>5</v>
      </c>
      <c r="I711" s="217">
        <v>3</v>
      </c>
      <c r="J711" s="217"/>
      <c r="K711" s="217"/>
      <c r="L711" s="217"/>
      <c r="M711" s="217">
        <v>1</v>
      </c>
      <c r="N711" s="217"/>
      <c r="O711" s="217"/>
      <c r="P711" s="217">
        <v>2</v>
      </c>
      <c r="Q711" s="217"/>
      <c r="R711" s="217"/>
      <c r="S711" s="217"/>
      <c r="T711" s="217"/>
      <c r="U711" s="217"/>
      <c r="V711" s="217">
        <v>6</v>
      </c>
      <c r="W711" s="217"/>
      <c r="X711" s="218">
        <v>20</v>
      </c>
      <c r="Y711" s="221">
        <f t="shared" si="35"/>
        <v>20</v>
      </c>
      <c r="Z711">
        <f t="shared" si="36"/>
        <v>0</v>
      </c>
    </row>
    <row r="712" spans="1:26" x14ac:dyDescent="0.2">
      <c r="A712" s="26">
        <f t="shared" si="34"/>
        <v>42487</v>
      </c>
      <c r="B712" s="216">
        <v>2016</v>
      </c>
      <c r="C712" s="216">
        <v>4</v>
      </c>
      <c r="D712" s="216">
        <v>27</v>
      </c>
      <c r="E712" s="216" t="s">
        <v>152</v>
      </c>
      <c r="F712" s="217">
        <v>2</v>
      </c>
      <c r="G712" s="217">
        <v>8</v>
      </c>
      <c r="H712" s="217">
        <v>2</v>
      </c>
      <c r="I712" s="217"/>
      <c r="J712" s="217"/>
      <c r="K712" s="217"/>
      <c r="L712" s="217">
        <v>4</v>
      </c>
      <c r="M712" s="217"/>
      <c r="N712" s="217">
        <v>32</v>
      </c>
      <c r="O712" s="217">
        <v>1</v>
      </c>
      <c r="P712" s="217">
        <v>3</v>
      </c>
      <c r="Q712" s="217"/>
      <c r="R712" s="217">
        <v>3</v>
      </c>
      <c r="S712" s="217"/>
      <c r="T712" s="217">
        <v>3</v>
      </c>
      <c r="U712" s="217"/>
      <c r="V712" s="217"/>
      <c r="W712" s="217"/>
      <c r="X712" s="218">
        <v>58</v>
      </c>
      <c r="Y712" s="221">
        <f t="shared" si="35"/>
        <v>56</v>
      </c>
      <c r="Z712">
        <f t="shared" si="36"/>
        <v>0</v>
      </c>
    </row>
    <row r="713" spans="1:26" x14ac:dyDescent="0.2">
      <c r="A713" s="26">
        <f t="shared" si="34"/>
        <v>42487</v>
      </c>
      <c r="B713" s="216">
        <v>2016</v>
      </c>
      <c r="C713" s="216">
        <v>4</v>
      </c>
      <c r="D713" s="216">
        <v>27</v>
      </c>
      <c r="E713" s="216" t="s">
        <v>153</v>
      </c>
      <c r="F713" s="217">
        <v>1</v>
      </c>
      <c r="G713" s="217">
        <v>5</v>
      </c>
      <c r="H713" s="217">
        <v>5</v>
      </c>
      <c r="I713" s="217"/>
      <c r="J713" s="217"/>
      <c r="K713" s="217"/>
      <c r="L713" s="217">
        <v>7</v>
      </c>
      <c r="M713" s="217">
        <v>1</v>
      </c>
      <c r="N713" s="217">
        <v>1</v>
      </c>
      <c r="O713" s="217"/>
      <c r="P713" s="217">
        <v>12</v>
      </c>
      <c r="Q713" s="217"/>
      <c r="R713" s="217">
        <v>5</v>
      </c>
      <c r="S713" s="217"/>
      <c r="T713" s="217">
        <v>5</v>
      </c>
      <c r="U713" s="217"/>
      <c r="V713" s="217"/>
      <c r="W713" s="217"/>
      <c r="X713" s="218">
        <v>42</v>
      </c>
      <c r="Y713" s="221">
        <f t="shared" si="35"/>
        <v>41</v>
      </c>
      <c r="Z713">
        <f t="shared" si="36"/>
        <v>0</v>
      </c>
    </row>
    <row r="714" spans="1:26" x14ac:dyDescent="0.2">
      <c r="A714" s="26">
        <f t="shared" si="34"/>
        <v>42488</v>
      </c>
      <c r="B714" s="216">
        <v>2016</v>
      </c>
      <c r="C714" s="216">
        <v>4</v>
      </c>
      <c r="D714" s="216">
        <v>28</v>
      </c>
      <c r="E714" s="216" t="s">
        <v>152</v>
      </c>
      <c r="F714" s="217">
        <v>3</v>
      </c>
      <c r="G714" s="217">
        <v>10</v>
      </c>
      <c r="H714" s="217"/>
      <c r="I714" s="217"/>
      <c r="J714" s="217"/>
      <c r="K714" s="217"/>
      <c r="L714" s="217">
        <v>7</v>
      </c>
      <c r="M714" s="217"/>
      <c r="N714" s="217">
        <v>5</v>
      </c>
      <c r="O714" s="217"/>
      <c r="P714" s="217">
        <v>2</v>
      </c>
      <c r="Q714" s="217"/>
      <c r="R714" s="217">
        <v>1</v>
      </c>
      <c r="S714" s="217"/>
      <c r="T714" s="217">
        <v>2</v>
      </c>
      <c r="U714" s="217"/>
      <c r="V714" s="217"/>
      <c r="W714" s="217"/>
      <c r="X714" s="218">
        <v>30</v>
      </c>
      <c r="Y714" s="221">
        <f t="shared" si="35"/>
        <v>27</v>
      </c>
      <c r="Z714">
        <f t="shared" si="36"/>
        <v>0</v>
      </c>
    </row>
    <row r="715" spans="1:26" x14ac:dyDescent="0.2">
      <c r="A715" s="26">
        <f t="shared" si="34"/>
        <v>42488</v>
      </c>
      <c r="B715" s="216">
        <v>2016</v>
      </c>
      <c r="C715" s="216">
        <v>4</v>
      </c>
      <c r="D715" s="216">
        <v>28</v>
      </c>
      <c r="E715" s="216" t="s">
        <v>153</v>
      </c>
      <c r="F715" s="217"/>
      <c r="G715" s="217">
        <v>7</v>
      </c>
      <c r="H715" s="217">
        <v>4</v>
      </c>
      <c r="I715" s="217"/>
      <c r="J715" s="217"/>
      <c r="K715" s="217"/>
      <c r="L715" s="217">
        <v>11</v>
      </c>
      <c r="M715" s="217"/>
      <c r="N715" s="217"/>
      <c r="O715" s="217"/>
      <c r="P715" s="217">
        <v>7</v>
      </c>
      <c r="Q715" s="217"/>
      <c r="R715" s="217">
        <v>8</v>
      </c>
      <c r="S715" s="217"/>
      <c r="T715" s="217">
        <v>14</v>
      </c>
      <c r="U715" s="217"/>
      <c r="V715" s="217">
        <v>6</v>
      </c>
      <c r="W715" s="217"/>
      <c r="X715" s="218">
        <v>57</v>
      </c>
      <c r="Y715" s="221">
        <f t="shared" si="35"/>
        <v>57</v>
      </c>
      <c r="Z715">
        <f t="shared" si="36"/>
        <v>0</v>
      </c>
    </row>
    <row r="716" spans="1:26" x14ac:dyDescent="0.2">
      <c r="A716" s="26">
        <f t="shared" si="34"/>
        <v>42489</v>
      </c>
      <c r="B716" s="216">
        <v>2016</v>
      </c>
      <c r="C716" s="216">
        <v>4</v>
      </c>
      <c r="D716" s="216">
        <v>29</v>
      </c>
      <c r="E716" s="216" t="s">
        <v>152</v>
      </c>
      <c r="F716" s="217">
        <v>1</v>
      </c>
      <c r="G716" s="217">
        <v>4</v>
      </c>
      <c r="H716" s="217">
        <v>1</v>
      </c>
      <c r="I716" s="217"/>
      <c r="J716" s="217"/>
      <c r="K716" s="217"/>
      <c r="L716" s="217">
        <v>3</v>
      </c>
      <c r="M716" s="217"/>
      <c r="N716" s="217"/>
      <c r="O716" s="217"/>
      <c r="P716" s="217">
        <v>1</v>
      </c>
      <c r="Q716" s="217"/>
      <c r="R716" s="217">
        <v>8</v>
      </c>
      <c r="S716" s="217"/>
      <c r="T716" s="217">
        <v>5</v>
      </c>
      <c r="U716" s="217"/>
      <c r="V716" s="217"/>
      <c r="W716" s="217"/>
      <c r="X716" s="218">
        <v>23</v>
      </c>
      <c r="Y716" s="221">
        <f t="shared" si="35"/>
        <v>22</v>
      </c>
      <c r="Z716">
        <f t="shared" si="36"/>
        <v>0</v>
      </c>
    </row>
    <row r="717" spans="1:26" x14ac:dyDescent="0.2">
      <c r="A717" s="26">
        <f t="shared" si="34"/>
        <v>42489</v>
      </c>
      <c r="B717" s="216">
        <v>2016</v>
      </c>
      <c r="C717" s="216">
        <v>4</v>
      </c>
      <c r="D717" s="216">
        <v>29</v>
      </c>
      <c r="E717" s="216" t="s">
        <v>153</v>
      </c>
      <c r="F717" s="217">
        <v>1</v>
      </c>
      <c r="G717" s="217">
        <v>6</v>
      </c>
      <c r="H717" s="217">
        <v>8</v>
      </c>
      <c r="I717" s="217"/>
      <c r="J717" s="217"/>
      <c r="K717" s="217"/>
      <c r="L717" s="217">
        <v>8</v>
      </c>
      <c r="M717" s="217">
        <v>2</v>
      </c>
      <c r="N717" s="217"/>
      <c r="O717" s="217"/>
      <c r="P717" s="217">
        <v>6</v>
      </c>
      <c r="Q717" s="217"/>
      <c r="R717" s="217">
        <v>10</v>
      </c>
      <c r="S717" s="217"/>
      <c r="T717" s="217">
        <v>10</v>
      </c>
      <c r="U717" s="217"/>
      <c r="V717" s="217"/>
      <c r="W717" s="217"/>
      <c r="X717" s="218">
        <v>51</v>
      </c>
      <c r="Y717" s="221">
        <f t="shared" si="35"/>
        <v>50</v>
      </c>
      <c r="Z717">
        <f t="shared" si="36"/>
        <v>0</v>
      </c>
    </row>
    <row r="718" spans="1:26" x14ac:dyDescent="0.2">
      <c r="A718" s="26">
        <f t="shared" si="34"/>
        <v>42490</v>
      </c>
      <c r="B718" s="216">
        <v>2016</v>
      </c>
      <c r="C718" s="216">
        <v>4</v>
      </c>
      <c r="D718" s="216">
        <v>30</v>
      </c>
      <c r="E718" s="216" t="s">
        <v>152</v>
      </c>
      <c r="F718" s="217">
        <v>2</v>
      </c>
      <c r="G718" s="217">
        <v>5</v>
      </c>
      <c r="H718" s="217"/>
      <c r="I718" s="217"/>
      <c r="J718" s="217"/>
      <c r="K718" s="217"/>
      <c r="L718" s="217"/>
      <c r="M718" s="217"/>
      <c r="N718" s="217"/>
      <c r="O718" s="217"/>
      <c r="P718" s="217"/>
      <c r="Q718" s="217">
        <v>6</v>
      </c>
      <c r="R718" s="217">
        <v>8</v>
      </c>
      <c r="S718" s="217"/>
      <c r="T718" s="217"/>
      <c r="U718" s="217"/>
      <c r="V718" s="217"/>
      <c r="W718" s="217"/>
      <c r="X718" s="218">
        <v>21</v>
      </c>
      <c r="Y718" s="221">
        <f t="shared" si="35"/>
        <v>19</v>
      </c>
      <c r="Z718">
        <f t="shared" si="36"/>
        <v>21</v>
      </c>
    </row>
    <row r="719" spans="1:26" x14ac:dyDescent="0.2">
      <c r="A719" s="26">
        <f t="shared" si="34"/>
        <v>42490</v>
      </c>
      <c r="B719" s="216">
        <v>2016</v>
      </c>
      <c r="C719" s="216">
        <v>4</v>
      </c>
      <c r="D719" s="216">
        <v>30</v>
      </c>
      <c r="E719" s="216" t="s">
        <v>153</v>
      </c>
      <c r="F719" s="217">
        <v>3</v>
      </c>
      <c r="G719" s="217">
        <v>13</v>
      </c>
      <c r="H719" s="217">
        <v>3</v>
      </c>
      <c r="I719" s="217"/>
      <c r="J719" s="217"/>
      <c r="K719" s="217"/>
      <c r="L719" s="217"/>
      <c r="M719" s="217"/>
      <c r="N719" s="217"/>
      <c r="O719" s="217"/>
      <c r="P719" s="217"/>
      <c r="Q719" s="217">
        <v>7</v>
      </c>
      <c r="R719" s="217">
        <v>9</v>
      </c>
      <c r="S719" s="217"/>
      <c r="T719" s="217"/>
      <c r="U719" s="217"/>
      <c r="V719" s="217"/>
      <c r="W719" s="217"/>
      <c r="X719" s="218">
        <v>35</v>
      </c>
      <c r="Y719" s="221">
        <f t="shared" si="35"/>
        <v>32</v>
      </c>
      <c r="Z719">
        <f t="shared" si="36"/>
        <v>35</v>
      </c>
    </row>
    <row r="720" spans="1:26" x14ac:dyDescent="0.2">
      <c r="A720" s="26">
        <f t="shared" si="34"/>
        <v>42492</v>
      </c>
      <c r="B720" s="216">
        <v>2016</v>
      </c>
      <c r="C720" s="216">
        <v>5</v>
      </c>
      <c r="D720" s="216">
        <v>2</v>
      </c>
      <c r="E720" s="216" t="s">
        <v>152</v>
      </c>
      <c r="F720" s="217">
        <v>6</v>
      </c>
      <c r="G720" s="217">
        <v>5</v>
      </c>
      <c r="H720" s="217">
        <v>1</v>
      </c>
      <c r="I720" s="217"/>
      <c r="J720" s="217"/>
      <c r="K720" s="217"/>
      <c r="L720" s="217">
        <v>4</v>
      </c>
      <c r="M720" s="217"/>
      <c r="N720" s="217">
        <v>3</v>
      </c>
      <c r="O720" s="217"/>
      <c r="P720" s="217">
        <v>2</v>
      </c>
      <c r="Q720" s="217"/>
      <c r="R720" s="217">
        <v>1</v>
      </c>
      <c r="S720" s="217"/>
      <c r="T720" s="217"/>
      <c r="U720" s="217"/>
      <c r="V720" s="217"/>
      <c r="W720" s="217"/>
      <c r="X720" s="218">
        <v>22</v>
      </c>
      <c r="Y720" s="221">
        <f t="shared" si="35"/>
        <v>16</v>
      </c>
      <c r="Z720">
        <f t="shared" si="36"/>
        <v>0</v>
      </c>
    </row>
    <row r="721" spans="1:26" x14ac:dyDescent="0.2">
      <c r="A721" s="26">
        <f t="shared" si="34"/>
        <v>42492</v>
      </c>
      <c r="B721" s="216">
        <v>2016</v>
      </c>
      <c r="C721" s="216">
        <v>5</v>
      </c>
      <c r="D721" s="216">
        <v>2</v>
      </c>
      <c r="E721" s="216" t="s">
        <v>153</v>
      </c>
      <c r="F721" s="217"/>
      <c r="G721" s="217">
        <v>4</v>
      </c>
      <c r="H721" s="217">
        <v>2</v>
      </c>
      <c r="I721" s="217"/>
      <c r="J721" s="217"/>
      <c r="K721" s="217"/>
      <c r="L721" s="217">
        <v>17</v>
      </c>
      <c r="M721" s="217">
        <v>1</v>
      </c>
      <c r="N721" s="217"/>
      <c r="O721" s="217"/>
      <c r="P721" s="217">
        <v>7</v>
      </c>
      <c r="Q721" s="217"/>
      <c r="R721" s="217">
        <v>3</v>
      </c>
      <c r="S721" s="217"/>
      <c r="T721" s="217">
        <v>2</v>
      </c>
      <c r="U721" s="217"/>
      <c r="V721" s="217">
        <v>8</v>
      </c>
      <c r="W721" s="217"/>
      <c r="X721" s="218">
        <v>44</v>
      </c>
      <c r="Y721" s="221">
        <f t="shared" si="35"/>
        <v>44</v>
      </c>
      <c r="Z721">
        <f t="shared" si="36"/>
        <v>0</v>
      </c>
    </row>
    <row r="722" spans="1:26" x14ac:dyDescent="0.2">
      <c r="A722" s="26">
        <f t="shared" si="34"/>
        <v>42493</v>
      </c>
      <c r="B722" s="216">
        <v>2016</v>
      </c>
      <c r="C722" s="216">
        <v>5</v>
      </c>
      <c r="D722" s="216">
        <v>3</v>
      </c>
      <c r="E722" s="216" t="s">
        <v>152</v>
      </c>
      <c r="F722" s="217">
        <v>1</v>
      </c>
      <c r="G722" s="217">
        <v>8</v>
      </c>
      <c r="H722" s="217"/>
      <c r="I722" s="217"/>
      <c r="J722" s="217"/>
      <c r="K722" s="217"/>
      <c r="L722" s="217">
        <v>4</v>
      </c>
      <c r="M722" s="217"/>
      <c r="N722" s="217">
        <v>1</v>
      </c>
      <c r="O722" s="217"/>
      <c r="P722" s="217"/>
      <c r="Q722" s="217"/>
      <c r="R722" s="217">
        <v>1</v>
      </c>
      <c r="S722" s="217"/>
      <c r="T722" s="217">
        <v>2</v>
      </c>
      <c r="U722" s="217"/>
      <c r="V722" s="217">
        <v>6</v>
      </c>
      <c r="W722" s="217">
        <v>1</v>
      </c>
      <c r="X722" s="218">
        <v>24</v>
      </c>
      <c r="Y722" s="221">
        <f t="shared" si="35"/>
        <v>23</v>
      </c>
      <c r="Z722">
        <f t="shared" si="36"/>
        <v>0</v>
      </c>
    </row>
    <row r="723" spans="1:26" x14ac:dyDescent="0.2">
      <c r="A723" s="26">
        <f t="shared" si="34"/>
        <v>42493</v>
      </c>
      <c r="B723" s="216">
        <v>2016</v>
      </c>
      <c r="C723" s="216">
        <v>5</v>
      </c>
      <c r="D723" s="216">
        <v>3</v>
      </c>
      <c r="E723" s="216" t="s">
        <v>153</v>
      </c>
      <c r="F723" s="217"/>
      <c r="G723" s="217">
        <v>5</v>
      </c>
      <c r="H723" s="217">
        <v>3</v>
      </c>
      <c r="I723" s="217"/>
      <c r="J723" s="217"/>
      <c r="K723" s="217"/>
      <c r="L723" s="217">
        <v>10</v>
      </c>
      <c r="M723" s="217">
        <v>2</v>
      </c>
      <c r="N723" s="217"/>
      <c r="O723" s="217"/>
      <c r="P723" s="217"/>
      <c r="Q723" s="217">
        <v>5</v>
      </c>
      <c r="R723" s="217">
        <v>9</v>
      </c>
      <c r="S723" s="217"/>
      <c r="T723" s="217">
        <v>3</v>
      </c>
      <c r="U723" s="217"/>
      <c r="V723" s="217">
        <v>9</v>
      </c>
      <c r="W723" s="217"/>
      <c r="X723" s="218">
        <v>46</v>
      </c>
      <c r="Y723" s="221">
        <f t="shared" si="35"/>
        <v>46</v>
      </c>
      <c r="Z723">
        <f t="shared" si="36"/>
        <v>0</v>
      </c>
    </row>
    <row r="724" spans="1:26" x14ac:dyDescent="0.2">
      <c r="A724" s="26">
        <f t="shared" si="34"/>
        <v>42494</v>
      </c>
      <c r="B724" s="216">
        <v>2016</v>
      </c>
      <c r="C724" s="216">
        <v>5</v>
      </c>
      <c r="D724" s="216">
        <v>4</v>
      </c>
      <c r="E724" s="216" t="s">
        <v>152</v>
      </c>
      <c r="F724" s="217">
        <v>74</v>
      </c>
      <c r="G724" s="217">
        <v>3</v>
      </c>
      <c r="H724" s="217"/>
      <c r="I724" s="217"/>
      <c r="J724" s="217"/>
      <c r="K724" s="217"/>
      <c r="L724" s="217">
        <v>2</v>
      </c>
      <c r="M724" s="217"/>
      <c r="N724" s="217"/>
      <c r="O724" s="217"/>
      <c r="P724" s="217">
        <v>7</v>
      </c>
      <c r="Q724" s="217"/>
      <c r="R724" s="217">
        <v>6</v>
      </c>
      <c r="S724" s="217"/>
      <c r="T724" s="217">
        <v>1</v>
      </c>
      <c r="U724" s="217"/>
      <c r="V724" s="217">
        <v>3</v>
      </c>
      <c r="W724" s="217"/>
      <c r="X724" s="218">
        <v>96</v>
      </c>
      <c r="Y724" s="221">
        <f t="shared" si="35"/>
        <v>22</v>
      </c>
      <c r="Z724">
        <f t="shared" si="36"/>
        <v>0</v>
      </c>
    </row>
    <row r="725" spans="1:26" x14ac:dyDescent="0.2">
      <c r="A725" s="26">
        <f t="shared" si="34"/>
        <v>42494</v>
      </c>
      <c r="B725" s="216">
        <v>2016</v>
      </c>
      <c r="C725" s="216">
        <v>5</v>
      </c>
      <c r="D725" s="216">
        <v>4</v>
      </c>
      <c r="E725" s="216" t="s">
        <v>153</v>
      </c>
      <c r="F725" s="217">
        <v>9</v>
      </c>
      <c r="G725" s="217">
        <v>7</v>
      </c>
      <c r="H725" s="217">
        <v>2</v>
      </c>
      <c r="I725" s="217"/>
      <c r="J725" s="217"/>
      <c r="K725" s="217"/>
      <c r="L725" s="217">
        <v>4</v>
      </c>
      <c r="M725" s="217">
        <v>1</v>
      </c>
      <c r="N725" s="217"/>
      <c r="O725" s="217"/>
      <c r="P725" s="217">
        <v>3</v>
      </c>
      <c r="Q725" s="217">
        <v>1</v>
      </c>
      <c r="R725" s="217">
        <v>7</v>
      </c>
      <c r="S725" s="217"/>
      <c r="T725" s="217">
        <v>5</v>
      </c>
      <c r="U725" s="217"/>
      <c r="V725" s="217">
        <v>12</v>
      </c>
      <c r="W725" s="217"/>
      <c r="X725" s="218">
        <v>51</v>
      </c>
      <c r="Y725" s="221">
        <f t="shared" si="35"/>
        <v>42</v>
      </c>
      <c r="Z725">
        <f t="shared" si="36"/>
        <v>0</v>
      </c>
    </row>
    <row r="726" spans="1:26" x14ac:dyDescent="0.2">
      <c r="A726" s="26">
        <f t="shared" si="34"/>
        <v>42495</v>
      </c>
      <c r="B726" s="216">
        <v>2016</v>
      </c>
      <c r="C726" s="216">
        <v>5</v>
      </c>
      <c r="D726" s="216">
        <v>5</v>
      </c>
      <c r="E726" s="216" t="s">
        <v>152</v>
      </c>
      <c r="F726" s="217"/>
      <c r="G726" s="217"/>
      <c r="H726" s="217"/>
      <c r="I726" s="217"/>
      <c r="J726" s="217"/>
      <c r="K726" s="217"/>
      <c r="L726" s="217"/>
      <c r="M726" s="217"/>
      <c r="N726" s="217">
        <v>2</v>
      </c>
      <c r="O726" s="217">
        <v>1</v>
      </c>
      <c r="P726" s="217">
        <v>1</v>
      </c>
      <c r="Q726" s="217"/>
      <c r="R726" s="217">
        <v>4</v>
      </c>
      <c r="S726" s="217"/>
      <c r="T726" s="217"/>
      <c r="U726" s="217"/>
      <c r="V726" s="217">
        <v>3</v>
      </c>
      <c r="W726" s="217"/>
      <c r="X726" s="218">
        <v>11</v>
      </c>
      <c r="Y726" s="221">
        <f t="shared" si="35"/>
        <v>11</v>
      </c>
      <c r="Z726">
        <f t="shared" si="36"/>
        <v>0</v>
      </c>
    </row>
    <row r="727" spans="1:26" x14ac:dyDescent="0.2">
      <c r="A727" s="26">
        <f t="shared" si="34"/>
        <v>42495</v>
      </c>
      <c r="B727" s="216">
        <v>2016</v>
      </c>
      <c r="C727" s="216">
        <v>5</v>
      </c>
      <c r="D727" s="216">
        <v>5</v>
      </c>
      <c r="E727" s="216" t="s">
        <v>153</v>
      </c>
      <c r="F727" s="217"/>
      <c r="G727" s="217">
        <v>2</v>
      </c>
      <c r="H727" s="217">
        <v>5</v>
      </c>
      <c r="I727" s="217"/>
      <c r="J727" s="217"/>
      <c r="K727" s="217"/>
      <c r="L727" s="217">
        <v>14</v>
      </c>
      <c r="M727" s="217">
        <v>1</v>
      </c>
      <c r="N727" s="217"/>
      <c r="O727" s="217"/>
      <c r="P727" s="217">
        <v>12</v>
      </c>
      <c r="Q727" s="217"/>
      <c r="R727" s="217">
        <v>3</v>
      </c>
      <c r="S727" s="217"/>
      <c r="T727" s="217">
        <v>2</v>
      </c>
      <c r="U727" s="217"/>
      <c r="V727" s="217">
        <v>11</v>
      </c>
      <c r="W727" s="217"/>
      <c r="X727" s="218">
        <v>50</v>
      </c>
      <c r="Y727" s="221">
        <f t="shared" si="35"/>
        <v>50</v>
      </c>
      <c r="Z727">
        <f t="shared" si="36"/>
        <v>0</v>
      </c>
    </row>
    <row r="728" spans="1:26" x14ac:dyDescent="0.2">
      <c r="A728" s="26">
        <f t="shared" si="34"/>
        <v>42496</v>
      </c>
      <c r="B728" s="216">
        <v>2016</v>
      </c>
      <c r="C728" s="216">
        <v>5</v>
      </c>
      <c r="D728" s="216">
        <v>6</v>
      </c>
      <c r="E728" s="216" t="s">
        <v>152</v>
      </c>
      <c r="F728" s="217"/>
      <c r="G728" s="217"/>
      <c r="H728" s="217"/>
      <c r="I728" s="217"/>
      <c r="J728" s="217"/>
      <c r="K728" s="217"/>
      <c r="L728" s="217">
        <v>5</v>
      </c>
      <c r="M728" s="217"/>
      <c r="N728" s="217"/>
      <c r="O728" s="217"/>
      <c r="P728" s="217">
        <v>3</v>
      </c>
      <c r="Q728" s="217"/>
      <c r="R728" s="217">
        <v>10</v>
      </c>
      <c r="S728" s="217"/>
      <c r="T728" s="217">
        <v>1</v>
      </c>
      <c r="U728" s="217"/>
      <c r="V728" s="217">
        <v>1</v>
      </c>
      <c r="W728" s="217"/>
      <c r="X728" s="218">
        <v>20</v>
      </c>
      <c r="Y728" s="221">
        <f t="shared" si="35"/>
        <v>20</v>
      </c>
      <c r="Z728">
        <f t="shared" si="36"/>
        <v>0</v>
      </c>
    </row>
    <row r="729" spans="1:26" x14ac:dyDescent="0.2">
      <c r="A729" s="26">
        <f t="shared" si="34"/>
        <v>42496</v>
      </c>
      <c r="B729" s="216">
        <v>2016</v>
      </c>
      <c r="C729" s="216">
        <v>5</v>
      </c>
      <c r="D729" s="216">
        <v>6</v>
      </c>
      <c r="E729" s="216" t="s">
        <v>153</v>
      </c>
      <c r="F729" s="217">
        <v>5</v>
      </c>
      <c r="G729" s="217"/>
      <c r="H729" s="217">
        <v>2</v>
      </c>
      <c r="I729" s="217"/>
      <c r="J729" s="217"/>
      <c r="K729" s="217"/>
      <c r="L729" s="217">
        <v>12</v>
      </c>
      <c r="M729" s="217"/>
      <c r="N729" s="217"/>
      <c r="O729" s="217"/>
      <c r="P729" s="217">
        <v>4</v>
      </c>
      <c r="Q729" s="217"/>
      <c r="R729" s="217">
        <v>6</v>
      </c>
      <c r="S729" s="217"/>
      <c r="T729" s="217">
        <v>11</v>
      </c>
      <c r="U729" s="217"/>
      <c r="V729" s="217">
        <v>1</v>
      </c>
      <c r="W729" s="217"/>
      <c r="X729" s="218">
        <v>41</v>
      </c>
      <c r="Y729" s="221">
        <f t="shared" si="35"/>
        <v>36</v>
      </c>
      <c r="Z729">
        <f t="shared" si="36"/>
        <v>0</v>
      </c>
    </row>
    <row r="730" spans="1:26" x14ac:dyDescent="0.2">
      <c r="A730" s="26">
        <f t="shared" si="34"/>
        <v>42497</v>
      </c>
      <c r="B730" s="216">
        <v>2016</v>
      </c>
      <c r="C730" s="216">
        <v>5</v>
      </c>
      <c r="D730" s="216">
        <v>7</v>
      </c>
      <c r="E730" s="216" t="s">
        <v>152</v>
      </c>
      <c r="F730" s="217">
        <v>5</v>
      </c>
      <c r="G730" s="217"/>
      <c r="H730" s="217"/>
      <c r="I730" s="217"/>
      <c r="J730" s="217"/>
      <c r="K730" s="217"/>
      <c r="L730" s="217">
        <v>5</v>
      </c>
      <c r="M730" s="217"/>
      <c r="N730" s="217"/>
      <c r="O730" s="217"/>
      <c r="P730" s="217"/>
      <c r="Q730" s="217">
        <v>6</v>
      </c>
      <c r="R730" s="217"/>
      <c r="S730" s="217"/>
      <c r="T730" s="217"/>
      <c r="U730" s="217"/>
      <c r="V730" s="217"/>
      <c r="W730" s="217"/>
      <c r="X730" s="218">
        <v>16</v>
      </c>
      <c r="Y730" s="221">
        <f t="shared" si="35"/>
        <v>11</v>
      </c>
      <c r="Z730">
        <f t="shared" si="36"/>
        <v>16</v>
      </c>
    </row>
    <row r="731" spans="1:26" x14ac:dyDescent="0.2">
      <c r="A731" s="26">
        <f t="shared" si="34"/>
        <v>42497</v>
      </c>
      <c r="B731" s="216">
        <v>2016</v>
      </c>
      <c r="C731" s="216">
        <v>5</v>
      </c>
      <c r="D731" s="216">
        <v>7</v>
      </c>
      <c r="E731" s="216" t="s">
        <v>153</v>
      </c>
      <c r="F731" s="217">
        <v>2</v>
      </c>
      <c r="G731" s="217"/>
      <c r="H731" s="217">
        <v>1</v>
      </c>
      <c r="I731" s="217"/>
      <c r="J731" s="217"/>
      <c r="K731" s="217"/>
      <c r="L731" s="217">
        <v>10</v>
      </c>
      <c r="M731" s="217"/>
      <c r="N731" s="217"/>
      <c r="O731" s="217"/>
      <c r="P731" s="217"/>
      <c r="Q731" s="217">
        <v>4</v>
      </c>
      <c r="R731" s="217"/>
      <c r="S731" s="217"/>
      <c r="T731" s="217"/>
      <c r="U731" s="217"/>
      <c r="V731" s="217"/>
      <c r="W731" s="217"/>
      <c r="X731" s="218">
        <v>17</v>
      </c>
      <c r="Y731" s="221">
        <f t="shared" si="35"/>
        <v>15</v>
      </c>
      <c r="Z731">
        <f t="shared" si="36"/>
        <v>17</v>
      </c>
    </row>
    <row r="732" spans="1:26" x14ac:dyDescent="0.2">
      <c r="A732" s="26">
        <f t="shared" si="34"/>
        <v>42498</v>
      </c>
      <c r="B732" s="216">
        <v>2016</v>
      </c>
      <c r="C732" s="216">
        <v>5</v>
      </c>
      <c r="D732" s="216">
        <v>8</v>
      </c>
      <c r="E732" s="216" t="s">
        <v>152</v>
      </c>
      <c r="F732" s="217"/>
      <c r="G732" s="217"/>
      <c r="H732" s="217"/>
      <c r="I732" s="217"/>
      <c r="J732" s="217"/>
      <c r="K732" s="217"/>
      <c r="L732" s="217"/>
      <c r="M732" s="217"/>
      <c r="N732" s="217"/>
      <c r="O732" s="217"/>
      <c r="P732" s="217">
        <v>1</v>
      </c>
      <c r="Q732" s="217"/>
      <c r="R732" s="217"/>
      <c r="S732" s="217"/>
      <c r="T732" s="217"/>
      <c r="U732" s="217"/>
      <c r="V732" s="217"/>
      <c r="W732" s="217"/>
      <c r="X732" s="218">
        <v>1</v>
      </c>
      <c r="Y732" s="221">
        <f t="shared" si="35"/>
        <v>1</v>
      </c>
      <c r="Z732">
        <f t="shared" si="36"/>
        <v>1</v>
      </c>
    </row>
    <row r="733" spans="1:26" x14ac:dyDescent="0.2">
      <c r="A733" s="26">
        <f t="shared" si="34"/>
        <v>42499</v>
      </c>
      <c r="B733" s="216">
        <v>2016</v>
      </c>
      <c r="C733" s="216">
        <v>5</v>
      </c>
      <c r="D733" s="216">
        <v>9</v>
      </c>
      <c r="E733" s="216" t="s">
        <v>152</v>
      </c>
      <c r="F733" s="217">
        <v>1</v>
      </c>
      <c r="G733" s="217"/>
      <c r="H733" s="217"/>
      <c r="I733" s="217"/>
      <c r="J733" s="217"/>
      <c r="K733" s="217"/>
      <c r="L733" s="217">
        <v>7</v>
      </c>
      <c r="M733" s="217"/>
      <c r="N733" s="217">
        <v>1</v>
      </c>
      <c r="O733" s="217"/>
      <c r="P733" s="217"/>
      <c r="Q733" s="217"/>
      <c r="R733" s="217"/>
      <c r="S733" s="217"/>
      <c r="T733" s="217">
        <v>6</v>
      </c>
      <c r="U733" s="217"/>
      <c r="V733" s="217">
        <v>4</v>
      </c>
      <c r="W733" s="217"/>
      <c r="X733" s="218">
        <v>19</v>
      </c>
      <c r="Y733" s="221">
        <f t="shared" si="35"/>
        <v>18</v>
      </c>
      <c r="Z733">
        <f t="shared" si="36"/>
        <v>0</v>
      </c>
    </row>
    <row r="734" spans="1:26" x14ac:dyDescent="0.2">
      <c r="A734" s="26">
        <f t="shared" si="34"/>
        <v>42499</v>
      </c>
      <c r="B734" s="216">
        <v>2016</v>
      </c>
      <c r="C734" s="216">
        <v>5</v>
      </c>
      <c r="D734" s="216">
        <v>9</v>
      </c>
      <c r="E734" s="216" t="s">
        <v>153</v>
      </c>
      <c r="F734" s="217"/>
      <c r="G734" s="217"/>
      <c r="H734" s="217">
        <v>3</v>
      </c>
      <c r="I734" s="217"/>
      <c r="J734" s="217"/>
      <c r="K734" s="217"/>
      <c r="L734" s="217">
        <v>7</v>
      </c>
      <c r="M734" s="217"/>
      <c r="N734" s="217"/>
      <c r="O734" s="217"/>
      <c r="P734" s="217">
        <v>7</v>
      </c>
      <c r="Q734" s="217"/>
      <c r="R734" s="217">
        <v>1</v>
      </c>
      <c r="S734" s="217"/>
      <c r="T734" s="217">
        <v>3</v>
      </c>
      <c r="U734" s="217">
        <v>1</v>
      </c>
      <c r="V734" s="217">
        <v>9</v>
      </c>
      <c r="W734" s="217"/>
      <c r="X734" s="218">
        <v>31</v>
      </c>
      <c r="Y734" s="221">
        <f t="shared" si="35"/>
        <v>31</v>
      </c>
      <c r="Z734">
        <f t="shared" si="36"/>
        <v>0</v>
      </c>
    </row>
    <row r="735" spans="1:26" x14ac:dyDescent="0.2">
      <c r="A735" s="26">
        <f t="shared" si="34"/>
        <v>42500</v>
      </c>
      <c r="B735" s="216">
        <v>2016</v>
      </c>
      <c r="C735" s="216">
        <v>5</v>
      </c>
      <c r="D735" s="216">
        <v>10</v>
      </c>
      <c r="E735" s="216" t="s">
        <v>152</v>
      </c>
      <c r="F735" s="217">
        <v>18</v>
      </c>
      <c r="G735" s="217"/>
      <c r="H735" s="217"/>
      <c r="I735" s="217"/>
      <c r="J735" s="217"/>
      <c r="K735" s="217"/>
      <c r="L735" s="217"/>
      <c r="M735" s="217"/>
      <c r="N735" s="217">
        <v>11</v>
      </c>
      <c r="O735" s="217">
        <v>1</v>
      </c>
      <c r="P735" s="217"/>
      <c r="Q735" s="217"/>
      <c r="R735" s="217"/>
      <c r="S735" s="217"/>
      <c r="T735" s="217"/>
      <c r="U735" s="217"/>
      <c r="V735" s="217">
        <v>1</v>
      </c>
      <c r="W735" s="217"/>
      <c r="X735" s="218">
        <v>31</v>
      </c>
      <c r="Y735" s="221">
        <f t="shared" si="35"/>
        <v>13</v>
      </c>
      <c r="Z735">
        <f t="shared" si="36"/>
        <v>0</v>
      </c>
    </row>
    <row r="736" spans="1:26" x14ac:dyDescent="0.2">
      <c r="A736" s="26">
        <f t="shared" si="34"/>
        <v>42500</v>
      </c>
      <c r="B736" s="216">
        <v>2016</v>
      </c>
      <c r="C736" s="216">
        <v>5</v>
      </c>
      <c r="D736" s="216">
        <v>10</v>
      </c>
      <c r="E736" s="216" t="s">
        <v>153</v>
      </c>
      <c r="F736" s="217">
        <v>1</v>
      </c>
      <c r="G736" s="217"/>
      <c r="H736" s="217">
        <v>6</v>
      </c>
      <c r="I736" s="217"/>
      <c r="J736" s="217"/>
      <c r="K736" s="217"/>
      <c r="L736" s="217">
        <v>1</v>
      </c>
      <c r="M736" s="217">
        <v>3</v>
      </c>
      <c r="N736" s="217">
        <v>4</v>
      </c>
      <c r="O736" s="217"/>
      <c r="P736" s="217"/>
      <c r="Q736" s="217"/>
      <c r="R736" s="217"/>
      <c r="S736" s="217"/>
      <c r="T736" s="217"/>
      <c r="U736" s="217"/>
      <c r="V736" s="217">
        <v>5</v>
      </c>
      <c r="W736" s="217"/>
      <c r="X736" s="218">
        <v>20</v>
      </c>
      <c r="Y736" s="221">
        <f t="shared" si="35"/>
        <v>19</v>
      </c>
      <c r="Z736">
        <f t="shared" si="36"/>
        <v>0</v>
      </c>
    </row>
    <row r="737" spans="1:26" x14ac:dyDescent="0.2">
      <c r="A737" s="26">
        <f t="shared" si="34"/>
        <v>42501</v>
      </c>
      <c r="B737" s="216">
        <v>2016</v>
      </c>
      <c r="C737" s="216">
        <v>5</v>
      </c>
      <c r="D737" s="216">
        <v>11</v>
      </c>
      <c r="E737" s="216" t="s">
        <v>152</v>
      </c>
      <c r="F737" s="217">
        <v>76</v>
      </c>
      <c r="G737" s="217"/>
      <c r="H737" s="217">
        <v>1</v>
      </c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8">
        <v>77</v>
      </c>
      <c r="Y737" s="221">
        <f t="shared" si="35"/>
        <v>1</v>
      </c>
      <c r="Z737">
        <f t="shared" si="36"/>
        <v>0</v>
      </c>
    </row>
    <row r="738" spans="1:26" x14ac:dyDescent="0.2">
      <c r="A738" s="26" t="e">
        <f t="shared" si="34"/>
        <v>#VALUE!</v>
      </c>
      <c r="B738" s="219" t="s">
        <v>96</v>
      </c>
      <c r="C738" s="219" t="s">
        <v>154</v>
      </c>
      <c r="D738" s="219" t="s">
        <v>154</v>
      </c>
      <c r="E738" s="219" t="s">
        <v>154</v>
      </c>
      <c r="F738" s="218">
        <v>8609</v>
      </c>
      <c r="G738" s="218">
        <v>1785</v>
      </c>
      <c r="H738" s="218">
        <v>1198</v>
      </c>
      <c r="I738" s="218">
        <v>1519</v>
      </c>
      <c r="J738" s="218">
        <v>984</v>
      </c>
      <c r="K738" s="218">
        <v>32</v>
      </c>
      <c r="L738" s="218">
        <v>2773</v>
      </c>
      <c r="M738" s="218">
        <v>193</v>
      </c>
      <c r="N738" s="218">
        <v>172</v>
      </c>
      <c r="O738" s="218">
        <v>203</v>
      </c>
      <c r="P738" s="218">
        <v>676</v>
      </c>
      <c r="Q738" s="218">
        <v>184</v>
      </c>
      <c r="R738" s="218">
        <v>1612</v>
      </c>
      <c r="S738" s="218">
        <v>40</v>
      </c>
      <c r="T738" s="218">
        <v>1528</v>
      </c>
      <c r="U738" s="218">
        <v>37</v>
      </c>
      <c r="V738" s="218">
        <v>973</v>
      </c>
      <c r="W738" s="218">
        <v>107</v>
      </c>
      <c r="X738" s="218">
        <v>22625</v>
      </c>
      <c r="Y738" s="221">
        <f t="shared" si="35"/>
        <v>14016</v>
      </c>
      <c r="Z738" t="e">
        <f t="shared" si="36"/>
        <v>#VALUE!</v>
      </c>
    </row>
    <row r="739" spans="1:26" x14ac:dyDescent="0.2">
      <c r="A739" s="26" t="e">
        <f t="shared" si="34"/>
        <v>#NUM!</v>
      </c>
      <c r="Y739" s="221">
        <f t="shared" si="35"/>
        <v>0</v>
      </c>
      <c r="Z739" t="e">
        <f t="shared" si="36"/>
        <v>#NUM!</v>
      </c>
    </row>
    <row r="740" spans="1:26" x14ac:dyDescent="0.2">
      <c r="A740" s="26" t="e">
        <f t="shared" si="34"/>
        <v>#NUM!</v>
      </c>
      <c r="Y740" s="221">
        <f t="shared" si="35"/>
        <v>0</v>
      </c>
      <c r="Z740" t="e">
        <f t="shared" si="36"/>
        <v>#NUM!</v>
      </c>
    </row>
    <row r="741" spans="1:26" x14ac:dyDescent="0.2">
      <c r="A741" s="26" t="e">
        <f t="shared" si="34"/>
        <v>#NUM!</v>
      </c>
      <c r="Y741" s="221">
        <f t="shared" si="35"/>
        <v>0</v>
      </c>
      <c r="Z741" t="e">
        <f t="shared" si="36"/>
        <v>#NUM!</v>
      </c>
    </row>
    <row r="742" spans="1:26" x14ac:dyDescent="0.2">
      <c r="A742" s="26" t="e">
        <f t="shared" si="34"/>
        <v>#NUM!</v>
      </c>
      <c r="Y742" s="221">
        <f t="shared" si="35"/>
        <v>0</v>
      </c>
      <c r="Z742" t="e">
        <f t="shared" si="36"/>
        <v>#NUM!</v>
      </c>
    </row>
    <row r="743" spans="1:26" x14ac:dyDescent="0.2">
      <c r="A743" s="26" t="e">
        <f t="shared" si="34"/>
        <v>#NUM!</v>
      </c>
      <c r="Y743" s="221">
        <f t="shared" si="35"/>
        <v>0</v>
      </c>
      <c r="Z743" t="e">
        <f t="shared" si="36"/>
        <v>#NUM!</v>
      </c>
    </row>
    <row r="744" spans="1:26" x14ac:dyDescent="0.2">
      <c r="A744" s="26" t="e">
        <f t="shared" si="34"/>
        <v>#NUM!</v>
      </c>
      <c r="Y744" s="221">
        <f t="shared" si="35"/>
        <v>0</v>
      </c>
      <c r="Z744" t="e">
        <f t="shared" si="36"/>
        <v>#NUM!</v>
      </c>
    </row>
    <row r="745" spans="1:26" x14ac:dyDescent="0.2">
      <c r="A745" s="26" t="e">
        <f t="shared" si="34"/>
        <v>#NUM!</v>
      </c>
      <c r="Y745" s="221">
        <f t="shared" si="35"/>
        <v>0</v>
      </c>
      <c r="Z745" t="e">
        <f t="shared" si="36"/>
        <v>#NUM!</v>
      </c>
    </row>
    <row r="746" spans="1:26" x14ac:dyDescent="0.2">
      <c r="A746" s="26" t="e">
        <f t="shared" si="34"/>
        <v>#NUM!</v>
      </c>
      <c r="Y746" s="221">
        <f t="shared" si="35"/>
        <v>0</v>
      </c>
      <c r="Z746" t="e">
        <f t="shared" si="36"/>
        <v>#NUM!</v>
      </c>
    </row>
    <row r="747" spans="1:26" x14ac:dyDescent="0.2">
      <c r="A747" s="26" t="e">
        <f t="shared" si="34"/>
        <v>#NUM!</v>
      </c>
      <c r="Y747" s="221">
        <f t="shared" si="35"/>
        <v>0</v>
      </c>
      <c r="Z747" t="e">
        <f t="shared" si="36"/>
        <v>#NUM!</v>
      </c>
    </row>
    <row r="748" spans="1:26" x14ac:dyDescent="0.2">
      <c r="A748" s="26" t="e">
        <f t="shared" si="34"/>
        <v>#NUM!</v>
      </c>
      <c r="Y748" s="221">
        <f t="shared" si="35"/>
        <v>0</v>
      </c>
      <c r="Z748" t="e">
        <f t="shared" si="36"/>
        <v>#NUM!</v>
      </c>
    </row>
    <row r="749" spans="1:26" x14ac:dyDescent="0.2">
      <c r="A749" s="26" t="e">
        <f t="shared" si="34"/>
        <v>#NUM!</v>
      </c>
      <c r="Y749" s="221">
        <f t="shared" si="35"/>
        <v>0</v>
      </c>
      <c r="Z749" t="e">
        <f t="shared" si="36"/>
        <v>#NUM!</v>
      </c>
    </row>
    <row r="750" spans="1:26" x14ac:dyDescent="0.2">
      <c r="A750" s="26" t="e">
        <f t="shared" si="34"/>
        <v>#NUM!</v>
      </c>
      <c r="Y750" s="221">
        <f t="shared" si="35"/>
        <v>0</v>
      </c>
      <c r="Z750" t="e">
        <f t="shared" si="36"/>
        <v>#NUM!</v>
      </c>
    </row>
    <row r="751" spans="1:26" x14ac:dyDescent="0.2">
      <c r="A751" s="26" t="e">
        <f t="shared" si="34"/>
        <v>#NUM!</v>
      </c>
      <c r="Y751" s="221">
        <f t="shared" si="35"/>
        <v>0</v>
      </c>
      <c r="Z751" t="e">
        <f t="shared" si="36"/>
        <v>#NUM!</v>
      </c>
    </row>
    <row r="752" spans="1:26" x14ac:dyDescent="0.2">
      <c r="A752" s="26" t="e">
        <f t="shared" si="34"/>
        <v>#NUM!</v>
      </c>
      <c r="Y752" s="221">
        <f t="shared" si="35"/>
        <v>0</v>
      </c>
      <c r="Z752" t="e">
        <f t="shared" si="36"/>
        <v>#NUM!</v>
      </c>
    </row>
    <row r="753" spans="1:26" x14ac:dyDescent="0.2">
      <c r="A753" s="26" t="e">
        <f t="shared" si="34"/>
        <v>#NUM!</v>
      </c>
      <c r="Y753" s="221">
        <f t="shared" si="35"/>
        <v>0</v>
      </c>
      <c r="Z753" t="e">
        <f t="shared" si="36"/>
        <v>#NUM!</v>
      </c>
    </row>
    <row r="754" spans="1:26" x14ac:dyDescent="0.2">
      <c r="A754" s="26" t="e">
        <f t="shared" si="34"/>
        <v>#NUM!</v>
      </c>
      <c r="Y754" s="221">
        <f t="shared" si="35"/>
        <v>0</v>
      </c>
      <c r="Z754" t="e">
        <f t="shared" si="36"/>
        <v>#NUM!</v>
      </c>
    </row>
    <row r="755" spans="1:26" x14ac:dyDescent="0.2">
      <c r="A755" s="26" t="e">
        <f t="shared" si="34"/>
        <v>#NUM!</v>
      </c>
      <c r="Y755" s="221">
        <f t="shared" si="35"/>
        <v>0</v>
      </c>
      <c r="Z755" t="e">
        <f t="shared" si="36"/>
        <v>#NUM!</v>
      </c>
    </row>
    <row r="756" spans="1:26" x14ac:dyDescent="0.2">
      <c r="A756" s="26" t="e">
        <f t="shared" si="34"/>
        <v>#NUM!</v>
      </c>
      <c r="Y756" s="221">
        <f t="shared" si="35"/>
        <v>0</v>
      </c>
      <c r="Z756" t="e">
        <f t="shared" si="36"/>
        <v>#NUM!</v>
      </c>
    </row>
    <row r="757" spans="1:26" x14ac:dyDescent="0.2">
      <c r="A757" s="26" t="e">
        <f t="shared" si="34"/>
        <v>#NUM!</v>
      </c>
      <c r="Y757" s="221">
        <f t="shared" si="35"/>
        <v>0</v>
      </c>
      <c r="Z757" t="e">
        <f t="shared" si="36"/>
        <v>#NUM!</v>
      </c>
    </row>
    <row r="758" spans="1:26" x14ac:dyDescent="0.2">
      <c r="A758" s="26" t="e">
        <f t="shared" si="34"/>
        <v>#NUM!</v>
      </c>
      <c r="Y758" s="221">
        <f t="shared" si="35"/>
        <v>0</v>
      </c>
      <c r="Z758" t="e">
        <f t="shared" si="36"/>
        <v>#NUM!</v>
      </c>
    </row>
    <row r="759" spans="1:26" x14ac:dyDescent="0.2">
      <c r="A759" s="26" t="e">
        <f t="shared" si="34"/>
        <v>#NUM!</v>
      </c>
      <c r="Y759" s="221">
        <f t="shared" si="35"/>
        <v>0</v>
      </c>
      <c r="Z759" t="e">
        <f t="shared" si="36"/>
        <v>#NUM!</v>
      </c>
    </row>
    <row r="760" spans="1:26" x14ac:dyDescent="0.2">
      <c r="A760" s="26" t="e">
        <f t="shared" si="34"/>
        <v>#NUM!</v>
      </c>
      <c r="Y760" s="221">
        <f t="shared" si="35"/>
        <v>0</v>
      </c>
      <c r="Z760" t="e">
        <f t="shared" si="36"/>
        <v>#NUM!</v>
      </c>
    </row>
    <row r="761" spans="1:26" x14ac:dyDescent="0.2">
      <c r="A761" s="26" t="e">
        <f t="shared" si="34"/>
        <v>#NUM!</v>
      </c>
      <c r="Y761" s="221">
        <f t="shared" si="35"/>
        <v>0</v>
      </c>
      <c r="Z761" t="e">
        <f t="shared" si="36"/>
        <v>#NUM!</v>
      </c>
    </row>
    <row r="762" spans="1:26" x14ac:dyDescent="0.2">
      <c r="A762" s="26" t="e">
        <f t="shared" si="34"/>
        <v>#NUM!</v>
      </c>
      <c r="Y762" s="221">
        <f t="shared" si="35"/>
        <v>0</v>
      </c>
      <c r="Z762" t="e">
        <f t="shared" si="36"/>
        <v>#NUM!</v>
      </c>
    </row>
    <row r="763" spans="1:26" x14ac:dyDescent="0.2">
      <c r="A763" s="26" t="e">
        <f t="shared" si="34"/>
        <v>#NUM!</v>
      </c>
      <c r="Y763" s="221">
        <f t="shared" si="35"/>
        <v>0</v>
      </c>
      <c r="Z763" t="e">
        <f t="shared" si="36"/>
        <v>#NUM!</v>
      </c>
    </row>
    <row r="764" spans="1:26" x14ac:dyDescent="0.2">
      <c r="A764" s="26" t="e">
        <f t="shared" si="34"/>
        <v>#NUM!</v>
      </c>
      <c r="Y764" s="221">
        <f t="shared" si="35"/>
        <v>0</v>
      </c>
      <c r="Z764" t="e">
        <f t="shared" si="36"/>
        <v>#NUM!</v>
      </c>
    </row>
    <row r="765" spans="1:26" x14ac:dyDescent="0.2">
      <c r="A765" s="26" t="e">
        <f t="shared" si="34"/>
        <v>#NUM!</v>
      </c>
      <c r="Y765" s="221">
        <f t="shared" si="35"/>
        <v>0</v>
      </c>
      <c r="Z765" t="e">
        <f t="shared" si="36"/>
        <v>#NUM!</v>
      </c>
    </row>
    <row r="766" spans="1:26" x14ac:dyDescent="0.2">
      <c r="A766" s="26" t="e">
        <f t="shared" si="34"/>
        <v>#NUM!</v>
      </c>
      <c r="Y766" s="221">
        <f t="shared" si="35"/>
        <v>0</v>
      </c>
      <c r="Z766" t="e">
        <f t="shared" si="36"/>
        <v>#NUM!</v>
      </c>
    </row>
    <row r="767" spans="1:26" x14ac:dyDescent="0.2">
      <c r="A767" s="26" t="e">
        <f t="shared" si="34"/>
        <v>#NUM!</v>
      </c>
      <c r="Y767" s="221">
        <f t="shared" si="35"/>
        <v>0</v>
      </c>
      <c r="Z767" t="e">
        <f t="shared" si="36"/>
        <v>#NUM!</v>
      </c>
    </row>
    <row r="768" spans="1:26" x14ac:dyDescent="0.2">
      <c r="A768" s="26" t="e">
        <f t="shared" si="34"/>
        <v>#NUM!</v>
      </c>
      <c r="Y768" s="221">
        <f t="shared" si="35"/>
        <v>0</v>
      </c>
      <c r="Z768" t="e">
        <f t="shared" si="36"/>
        <v>#NUM!</v>
      </c>
    </row>
    <row r="769" spans="1:26" x14ac:dyDescent="0.2">
      <c r="A769" s="26" t="e">
        <f t="shared" si="34"/>
        <v>#NUM!</v>
      </c>
      <c r="Y769" s="221">
        <f t="shared" si="35"/>
        <v>0</v>
      </c>
      <c r="Z769" t="e">
        <f t="shared" si="36"/>
        <v>#NUM!</v>
      </c>
    </row>
    <row r="770" spans="1:26" x14ac:dyDescent="0.2">
      <c r="A770" s="26" t="e">
        <f t="shared" si="34"/>
        <v>#NUM!</v>
      </c>
      <c r="Y770" s="221">
        <f t="shared" si="35"/>
        <v>0</v>
      </c>
      <c r="Z770" t="e">
        <f t="shared" si="36"/>
        <v>#NUM!</v>
      </c>
    </row>
    <row r="771" spans="1:26" x14ac:dyDescent="0.2">
      <c r="A771" s="26" t="e">
        <f t="shared" ref="A771:A834" si="37">DATE(B771,C771,D771)</f>
        <v>#NUM!</v>
      </c>
      <c r="Y771" s="221">
        <f t="shared" ref="Y771:Y834" si="38">SUM(G771:W771)</f>
        <v>0</v>
      </c>
      <c r="Z771" t="e">
        <f t="shared" ref="Z771:Z834" si="39">IF(OR(WEEKDAY(A771,2)=6,WEEKDAY(A771,2)=7),X771,0)</f>
        <v>#NUM!</v>
      </c>
    </row>
    <row r="772" spans="1:26" x14ac:dyDescent="0.2">
      <c r="A772" s="26" t="e">
        <f t="shared" si="37"/>
        <v>#NUM!</v>
      </c>
      <c r="Y772" s="221">
        <f t="shared" si="38"/>
        <v>0</v>
      </c>
      <c r="Z772" t="e">
        <f t="shared" si="39"/>
        <v>#NUM!</v>
      </c>
    </row>
    <row r="773" spans="1:26" x14ac:dyDescent="0.2">
      <c r="A773" s="26" t="e">
        <f t="shared" si="37"/>
        <v>#NUM!</v>
      </c>
      <c r="Y773" s="221">
        <f t="shared" si="38"/>
        <v>0</v>
      </c>
      <c r="Z773" t="e">
        <f t="shared" si="39"/>
        <v>#NUM!</v>
      </c>
    </row>
    <row r="774" spans="1:26" x14ac:dyDescent="0.2">
      <c r="A774" s="26" t="e">
        <f t="shared" si="37"/>
        <v>#NUM!</v>
      </c>
      <c r="Y774" s="221">
        <f t="shared" si="38"/>
        <v>0</v>
      </c>
      <c r="Z774" t="e">
        <f t="shared" si="39"/>
        <v>#NUM!</v>
      </c>
    </row>
    <row r="775" spans="1:26" x14ac:dyDescent="0.2">
      <c r="A775" s="26" t="e">
        <f t="shared" si="37"/>
        <v>#NUM!</v>
      </c>
      <c r="Y775" s="221">
        <f t="shared" si="38"/>
        <v>0</v>
      </c>
      <c r="Z775" t="e">
        <f t="shared" si="39"/>
        <v>#NUM!</v>
      </c>
    </row>
    <row r="776" spans="1:26" x14ac:dyDescent="0.2">
      <c r="A776" s="26" t="e">
        <f t="shared" si="37"/>
        <v>#NUM!</v>
      </c>
      <c r="Y776" s="221">
        <f t="shared" si="38"/>
        <v>0</v>
      </c>
      <c r="Z776" t="e">
        <f t="shared" si="39"/>
        <v>#NUM!</v>
      </c>
    </row>
    <row r="777" spans="1:26" x14ac:dyDescent="0.2">
      <c r="A777" s="26" t="e">
        <f t="shared" si="37"/>
        <v>#NUM!</v>
      </c>
      <c r="Y777" s="221">
        <f t="shared" si="38"/>
        <v>0</v>
      </c>
      <c r="Z777" t="e">
        <f t="shared" si="39"/>
        <v>#NUM!</v>
      </c>
    </row>
    <row r="778" spans="1:26" x14ac:dyDescent="0.2">
      <c r="A778" s="26" t="e">
        <f t="shared" si="37"/>
        <v>#NUM!</v>
      </c>
      <c r="Y778" s="221">
        <f t="shared" si="38"/>
        <v>0</v>
      </c>
      <c r="Z778" t="e">
        <f t="shared" si="39"/>
        <v>#NUM!</v>
      </c>
    </row>
    <row r="779" spans="1:26" x14ac:dyDescent="0.2">
      <c r="A779" s="26" t="e">
        <f t="shared" si="37"/>
        <v>#NUM!</v>
      </c>
      <c r="Y779" s="221">
        <f t="shared" si="38"/>
        <v>0</v>
      </c>
      <c r="Z779" t="e">
        <f t="shared" si="39"/>
        <v>#NUM!</v>
      </c>
    </row>
    <row r="780" spans="1:26" x14ac:dyDescent="0.2">
      <c r="A780" s="26" t="e">
        <f t="shared" si="37"/>
        <v>#NUM!</v>
      </c>
      <c r="Y780" s="221">
        <f t="shared" si="38"/>
        <v>0</v>
      </c>
      <c r="Z780" t="e">
        <f t="shared" si="39"/>
        <v>#NUM!</v>
      </c>
    </row>
    <row r="781" spans="1:26" x14ac:dyDescent="0.2">
      <c r="A781" s="26" t="e">
        <f t="shared" si="37"/>
        <v>#NUM!</v>
      </c>
      <c r="Y781" s="221">
        <f t="shared" si="38"/>
        <v>0</v>
      </c>
      <c r="Z781" t="e">
        <f t="shared" si="39"/>
        <v>#NUM!</v>
      </c>
    </row>
    <row r="782" spans="1:26" x14ac:dyDescent="0.2">
      <c r="A782" s="26" t="e">
        <f t="shared" si="37"/>
        <v>#NUM!</v>
      </c>
      <c r="Y782" s="221">
        <f t="shared" si="38"/>
        <v>0</v>
      </c>
      <c r="Z782" t="e">
        <f t="shared" si="39"/>
        <v>#NUM!</v>
      </c>
    </row>
    <row r="783" spans="1:26" x14ac:dyDescent="0.2">
      <c r="A783" s="26" t="e">
        <f t="shared" si="37"/>
        <v>#NUM!</v>
      </c>
      <c r="Y783" s="221">
        <f t="shared" si="38"/>
        <v>0</v>
      </c>
      <c r="Z783" t="e">
        <f t="shared" si="39"/>
        <v>#NUM!</v>
      </c>
    </row>
    <row r="784" spans="1:26" x14ac:dyDescent="0.2">
      <c r="A784" s="26" t="e">
        <f t="shared" si="37"/>
        <v>#NUM!</v>
      </c>
      <c r="Y784" s="221">
        <f t="shared" si="38"/>
        <v>0</v>
      </c>
      <c r="Z784" t="e">
        <f t="shared" si="39"/>
        <v>#NUM!</v>
      </c>
    </row>
    <row r="785" spans="1:26" x14ac:dyDescent="0.2">
      <c r="A785" s="26" t="e">
        <f t="shared" si="37"/>
        <v>#NUM!</v>
      </c>
      <c r="Y785" s="221">
        <f t="shared" si="38"/>
        <v>0</v>
      </c>
      <c r="Z785" t="e">
        <f t="shared" si="39"/>
        <v>#NUM!</v>
      </c>
    </row>
    <row r="786" spans="1:26" x14ac:dyDescent="0.2">
      <c r="A786" s="26" t="e">
        <f t="shared" si="37"/>
        <v>#NUM!</v>
      </c>
      <c r="Y786" s="221">
        <f t="shared" si="38"/>
        <v>0</v>
      </c>
      <c r="Z786" t="e">
        <f t="shared" si="39"/>
        <v>#NUM!</v>
      </c>
    </row>
    <row r="787" spans="1:26" x14ac:dyDescent="0.2">
      <c r="A787" s="26" t="e">
        <f t="shared" si="37"/>
        <v>#NUM!</v>
      </c>
      <c r="Y787" s="221">
        <f t="shared" si="38"/>
        <v>0</v>
      </c>
      <c r="Z787" t="e">
        <f t="shared" si="39"/>
        <v>#NUM!</v>
      </c>
    </row>
    <row r="788" spans="1:26" x14ac:dyDescent="0.2">
      <c r="A788" s="26" t="e">
        <f t="shared" si="37"/>
        <v>#NUM!</v>
      </c>
      <c r="Y788" s="221">
        <f t="shared" si="38"/>
        <v>0</v>
      </c>
      <c r="Z788" t="e">
        <f t="shared" si="39"/>
        <v>#NUM!</v>
      </c>
    </row>
    <row r="789" spans="1:26" x14ac:dyDescent="0.2">
      <c r="A789" s="26" t="e">
        <f t="shared" si="37"/>
        <v>#NUM!</v>
      </c>
      <c r="Y789" s="221">
        <f t="shared" si="38"/>
        <v>0</v>
      </c>
      <c r="Z789" t="e">
        <f t="shared" si="39"/>
        <v>#NUM!</v>
      </c>
    </row>
    <row r="790" spans="1:26" x14ac:dyDescent="0.2">
      <c r="A790" s="26" t="e">
        <f t="shared" si="37"/>
        <v>#NUM!</v>
      </c>
      <c r="Y790" s="221">
        <f t="shared" si="38"/>
        <v>0</v>
      </c>
      <c r="Z790" t="e">
        <f t="shared" si="39"/>
        <v>#NUM!</v>
      </c>
    </row>
    <row r="791" spans="1:26" x14ac:dyDescent="0.2">
      <c r="A791" s="26" t="e">
        <f t="shared" si="37"/>
        <v>#NUM!</v>
      </c>
      <c r="Y791" s="221">
        <f t="shared" si="38"/>
        <v>0</v>
      </c>
      <c r="Z791" t="e">
        <f t="shared" si="39"/>
        <v>#NUM!</v>
      </c>
    </row>
    <row r="792" spans="1:26" x14ac:dyDescent="0.2">
      <c r="A792" s="26" t="e">
        <f t="shared" si="37"/>
        <v>#NUM!</v>
      </c>
      <c r="Y792" s="221">
        <f t="shared" si="38"/>
        <v>0</v>
      </c>
      <c r="Z792" t="e">
        <f t="shared" si="39"/>
        <v>#NUM!</v>
      </c>
    </row>
    <row r="793" spans="1:26" x14ac:dyDescent="0.2">
      <c r="A793" s="26" t="e">
        <f t="shared" si="37"/>
        <v>#NUM!</v>
      </c>
      <c r="Y793" s="221">
        <f t="shared" si="38"/>
        <v>0</v>
      </c>
      <c r="Z793" t="e">
        <f t="shared" si="39"/>
        <v>#NUM!</v>
      </c>
    </row>
    <row r="794" spans="1:26" x14ac:dyDescent="0.2">
      <c r="A794" s="26" t="e">
        <f t="shared" si="37"/>
        <v>#NUM!</v>
      </c>
      <c r="Y794" s="221">
        <f t="shared" si="38"/>
        <v>0</v>
      </c>
      <c r="Z794" t="e">
        <f t="shared" si="39"/>
        <v>#NUM!</v>
      </c>
    </row>
    <row r="795" spans="1:26" x14ac:dyDescent="0.2">
      <c r="A795" s="26" t="e">
        <f t="shared" si="37"/>
        <v>#NUM!</v>
      </c>
      <c r="Y795" s="221">
        <f t="shared" si="38"/>
        <v>0</v>
      </c>
      <c r="Z795" t="e">
        <f t="shared" si="39"/>
        <v>#NUM!</v>
      </c>
    </row>
    <row r="796" spans="1:26" x14ac:dyDescent="0.2">
      <c r="A796" s="26" t="e">
        <f t="shared" si="37"/>
        <v>#NUM!</v>
      </c>
      <c r="Y796" s="221">
        <f t="shared" si="38"/>
        <v>0</v>
      </c>
      <c r="Z796" t="e">
        <f t="shared" si="39"/>
        <v>#NUM!</v>
      </c>
    </row>
    <row r="797" spans="1:26" x14ac:dyDescent="0.2">
      <c r="A797" s="26" t="e">
        <f t="shared" si="37"/>
        <v>#NUM!</v>
      </c>
      <c r="Y797" s="221">
        <f t="shared" si="38"/>
        <v>0</v>
      </c>
      <c r="Z797" t="e">
        <f t="shared" si="39"/>
        <v>#NUM!</v>
      </c>
    </row>
    <row r="798" spans="1:26" x14ac:dyDescent="0.2">
      <c r="A798" s="26" t="e">
        <f t="shared" si="37"/>
        <v>#NUM!</v>
      </c>
      <c r="Y798" s="221">
        <f t="shared" si="38"/>
        <v>0</v>
      </c>
      <c r="Z798" t="e">
        <f t="shared" si="39"/>
        <v>#NUM!</v>
      </c>
    </row>
    <row r="799" spans="1:26" x14ac:dyDescent="0.2">
      <c r="A799" s="26" t="e">
        <f t="shared" si="37"/>
        <v>#NUM!</v>
      </c>
      <c r="Y799" s="221">
        <f t="shared" si="38"/>
        <v>0</v>
      </c>
      <c r="Z799" t="e">
        <f t="shared" si="39"/>
        <v>#NUM!</v>
      </c>
    </row>
    <row r="800" spans="1:26" x14ac:dyDescent="0.2">
      <c r="A800" s="26" t="e">
        <f t="shared" si="37"/>
        <v>#NUM!</v>
      </c>
      <c r="Y800" s="221">
        <f t="shared" si="38"/>
        <v>0</v>
      </c>
      <c r="Z800" t="e">
        <f t="shared" si="39"/>
        <v>#NUM!</v>
      </c>
    </row>
    <row r="801" spans="1:26" x14ac:dyDescent="0.2">
      <c r="A801" s="26" t="e">
        <f t="shared" si="37"/>
        <v>#NUM!</v>
      </c>
      <c r="Y801" s="221">
        <f t="shared" si="38"/>
        <v>0</v>
      </c>
      <c r="Z801" t="e">
        <f t="shared" si="39"/>
        <v>#NUM!</v>
      </c>
    </row>
    <row r="802" spans="1:26" x14ac:dyDescent="0.2">
      <c r="A802" s="26" t="e">
        <f t="shared" si="37"/>
        <v>#NUM!</v>
      </c>
      <c r="Y802" s="221">
        <f t="shared" si="38"/>
        <v>0</v>
      </c>
      <c r="Z802" t="e">
        <f t="shared" si="39"/>
        <v>#NUM!</v>
      </c>
    </row>
    <row r="803" spans="1:26" x14ac:dyDescent="0.2">
      <c r="A803" s="26" t="e">
        <f t="shared" si="37"/>
        <v>#NUM!</v>
      </c>
      <c r="Y803" s="221">
        <f t="shared" si="38"/>
        <v>0</v>
      </c>
      <c r="Z803" t="e">
        <f t="shared" si="39"/>
        <v>#NUM!</v>
      </c>
    </row>
    <row r="804" spans="1:26" x14ac:dyDescent="0.2">
      <c r="A804" s="26" t="e">
        <f t="shared" si="37"/>
        <v>#NUM!</v>
      </c>
      <c r="Y804" s="221">
        <f t="shared" si="38"/>
        <v>0</v>
      </c>
      <c r="Z804" t="e">
        <f t="shared" si="39"/>
        <v>#NUM!</v>
      </c>
    </row>
    <row r="805" spans="1:26" x14ac:dyDescent="0.2">
      <c r="A805" s="26" t="e">
        <f t="shared" si="37"/>
        <v>#NUM!</v>
      </c>
      <c r="Y805" s="221">
        <f t="shared" si="38"/>
        <v>0</v>
      </c>
      <c r="Z805" t="e">
        <f t="shared" si="39"/>
        <v>#NUM!</v>
      </c>
    </row>
    <row r="806" spans="1:26" x14ac:dyDescent="0.2">
      <c r="A806" s="26" t="e">
        <f t="shared" si="37"/>
        <v>#NUM!</v>
      </c>
      <c r="Y806" s="221">
        <f t="shared" si="38"/>
        <v>0</v>
      </c>
      <c r="Z806" t="e">
        <f t="shared" si="39"/>
        <v>#NUM!</v>
      </c>
    </row>
    <row r="807" spans="1:26" x14ac:dyDescent="0.2">
      <c r="A807" s="26" t="e">
        <f t="shared" si="37"/>
        <v>#NUM!</v>
      </c>
      <c r="Y807" s="221">
        <f t="shared" si="38"/>
        <v>0</v>
      </c>
      <c r="Z807" t="e">
        <f t="shared" si="39"/>
        <v>#NUM!</v>
      </c>
    </row>
    <row r="808" spans="1:26" x14ac:dyDescent="0.2">
      <c r="A808" s="26" t="e">
        <f t="shared" si="37"/>
        <v>#NUM!</v>
      </c>
      <c r="Y808" s="221">
        <f t="shared" si="38"/>
        <v>0</v>
      </c>
      <c r="Z808" t="e">
        <f t="shared" si="39"/>
        <v>#NUM!</v>
      </c>
    </row>
    <row r="809" spans="1:26" x14ac:dyDescent="0.2">
      <c r="A809" s="26" t="e">
        <f t="shared" si="37"/>
        <v>#NUM!</v>
      </c>
      <c r="Y809" s="221">
        <f t="shared" si="38"/>
        <v>0</v>
      </c>
      <c r="Z809" t="e">
        <f t="shared" si="39"/>
        <v>#NUM!</v>
      </c>
    </row>
    <row r="810" spans="1:26" x14ac:dyDescent="0.2">
      <c r="A810" s="26" t="e">
        <f t="shared" si="37"/>
        <v>#NUM!</v>
      </c>
      <c r="Y810" s="221">
        <f t="shared" si="38"/>
        <v>0</v>
      </c>
      <c r="Z810" t="e">
        <f t="shared" si="39"/>
        <v>#NUM!</v>
      </c>
    </row>
    <row r="811" spans="1:26" x14ac:dyDescent="0.2">
      <c r="A811" s="26" t="e">
        <f t="shared" si="37"/>
        <v>#NUM!</v>
      </c>
      <c r="Y811" s="221">
        <f t="shared" si="38"/>
        <v>0</v>
      </c>
      <c r="Z811" t="e">
        <f t="shared" si="39"/>
        <v>#NUM!</v>
      </c>
    </row>
    <row r="812" spans="1:26" x14ac:dyDescent="0.2">
      <c r="A812" s="26" t="e">
        <f t="shared" si="37"/>
        <v>#NUM!</v>
      </c>
      <c r="Y812" s="221">
        <f t="shared" si="38"/>
        <v>0</v>
      </c>
      <c r="Z812" t="e">
        <f t="shared" si="39"/>
        <v>#NUM!</v>
      </c>
    </row>
    <row r="813" spans="1:26" x14ac:dyDescent="0.2">
      <c r="A813" s="26" t="e">
        <f t="shared" si="37"/>
        <v>#NUM!</v>
      </c>
      <c r="Y813" s="221">
        <f t="shared" si="38"/>
        <v>0</v>
      </c>
      <c r="Z813" t="e">
        <f t="shared" si="39"/>
        <v>#NUM!</v>
      </c>
    </row>
    <row r="814" spans="1:26" x14ac:dyDescent="0.2">
      <c r="A814" s="26" t="e">
        <f t="shared" si="37"/>
        <v>#NUM!</v>
      </c>
      <c r="Y814" s="221">
        <f t="shared" si="38"/>
        <v>0</v>
      </c>
      <c r="Z814" t="e">
        <f t="shared" si="39"/>
        <v>#NUM!</v>
      </c>
    </row>
    <row r="815" spans="1:26" x14ac:dyDescent="0.2">
      <c r="A815" s="26" t="e">
        <f t="shared" si="37"/>
        <v>#NUM!</v>
      </c>
      <c r="Y815" s="221">
        <f t="shared" si="38"/>
        <v>0</v>
      </c>
      <c r="Z815" t="e">
        <f t="shared" si="39"/>
        <v>#NUM!</v>
      </c>
    </row>
    <row r="816" spans="1:26" x14ac:dyDescent="0.2">
      <c r="A816" s="26" t="e">
        <f t="shared" si="37"/>
        <v>#NUM!</v>
      </c>
      <c r="Y816" s="221">
        <f t="shared" si="38"/>
        <v>0</v>
      </c>
      <c r="Z816" t="e">
        <f t="shared" si="39"/>
        <v>#NUM!</v>
      </c>
    </row>
    <row r="817" spans="1:26" x14ac:dyDescent="0.2">
      <c r="A817" s="26" t="e">
        <f t="shared" si="37"/>
        <v>#NUM!</v>
      </c>
      <c r="Y817" s="221">
        <f t="shared" si="38"/>
        <v>0</v>
      </c>
      <c r="Z817" t="e">
        <f t="shared" si="39"/>
        <v>#NUM!</v>
      </c>
    </row>
    <row r="818" spans="1:26" x14ac:dyDescent="0.2">
      <c r="A818" s="26" t="e">
        <f t="shared" si="37"/>
        <v>#NUM!</v>
      </c>
      <c r="Y818" s="221">
        <f t="shared" si="38"/>
        <v>0</v>
      </c>
      <c r="Z818" t="e">
        <f t="shared" si="39"/>
        <v>#NUM!</v>
      </c>
    </row>
    <row r="819" spans="1:26" x14ac:dyDescent="0.2">
      <c r="A819" s="26" t="e">
        <f t="shared" si="37"/>
        <v>#NUM!</v>
      </c>
      <c r="Y819" s="221">
        <f t="shared" si="38"/>
        <v>0</v>
      </c>
      <c r="Z819" t="e">
        <f t="shared" si="39"/>
        <v>#NUM!</v>
      </c>
    </row>
    <row r="820" spans="1:26" x14ac:dyDescent="0.2">
      <c r="A820" s="26" t="e">
        <f t="shared" si="37"/>
        <v>#NUM!</v>
      </c>
      <c r="Y820" s="221">
        <f t="shared" si="38"/>
        <v>0</v>
      </c>
      <c r="Z820" t="e">
        <f t="shared" si="39"/>
        <v>#NUM!</v>
      </c>
    </row>
    <row r="821" spans="1:26" x14ac:dyDescent="0.2">
      <c r="A821" s="26" t="e">
        <f t="shared" si="37"/>
        <v>#NUM!</v>
      </c>
      <c r="Y821" s="221">
        <f t="shared" si="38"/>
        <v>0</v>
      </c>
      <c r="Z821" t="e">
        <f t="shared" si="39"/>
        <v>#NUM!</v>
      </c>
    </row>
    <row r="822" spans="1:26" x14ac:dyDescent="0.2">
      <c r="A822" s="26" t="e">
        <f t="shared" si="37"/>
        <v>#NUM!</v>
      </c>
      <c r="Y822" s="221">
        <f t="shared" si="38"/>
        <v>0</v>
      </c>
      <c r="Z822" t="e">
        <f t="shared" si="39"/>
        <v>#NUM!</v>
      </c>
    </row>
    <row r="823" spans="1:26" x14ac:dyDescent="0.2">
      <c r="A823" s="26" t="e">
        <f t="shared" si="37"/>
        <v>#NUM!</v>
      </c>
      <c r="Y823" s="221">
        <f t="shared" si="38"/>
        <v>0</v>
      </c>
      <c r="Z823" t="e">
        <f t="shared" si="39"/>
        <v>#NUM!</v>
      </c>
    </row>
    <row r="824" spans="1:26" x14ac:dyDescent="0.2">
      <c r="A824" s="26" t="e">
        <f t="shared" si="37"/>
        <v>#NUM!</v>
      </c>
      <c r="Y824" s="221">
        <f t="shared" si="38"/>
        <v>0</v>
      </c>
      <c r="Z824" t="e">
        <f t="shared" si="39"/>
        <v>#NUM!</v>
      </c>
    </row>
    <row r="825" spans="1:26" x14ac:dyDescent="0.2">
      <c r="A825" s="26" t="e">
        <f t="shared" si="37"/>
        <v>#NUM!</v>
      </c>
      <c r="Y825" s="221">
        <f t="shared" si="38"/>
        <v>0</v>
      </c>
      <c r="Z825" t="e">
        <f t="shared" si="39"/>
        <v>#NUM!</v>
      </c>
    </row>
    <row r="826" spans="1:26" x14ac:dyDescent="0.2">
      <c r="A826" s="26" t="e">
        <f t="shared" si="37"/>
        <v>#NUM!</v>
      </c>
      <c r="Y826" s="221">
        <f t="shared" si="38"/>
        <v>0</v>
      </c>
      <c r="Z826" t="e">
        <f t="shared" si="39"/>
        <v>#NUM!</v>
      </c>
    </row>
    <row r="827" spans="1:26" x14ac:dyDescent="0.2">
      <c r="A827" s="26" t="e">
        <f t="shared" si="37"/>
        <v>#NUM!</v>
      </c>
      <c r="Y827" s="221">
        <f t="shared" si="38"/>
        <v>0</v>
      </c>
      <c r="Z827" t="e">
        <f t="shared" si="39"/>
        <v>#NUM!</v>
      </c>
    </row>
    <row r="828" spans="1:26" x14ac:dyDescent="0.2">
      <c r="A828" s="26" t="e">
        <f t="shared" si="37"/>
        <v>#NUM!</v>
      </c>
      <c r="Y828" s="221">
        <f t="shared" si="38"/>
        <v>0</v>
      </c>
      <c r="Z828" t="e">
        <f t="shared" si="39"/>
        <v>#NUM!</v>
      </c>
    </row>
    <row r="829" spans="1:26" x14ac:dyDescent="0.2">
      <c r="A829" s="26" t="e">
        <f t="shared" si="37"/>
        <v>#NUM!</v>
      </c>
      <c r="Y829" s="221">
        <f t="shared" si="38"/>
        <v>0</v>
      </c>
      <c r="Z829" t="e">
        <f t="shared" si="39"/>
        <v>#NUM!</v>
      </c>
    </row>
    <row r="830" spans="1:26" x14ac:dyDescent="0.2">
      <c r="A830" s="26" t="e">
        <f t="shared" si="37"/>
        <v>#NUM!</v>
      </c>
      <c r="Y830" s="221">
        <f t="shared" si="38"/>
        <v>0</v>
      </c>
      <c r="Z830" t="e">
        <f t="shared" si="39"/>
        <v>#NUM!</v>
      </c>
    </row>
    <row r="831" spans="1:26" x14ac:dyDescent="0.2">
      <c r="A831" s="26" t="e">
        <f t="shared" si="37"/>
        <v>#NUM!</v>
      </c>
      <c r="Y831" s="221">
        <f t="shared" si="38"/>
        <v>0</v>
      </c>
      <c r="Z831" t="e">
        <f t="shared" si="39"/>
        <v>#NUM!</v>
      </c>
    </row>
    <row r="832" spans="1:26" x14ac:dyDescent="0.2">
      <c r="A832" s="26" t="e">
        <f t="shared" si="37"/>
        <v>#NUM!</v>
      </c>
      <c r="Y832" s="221">
        <f t="shared" si="38"/>
        <v>0</v>
      </c>
      <c r="Z832" t="e">
        <f t="shared" si="39"/>
        <v>#NUM!</v>
      </c>
    </row>
    <row r="833" spans="1:26" x14ac:dyDescent="0.2">
      <c r="A833" s="26" t="e">
        <f t="shared" si="37"/>
        <v>#NUM!</v>
      </c>
      <c r="Y833" s="221">
        <f t="shared" si="38"/>
        <v>0</v>
      </c>
      <c r="Z833" t="e">
        <f t="shared" si="39"/>
        <v>#NUM!</v>
      </c>
    </row>
    <row r="834" spans="1:26" x14ac:dyDescent="0.2">
      <c r="A834" s="26" t="e">
        <f t="shared" si="37"/>
        <v>#NUM!</v>
      </c>
      <c r="Y834" s="221">
        <f t="shared" si="38"/>
        <v>0</v>
      </c>
      <c r="Z834" t="e">
        <f t="shared" si="39"/>
        <v>#NUM!</v>
      </c>
    </row>
    <row r="835" spans="1:26" x14ac:dyDescent="0.2">
      <c r="A835" s="26" t="e">
        <f t="shared" ref="A835:A898" si="40">DATE(B835,C835,D835)</f>
        <v>#NUM!</v>
      </c>
      <c r="Y835" s="221">
        <f t="shared" ref="Y835:Y898" si="41">SUM(G835:W835)</f>
        <v>0</v>
      </c>
      <c r="Z835" t="e">
        <f t="shared" ref="Z835:Z898" si="42">IF(OR(WEEKDAY(A835,2)=6,WEEKDAY(A835,2)=7),X835,0)</f>
        <v>#NUM!</v>
      </c>
    </row>
    <row r="836" spans="1:26" x14ac:dyDescent="0.2">
      <c r="A836" s="26" t="e">
        <f t="shared" si="40"/>
        <v>#NUM!</v>
      </c>
      <c r="Y836" s="221">
        <f t="shared" si="41"/>
        <v>0</v>
      </c>
      <c r="Z836" t="e">
        <f t="shared" si="42"/>
        <v>#NUM!</v>
      </c>
    </row>
    <row r="837" spans="1:26" x14ac:dyDescent="0.2">
      <c r="A837" s="26" t="e">
        <f t="shared" si="40"/>
        <v>#NUM!</v>
      </c>
      <c r="Y837" s="221">
        <f t="shared" si="41"/>
        <v>0</v>
      </c>
      <c r="Z837" t="e">
        <f t="shared" si="42"/>
        <v>#NUM!</v>
      </c>
    </row>
    <row r="838" spans="1:26" x14ac:dyDescent="0.2">
      <c r="A838" s="26" t="e">
        <f t="shared" si="40"/>
        <v>#NUM!</v>
      </c>
      <c r="Y838" s="221">
        <f t="shared" si="41"/>
        <v>0</v>
      </c>
      <c r="Z838" t="e">
        <f t="shared" si="42"/>
        <v>#NUM!</v>
      </c>
    </row>
    <row r="839" spans="1:26" x14ac:dyDescent="0.2">
      <c r="A839" s="26" t="e">
        <f t="shared" si="40"/>
        <v>#NUM!</v>
      </c>
      <c r="Y839" s="221">
        <f t="shared" si="41"/>
        <v>0</v>
      </c>
      <c r="Z839" t="e">
        <f t="shared" si="42"/>
        <v>#NUM!</v>
      </c>
    </row>
    <row r="840" spans="1:26" x14ac:dyDescent="0.2">
      <c r="A840" s="26" t="e">
        <f t="shared" si="40"/>
        <v>#NUM!</v>
      </c>
      <c r="Y840" s="221">
        <f t="shared" si="41"/>
        <v>0</v>
      </c>
      <c r="Z840" t="e">
        <f t="shared" si="42"/>
        <v>#NUM!</v>
      </c>
    </row>
    <row r="841" spans="1:26" x14ac:dyDescent="0.2">
      <c r="A841" s="26" t="e">
        <f t="shared" si="40"/>
        <v>#NUM!</v>
      </c>
      <c r="Y841" s="221">
        <f t="shared" si="41"/>
        <v>0</v>
      </c>
      <c r="Z841" t="e">
        <f t="shared" si="42"/>
        <v>#NUM!</v>
      </c>
    </row>
    <row r="842" spans="1:26" x14ac:dyDescent="0.2">
      <c r="A842" s="26" t="e">
        <f t="shared" si="40"/>
        <v>#NUM!</v>
      </c>
      <c r="Y842" s="221">
        <f t="shared" si="41"/>
        <v>0</v>
      </c>
      <c r="Z842" t="e">
        <f t="shared" si="42"/>
        <v>#NUM!</v>
      </c>
    </row>
    <row r="843" spans="1:26" x14ac:dyDescent="0.2">
      <c r="A843" s="26" t="e">
        <f t="shared" si="40"/>
        <v>#NUM!</v>
      </c>
      <c r="Y843" s="221">
        <f t="shared" si="41"/>
        <v>0</v>
      </c>
      <c r="Z843" t="e">
        <f t="shared" si="42"/>
        <v>#NUM!</v>
      </c>
    </row>
    <row r="844" spans="1:26" x14ac:dyDescent="0.2">
      <c r="A844" s="26" t="e">
        <f t="shared" si="40"/>
        <v>#NUM!</v>
      </c>
      <c r="Y844" s="221">
        <f t="shared" si="41"/>
        <v>0</v>
      </c>
      <c r="Z844" t="e">
        <f t="shared" si="42"/>
        <v>#NUM!</v>
      </c>
    </row>
    <row r="845" spans="1:26" x14ac:dyDescent="0.2">
      <c r="A845" s="26" t="e">
        <f t="shared" si="40"/>
        <v>#NUM!</v>
      </c>
      <c r="Y845" s="221">
        <f t="shared" si="41"/>
        <v>0</v>
      </c>
      <c r="Z845" t="e">
        <f t="shared" si="42"/>
        <v>#NUM!</v>
      </c>
    </row>
    <row r="846" spans="1:26" x14ac:dyDescent="0.2">
      <c r="A846" s="26" t="e">
        <f t="shared" si="40"/>
        <v>#NUM!</v>
      </c>
      <c r="Y846" s="221">
        <f t="shared" si="41"/>
        <v>0</v>
      </c>
      <c r="Z846" t="e">
        <f t="shared" si="42"/>
        <v>#NUM!</v>
      </c>
    </row>
    <row r="847" spans="1:26" x14ac:dyDescent="0.2">
      <c r="A847" s="26" t="e">
        <f t="shared" si="40"/>
        <v>#NUM!</v>
      </c>
      <c r="Y847" s="221">
        <f t="shared" si="41"/>
        <v>0</v>
      </c>
      <c r="Z847" t="e">
        <f t="shared" si="42"/>
        <v>#NUM!</v>
      </c>
    </row>
    <row r="848" spans="1:26" x14ac:dyDescent="0.2">
      <c r="A848" s="26" t="e">
        <f t="shared" si="40"/>
        <v>#NUM!</v>
      </c>
      <c r="Y848" s="221">
        <f t="shared" si="41"/>
        <v>0</v>
      </c>
      <c r="Z848" t="e">
        <f t="shared" si="42"/>
        <v>#NUM!</v>
      </c>
    </row>
    <row r="849" spans="1:26" x14ac:dyDescent="0.2">
      <c r="A849" s="26" t="e">
        <f t="shared" si="40"/>
        <v>#NUM!</v>
      </c>
      <c r="Y849" s="221">
        <f t="shared" si="41"/>
        <v>0</v>
      </c>
      <c r="Z849" t="e">
        <f t="shared" si="42"/>
        <v>#NUM!</v>
      </c>
    </row>
    <row r="850" spans="1:26" x14ac:dyDescent="0.2">
      <c r="A850" s="26" t="e">
        <f t="shared" si="40"/>
        <v>#NUM!</v>
      </c>
      <c r="Y850" s="221">
        <f t="shared" si="41"/>
        <v>0</v>
      </c>
      <c r="Z850" t="e">
        <f t="shared" si="42"/>
        <v>#NUM!</v>
      </c>
    </row>
    <row r="851" spans="1:26" x14ac:dyDescent="0.2">
      <c r="A851" s="26" t="e">
        <f t="shared" si="40"/>
        <v>#NUM!</v>
      </c>
      <c r="Y851" s="221">
        <f t="shared" si="41"/>
        <v>0</v>
      </c>
      <c r="Z851" t="e">
        <f t="shared" si="42"/>
        <v>#NUM!</v>
      </c>
    </row>
    <row r="852" spans="1:26" x14ac:dyDescent="0.2">
      <c r="A852" s="26" t="e">
        <f t="shared" si="40"/>
        <v>#NUM!</v>
      </c>
      <c r="Y852" s="221">
        <f t="shared" si="41"/>
        <v>0</v>
      </c>
      <c r="Z852" t="e">
        <f t="shared" si="42"/>
        <v>#NUM!</v>
      </c>
    </row>
    <row r="853" spans="1:26" x14ac:dyDescent="0.2">
      <c r="A853" s="26" t="e">
        <f t="shared" si="40"/>
        <v>#NUM!</v>
      </c>
      <c r="Y853" s="221">
        <f t="shared" si="41"/>
        <v>0</v>
      </c>
      <c r="Z853" t="e">
        <f t="shared" si="42"/>
        <v>#NUM!</v>
      </c>
    </row>
    <row r="854" spans="1:26" x14ac:dyDescent="0.2">
      <c r="A854" s="26" t="e">
        <f t="shared" si="40"/>
        <v>#NUM!</v>
      </c>
      <c r="Y854" s="221">
        <f t="shared" si="41"/>
        <v>0</v>
      </c>
      <c r="Z854" t="e">
        <f t="shared" si="42"/>
        <v>#NUM!</v>
      </c>
    </row>
    <row r="855" spans="1:26" x14ac:dyDescent="0.2">
      <c r="A855" s="26" t="e">
        <f t="shared" si="40"/>
        <v>#NUM!</v>
      </c>
      <c r="Y855" s="221">
        <f t="shared" si="41"/>
        <v>0</v>
      </c>
      <c r="Z855" t="e">
        <f t="shared" si="42"/>
        <v>#NUM!</v>
      </c>
    </row>
    <row r="856" spans="1:26" x14ac:dyDescent="0.2">
      <c r="A856" s="26" t="e">
        <f t="shared" si="40"/>
        <v>#NUM!</v>
      </c>
      <c r="Y856" s="221">
        <f t="shared" si="41"/>
        <v>0</v>
      </c>
      <c r="Z856" t="e">
        <f t="shared" si="42"/>
        <v>#NUM!</v>
      </c>
    </row>
    <row r="857" spans="1:26" x14ac:dyDescent="0.2">
      <c r="A857" s="26" t="e">
        <f t="shared" si="40"/>
        <v>#NUM!</v>
      </c>
      <c r="Y857" s="221">
        <f t="shared" si="41"/>
        <v>0</v>
      </c>
      <c r="Z857" t="e">
        <f t="shared" si="42"/>
        <v>#NUM!</v>
      </c>
    </row>
    <row r="858" spans="1:26" x14ac:dyDescent="0.2">
      <c r="A858" s="26" t="e">
        <f t="shared" si="40"/>
        <v>#NUM!</v>
      </c>
      <c r="Y858" s="221">
        <f t="shared" si="41"/>
        <v>0</v>
      </c>
      <c r="Z858" t="e">
        <f t="shared" si="42"/>
        <v>#NUM!</v>
      </c>
    </row>
    <row r="859" spans="1:26" x14ac:dyDescent="0.2">
      <c r="A859" s="26" t="e">
        <f t="shared" si="40"/>
        <v>#NUM!</v>
      </c>
      <c r="Y859" s="221">
        <f t="shared" si="41"/>
        <v>0</v>
      </c>
      <c r="Z859" t="e">
        <f t="shared" si="42"/>
        <v>#NUM!</v>
      </c>
    </row>
    <row r="860" spans="1:26" x14ac:dyDescent="0.2">
      <c r="A860" s="26" t="e">
        <f t="shared" si="40"/>
        <v>#NUM!</v>
      </c>
      <c r="Y860" s="221">
        <f t="shared" si="41"/>
        <v>0</v>
      </c>
      <c r="Z860" t="e">
        <f t="shared" si="42"/>
        <v>#NUM!</v>
      </c>
    </row>
    <row r="861" spans="1:26" x14ac:dyDescent="0.2">
      <c r="A861" s="26" t="e">
        <f t="shared" si="40"/>
        <v>#NUM!</v>
      </c>
      <c r="Y861" s="221">
        <f t="shared" si="41"/>
        <v>0</v>
      </c>
      <c r="Z861" t="e">
        <f t="shared" si="42"/>
        <v>#NUM!</v>
      </c>
    </row>
    <row r="862" spans="1:26" x14ac:dyDescent="0.2">
      <c r="A862" s="26" t="e">
        <f t="shared" si="40"/>
        <v>#NUM!</v>
      </c>
      <c r="Y862" s="221">
        <f t="shared" si="41"/>
        <v>0</v>
      </c>
      <c r="Z862" t="e">
        <f t="shared" si="42"/>
        <v>#NUM!</v>
      </c>
    </row>
    <row r="863" spans="1:26" x14ac:dyDescent="0.2">
      <c r="A863" s="26" t="e">
        <f t="shared" si="40"/>
        <v>#NUM!</v>
      </c>
      <c r="Y863" s="221">
        <f t="shared" si="41"/>
        <v>0</v>
      </c>
      <c r="Z863" t="e">
        <f t="shared" si="42"/>
        <v>#NUM!</v>
      </c>
    </row>
    <row r="864" spans="1:26" x14ac:dyDescent="0.2">
      <c r="A864" s="26" t="e">
        <f t="shared" si="40"/>
        <v>#NUM!</v>
      </c>
      <c r="Y864" s="221">
        <f t="shared" si="41"/>
        <v>0</v>
      </c>
      <c r="Z864" t="e">
        <f t="shared" si="42"/>
        <v>#NUM!</v>
      </c>
    </row>
    <row r="865" spans="1:26" x14ac:dyDescent="0.2">
      <c r="A865" s="26" t="e">
        <f t="shared" si="40"/>
        <v>#NUM!</v>
      </c>
      <c r="Y865" s="221">
        <f t="shared" si="41"/>
        <v>0</v>
      </c>
      <c r="Z865" t="e">
        <f t="shared" si="42"/>
        <v>#NUM!</v>
      </c>
    </row>
    <row r="866" spans="1:26" x14ac:dyDescent="0.2">
      <c r="A866" s="26" t="e">
        <f t="shared" si="40"/>
        <v>#NUM!</v>
      </c>
      <c r="Y866" s="221">
        <f t="shared" si="41"/>
        <v>0</v>
      </c>
      <c r="Z866" t="e">
        <f t="shared" si="42"/>
        <v>#NUM!</v>
      </c>
    </row>
    <row r="867" spans="1:26" x14ac:dyDescent="0.2">
      <c r="A867" s="26" t="e">
        <f t="shared" si="40"/>
        <v>#NUM!</v>
      </c>
      <c r="Y867" s="221">
        <f t="shared" si="41"/>
        <v>0</v>
      </c>
      <c r="Z867" t="e">
        <f t="shared" si="42"/>
        <v>#NUM!</v>
      </c>
    </row>
    <row r="868" spans="1:26" x14ac:dyDescent="0.2">
      <c r="A868" s="26" t="e">
        <f t="shared" si="40"/>
        <v>#NUM!</v>
      </c>
      <c r="Y868" s="221">
        <f t="shared" si="41"/>
        <v>0</v>
      </c>
      <c r="Z868" t="e">
        <f t="shared" si="42"/>
        <v>#NUM!</v>
      </c>
    </row>
    <row r="869" spans="1:26" x14ac:dyDescent="0.2">
      <c r="A869" s="26" t="e">
        <f t="shared" si="40"/>
        <v>#NUM!</v>
      </c>
      <c r="Y869" s="221">
        <f t="shared" si="41"/>
        <v>0</v>
      </c>
      <c r="Z869" t="e">
        <f t="shared" si="42"/>
        <v>#NUM!</v>
      </c>
    </row>
    <row r="870" spans="1:26" x14ac:dyDescent="0.2">
      <c r="A870" s="26" t="e">
        <f t="shared" si="40"/>
        <v>#NUM!</v>
      </c>
      <c r="Y870" s="221">
        <f t="shared" si="41"/>
        <v>0</v>
      </c>
      <c r="Z870" t="e">
        <f t="shared" si="42"/>
        <v>#NUM!</v>
      </c>
    </row>
    <row r="871" spans="1:26" x14ac:dyDescent="0.2">
      <c r="A871" s="26" t="e">
        <f t="shared" si="40"/>
        <v>#NUM!</v>
      </c>
      <c r="Y871" s="221">
        <f t="shared" si="41"/>
        <v>0</v>
      </c>
      <c r="Z871" t="e">
        <f t="shared" si="42"/>
        <v>#NUM!</v>
      </c>
    </row>
    <row r="872" spans="1:26" x14ac:dyDescent="0.2">
      <c r="A872" s="26" t="e">
        <f t="shared" si="40"/>
        <v>#NUM!</v>
      </c>
      <c r="Y872" s="221">
        <f t="shared" si="41"/>
        <v>0</v>
      </c>
      <c r="Z872" t="e">
        <f t="shared" si="42"/>
        <v>#NUM!</v>
      </c>
    </row>
    <row r="873" spans="1:26" x14ac:dyDescent="0.2">
      <c r="A873" s="26" t="e">
        <f t="shared" si="40"/>
        <v>#NUM!</v>
      </c>
      <c r="Y873" s="221">
        <f t="shared" si="41"/>
        <v>0</v>
      </c>
      <c r="Z873" t="e">
        <f t="shared" si="42"/>
        <v>#NUM!</v>
      </c>
    </row>
    <row r="874" spans="1:26" x14ac:dyDescent="0.2">
      <c r="A874" s="26" t="e">
        <f t="shared" si="40"/>
        <v>#NUM!</v>
      </c>
      <c r="Y874" s="221">
        <f t="shared" si="41"/>
        <v>0</v>
      </c>
      <c r="Z874" t="e">
        <f t="shared" si="42"/>
        <v>#NUM!</v>
      </c>
    </row>
    <row r="875" spans="1:26" x14ac:dyDescent="0.2">
      <c r="A875" s="26" t="e">
        <f t="shared" si="40"/>
        <v>#NUM!</v>
      </c>
      <c r="Y875" s="221">
        <f t="shared" si="41"/>
        <v>0</v>
      </c>
      <c r="Z875" t="e">
        <f t="shared" si="42"/>
        <v>#NUM!</v>
      </c>
    </row>
    <row r="876" spans="1:26" x14ac:dyDescent="0.2">
      <c r="A876" s="26" t="e">
        <f t="shared" si="40"/>
        <v>#NUM!</v>
      </c>
      <c r="Y876" s="221">
        <f t="shared" si="41"/>
        <v>0</v>
      </c>
      <c r="Z876" t="e">
        <f t="shared" si="42"/>
        <v>#NUM!</v>
      </c>
    </row>
    <row r="877" spans="1:26" x14ac:dyDescent="0.2">
      <c r="A877" s="26" t="e">
        <f t="shared" si="40"/>
        <v>#NUM!</v>
      </c>
      <c r="Y877" s="221">
        <f t="shared" si="41"/>
        <v>0</v>
      </c>
      <c r="Z877" t="e">
        <f t="shared" si="42"/>
        <v>#NUM!</v>
      </c>
    </row>
    <row r="878" spans="1:26" x14ac:dyDescent="0.2">
      <c r="A878" s="26" t="e">
        <f t="shared" si="40"/>
        <v>#NUM!</v>
      </c>
      <c r="Y878" s="221">
        <f t="shared" si="41"/>
        <v>0</v>
      </c>
      <c r="Z878" t="e">
        <f t="shared" si="42"/>
        <v>#NUM!</v>
      </c>
    </row>
    <row r="879" spans="1:26" x14ac:dyDescent="0.2">
      <c r="A879" s="26" t="e">
        <f t="shared" si="40"/>
        <v>#NUM!</v>
      </c>
      <c r="Y879" s="221">
        <f t="shared" si="41"/>
        <v>0</v>
      </c>
      <c r="Z879" t="e">
        <f t="shared" si="42"/>
        <v>#NUM!</v>
      </c>
    </row>
    <row r="880" spans="1:26" x14ac:dyDescent="0.2">
      <c r="A880" s="26" t="e">
        <f t="shared" si="40"/>
        <v>#NUM!</v>
      </c>
      <c r="Y880" s="221">
        <f t="shared" si="41"/>
        <v>0</v>
      </c>
      <c r="Z880" t="e">
        <f t="shared" si="42"/>
        <v>#NUM!</v>
      </c>
    </row>
    <row r="881" spans="1:26" x14ac:dyDescent="0.2">
      <c r="A881" s="26" t="e">
        <f t="shared" si="40"/>
        <v>#NUM!</v>
      </c>
      <c r="Y881" s="221">
        <f t="shared" si="41"/>
        <v>0</v>
      </c>
      <c r="Z881" t="e">
        <f t="shared" si="42"/>
        <v>#NUM!</v>
      </c>
    </row>
    <row r="882" spans="1:26" x14ac:dyDescent="0.2">
      <c r="A882" s="26" t="e">
        <f t="shared" si="40"/>
        <v>#NUM!</v>
      </c>
      <c r="Y882" s="221">
        <f t="shared" si="41"/>
        <v>0</v>
      </c>
      <c r="Z882" t="e">
        <f t="shared" si="42"/>
        <v>#NUM!</v>
      </c>
    </row>
    <row r="883" spans="1:26" x14ac:dyDescent="0.2">
      <c r="A883" s="26" t="e">
        <f t="shared" si="40"/>
        <v>#NUM!</v>
      </c>
      <c r="Y883" s="221">
        <f t="shared" si="41"/>
        <v>0</v>
      </c>
      <c r="Z883" t="e">
        <f t="shared" si="42"/>
        <v>#NUM!</v>
      </c>
    </row>
    <row r="884" spans="1:26" x14ac:dyDescent="0.2">
      <c r="A884" s="26" t="e">
        <f t="shared" si="40"/>
        <v>#NUM!</v>
      </c>
      <c r="Y884" s="221">
        <f t="shared" si="41"/>
        <v>0</v>
      </c>
      <c r="Z884" t="e">
        <f t="shared" si="42"/>
        <v>#NUM!</v>
      </c>
    </row>
    <row r="885" spans="1:26" x14ac:dyDescent="0.2">
      <c r="A885" s="26" t="e">
        <f t="shared" si="40"/>
        <v>#NUM!</v>
      </c>
      <c r="Y885" s="221">
        <f t="shared" si="41"/>
        <v>0</v>
      </c>
      <c r="Z885" t="e">
        <f t="shared" si="42"/>
        <v>#NUM!</v>
      </c>
    </row>
    <row r="886" spans="1:26" x14ac:dyDescent="0.2">
      <c r="A886" s="26" t="e">
        <f t="shared" si="40"/>
        <v>#NUM!</v>
      </c>
      <c r="Y886" s="221">
        <f t="shared" si="41"/>
        <v>0</v>
      </c>
      <c r="Z886" t="e">
        <f t="shared" si="42"/>
        <v>#NUM!</v>
      </c>
    </row>
    <row r="887" spans="1:26" x14ac:dyDescent="0.2">
      <c r="A887" s="26" t="e">
        <f t="shared" si="40"/>
        <v>#NUM!</v>
      </c>
      <c r="Y887" s="221">
        <f t="shared" si="41"/>
        <v>0</v>
      </c>
      <c r="Z887" t="e">
        <f t="shared" si="42"/>
        <v>#NUM!</v>
      </c>
    </row>
    <row r="888" spans="1:26" x14ac:dyDescent="0.2">
      <c r="A888" s="26" t="e">
        <f t="shared" si="40"/>
        <v>#NUM!</v>
      </c>
      <c r="Y888" s="221">
        <f t="shared" si="41"/>
        <v>0</v>
      </c>
      <c r="Z888" t="e">
        <f t="shared" si="42"/>
        <v>#NUM!</v>
      </c>
    </row>
    <row r="889" spans="1:26" x14ac:dyDescent="0.2">
      <c r="A889" s="26" t="e">
        <f t="shared" si="40"/>
        <v>#NUM!</v>
      </c>
      <c r="Y889" s="221">
        <f t="shared" si="41"/>
        <v>0</v>
      </c>
      <c r="Z889" t="e">
        <f t="shared" si="42"/>
        <v>#NUM!</v>
      </c>
    </row>
    <row r="890" spans="1:26" x14ac:dyDescent="0.2">
      <c r="A890" s="26" t="e">
        <f t="shared" si="40"/>
        <v>#NUM!</v>
      </c>
      <c r="Y890" s="221">
        <f t="shared" si="41"/>
        <v>0</v>
      </c>
      <c r="Z890" t="e">
        <f t="shared" si="42"/>
        <v>#NUM!</v>
      </c>
    </row>
    <row r="891" spans="1:26" x14ac:dyDescent="0.2">
      <c r="A891" s="26" t="e">
        <f t="shared" si="40"/>
        <v>#NUM!</v>
      </c>
      <c r="Y891" s="221">
        <f t="shared" si="41"/>
        <v>0</v>
      </c>
      <c r="Z891" t="e">
        <f t="shared" si="42"/>
        <v>#NUM!</v>
      </c>
    </row>
    <row r="892" spans="1:26" x14ac:dyDescent="0.2">
      <c r="A892" s="26" t="e">
        <f t="shared" si="40"/>
        <v>#NUM!</v>
      </c>
      <c r="Y892" s="221">
        <f t="shared" si="41"/>
        <v>0</v>
      </c>
      <c r="Z892" t="e">
        <f t="shared" si="42"/>
        <v>#NUM!</v>
      </c>
    </row>
    <row r="893" spans="1:26" x14ac:dyDescent="0.2">
      <c r="A893" s="26" t="e">
        <f t="shared" si="40"/>
        <v>#NUM!</v>
      </c>
      <c r="Y893" s="221">
        <f t="shared" si="41"/>
        <v>0</v>
      </c>
      <c r="Z893" t="e">
        <f t="shared" si="42"/>
        <v>#NUM!</v>
      </c>
    </row>
    <row r="894" spans="1:26" x14ac:dyDescent="0.2">
      <c r="A894" s="26" t="e">
        <f t="shared" si="40"/>
        <v>#NUM!</v>
      </c>
      <c r="Y894" s="221">
        <f t="shared" si="41"/>
        <v>0</v>
      </c>
      <c r="Z894" t="e">
        <f t="shared" si="42"/>
        <v>#NUM!</v>
      </c>
    </row>
    <row r="895" spans="1:26" x14ac:dyDescent="0.2">
      <c r="A895" s="26" t="e">
        <f t="shared" si="40"/>
        <v>#NUM!</v>
      </c>
      <c r="Y895" s="221">
        <f t="shared" si="41"/>
        <v>0</v>
      </c>
      <c r="Z895" t="e">
        <f t="shared" si="42"/>
        <v>#NUM!</v>
      </c>
    </row>
    <row r="896" spans="1:26" x14ac:dyDescent="0.2">
      <c r="A896" s="26" t="e">
        <f t="shared" si="40"/>
        <v>#NUM!</v>
      </c>
      <c r="Y896" s="221">
        <f t="shared" si="41"/>
        <v>0</v>
      </c>
      <c r="Z896" t="e">
        <f t="shared" si="42"/>
        <v>#NUM!</v>
      </c>
    </row>
    <row r="897" spans="1:26" x14ac:dyDescent="0.2">
      <c r="A897" s="26" t="e">
        <f t="shared" si="40"/>
        <v>#NUM!</v>
      </c>
      <c r="Y897" s="221">
        <f t="shared" si="41"/>
        <v>0</v>
      </c>
      <c r="Z897" t="e">
        <f t="shared" si="42"/>
        <v>#NUM!</v>
      </c>
    </row>
    <row r="898" spans="1:26" x14ac:dyDescent="0.2">
      <c r="A898" s="26" t="e">
        <f t="shared" si="40"/>
        <v>#NUM!</v>
      </c>
      <c r="Y898" s="221">
        <f t="shared" si="41"/>
        <v>0</v>
      </c>
      <c r="Z898" t="e">
        <f t="shared" si="42"/>
        <v>#NUM!</v>
      </c>
    </row>
    <row r="899" spans="1:26" x14ac:dyDescent="0.2">
      <c r="A899" s="26" t="e">
        <f t="shared" ref="A899:A962" si="43">DATE(B899,C899,D899)</f>
        <v>#NUM!</v>
      </c>
      <c r="Y899" s="221">
        <f t="shared" ref="Y899:Y962" si="44">SUM(G899:W899)</f>
        <v>0</v>
      </c>
      <c r="Z899" t="e">
        <f t="shared" ref="Z899:Z962" si="45">IF(OR(WEEKDAY(A899,2)=6,WEEKDAY(A899,2)=7),X899,0)</f>
        <v>#NUM!</v>
      </c>
    </row>
    <row r="900" spans="1:26" x14ac:dyDescent="0.2">
      <c r="A900" s="26" t="e">
        <f t="shared" si="43"/>
        <v>#NUM!</v>
      </c>
      <c r="Y900" s="221">
        <f t="shared" si="44"/>
        <v>0</v>
      </c>
      <c r="Z900" t="e">
        <f t="shared" si="45"/>
        <v>#NUM!</v>
      </c>
    </row>
    <row r="901" spans="1:26" x14ac:dyDescent="0.2">
      <c r="A901" s="26" t="e">
        <f t="shared" si="43"/>
        <v>#NUM!</v>
      </c>
      <c r="Y901" s="221">
        <f t="shared" si="44"/>
        <v>0</v>
      </c>
      <c r="Z901" t="e">
        <f t="shared" si="45"/>
        <v>#NUM!</v>
      </c>
    </row>
    <row r="902" spans="1:26" x14ac:dyDescent="0.2">
      <c r="A902" s="26" t="e">
        <f t="shared" si="43"/>
        <v>#NUM!</v>
      </c>
      <c r="Y902" s="221">
        <f t="shared" si="44"/>
        <v>0</v>
      </c>
      <c r="Z902" t="e">
        <f t="shared" si="45"/>
        <v>#NUM!</v>
      </c>
    </row>
    <row r="903" spans="1:26" x14ac:dyDescent="0.2">
      <c r="A903" s="26" t="e">
        <f t="shared" si="43"/>
        <v>#NUM!</v>
      </c>
      <c r="Y903" s="221">
        <f t="shared" si="44"/>
        <v>0</v>
      </c>
      <c r="Z903" t="e">
        <f t="shared" si="45"/>
        <v>#NUM!</v>
      </c>
    </row>
    <row r="904" spans="1:26" x14ac:dyDescent="0.2">
      <c r="A904" s="26" t="e">
        <f t="shared" si="43"/>
        <v>#NUM!</v>
      </c>
      <c r="Y904" s="221">
        <f t="shared" si="44"/>
        <v>0</v>
      </c>
      <c r="Z904" t="e">
        <f t="shared" si="45"/>
        <v>#NUM!</v>
      </c>
    </row>
    <row r="905" spans="1:26" x14ac:dyDescent="0.2">
      <c r="A905" s="26" t="e">
        <f t="shared" si="43"/>
        <v>#NUM!</v>
      </c>
      <c r="Y905" s="221">
        <f t="shared" si="44"/>
        <v>0</v>
      </c>
      <c r="Z905" t="e">
        <f t="shared" si="45"/>
        <v>#NUM!</v>
      </c>
    </row>
    <row r="906" spans="1:26" x14ac:dyDescent="0.2">
      <c r="A906" s="26" t="e">
        <f t="shared" si="43"/>
        <v>#NUM!</v>
      </c>
      <c r="Y906" s="221">
        <f t="shared" si="44"/>
        <v>0</v>
      </c>
      <c r="Z906" t="e">
        <f t="shared" si="45"/>
        <v>#NUM!</v>
      </c>
    </row>
    <row r="907" spans="1:26" x14ac:dyDescent="0.2">
      <c r="A907" s="26" t="e">
        <f t="shared" si="43"/>
        <v>#NUM!</v>
      </c>
      <c r="Y907" s="221">
        <f t="shared" si="44"/>
        <v>0</v>
      </c>
      <c r="Z907" t="e">
        <f t="shared" si="45"/>
        <v>#NUM!</v>
      </c>
    </row>
    <row r="908" spans="1:26" x14ac:dyDescent="0.2">
      <c r="A908" s="26" t="e">
        <f t="shared" si="43"/>
        <v>#NUM!</v>
      </c>
      <c r="Y908" s="221">
        <f t="shared" si="44"/>
        <v>0</v>
      </c>
      <c r="Z908" t="e">
        <f t="shared" si="45"/>
        <v>#NUM!</v>
      </c>
    </row>
    <row r="909" spans="1:26" x14ac:dyDescent="0.2">
      <c r="A909" s="26" t="e">
        <f t="shared" si="43"/>
        <v>#NUM!</v>
      </c>
      <c r="Y909" s="221">
        <f t="shared" si="44"/>
        <v>0</v>
      </c>
      <c r="Z909" t="e">
        <f t="shared" si="45"/>
        <v>#NUM!</v>
      </c>
    </row>
    <row r="910" spans="1:26" x14ac:dyDescent="0.2">
      <c r="A910" s="26" t="e">
        <f t="shared" si="43"/>
        <v>#NUM!</v>
      </c>
      <c r="Y910" s="221">
        <f t="shared" si="44"/>
        <v>0</v>
      </c>
      <c r="Z910" t="e">
        <f t="shared" si="45"/>
        <v>#NUM!</v>
      </c>
    </row>
    <row r="911" spans="1:26" x14ac:dyDescent="0.2">
      <c r="A911" s="26" t="e">
        <f t="shared" si="43"/>
        <v>#NUM!</v>
      </c>
      <c r="Y911" s="221">
        <f t="shared" si="44"/>
        <v>0</v>
      </c>
      <c r="Z911" t="e">
        <f t="shared" si="45"/>
        <v>#NUM!</v>
      </c>
    </row>
    <row r="912" spans="1:26" x14ac:dyDescent="0.2">
      <c r="A912" s="26" t="e">
        <f t="shared" si="43"/>
        <v>#NUM!</v>
      </c>
      <c r="Y912" s="221">
        <f t="shared" si="44"/>
        <v>0</v>
      </c>
      <c r="Z912" t="e">
        <f t="shared" si="45"/>
        <v>#NUM!</v>
      </c>
    </row>
    <row r="913" spans="1:26" x14ac:dyDescent="0.2">
      <c r="A913" s="26" t="e">
        <f t="shared" si="43"/>
        <v>#NUM!</v>
      </c>
      <c r="Y913" s="221">
        <f t="shared" si="44"/>
        <v>0</v>
      </c>
      <c r="Z913" t="e">
        <f t="shared" si="45"/>
        <v>#NUM!</v>
      </c>
    </row>
    <row r="914" spans="1:26" x14ac:dyDescent="0.2">
      <c r="A914" s="26" t="e">
        <f t="shared" si="43"/>
        <v>#NUM!</v>
      </c>
      <c r="Y914" s="221">
        <f t="shared" si="44"/>
        <v>0</v>
      </c>
      <c r="Z914" t="e">
        <f t="shared" si="45"/>
        <v>#NUM!</v>
      </c>
    </row>
    <row r="915" spans="1:26" x14ac:dyDescent="0.2">
      <c r="A915" s="26" t="e">
        <f t="shared" si="43"/>
        <v>#NUM!</v>
      </c>
      <c r="Y915" s="221">
        <f t="shared" si="44"/>
        <v>0</v>
      </c>
      <c r="Z915" t="e">
        <f t="shared" si="45"/>
        <v>#NUM!</v>
      </c>
    </row>
    <row r="916" spans="1:26" x14ac:dyDescent="0.2">
      <c r="A916" s="26" t="e">
        <f t="shared" si="43"/>
        <v>#NUM!</v>
      </c>
      <c r="Y916" s="221">
        <f t="shared" si="44"/>
        <v>0</v>
      </c>
      <c r="Z916" t="e">
        <f t="shared" si="45"/>
        <v>#NUM!</v>
      </c>
    </row>
    <row r="917" spans="1:26" x14ac:dyDescent="0.2">
      <c r="A917" s="26" t="e">
        <f t="shared" si="43"/>
        <v>#NUM!</v>
      </c>
      <c r="Y917" s="221">
        <f t="shared" si="44"/>
        <v>0</v>
      </c>
      <c r="Z917" t="e">
        <f t="shared" si="45"/>
        <v>#NUM!</v>
      </c>
    </row>
    <row r="918" spans="1:26" x14ac:dyDescent="0.2">
      <c r="A918" s="26" t="e">
        <f t="shared" si="43"/>
        <v>#NUM!</v>
      </c>
      <c r="Y918" s="221">
        <f t="shared" si="44"/>
        <v>0</v>
      </c>
      <c r="Z918" t="e">
        <f t="shared" si="45"/>
        <v>#NUM!</v>
      </c>
    </row>
    <row r="919" spans="1:26" x14ac:dyDescent="0.2">
      <c r="A919" s="26" t="e">
        <f t="shared" si="43"/>
        <v>#NUM!</v>
      </c>
      <c r="Y919" s="221">
        <f t="shared" si="44"/>
        <v>0</v>
      </c>
      <c r="Z919" t="e">
        <f t="shared" si="45"/>
        <v>#NUM!</v>
      </c>
    </row>
    <row r="920" spans="1:26" x14ac:dyDescent="0.2">
      <c r="A920" s="26" t="e">
        <f t="shared" si="43"/>
        <v>#NUM!</v>
      </c>
      <c r="Y920" s="221">
        <f t="shared" si="44"/>
        <v>0</v>
      </c>
      <c r="Z920" t="e">
        <f t="shared" si="45"/>
        <v>#NUM!</v>
      </c>
    </row>
    <row r="921" spans="1:26" x14ac:dyDescent="0.2">
      <c r="A921" s="26" t="e">
        <f t="shared" si="43"/>
        <v>#NUM!</v>
      </c>
      <c r="Y921" s="221">
        <f t="shared" si="44"/>
        <v>0</v>
      </c>
      <c r="Z921" t="e">
        <f t="shared" si="45"/>
        <v>#NUM!</v>
      </c>
    </row>
    <row r="922" spans="1:26" x14ac:dyDescent="0.2">
      <c r="A922" s="26" t="e">
        <f t="shared" si="43"/>
        <v>#NUM!</v>
      </c>
      <c r="Y922" s="221">
        <f t="shared" si="44"/>
        <v>0</v>
      </c>
      <c r="Z922" t="e">
        <f t="shared" si="45"/>
        <v>#NUM!</v>
      </c>
    </row>
    <row r="923" spans="1:26" x14ac:dyDescent="0.2">
      <c r="A923" s="26" t="e">
        <f t="shared" si="43"/>
        <v>#NUM!</v>
      </c>
      <c r="Y923" s="221">
        <f t="shared" si="44"/>
        <v>0</v>
      </c>
      <c r="Z923" t="e">
        <f t="shared" si="45"/>
        <v>#NUM!</v>
      </c>
    </row>
    <row r="924" spans="1:26" x14ac:dyDescent="0.2">
      <c r="A924" s="26" t="e">
        <f t="shared" si="43"/>
        <v>#NUM!</v>
      </c>
      <c r="Y924" s="221">
        <f t="shared" si="44"/>
        <v>0</v>
      </c>
      <c r="Z924" t="e">
        <f t="shared" si="45"/>
        <v>#NUM!</v>
      </c>
    </row>
    <row r="925" spans="1:26" x14ac:dyDescent="0.2">
      <c r="A925" s="26" t="e">
        <f t="shared" si="43"/>
        <v>#NUM!</v>
      </c>
      <c r="Y925" s="221">
        <f t="shared" si="44"/>
        <v>0</v>
      </c>
      <c r="Z925" t="e">
        <f t="shared" si="45"/>
        <v>#NUM!</v>
      </c>
    </row>
    <row r="926" spans="1:26" x14ac:dyDescent="0.2">
      <c r="A926" s="26" t="e">
        <f t="shared" si="43"/>
        <v>#NUM!</v>
      </c>
      <c r="Y926" s="221">
        <f t="shared" si="44"/>
        <v>0</v>
      </c>
      <c r="Z926" t="e">
        <f t="shared" si="45"/>
        <v>#NUM!</v>
      </c>
    </row>
    <row r="927" spans="1:26" x14ac:dyDescent="0.2">
      <c r="A927" s="26" t="e">
        <f t="shared" si="43"/>
        <v>#NUM!</v>
      </c>
      <c r="Y927" s="221">
        <f t="shared" si="44"/>
        <v>0</v>
      </c>
      <c r="Z927" t="e">
        <f t="shared" si="45"/>
        <v>#NUM!</v>
      </c>
    </row>
    <row r="928" spans="1:26" x14ac:dyDescent="0.2">
      <c r="A928" s="26" t="e">
        <f t="shared" si="43"/>
        <v>#NUM!</v>
      </c>
      <c r="Y928" s="221">
        <f t="shared" si="44"/>
        <v>0</v>
      </c>
      <c r="Z928" t="e">
        <f t="shared" si="45"/>
        <v>#NUM!</v>
      </c>
    </row>
    <row r="929" spans="1:26" x14ac:dyDescent="0.2">
      <c r="A929" s="26" t="e">
        <f t="shared" si="43"/>
        <v>#NUM!</v>
      </c>
      <c r="Y929" s="221">
        <f t="shared" si="44"/>
        <v>0</v>
      </c>
      <c r="Z929" t="e">
        <f t="shared" si="45"/>
        <v>#NUM!</v>
      </c>
    </row>
    <row r="930" spans="1:26" x14ac:dyDescent="0.2">
      <c r="A930" s="26" t="e">
        <f t="shared" si="43"/>
        <v>#NUM!</v>
      </c>
      <c r="Y930" s="221">
        <f t="shared" si="44"/>
        <v>0</v>
      </c>
      <c r="Z930" t="e">
        <f t="shared" si="45"/>
        <v>#NUM!</v>
      </c>
    </row>
    <row r="931" spans="1:26" x14ac:dyDescent="0.2">
      <c r="A931" s="26" t="e">
        <f t="shared" si="43"/>
        <v>#NUM!</v>
      </c>
      <c r="Y931" s="221">
        <f t="shared" si="44"/>
        <v>0</v>
      </c>
      <c r="Z931" t="e">
        <f t="shared" si="45"/>
        <v>#NUM!</v>
      </c>
    </row>
    <row r="932" spans="1:26" x14ac:dyDescent="0.2">
      <c r="A932" s="26" t="e">
        <f t="shared" si="43"/>
        <v>#NUM!</v>
      </c>
      <c r="Y932" s="221">
        <f t="shared" si="44"/>
        <v>0</v>
      </c>
      <c r="Z932" t="e">
        <f t="shared" si="45"/>
        <v>#NUM!</v>
      </c>
    </row>
    <row r="933" spans="1:26" x14ac:dyDescent="0.2">
      <c r="A933" s="26" t="e">
        <f t="shared" si="43"/>
        <v>#NUM!</v>
      </c>
      <c r="Y933" s="221">
        <f t="shared" si="44"/>
        <v>0</v>
      </c>
      <c r="Z933" t="e">
        <f t="shared" si="45"/>
        <v>#NUM!</v>
      </c>
    </row>
    <row r="934" spans="1:26" x14ac:dyDescent="0.2">
      <c r="A934" s="26" t="e">
        <f t="shared" si="43"/>
        <v>#NUM!</v>
      </c>
      <c r="Y934" s="221">
        <f t="shared" si="44"/>
        <v>0</v>
      </c>
      <c r="Z934" t="e">
        <f t="shared" si="45"/>
        <v>#NUM!</v>
      </c>
    </row>
    <row r="935" spans="1:26" x14ac:dyDescent="0.2">
      <c r="A935" s="26" t="e">
        <f t="shared" si="43"/>
        <v>#NUM!</v>
      </c>
      <c r="Y935" s="221">
        <f t="shared" si="44"/>
        <v>0</v>
      </c>
      <c r="Z935" t="e">
        <f t="shared" si="45"/>
        <v>#NUM!</v>
      </c>
    </row>
    <row r="936" spans="1:26" x14ac:dyDescent="0.2">
      <c r="A936" s="26" t="e">
        <f t="shared" si="43"/>
        <v>#NUM!</v>
      </c>
      <c r="Y936" s="221">
        <f t="shared" si="44"/>
        <v>0</v>
      </c>
      <c r="Z936" t="e">
        <f t="shared" si="45"/>
        <v>#NUM!</v>
      </c>
    </row>
    <row r="937" spans="1:26" x14ac:dyDescent="0.2">
      <c r="A937" s="26" t="e">
        <f t="shared" si="43"/>
        <v>#NUM!</v>
      </c>
      <c r="Y937" s="221">
        <f t="shared" si="44"/>
        <v>0</v>
      </c>
      <c r="Z937" t="e">
        <f t="shared" si="45"/>
        <v>#NUM!</v>
      </c>
    </row>
    <row r="938" spans="1:26" x14ac:dyDescent="0.2">
      <c r="A938" s="26" t="e">
        <f t="shared" si="43"/>
        <v>#NUM!</v>
      </c>
      <c r="Y938" s="221">
        <f t="shared" si="44"/>
        <v>0</v>
      </c>
      <c r="Z938" t="e">
        <f t="shared" si="45"/>
        <v>#NUM!</v>
      </c>
    </row>
    <row r="939" spans="1:26" x14ac:dyDescent="0.2">
      <c r="A939" s="26" t="e">
        <f t="shared" si="43"/>
        <v>#NUM!</v>
      </c>
      <c r="Y939" s="221">
        <f t="shared" si="44"/>
        <v>0</v>
      </c>
      <c r="Z939" t="e">
        <f t="shared" si="45"/>
        <v>#NUM!</v>
      </c>
    </row>
    <row r="940" spans="1:26" x14ac:dyDescent="0.2">
      <c r="A940" s="26" t="e">
        <f t="shared" si="43"/>
        <v>#NUM!</v>
      </c>
      <c r="Y940" s="221">
        <f t="shared" si="44"/>
        <v>0</v>
      </c>
      <c r="Z940" t="e">
        <f t="shared" si="45"/>
        <v>#NUM!</v>
      </c>
    </row>
    <row r="941" spans="1:26" x14ac:dyDescent="0.2">
      <c r="A941" s="26" t="e">
        <f t="shared" si="43"/>
        <v>#NUM!</v>
      </c>
      <c r="Y941" s="221">
        <f t="shared" si="44"/>
        <v>0</v>
      </c>
      <c r="Z941" t="e">
        <f t="shared" si="45"/>
        <v>#NUM!</v>
      </c>
    </row>
    <row r="942" spans="1:26" x14ac:dyDescent="0.2">
      <c r="A942" s="26" t="e">
        <f t="shared" si="43"/>
        <v>#NUM!</v>
      </c>
      <c r="Y942" s="221">
        <f t="shared" si="44"/>
        <v>0</v>
      </c>
      <c r="Z942" t="e">
        <f t="shared" si="45"/>
        <v>#NUM!</v>
      </c>
    </row>
    <row r="943" spans="1:26" x14ac:dyDescent="0.2">
      <c r="A943" s="26" t="e">
        <f t="shared" si="43"/>
        <v>#NUM!</v>
      </c>
      <c r="Y943" s="221">
        <f t="shared" si="44"/>
        <v>0</v>
      </c>
      <c r="Z943" t="e">
        <f t="shared" si="45"/>
        <v>#NUM!</v>
      </c>
    </row>
    <row r="944" spans="1:26" x14ac:dyDescent="0.2">
      <c r="A944" s="26" t="e">
        <f t="shared" si="43"/>
        <v>#NUM!</v>
      </c>
      <c r="Y944" s="221">
        <f t="shared" si="44"/>
        <v>0</v>
      </c>
      <c r="Z944" t="e">
        <f t="shared" si="45"/>
        <v>#NUM!</v>
      </c>
    </row>
    <row r="945" spans="1:26" x14ac:dyDescent="0.2">
      <c r="A945" s="26" t="e">
        <f t="shared" si="43"/>
        <v>#NUM!</v>
      </c>
      <c r="Y945" s="221">
        <f t="shared" si="44"/>
        <v>0</v>
      </c>
      <c r="Z945" t="e">
        <f t="shared" si="45"/>
        <v>#NUM!</v>
      </c>
    </row>
    <row r="946" spans="1:26" x14ac:dyDescent="0.2">
      <c r="A946" s="26" t="e">
        <f t="shared" si="43"/>
        <v>#NUM!</v>
      </c>
      <c r="Y946" s="221">
        <f t="shared" si="44"/>
        <v>0</v>
      </c>
      <c r="Z946" t="e">
        <f t="shared" si="45"/>
        <v>#NUM!</v>
      </c>
    </row>
    <row r="947" spans="1:26" x14ac:dyDescent="0.2">
      <c r="A947" s="26" t="e">
        <f t="shared" si="43"/>
        <v>#NUM!</v>
      </c>
      <c r="Y947" s="221">
        <f t="shared" si="44"/>
        <v>0</v>
      </c>
      <c r="Z947" t="e">
        <f t="shared" si="45"/>
        <v>#NUM!</v>
      </c>
    </row>
    <row r="948" spans="1:26" x14ac:dyDescent="0.2">
      <c r="A948" s="26" t="e">
        <f t="shared" si="43"/>
        <v>#NUM!</v>
      </c>
      <c r="Y948" s="221">
        <f t="shared" si="44"/>
        <v>0</v>
      </c>
      <c r="Z948" t="e">
        <f t="shared" si="45"/>
        <v>#NUM!</v>
      </c>
    </row>
    <row r="949" spans="1:26" x14ac:dyDescent="0.2">
      <c r="A949" s="26" t="e">
        <f t="shared" si="43"/>
        <v>#NUM!</v>
      </c>
      <c r="Y949" s="221">
        <f t="shared" si="44"/>
        <v>0</v>
      </c>
      <c r="Z949" t="e">
        <f t="shared" si="45"/>
        <v>#NUM!</v>
      </c>
    </row>
    <row r="950" spans="1:26" x14ac:dyDescent="0.2">
      <c r="A950" s="26" t="e">
        <f t="shared" si="43"/>
        <v>#NUM!</v>
      </c>
      <c r="Y950" s="221">
        <f t="shared" si="44"/>
        <v>0</v>
      </c>
      <c r="Z950" t="e">
        <f t="shared" si="45"/>
        <v>#NUM!</v>
      </c>
    </row>
    <row r="951" spans="1:26" x14ac:dyDescent="0.2">
      <c r="A951" s="26" t="e">
        <f t="shared" si="43"/>
        <v>#NUM!</v>
      </c>
      <c r="Y951" s="221">
        <f t="shared" si="44"/>
        <v>0</v>
      </c>
      <c r="Z951" t="e">
        <f t="shared" si="45"/>
        <v>#NUM!</v>
      </c>
    </row>
    <row r="952" spans="1:26" x14ac:dyDescent="0.2">
      <c r="A952" s="26" t="e">
        <f t="shared" si="43"/>
        <v>#NUM!</v>
      </c>
      <c r="Y952" s="221">
        <f t="shared" si="44"/>
        <v>0</v>
      </c>
      <c r="Z952" t="e">
        <f t="shared" si="45"/>
        <v>#NUM!</v>
      </c>
    </row>
    <row r="953" spans="1:26" x14ac:dyDescent="0.2">
      <c r="A953" s="26" t="e">
        <f t="shared" si="43"/>
        <v>#NUM!</v>
      </c>
      <c r="Y953" s="221">
        <f t="shared" si="44"/>
        <v>0</v>
      </c>
      <c r="Z953" t="e">
        <f t="shared" si="45"/>
        <v>#NUM!</v>
      </c>
    </row>
    <row r="954" spans="1:26" x14ac:dyDescent="0.2">
      <c r="A954" s="26" t="e">
        <f t="shared" si="43"/>
        <v>#NUM!</v>
      </c>
      <c r="Y954" s="221">
        <f t="shared" si="44"/>
        <v>0</v>
      </c>
      <c r="Z954" t="e">
        <f t="shared" si="45"/>
        <v>#NUM!</v>
      </c>
    </row>
    <row r="955" spans="1:26" x14ac:dyDescent="0.2">
      <c r="A955" s="26" t="e">
        <f t="shared" si="43"/>
        <v>#NUM!</v>
      </c>
      <c r="Y955" s="221">
        <f t="shared" si="44"/>
        <v>0</v>
      </c>
      <c r="Z955" t="e">
        <f t="shared" si="45"/>
        <v>#NUM!</v>
      </c>
    </row>
    <row r="956" spans="1:26" x14ac:dyDescent="0.2">
      <c r="A956" s="26" t="e">
        <f t="shared" si="43"/>
        <v>#NUM!</v>
      </c>
      <c r="Y956" s="221">
        <f t="shared" si="44"/>
        <v>0</v>
      </c>
      <c r="Z956" t="e">
        <f t="shared" si="45"/>
        <v>#NUM!</v>
      </c>
    </row>
    <row r="957" spans="1:26" x14ac:dyDescent="0.2">
      <c r="A957" s="26" t="e">
        <f t="shared" si="43"/>
        <v>#NUM!</v>
      </c>
      <c r="Y957" s="221">
        <f t="shared" si="44"/>
        <v>0</v>
      </c>
      <c r="Z957" t="e">
        <f t="shared" si="45"/>
        <v>#NUM!</v>
      </c>
    </row>
    <row r="958" spans="1:26" x14ac:dyDescent="0.2">
      <c r="A958" s="26" t="e">
        <f t="shared" si="43"/>
        <v>#NUM!</v>
      </c>
      <c r="Y958" s="221">
        <f t="shared" si="44"/>
        <v>0</v>
      </c>
      <c r="Z958" t="e">
        <f t="shared" si="45"/>
        <v>#NUM!</v>
      </c>
    </row>
    <row r="959" spans="1:26" x14ac:dyDescent="0.2">
      <c r="A959" s="26" t="e">
        <f t="shared" si="43"/>
        <v>#NUM!</v>
      </c>
      <c r="Y959" s="221">
        <f t="shared" si="44"/>
        <v>0</v>
      </c>
      <c r="Z959" t="e">
        <f t="shared" si="45"/>
        <v>#NUM!</v>
      </c>
    </row>
    <row r="960" spans="1:26" x14ac:dyDescent="0.2">
      <c r="A960" s="26" t="e">
        <f t="shared" si="43"/>
        <v>#NUM!</v>
      </c>
      <c r="Y960" s="221">
        <f t="shared" si="44"/>
        <v>0</v>
      </c>
      <c r="Z960" t="e">
        <f t="shared" si="45"/>
        <v>#NUM!</v>
      </c>
    </row>
    <row r="961" spans="1:26" x14ac:dyDescent="0.2">
      <c r="A961" s="26" t="e">
        <f t="shared" si="43"/>
        <v>#NUM!</v>
      </c>
      <c r="Y961" s="221">
        <f t="shared" si="44"/>
        <v>0</v>
      </c>
      <c r="Z961" t="e">
        <f t="shared" si="45"/>
        <v>#NUM!</v>
      </c>
    </row>
    <row r="962" spans="1:26" x14ac:dyDescent="0.2">
      <c r="A962" s="26" t="e">
        <f t="shared" si="43"/>
        <v>#NUM!</v>
      </c>
      <c r="Y962" s="221">
        <f t="shared" si="44"/>
        <v>0</v>
      </c>
      <c r="Z962" t="e">
        <f t="shared" si="45"/>
        <v>#NUM!</v>
      </c>
    </row>
    <row r="963" spans="1:26" x14ac:dyDescent="0.2">
      <c r="A963" s="26" t="e">
        <f t="shared" ref="A963:A1026" si="46">DATE(B963,C963,D963)</f>
        <v>#NUM!</v>
      </c>
      <c r="Y963" s="221">
        <f t="shared" ref="Y963:Y1026" si="47">SUM(G963:W963)</f>
        <v>0</v>
      </c>
      <c r="Z963" t="e">
        <f t="shared" ref="Z963:Z1026" si="48">IF(OR(WEEKDAY(A963,2)=6,WEEKDAY(A963,2)=7),X963,0)</f>
        <v>#NUM!</v>
      </c>
    </row>
    <row r="964" spans="1:26" x14ac:dyDescent="0.2">
      <c r="A964" s="26" t="e">
        <f t="shared" si="46"/>
        <v>#NUM!</v>
      </c>
      <c r="Y964" s="221">
        <f t="shared" si="47"/>
        <v>0</v>
      </c>
      <c r="Z964" t="e">
        <f t="shared" si="48"/>
        <v>#NUM!</v>
      </c>
    </row>
    <row r="965" spans="1:26" x14ac:dyDescent="0.2">
      <c r="A965" s="26" t="e">
        <f t="shared" si="46"/>
        <v>#NUM!</v>
      </c>
      <c r="Y965" s="221">
        <f t="shared" si="47"/>
        <v>0</v>
      </c>
      <c r="Z965" t="e">
        <f t="shared" si="48"/>
        <v>#NUM!</v>
      </c>
    </row>
    <row r="966" spans="1:26" x14ac:dyDescent="0.2">
      <c r="A966" s="26" t="e">
        <f t="shared" si="46"/>
        <v>#NUM!</v>
      </c>
      <c r="Y966" s="221">
        <f t="shared" si="47"/>
        <v>0</v>
      </c>
      <c r="Z966" t="e">
        <f t="shared" si="48"/>
        <v>#NUM!</v>
      </c>
    </row>
    <row r="967" spans="1:26" x14ac:dyDescent="0.2">
      <c r="A967" s="26" t="e">
        <f t="shared" si="46"/>
        <v>#NUM!</v>
      </c>
      <c r="Y967" s="221">
        <f t="shared" si="47"/>
        <v>0</v>
      </c>
      <c r="Z967" t="e">
        <f t="shared" si="48"/>
        <v>#NUM!</v>
      </c>
    </row>
    <row r="968" spans="1:26" x14ac:dyDescent="0.2">
      <c r="A968" s="26" t="e">
        <f t="shared" si="46"/>
        <v>#NUM!</v>
      </c>
      <c r="Y968" s="221">
        <f t="shared" si="47"/>
        <v>0</v>
      </c>
      <c r="Z968" t="e">
        <f t="shared" si="48"/>
        <v>#NUM!</v>
      </c>
    </row>
    <row r="969" spans="1:26" x14ac:dyDescent="0.2">
      <c r="A969" s="26" t="e">
        <f t="shared" si="46"/>
        <v>#NUM!</v>
      </c>
      <c r="Y969" s="221">
        <f t="shared" si="47"/>
        <v>0</v>
      </c>
      <c r="Z969" t="e">
        <f t="shared" si="48"/>
        <v>#NUM!</v>
      </c>
    </row>
    <row r="970" spans="1:26" x14ac:dyDescent="0.2">
      <c r="A970" s="26" t="e">
        <f t="shared" si="46"/>
        <v>#NUM!</v>
      </c>
      <c r="Y970" s="221">
        <f t="shared" si="47"/>
        <v>0</v>
      </c>
      <c r="Z970" t="e">
        <f t="shared" si="48"/>
        <v>#NUM!</v>
      </c>
    </row>
    <row r="971" spans="1:26" x14ac:dyDescent="0.2">
      <c r="A971" s="26" t="e">
        <f t="shared" si="46"/>
        <v>#NUM!</v>
      </c>
      <c r="Y971" s="221">
        <f t="shared" si="47"/>
        <v>0</v>
      </c>
      <c r="Z971" t="e">
        <f t="shared" si="48"/>
        <v>#NUM!</v>
      </c>
    </row>
    <row r="972" spans="1:26" x14ac:dyDescent="0.2">
      <c r="A972" s="26" t="e">
        <f t="shared" si="46"/>
        <v>#NUM!</v>
      </c>
      <c r="Y972" s="221">
        <f t="shared" si="47"/>
        <v>0</v>
      </c>
      <c r="Z972" t="e">
        <f t="shared" si="48"/>
        <v>#NUM!</v>
      </c>
    </row>
    <row r="973" spans="1:26" x14ac:dyDescent="0.2">
      <c r="A973" s="26" t="e">
        <f t="shared" si="46"/>
        <v>#NUM!</v>
      </c>
      <c r="Y973" s="221">
        <f t="shared" si="47"/>
        <v>0</v>
      </c>
      <c r="Z973" t="e">
        <f t="shared" si="48"/>
        <v>#NUM!</v>
      </c>
    </row>
    <row r="974" spans="1:26" x14ac:dyDescent="0.2">
      <c r="A974" s="26" t="e">
        <f t="shared" si="46"/>
        <v>#NUM!</v>
      </c>
      <c r="Y974" s="221">
        <f t="shared" si="47"/>
        <v>0</v>
      </c>
      <c r="Z974" t="e">
        <f t="shared" si="48"/>
        <v>#NUM!</v>
      </c>
    </row>
    <row r="975" spans="1:26" x14ac:dyDescent="0.2">
      <c r="A975" s="26" t="e">
        <f t="shared" si="46"/>
        <v>#NUM!</v>
      </c>
      <c r="Y975" s="221">
        <f t="shared" si="47"/>
        <v>0</v>
      </c>
      <c r="Z975" t="e">
        <f t="shared" si="48"/>
        <v>#NUM!</v>
      </c>
    </row>
    <row r="976" spans="1:26" x14ac:dyDescent="0.2">
      <c r="A976" s="26" t="e">
        <f t="shared" si="46"/>
        <v>#NUM!</v>
      </c>
      <c r="Y976" s="221">
        <f t="shared" si="47"/>
        <v>0</v>
      </c>
      <c r="Z976" t="e">
        <f t="shared" si="48"/>
        <v>#NUM!</v>
      </c>
    </row>
    <row r="977" spans="1:26" x14ac:dyDescent="0.2">
      <c r="A977" s="26" t="e">
        <f t="shared" si="46"/>
        <v>#NUM!</v>
      </c>
      <c r="Y977" s="221">
        <f t="shared" si="47"/>
        <v>0</v>
      </c>
      <c r="Z977" t="e">
        <f t="shared" si="48"/>
        <v>#NUM!</v>
      </c>
    </row>
    <row r="978" spans="1:26" x14ac:dyDescent="0.2">
      <c r="A978" s="26" t="e">
        <f t="shared" si="46"/>
        <v>#NUM!</v>
      </c>
      <c r="Y978" s="221">
        <f t="shared" si="47"/>
        <v>0</v>
      </c>
      <c r="Z978" t="e">
        <f t="shared" si="48"/>
        <v>#NUM!</v>
      </c>
    </row>
    <row r="979" spans="1:26" x14ac:dyDescent="0.2">
      <c r="A979" s="26" t="e">
        <f t="shared" si="46"/>
        <v>#NUM!</v>
      </c>
      <c r="Y979" s="221">
        <f t="shared" si="47"/>
        <v>0</v>
      </c>
      <c r="Z979" t="e">
        <f t="shared" si="48"/>
        <v>#NUM!</v>
      </c>
    </row>
    <row r="980" spans="1:26" x14ac:dyDescent="0.2">
      <c r="A980" s="26" t="e">
        <f t="shared" si="46"/>
        <v>#NUM!</v>
      </c>
      <c r="Y980" s="221">
        <f t="shared" si="47"/>
        <v>0</v>
      </c>
      <c r="Z980" t="e">
        <f t="shared" si="48"/>
        <v>#NUM!</v>
      </c>
    </row>
    <row r="981" spans="1:26" x14ac:dyDescent="0.2">
      <c r="A981" s="26" t="e">
        <f t="shared" si="46"/>
        <v>#NUM!</v>
      </c>
      <c r="Y981" s="221">
        <f t="shared" si="47"/>
        <v>0</v>
      </c>
      <c r="Z981" t="e">
        <f t="shared" si="48"/>
        <v>#NUM!</v>
      </c>
    </row>
    <row r="982" spans="1:26" x14ac:dyDescent="0.2">
      <c r="A982" s="26" t="e">
        <f t="shared" si="46"/>
        <v>#NUM!</v>
      </c>
      <c r="Y982" s="221">
        <f t="shared" si="47"/>
        <v>0</v>
      </c>
      <c r="Z982" t="e">
        <f t="shared" si="48"/>
        <v>#NUM!</v>
      </c>
    </row>
    <row r="983" spans="1:26" x14ac:dyDescent="0.2">
      <c r="A983" s="26" t="e">
        <f t="shared" si="46"/>
        <v>#NUM!</v>
      </c>
      <c r="Y983" s="221">
        <f t="shared" si="47"/>
        <v>0</v>
      </c>
      <c r="Z983" t="e">
        <f t="shared" si="48"/>
        <v>#NUM!</v>
      </c>
    </row>
    <row r="984" spans="1:26" x14ac:dyDescent="0.2">
      <c r="A984" s="26" t="e">
        <f t="shared" si="46"/>
        <v>#NUM!</v>
      </c>
      <c r="Y984" s="221">
        <f t="shared" si="47"/>
        <v>0</v>
      </c>
      <c r="Z984" t="e">
        <f t="shared" si="48"/>
        <v>#NUM!</v>
      </c>
    </row>
    <row r="985" spans="1:26" x14ac:dyDescent="0.2">
      <c r="A985" s="26" t="e">
        <f t="shared" si="46"/>
        <v>#NUM!</v>
      </c>
      <c r="Y985" s="221">
        <f t="shared" si="47"/>
        <v>0</v>
      </c>
      <c r="Z985" t="e">
        <f t="shared" si="48"/>
        <v>#NUM!</v>
      </c>
    </row>
    <row r="986" spans="1:26" x14ac:dyDescent="0.2">
      <c r="A986" s="26" t="e">
        <f t="shared" si="46"/>
        <v>#NUM!</v>
      </c>
      <c r="Y986" s="221">
        <f t="shared" si="47"/>
        <v>0</v>
      </c>
      <c r="Z986" t="e">
        <f t="shared" si="48"/>
        <v>#NUM!</v>
      </c>
    </row>
    <row r="987" spans="1:26" x14ac:dyDescent="0.2">
      <c r="A987" s="26" t="e">
        <f t="shared" si="46"/>
        <v>#NUM!</v>
      </c>
      <c r="Y987" s="221">
        <f t="shared" si="47"/>
        <v>0</v>
      </c>
      <c r="Z987" t="e">
        <f t="shared" si="48"/>
        <v>#NUM!</v>
      </c>
    </row>
    <row r="988" spans="1:26" x14ac:dyDescent="0.2">
      <c r="A988" s="26" t="e">
        <f t="shared" si="46"/>
        <v>#NUM!</v>
      </c>
      <c r="Y988" s="221">
        <f t="shared" si="47"/>
        <v>0</v>
      </c>
      <c r="Z988" t="e">
        <f t="shared" si="48"/>
        <v>#NUM!</v>
      </c>
    </row>
    <row r="989" spans="1:26" x14ac:dyDescent="0.2">
      <c r="A989" s="26" t="e">
        <f t="shared" si="46"/>
        <v>#NUM!</v>
      </c>
      <c r="Y989" s="221">
        <f t="shared" si="47"/>
        <v>0</v>
      </c>
      <c r="Z989" t="e">
        <f t="shared" si="48"/>
        <v>#NUM!</v>
      </c>
    </row>
    <row r="990" spans="1:26" x14ac:dyDescent="0.2">
      <c r="A990" s="26" t="e">
        <f t="shared" si="46"/>
        <v>#NUM!</v>
      </c>
      <c r="Y990" s="221">
        <f t="shared" si="47"/>
        <v>0</v>
      </c>
      <c r="Z990" t="e">
        <f t="shared" si="48"/>
        <v>#NUM!</v>
      </c>
    </row>
    <row r="991" spans="1:26" x14ac:dyDescent="0.2">
      <c r="A991" s="26" t="e">
        <f t="shared" si="46"/>
        <v>#NUM!</v>
      </c>
      <c r="Y991" s="221">
        <f t="shared" si="47"/>
        <v>0</v>
      </c>
      <c r="Z991" t="e">
        <f t="shared" si="48"/>
        <v>#NUM!</v>
      </c>
    </row>
    <row r="992" spans="1:26" x14ac:dyDescent="0.2">
      <c r="A992" s="26" t="e">
        <f t="shared" si="46"/>
        <v>#NUM!</v>
      </c>
      <c r="Y992" s="221">
        <f t="shared" si="47"/>
        <v>0</v>
      </c>
      <c r="Z992" t="e">
        <f t="shared" si="48"/>
        <v>#NUM!</v>
      </c>
    </row>
    <row r="993" spans="1:26" x14ac:dyDescent="0.2">
      <c r="A993" s="26" t="e">
        <f t="shared" si="46"/>
        <v>#NUM!</v>
      </c>
      <c r="Y993" s="221">
        <f t="shared" si="47"/>
        <v>0</v>
      </c>
      <c r="Z993" t="e">
        <f t="shared" si="48"/>
        <v>#NUM!</v>
      </c>
    </row>
    <row r="994" spans="1:26" x14ac:dyDescent="0.2">
      <c r="A994" s="26" t="e">
        <f t="shared" si="46"/>
        <v>#NUM!</v>
      </c>
      <c r="Y994" s="221">
        <f t="shared" si="47"/>
        <v>0</v>
      </c>
      <c r="Z994" t="e">
        <f t="shared" si="48"/>
        <v>#NUM!</v>
      </c>
    </row>
    <row r="995" spans="1:26" x14ac:dyDescent="0.2">
      <c r="A995" s="26" t="e">
        <f t="shared" si="46"/>
        <v>#NUM!</v>
      </c>
      <c r="Y995" s="221">
        <f t="shared" si="47"/>
        <v>0</v>
      </c>
      <c r="Z995" t="e">
        <f t="shared" si="48"/>
        <v>#NUM!</v>
      </c>
    </row>
    <row r="996" spans="1:26" x14ac:dyDescent="0.2">
      <c r="A996" s="26" t="e">
        <f t="shared" si="46"/>
        <v>#NUM!</v>
      </c>
      <c r="Y996" s="221">
        <f t="shared" si="47"/>
        <v>0</v>
      </c>
      <c r="Z996" t="e">
        <f t="shared" si="48"/>
        <v>#NUM!</v>
      </c>
    </row>
    <row r="997" spans="1:26" x14ac:dyDescent="0.2">
      <c r="A997" s="26" t="e">
        <f t="shared" si="46"/>
        <v>#NUM!</v>
      </c>
      <c r="Y997" s="221">
        <f t="shared" si="47"/>
        <v>0</v>
      </c>
      <c r="Z997" t="e">
        <f t="shared" si="48"/>
        <v>#NUM!</v>
      </c>
    </row>
    <row r="998" spans="1:26" x14ac:dyDescent="0.2">
      <c r="A998" s="26" t="e">
        <f t="shared" si="46"/>
        <v>#NUM!</v>
      </c>
      <c r="Y998" s="221">
        <f t="shared" si="47"/>
        <v>0</v>
      </c>
      <c r="Z998" t="e">
        <f t="shared" si="48"/>
        <v>#NUM!</v>
      </c>
    </row>
    <row r="999" spans="1:26" x14ac:dyDescent="0.2">
      <c r="A999" s="26" t="e">
        <f t="shared" si="46"/>
        <v>#NUM!</v>
      </c>
      <c r="Y999" s="221">
        <f t="shared" si="47"/>
        <v>0</v>
      </c>
      <c r="Z999" t="e">
        <f t="shared" si="48"/>
        <v>#NUM!</v>
      </c>
    </row>
    <row r="1000" spans="1:26" x14ac:dyDescent="0.2">
      <c r="A1000" s="26" t="e">
        <f t="shared" si="46"/>
        <v>#NUM!</v>
      </c>
      <c r="Y1000" s="221">
        <f t="shared" si="47"/>
        <v>0</v>
      </c>
      <c r="Z1000" t="e">
        <f t="shared" si="48"/>
        <v>#NUM!</v>
      </c>
    </row>
    <row r="1001" spans="1:26" x14ac:dyDescent="0.2">
      <c r="A1001" s="26" t="e">
        <f t="shared" si="46"/>
        <v>#NUM!</v>
      </c>
      <c r="Y1001" s="221">
        <f t="shared" si="47"/>
        <v>0</v>
      </c>
      <c r="Z1001" t="e">
        <f t="shared" si="48"/>
        <v>#NUM!</v>
      </c>
    </row>
    <row r="1002" spans="1:26" x14ac:dyDescent="0.2">
      <c r="A1002" s="26" t="e">
        <f t="shared" si="46"/>
        <v>#NUM!</v>
      </c>
      <c r="Y1002" s="221">
        <f t="shared" si="47"/>
        <v>0</v>
      </c>
      <c r="Z1002" t="e">
        <f t="shared" si="48"/>
        <v>#NUM!</v>
      </c>
    </row>
    <row r="1003" spans="1:26" x14ac:dyDescent="0.2">
      <c r="A1003" s="26" t="e">
        <f t="shared" si="46"/>
        <v>#NUM!</v>
      </c>
      <c r="Y1003" s="221">
        <f t="shared" si="47"/>
        <v>0</v>
      </c>
      <c r="Z1003" t="e">
        <f t="shared" si="48"/>
        <v>#NUM!</v>
      </c>
    </row>
    <row r="1004" spans="1:26" x14ac:dyDescent="0.2">
      <c r="A1004" s="26" t="e">
        <f t="shared" si="46"/>
        <v>#NUM!</v>
      </c>
      <c r="Y1004" s="221">
        <f t="shared" si="47"/>
        <v>0</v>
      </c>
      <c r="Z1004" t="e">
        <f t="shared" si="48"/>
        <v>#NUM!</v>
      </c>
    </row>
    <row r="1005" spans="1:26" x14ac:dyDescent="0.2">
      <c r="A1005" s="26" t="e">
        <f t="shared" si="46"/>
        <v>#NUM!</v>
      </c>
      <c r="Y1005" s="221">
        <f t="shared" si="47"/>
        <v>0</v>
      </c>
      <c r="Z1005" t="e">
        <f t="shared" si="48"/>
        <v>#NUM!</v>
      </c>
    </row>
    <row r="1006" spans="1:26" x14ac:dyDescent="0.2">
      <c r="A1006" s="26" t="e">
        <f t="shared" si="46"/>
        <v>#NUM!</v>
      </c>
      <c r="Y1006" s="221">
        <f t="shared" si="47"/>
        <v>0</v>
      </c>
      <c r="Z1006" t="e">
        <f t="shared" si="48"/>
        <v>#NUM!</v>
      </c>
    </row>
    <row r="1007" spans="1:26" x14ac:dyDescent="0.2">
      <c r="A1007" s="26" t="e">
        <f t="shared" si="46"/>
        <v>#NUM!</v>
      </c>
      <c r="Y1007" s="221">
        <f t="shared" si="47"/>
        <v>0</v>
      </c>
      <c r="Z1007" t="e">
        <f t="shared" si="48"/>
        <v>#NUM!</v>
      </c>
    </row>
    <row r="1008" spans="1:26" x14ac:dyDescent="0.2">
      <c r="A1008" s="26" t="e">
        <f t="shared" si="46"/>
        <v>#NUM!</v>
      </c>
      <c r="Y1008" s="221">
        <f t="shared" si="47"/>
        <v>0</v>
      </c>
      <c r="Z1008" t="e">
        <f t="shared" si="48"/>
        <v>#NUM!</v>
      </c>
    </row>
    <row r="1009" spans="1:26" x14ac:dyDescent="0.2">
      <c r="A1009" s="26" t="e">
        <f t="shared" si="46"/>
        <v>#NUM!</v>
      </c>
      <c r="Y1009" s="221">
        <f t="shared" si="47"/>
        <v>0</v>
      </c>
      <c r="Z1009" t="e">
        <f t="shared" si="48"/>
        <v>#NUM!</v>
      </c>
    </row>
    <row r="1010" spans="1:26" x14ac:dyDescent="0.2">
      <c r="A1010" s="26" t="e">
        <f t="shared" si="46"/>
        <v>#NUM!</v>
      </c>
      <c r="Y1010" s="221">
        <f t="shared" si="47"/>
        <v>0</v>
      </c>
      <c r="Z1010" t="e">
        <f t="shared" si="48"/>
        <v>#NUM!</v>
      </c>
    </row>
    <row r="1011" spans="1:26" x14ac:dyDescent="0.2">
      <c r="A1011" s="26" t="e">
        <f t="shared" si="46"/>
        <v>#NUM!</v>
      </c>
      <c r="Y1011" s="221">
        <f t="shared" si="47"/>
        <v>0</v>
      </c>
      <c r="Z1011" t="e">
        <f t="shared" si="48"/>
        <v>#NUM!</v>
      </c>
    </row>
    <row r="1012" spans="1:26" x14ac:dyDescent="0.2">
      <c r="A1012" s="26" t="e">
        <f t="shared" si="46"/>
        <v>#NUM!</v>
      </c>
      <c r="Y1012" s="221">
        <f t="shared" si="47"/>
        <v>0</v>
      </c>
      <c r="Z1012" t="e">
        <f t="shared" si="48"/>
        <v>#NUM!</v>
      </c>
    </row>
    <row r="1013" spans="1:26" x14ac:dyDescent="0.2">
      <c r="A1013" s="26" t="e">
        <f t="shared" si="46"/>
        <v>#NUM!</v>
      </c>
      <c r="Y1013" s="221">
        <f t="shared" si="47"/>
        <v>0</v>
      </c>
      <c r="Z1013" t="e">
        <f t="shared" si="48"/>
        <v>#NUM!</v>
      </c>
    </row>
    <row r="1014" spans="1:26" x14ac:dyDescent="0.2">
      <c r="A1014" s="26" t="e">
        <f t="shared" si="46"/>
        <v>#NUM!</v>
      </c>
      <c r="Y1014" s="221">
        <f t="shared" si="47"/>
        <v>0</v>
      </c>
      <c r="Z1014" t="e">
        <f t="shared" si="48"/>
        <v>#NUM!</v>
      </c>
    </row>
    <row r="1015" spans="1:26" x14ac:dyDescent="0.2">
      <c r="A1015" s="26" t="e">
        <f t="shared" si="46"/>
        <v>#NUM!</v>
      </c>
      <c r="Y1015" s="221">
        <f t="shared" si="47"/>
        <v>0</v>
      </c>
      <c r="Z1015" t="e">
        <f t="shared" si="48"/>
        <v>#NUM!</v>
      </c>
    </row>
    <row r="1016" spans="1:26" x14ac:dyDescent="0.2">
      <c r="A1016" s="26" t="e">
        <f t="shared" si="46"/>
        <v>#NUM!</v>
      </c>
      <c r="Y1016" s="221">
        <f t="shared" si="47"/>
        <v>0</v>
      </c>
      <c r="Z1016" t="e">
        <f t="shared" si="48"/>
        <v>#NUM!</v>
      </c>
    </row>
    <row r="1017" spans="1:26" x14ac:dyDescent="0.2">
      <c r="A1017" s="26" t="e">
        <f t="shared" si="46"/>
        <v>#NUM!</v>
      </c>
      <c r="Y1017" s="221">
        <f t="shared" si="47"/>
        <v>0</v>
      </c>
      <c r="Z1017" t="e">
        <f t="shared" si="48"/>
        <v>#NUM!</v>
      </c>
    </row>
    <row r="1018" spans="1:26" x14ac:dyDescent="0.2">
      <c r="A1018" s="26" t="e">
        <f t="shared" si="46"/>
        <v>#NUM!</v>
      </c>
      <c r="Y1018" s="221">
        <f t="shared" si="47"/>
        <v>0</v>
      </c>
      <c r="Z1018" t="e">
        <f t="shared" si="48"/>
        <v>#NUM!</v>
      </c>
    </row>
    <row r="1019" spans="1:26" x14ac:dyDescent="0.2">
      <c r="A1019" s="26" t="e">
        <f t="shared" si="46"/>
        <v>#NUM!</v>
      </c>
      <c r="Y1019" s="221">
        <f t="shared" si="47"/>
        <v>0</v>
      </c>
      <c r="Z1019" t="e">
        <f t="shared" si="48"/>
        <v>#NUM!</v>
      </c>
    </row>
    <row r="1020" spans="1:26" x14ac:dyDescent="0.2">
      <c r="A1020" s="26" t="e">
        <f t="shared" si="46"/>
        <v>#NUM!</v>
      </c>
      <c r="Y1020" s="221">
        <f t="shared" si="47"/>
        <v>0</v>
      </c>
      <c r="Z1020" t="e">
        <f t="shared" si="48"/>
        <v>#NUM!</v>
      </c>
    </row>
    <row r="1021" spans="1:26" x14ac:dyDescent="0.2">
      <c r="A1021" s="26" t="e">
        <f t="shared" si="46"/>
        <v>#NUM!</v>
      </c>
      <c r="Y1021" s="221">
        <f t="shared" si="47"/>
        <v>0</v>
      </c>
      <c r="Z1021" t="e">
        <f t="shared" si="48"/>
        <v>#NUM!</v>
      </c>
    </row>
    <row r="1022" spans="1:26" x14ac:dyDescent="0.2">
      <c r="A1022" s="26" t="e">
        <f t="shared" si="46"/>
        <v>#NUM!</v>
      </c>
      <c r="Y1022" s="221">
        <f t="shared" si="47"/>
        <v>0</v>
      </c>
      <c r="Z1022" t="e">
        <f t="shared" si="48"/>
        <v>#NUM!</v>
      </c>
    </row>
    <row r="1023" spans="1:26" x14ac:dyDescent="0.2">
      <c r="A1023" s="26" t="e">
        <f t="shared" si="46"/>
        <v>#NUM!</v>
      </c>
      <c r="Y1023" s="221">
        <f t="shared" si="47"/>
        <v>0</v>
      </c>
      <c r="Z1023" t="e">
        <f t="shared" si="48"/>
        <v>#NUM!</v>
      </c>
    </row>
    <row r="1024" spans="1:26" x14ac:dyDescent="0.2">
      <c r="A1024" s="26" t="e">
        <f t="shared" si="46"/>
        <v>#NUM!</v>
      </c>
      <c r="Y1024" s="221">
        <f t="shared" si="47"/>
        <v>0</v>
      </c>
      <c r="Z1024" t="e">
        <f t="shared" si="48"/>
        <v>#NUM!</v>
      </c>
    </row>
    <row r="1025" spans="1:26" x14ac:dyDescent="0.2">
      <c r="A1025" s="26" t="e">
        <f t="shared" si="46"/>
        <v>#NUM!</v>
      </c>
      <c r="Y1025" s="221">
        <f t="shared" si="47"/>
        <v>0</v>
      </c>
      <c r="Z1025" t="e">
        <f t="shared" si="48"/>
        <v>#NUM!</v>
      </c>
    </row>
    <row r="1026" spans="1:26" x14ac:dyDescent="0.2">
      <c r="A1026" s="26" t="e">
        <f t="shared" si="46"/>
        <v>#NUM!</v>
      </c>
      <c r="Y1026" s="221">
        <f t="shared" si="47"/>
        <v>0</v>
      </c>
      <c r="Z1026" t="e">
        <f t="shared" si="48"/>
        <v>#NUM!</v>
      </c>
    </row>
    <row r="1027" spans="1:26" x14ac:dyDescent="0.2">
      <c r="A1027" s="26" t="e">
        <f t="shared" ref="A1027:A1090" si="49">DATE(B1027,C1027,D1027)</f>
        <v>#NUM!</v>
      </c>
      <c r="Y1027" s="221">
        <f t="shared" ref="Y1027:Y1090" si="50">SUM(G1027:W1027)</f>
        <v>0</v>
      </c>
      <c r="Z1027" t="e">
        <f t="shared" ref="Z1027:Z1090" si="51">IF(OR(WEEKDAY(A1027,2)=6,WEEKDAY(A1027,2)=7),X1027,0)</f>
        <v>#NUM!</v>
      </c>
    </row>
    <row r="1028" spans="1:26" x14ac:dyDescent="0.2">
      <c r="A1028" s="26" t="e">
        <f t="shared" si="49"/>
        <v>#NUM!</v>
      </c>
      <c r="Y1028" s="221">
        <f t="shared" si="50"/>
        <v>0</v>
      </c>
      <c r="Z1028" t="e">
        <f t="shared" si="51"/>
        <v>#NUM!</v>
      </c>
    </row>
    <row r="1029" spans="1:26" x14ac:dyDescent="0.2">
      <c r="A1029" s="26" t="e">
        <f t="shared" si="49"/>
        <v>#NUM!</v>
      </c>
      <c r="Y1029" s="221">
        <f t="shared" si="50"/>
        <v>0</v>
      </c>
      <c r="Z1029" t="e">
        <f t="shared" si="51"/>
        <v>#NUM!</v>
      </c>
    </row>
    <row r="1030" spans="1:26" x14ac:dyDescent="0.2">
      <c r="A1030" s="26" t="e">
        <f t="shared" si="49"/>
        <v>#NUM!</v>
      </c>
      <c r="Y1030" s="221">
        <f t="shared" si="50"/>
        <v>0</v>
      </c>
      <c r="Z1030" t="e">
        <f t="shared" si="51"/>
        <v>#NUM!</v>
      </c>
    </row>
    <row r="1031" spans="1:26" x14ac:dyDescent="0.2">
      <c r="A1031" s="26" t="e">
        <f t="shared" si="49"/>
        <v>#NUM!</v>
      </c>
      <c r="Y1031" s="221">
        <f t="shared" si="50"/>
        <v>0</v>
      </c>
      <c r="Z1031" t="e">
        <f t="shared" si="51"/>
        <v>#NUM!</v>
      </c>
    </row>
    <row r="1032" spans="1:26" x14ac:dyDescent="0.2">
      <c r="A1032" s="26" t="e">
        <f t="shared" si="49"/>
        <v>#NUM!</v>
      </c>
      <c r="Y1032" s="221">
        <f t="shared" si="50"/>
        <v>0</v>
      </c>
      <c r="Z1032" t="e">
        <f t="shared" si="51"/>
        <v>#NUM!</v>
      </c>
    </row>
    <row r="1033" spans="1:26" x14ac:dyDescent="0.2">
      <c r="A1033" s="26" t="e">
        <f t="shared" si="49"/>
        <v>#NUM!</v>
      </c>
      <c r="Y1033" s="221">
        <f t="shared" si="50"/>
        <v>0</v>
      </c>
      <c r="Z1033" t="e">
        <f t="shared" si="51"/>
        <v>#NUM!</v>
      </c>
    </row>
    <row r="1034" spans="1:26" x14ac:dyDescent="0.2">
      <c r="A1034" s="26" t="e">
        <f t="shared" si="49"/>
        <v>#NUM!</v>
      </c>
      <c r="Y1034" s="221">
        <f t="shared" si="50"/>
        <v>0</v>
      </c>
      <c r="Z1034" t="e">
        <f t="shared" si="51"/>
        <v>#NUM!</v>
      </c>
    </row>
    <row r="1035" spans="1:26" x14ac:dyDescent="0.2">
      <c r="A1035" s="26" t="e">
        <f t="shared" si="49"/>
        <v>#NUM!</v>
      </c>
      <c r="Y1035" s="221">
        <f t="shared" si="50"/>
        <v>0</v>
      </c>
      <c r="Z1035" t="e">
        <f t="shared" si="51"/>
        <v>#NUM!</v>
      </c>
    </row>
    <row r="1036" spans="1:26" x14ac:dyDescent="0.2">
      <c r="A1036" s="26" t="e">
        <f t="shared" si="49"/>
        <v>#NUM!</v>
      </c>
      <c r="Y1036" s="221">
        <f t="shared" si="50"/>
        <v>0</v>
      </c>
      <c r="Z1036" t="e">
        <f t="shared" si="51"/>
        <v>#NUM!</v>
      </c>
    </row>
    <row r="1037" spans="1:26" x14ac:dyDescent="0.2">
      <c r="A1037" s="26" t="e">
        <f t="shared" si="49"/>
        <v>#NUM!</v>
      </c>
      <c r="Y1037" s="221">
        <f t="shared" si="50"/>
        <v>0</v>
      </c>
      <c r="Z1037" t="e">
        <f t="shared" si="51"/>
        <v>#NUM!</v>
      </c>
    </row>
    <row r="1038" spans="1:26" x14ac:dyDescent="0.2">
      <c r="A1038" s="26" t="e">
        <f t="shared" si="49"/>
        <v>#NUM!</v>
      </c>
      <c r="Y1038" s="221">
        <f t="shared" si="50"/>
        <v>0</v>
      </c>
      <c r="Z1038" t="e">
        <f t="shared" si="51"/>
        <v>#NUM!</v>
      </c>
    </row>
    <row r="1039" spans="1:26" x14ac:dyDescent="0.2">
      <c r="A1039" s="26" t="e">
        <f t="shared" si="49"/>
        <v>#NUM!</v>
      </c>
      <c r="Y1039" s="221">
        <f t="shared" si="50"/>
        <v>0</v>
      </c>
      <c r="Z1039" t="e">
        <f t="shared" si="51"/>
        <v>#NUM!</v>
      </c>
    </row>
    <row r="1040" spans="1:26" x14ac:dyDescent="0.2">
      <c r="A1040" s="26" t="e">
        <f t="shared" si="49"/>
        <v>#NUM!</v>
      </c>
      <c r="Y1040" s="221">
        <f t="shared" si="50"/>
        <v>0</v>
      </c>
      <c r="Z1040" t="e">
        <f t="shared" si="51"/>
        <v>#NUM!</v>
      </c>
    </row>
    <row r="1041" spans="1:26" x14ac:dyDescent="0.2">
      <c r="A1041" s="26" t="e">
        <f t="shared" si="49"/>
        <v>#NUM!</v>
      </c>
      <c r="Y1041" s="221">
        <f t="shared" si="50"/>
        <v>0</v>
      </c>
      <c r="Z1041" t="e">
        <f t="shared" si="51"/>
        <v>#NUM!</v>
      </c>
    </row>
    <row r="1042" spans="1:26" x14ac:dyDescent="0.2">
      <c r="A1042" s="26" t="e">
        <f t="shared" si="49"/>
        <v>#NUM!</v>
      </c>
      <c r="Y1042" s="221">
        <f t="shared" si="50"/>
        <v>0</v>
      </c>
      <c r="Z1042" t="e">
        <f t="shared" si="51"/>
        <v>#NUM!</v>
      </c>
    </row>
    <row r="1043" spans="1:26" x14ac:dyDescent="0.2">
      <c r="A1043" s="26" t="e">
        <f t="shared" si="49"/>
        <v>#NUM!</v>
      </c>
      <c r="Y1043" s="221">
        <f t="shared" si="50"/>
        <v>0</v>
      </c>
      <c r="Z1043" t="e">
        <f t="shared" si="51"/>
        <v>#NUM!</v>
      </c>
    </row>
    <row r="1044" spans="1:26" x14ac:dyDescent="0.2">
      <c r="A1044" s="26" t="e">
        <f t="shared" si="49"/>
        <v>#NUM!</v>
      </c>
      <c r="Y1044" s="221">
        <f t="shared" si="50"/>
        <v>0</v>
      </c>
      <c r="Z1044" t="e">
        <f t="shared" si="51"/>
        <v>#NUM!</v>
      </c>
    </row>
    <row r="1045" spans="1:26" x14ac:dyDescent="0.2">
      <c r="A1045" s="26" t="e">
        <f t="shared" si="49"/>
        <v>#NUM!</v>
      </c>
      <c r="Y1045" s="221">
        <f t="shared" si="50"/>
        <v>0</v>
      </c>
      <c r="Z1045" t="e">
        <f t="shared" si="51"/>
        <v>#NUM!</v>
      </c>
    </row>
    <row r="1046" spans="1:26" x14ac:dyDescent="0.2">
      <c r="A1046" s="26" t="e">
        <f t="shared" si="49"/>
        <v>#NUM!</v>
      </c>
      <c r="Y1046" s="221">
        <f t="shared" si="50"/>
        <v>0</v>
      </c>
      <c r="Z1046" t="e">
        <f t="shared" si="51"/>
        <v>#NUM!</v>
      </c>
    </row>
    <row r="1047" spans="1:26" x14ac:dyDescent="0.2">
      <c r="A1047" s="26" t="e">
        <f t="shared" si="49"/>
        <v>#NUM!</v>
      </c>
      <c r="Y1047" s="221">
        <f t="shared" si="50"/>
        <v>0</v>
      </c>
      <c r="Z1047" t="e">
        <f t="shared" si="51"/>
        <v>#NUM!</v>
      </c>
    </row>
    <row r="1048" spans="1:26" x14ac:dyDescent="0.2">
      <c r="A1048" s="26" t="e">
        <f t="shared" si="49"/>
        <v>#NUM!</v>
      </c>
      <c r="Y1048" s="221">
        <f t="shared" si="50"/>
        <v>0</v>
      </c>
      <c r="Z1048" t="e">
        <f t="shared" si="51"/>
        <v>#NUM!</v>
      </c>
    </row>
    <row r="1049" spans="1:26" x14ac:dyDescent="0.2">
      <c r="A1049" s="26" t="e">
        <f t="shared" si="49"/>
        <v>#NUM!</v>
      </c>
      <c r="Y1049" s="221">
        <f t="shared" si="50"/>
        <v>0</v>
      </c>
      <c r="Z1049" t="e">
        <f t="shared" si="51"/>
        <v>#NUM!</v>
      </c>
    </row>
    <row r="1050" spans="1:26" x14ac:dyDescent="0.2">
      <c r="A1050" s="26" t="e">
        <f t="shared" si="49"/>
        <v>#NUM!</v>
      </c>
      <c r="Y1050" s="221">
        <f t="shared" si="50"/>
        <v>0</v>
      </c>
      <c r="Z1050" t="e">
        <f t="shared" si="51"/>
        <v>#NUM!</v>
      </c>
    </row>
    <row r="1051" spans="1:26" x14ac:dyDescent="0.2">
      <c r="A1051" s="26" t="e">
        <f t="shared" si="49"/>
        <v>#NUM!</v>
      </c>
      <c r="Y1051" s="221">
        <f t="shared" si="50"/>
        <v>0</v>
      </c>
      <c r="Z1051" t="e">
        <f t="shared" si="51"/>
        <v>#NUM!</v>
      </c>
    </row>
    <row r="1052" spans="1:26" x14ac:dyDescent="0.2">
      <c r="A1052" s="26" t="e">
        <f t="shared" si="49"/>
        <v>#NUM!</v>
      </c>
      <c r="Y1052" s="221">
        <f t="shared" si="50"/>
        <v>0</v>
      </c>
      <c r="Z1052" t="e">
        <f t="shared" si="51"/>
        <v>#NUM!</v>
      </c>
    </row>
    <row r="1053" spans="1:26" x14ac:dyDescent="0.2">
      <c r="A1053" s="26" t="e">
        <f t="shared" si="49"/>
        <v>#NUM!</v>
      </c>
      <c r="Y1053" s="221">
        <f t="shared" si="50"/>
        <v>0</v>
      </c>
      <c r="Z1053" t="e">
        <f t="shared" si="51"/>
        <v>#NUM!</v>
      </c>
    </row>
    <row r="1054" spans="1:26" x14ac:dyDescent="0.2">
      <c r="A1054" s="26" t="e">
        <f t="shared" si="49"/>
        <v>#NUM!</v>
      </c>
      <c r="Y1054" s="221">
        <f t="shared" si="50"/>
        <v>0</v>
      </c>
      <c r="Z1054" t="e">
        <f t="shared" si="51"/>
        <v>#NUM!</v>
      </c>
    </row>
    <row r="1055" spans="1:26" x14ac:dyDescent="0.2">
      <c r="A1055" s="26" t="e">
        <f t="shared" si="49"/>
        <v>#NUM!</v>
      </c>
      <c r="Y1055" s="221">
        <f t="shared" si="50"/>
        <v>0</v>
      </c>
      <c r="Z1055" t="e">
        <f t="shared" si="51"/>
        <v>#NUM!</v>
      </c>
    </row>
    <row r="1056" spans="1:26" x14ac:dyDescent="0.2">
      <c r="A1056" s="26" t="e">
        <f t="shared" si="49"/>
        <v>#NUM!</v>
      </c>
      <c r="Y1056" s="221">
        <f t="shared" si="50"/>
        <v>0</v>
      </c>
      <c r="Z1056" t="e">
        <f t="shared" si="51"/>
        <v>#NUM!</v>
      </c>
    </row>
    <row r="1057" spans="1:26" x14ac:dyDescent="0.2">
      <c r="A1057" s="26" t="e">
        <f t="shared" si="49"/>
        <v>#NUM!</v>
      </c>
      <c r="Y1057" s="221">
        <f t="shared" si="50"/>
        <v>0</v>
      </c>
      <c r="Z1057" t="e">
        <f t="shared" si="51"/>
        <v>#NUM!</v>
      </c>
    </row>
    <row r="1058" spans="1:26" x14ac:dyDescent="0.2">
      <c r="A1058" s="26" t="e">
        <f t="shared" si="49"/>
        <v>#NUM!</v>
      </c>
      <c r="Y1058" s="221">
        <f t="shared" si="50"/>
        <v>0</v>
      </c>
      <c r="Z1058" t="e">
        <f t="shared" si="51"/>
        <v>#NUM!</v>
      </c>
    </row>
    <row r="1059" spans="1:26" x14ac:dyDescent="0.2">
      <c r="A1059" s="26" t="e">
        <f t="shared" si="49"/>
        <v>#NUM!</v>
      </c>
      <c r="Y1059" s="221">
        <f t="shared" si="50"/>
        <v>0</v>
      </c>
      <c r="Z1059" t="e">
        <f t="shared" si="51"/>
        <v>#NUM!</v>
      </c>
    </row>
    <row r="1060" spans="1:26" x14ac:dyDescent="0.2">
      <c r="A1060" s="26" t="e">
        <f t="shared" si="49"/>
        <v>#NUM!</v>
      </c>
      <c r="Y1060" s="221">
        <f t="shared" si="50"/>
        <v>0</v>
      </c>
      <c r="Z1060" t="e">
        <f t="shared" si="51"/>
        <v>#NUM!</v>
      </c>
    </row>
    <row r="1061" spans="1:26" x14ac:dyDescent="0.2">
      <c r="A1061" s="26" t="e">
        <f t="shared" si="49"/>
        <v>#NUM!</v>
      </c>
      <c r="Y1061" s="221">
        <f t="shared" si="50"/>
        <v>0</v>
      </c>
      <c r="Z1061" t="e">
        <f t="shared" si="51"/>
        <v>#NUM!</v>
      </c>
    </row>
    <row r="1062" spans="1:26" x14ac:dyDescent="0.2">
      <c r="A1062" s="26" t="e">
        <f t="shared" si="49"/>
        <v>#NUM!</v>
      </c>
      <c r="Y1062" s="221">
        <f t="shared" si="50"/>
        <v>0</v>
      </c>
      <c r="Z1062" t="e">
        <f t="shared" si="51"/>
        <v>#NUM!</v>
      </c>
    </row>
    <row r="1063" spans="1:26" x14ac:dyDescent="0.2">
      <c r="A1063" s="26" t="e">
        <f t="shared" si="49"/>
        <v>#NUM!</v>
      </c>
      <c r="Y1063" s="221">
        <f t="shared" si="50"/>
        <v>0</v>
      </c>
      <c r="Z1063" t="e">
        <f t="shared" si="51"/>
        <v>#NUM!</v>
      </c>
    </row>
    <row r="1064" spans="1:26" x14ac:dyDescent="0.2">
      <c r="A1064" s="26" t="e">
        <f t="shared" si="49"/>
        <v>#NUM!</v>
      </c>
      <c r="Y1064" s="221">
        <f t="shared" si="50"/>
        <v>0</v>
      </c>
      <c r="Z1064" t="e">
        <f t="shared" si="51"/>
        <v>#NUM!</v>
      </c>
    </row>
    <row r="1065" spans="1:26" x14ac:dyDescent="0.2">
      <c r="A1065" s="26" t="e">
        <f t="shared" si="49"/>
        <v>#NUM!</v>
      </c>
      <c r="Y1065" s="221">
        <f t="shared" si="50"/>
        <v>0</v>
      </c>
      <c r="Z1065" t="e">
        <f t="shared" si="51"/>
        <v>#NUM!</v>
      </c>
    </row>
    <row r="1066" spans="1:26" x14ac:dyDescent="0.2">
      <c r="A1066" s="26" t="e">
        <f t="shared" si="49"/>
        <v>#NUM!</v>
      </c>
      <c r="Y1066" s="221">
        <f t="shared" si="50"/>
        <v>0</v>
      </c>
      <c r="Z1066" t="e">
        <f t="shared" si="51"/>
        <v>#NUM!</v>
      </c>
    </row>
    <row r="1067" spans="1:26" x14ac:dyDescent="0.2">
      <c r="A1067" s="26" t="e">
        <f t="shared" si="49"/>
        <v>#NUM!</v>
      </c>
      <c r="Y1067" s="221">
        <f t="shared" si="50"/>
        <v>0</v>
      </c>
      <c r="Z1067" t="e">
        <f t="shared" si="51"/>
        <v>#NUM!</v>
      </c>
    </row>
    <row r="1068" spans="1:26" x14ac:dyDescent="0.2">
      <c r="A1068" s="26" t="e">
        <f t="shared" si="49"/>
        <v>#NUM!</v>
      </c>
      <c r="Y1068" s="221">
        <f t="shared" si="50"/>
        <v>0</v>
      </c>
      <c r="Z1068" t="e">
        <f t="shared" si="51"/>
        <v>#NUM!</v>
      </c>
    </row>
    <row r="1069" spans="1:26" x14ac:dyDescent="0.2">
      <c r="A1069" s="26" t="e">
        <f t="shared" si="49"/>
        <v>#NUM!</v>
      </c>
      <c r="Y1069" s="221">
        <f t="shared" si="50"/>
        <v>0</v>
      </c>
      <c r="Z1069" t="e">
        <f t="shared" si="51"/>
        <v>#NUM!</v>
      </c>
    </row>
    <row r="1070" spans="1:26" x14ac:dyDescent="0.2">
      <c r="A1070" s="26" t="e">
        <f t="shared" si="49"/>
        <v>#NUM!</v>
      </c>
      <c r="Y1070" s="221">
        <f t="shared" si="50"/>
        <v>0</v>
      </c>
      <c r="Z1070" t="e">
        <f t="shared" si="51"/>
        <v>#NUM!</v>
      </c>
    </row>
    <row r="1071" spans="1:26" x14ac:dyDescent="0.2">
      <c r="A1071" s="26" t="e">
        <f t="shared" si="49"/>
        <v>#NUM!</v>
      </c>
      <c r="Y1071" s="221">
        <f t="shared" si="50"/>
        <v>0</v>
      </c>
      <c r="Z1071" t="e">
        <f t="shared" si="51"/>
        <v>#NUM!</v>
      </c>
    </row>
    <row r="1072" spans="1:26" x14ac:dyDescent="0.2">
      <c r="A1072" s="26" t="e">
        <f t="shared" si="49"/>
        <v>#NUM!</v>
      </c>
      <c r="Y1072" s="221">
        <f t="shared" si="50"/>
        <v>0</v>
      </c>
      <c r="Z1072" t="e">
        <f t="shared" si="51"/>
        <v>#NUM!</v>
      </c>
    </row>
    <row r="1073" spans="1:26" x14ac:dyDescent="0.2">
      <c r="A1073" s="26" t="e">
        <f t="shared" si="49"/>
        <v>#NUM!</v>
      </c>
      <c r="Y1073" s="221">
        <f t="shared" si="50"/>
        <v>0</v>
      </c>
      <c r="Z1073" t="e">
        <f t="shared" si="51"/>
        <v>#NUM!</v>
      </c>
    </row>
    <row r="1074" spans="1:26" x14ac:dyDescent="0.2">
      <c r="A1074" s="26" t="e">
        <f t="shared" si="49"/>
        <v>#NUM!</v>
      </c>
      <c r="Y1074" s="221">
        <f t="shared" si="50"/>
        <v>0</v>
      </c>
      <c r="Z1074" t="e">
        <f t="shared" si="51"/>
        <v>#NUM!</v>
      </c>
    </row>
    <row r="1075" spans="1:26" x14ac:dyDescent="0.2">
      <c r="A1075" s="26" t="e">
        <f t="shared" si="49"/>
        <v>#NUM!</v>
      </c>
      <c r="Y1075" s="221">
        <f t="shared" si="50"/>
        <v>0</v>
      </c>
      <c r="Z1075" t="e">
        <f t="shared" si="51"/>
        <v>#NUM!</v>
      </c>
    </row>
    <row r="1076" spans="1:26" x14ac:dyDescent="0.2">
      <c r="A1076" s="26" t="e">
        <f t="shared" si="49"/>
        <v>#NUM!</v>
      </c>
      <c r="Y1076" s="221">
        <f t="shared" si="50"/>
        <v>0</v>
      </c>
      <c r="Z1076" t="e">
        <f t="shared" si="51"/>
        <v>#NUM!</v>
      </c>
    </row>
    <row r="1077" spans="1:26" x14ac:dyDescent="0.2">
      <c r="A1077" s="26" t="e">
        <f t="shared" si="49"/>
        <v>#NUM!</v>
      </c>
      <c r="Y1077" s="221">
        <f t="shared" si="50"/>
        <v>0</v>
      </c>
      <c r="Z1077" t="e">
        <f t="shared" si="51"/>
        <v>#NUM!</v>
      </c>
    </row>
    <row r="1078" spans="1:26" x14ac:dyDescent="0.2">
      <c r="A1078" s="26" t="e">
        <f t="shared" si="49"/>
        <v>#NUM!</v>
      </c>
      <c r="Y1078" s="221">
        <f t="shared" si="50"/>
        <v>0</v>
      </c>
      <c r="Z1078" t="e">
        <f t="shared" si="51"/>
        <v>#NUM!</v>
      </c>
    </row>
    <row r="1079" spans="1:26" x14ac:dyDescent="0.2">
      <c r="A1079" s="26" t="e">
        <f t="shared" si="49"/>
        <v>#NUM!</v>
      </c>
      <c r="Y1079" s="221">
        <f t="shared" si="50"/>
        <v>0</v>
      </c>
      <c r="Z1079" t="e">
        <f t="shared" si="51"/>
        <v>#NUM!</v>
      </c>
    </row>
    <row r="1080" spans="1:26" x14ac:dyDescent="0.2">
      <c r="A1080" s="26" t="e">
        <f t="shared" si="49"/>
        <v>#NUM!</v>
      </c>
      <c r="Y1080" s="221">
        <f t="shared" si="50"/>
        <v>0</v>
      </c>
      <c r="Z1080" t="e">
        <f t="shared" si="51"/>
        <v>#NUM!</v>
      </c>
    </row>
    <row r="1081" spans="1:26" x14ac:dyDescent="0.2">
      <c r="A1081" s="26" t="e">
        <f t="shared" si="49"/>
        <v>#NUM!</v>
      </c>
      <c r="Y1081" s="221">
        <f t="shared" si="50"/>
        <v>0</v>
      </c>
      <c r="Z1081" t="e">
        <f t="shared" si="51"/>
        <v>#NUM!</v>
      </c>
    </row>
    <row r="1082" spans="1:26" x14ac:dyDescent="0.2">
      <c r="A1082" s="26" t="e">
        <f t="shared" si="49"/>
        <v>#NUM!</v>
      </c>
      <c r="Y1082" s="221">
        <f t="shared" si="50"/>
        <v>0</v>
      </c>
      <c r="Z1082" t="e">
        <f t="shared" si="51"/>
        <v>#NUM!</v>
      </c>
    </row>
    <row r="1083" spans="1:26" x14ac:dyDescent="0.2">
      <c r="A1083" s="26" t="e">
        <f t="shared" si="49"/>
        <v>#NUM!</v>
      </c>
      <c r="Y1083" s="221">
        <f t="shared" si="50"/>
        <v>0</v>
      </c>
      <c r="Z1083" t="e">
        <f t="shared" si="51"/>
        <v>#NUM!</v>
      </c>
    </row>
    <row r="1084" spans="1:26" x14ac:dyDescent="0.2">
      <c r="A1084" s="26" t="e">
        <f t="shared" si="49"/>
        <v>#NUM!</v>
      </c>
      <c r="Y1084" s="221">
        <f t="shared" si="50"/>
        <v>0</v>
      </c>
      <c r="Z1084" t="e">
        <f t="shared" si="51"/>
        <v>#NUM!</v>
      </c>
    </row>
    <row r="1085" spans="1:26" x14ac:dyDescent="0.2">
      <c r="A1085" s="26" t="e">
        <f t="shared" si="49"/>
        <v>#NUM!</v>
      </c>
      <c r="Y1085" s="221">
        <f t="shared" si="50"/>
        <v>0</v>
      </c>
      <c r="Z1085" t="e">
        <f t="shared" si="51"/>
        <v>#NUM!</v>
      </c>
    </row>
    <row r="1086" spans="1:26" x14ac:dyDescent="0.2">
      <c r="A1086" s="26" t="e">
        <f t="shared" si="49"/>
        <v>#NUM!</v>
      </c>
      <c r="Y1086" s="221">
        <f t="shared" si="50"/>
        <v>0</v>
      </c>
      <c r="Z1086" t="e">
        <f t="shared" si="51"/>
        <v>#NUM!</v>
      </c>
    </row>
    <row r="1087" spans="1:26" x14ac:dyDescent="0.2">
      <c r="A1087" s="26" t="e">
        <f t="shared" si="49"/>
        <v>#NUM!</v>
      </c>
      <c r="Y1087" s="221">
        <f t="shared" si="50"/>
        <v>0</v>
      </c>
      <c r="Z1087" t="e">
        <f t="shared" si="51"/>
        <v>#NUM!</v>
      </c>
    </row>
    <row r="1088" spans="1:26" x14ac:dyDescent="0.2">
      <c r="A1088" s="26" t="e">
        <f t="shared" si="49"/>
        <v>#NUM!</v>
      </c>
      <c r="Y1088" s="221">
        <f t="shared" si="50"/>
        <v>0</v>
      </c>
      <c r="Z1088" t="e">
        <f t="shared" si="51"/>
        <v>#NUM!</v>
      </c>
    </row>
    <row r="1089" spans="1:26" x14ac:dyDescent="0.2">
      <c r="A1089" s="26" t="e">
        <f t="shared" si="49"/>
        <v>#NUM!</v>
      </c>
      <c r="Y1089" s="221">
        <f t="shared" si="50"/>
        <v>0</v>
      </c>
      <c r="Z1089" t="e">
        <f t="shared" si="51"/>
        <v>#NUM!</v>
      </c>
    </row>
    <row r="1090" spans="1:26" x14ac:dyDescent="0.2">
      <c r="A1090" s="26" t="e">
        <f t="shared" si="49"/>
        <v>#NUM!</v>
      </c>
      <c r="Y1090" s="221">
        <f t="shared" si="50"/>
        <v>0</v>
      </c>
      <c r="Z1090" t="e">
        <f t="shared" si="51"/>
        <v>#NUM!</v>
      </c>
    </row>
    <row r="1091" spans="1:26" x14ac:dyDescent="0.2">
      <c r="A1091" s="26" t="e">
        <f t="shared" ref="A1091:A1154" si="52">DATE(B1091,C1091,D1091)</f>
        <v>#NUM!</v>
      </c>
      <c r="Y1091" s="221">
        <f t="shared" ref="Y1091:Y1154" si="53">SUM(G1091:W1091)</f>
        <v>0</v>
      </c>
      <c r="Z1091" t="e">
        <f t="shared" ref="Z1091:Z1154" si="54">IF(OR(WEEKDAY(A1091,2)=6,WEEKDAY(A1091,2)=7),X1091,0)</f>
        <v>#NUM!</v>
      </c>
    </row>
    <row r="1092" spans="1:26" x14ac:dyDescent="0.2">
      <c r="A1092" s="26" t="e">
        <f t="shared" si="52"/>
        <v>#NUM!</v>
      </c>
      <c r="Y1092" s="221">
        <f t="shared" si="53"/>
        <v>0</v>
      </c>
      <c r="Z1092" t="e">
        <f t="shared" si="54"/>
        <v>#NUM!</v>
      </c>
    </row>
    <row r="1093" spans="1:26" x14ac:dyDescent="0.2">
      <c r="A1093" s="26" t="e">
        <f t="shared" si="52"/>
        <v>#NUM!</v>
      </c>
      <c r="Y1093" s="221">
        <f t="shared" si="53"/>
        <v>0</v>
      </c>
      <c r="Z1093" t="e">
        <f t="shared" si="54"/>
        <v>#NUM!</v>
      </c>
    </row>
    <row r="1094" spans="1:26" x14ac:dyDescent="0.2">
      <c r="A1094" s="26" t="e">
        <f t="shared" si="52"/>
        <v>#NUM!</v>
      </c>
      <c r="Y1094" s="221">
        <f t="shared" si="53"/>
        <v>0</v>
      </c>
      <c r="Z1094" t="e">
        <f t="shared" si="54"/>
        <v>#NUM!</v>
      </c>
    </row>
    <row r="1095" spans="1:26" x14ac:dyDescent="0.2">
      <c r="A1095" s="26" t="e">
        <f t="shared" si="52"/>
        <v>#NUM!</v>
      </c>
      <c r="Y1095" s="221">
        <f t="shared" si="53"/>
        <v>0</v>
      </c>
      <c r="Z1095" t="e">
        <f t="shared" si="54"/>
        <v>#NUM!</v>
      </c>
    </row>
    <row r="1096" spans="1:26" x14ac:dyDescent="0.2">
      <c r="A1096" s="26" t="e">
        <f t="shared" si="52"/>
        <v>#NUM!</v>
      </c>
      <c r="Y1096" s="221">
        <f t="shared" si="53"/>
        <v>0</v>
      </c>
      <c r="Z1096" t="e">
        <f t="shared" si="54"/>
        <v>#NUM!</v>
      </c>
    </row>
    <row r="1097" spans="1:26" x14ac:dyDescent="0.2">
      <c r="A1097" s="26" t="e">
        <f t="shared" si="52"/>
        <v>#NUM!</v>
      </c>
      <c r="Y1097" s="221">
        <f t="shared" si="53"/>
        <v>0</v>
      </c>
      <c r="Z1097" t="e">
        <f t="shared" si="54"/>
        <v>#NUM!</v>
      </c>
    </row>
    <row r="1098" spans="1:26" x14ac:dyDescent="0.2">
      <c r="A1098" s="26" t="e">
        <f t="shared" si="52"/>
        <v>#NUM!</v>
      </c>
      <c r="Y1098" s="221">
        <f t="shared" si="53"/>
        <v>0</v>
      </c>
      <c r="Z1098" t="e">
        <f t="shared" si="54"/>
        <v>#NUM!</v>
      </c>
    </row>
    <row r="1099" spans="1:26" x14ac:dyDescent="0.2">
      <c r="A1099" s="26" t="e">
        <f t="shared" si="52"/>
        <v>#NUM!</v>
      </c>
      <c r="Y1099" s="221">
        <f t="shared" si="53"/>
        <v>0</v>
      </c>
      <c r="Z1099" t="e">
        <f t="shared" si="54"/>
        <v>#NUM!</v>
      </c>
    </row>
    <row r="1100" spans="1:26" x14ac:dyDescent="0.2">
      <c r="A1100" s="26" t="e">
        <f t="shared" si="52"/>
        <v>#NUM!</v>
      </c>
      <c r="Y1100" s="221">
        <f t="shared" si="53"/>
        <v>0</v>
      </c>
      <c r="Z1100" t="e">
        <f t="shared" si="54"/>
        <v>#NUM!</v>
      </c>
    </row>
    <row r="1101" spans="1:26" x14ac:dyDescent="0.2">
      <c r="A1101" s="26" t="e">
        <f t="shared" si="52"/>
        <v>#NUM!</v>
      </c>
      <c r="Y1101" s="221">
        <f t="shared" si="53"/>
        <v>0</v>
      </c>
      <c r="Z1101" t="e">
        <f t="shared" si="54"/>
        <v>#NUM!</v>
      </c>
    </row>
    <row r="1102" spans="1:26" x14ac:dyDescent="0.2">
      <c r="A1102" s="26" t="e">
        <f t="shared" si="52"/>
        <v>#NUM!</v>
      </c>
      <c r="Y1102" s="221">
        <f t="shared" si="53"/>
        <v>0</v>
      </c>
      <c r="Z1102" t="e">
        <f t="shared" si="54"/>
        <v>#NUM!</v>
      </c>
    </row>
    <row r="1103" spans="1:26" x14ac:dyDescent="0.2">
      <c r="A1103" s="26" t="e">
        <f t="shared" si="52"/>
        <v>#NUM!</v>
      </c>
      <c r="Y1103" s="221">
        <f t="shared" si="53"/>
        <v>0</v>
      </c>
      <c r="Z1103" t="e">
        <f t="shared" si="54"/>
        <v>#NUM!</v>
      </c>
    </row>
    <row r="1104" spans="1:26" x14ac:dyDescent="0.2">
      <c r="A1104" s="26" t="e">
        <f t="shared" si="52"/>
        <v>#NUM!</v>
      </c>
      <c r="Y1104" s="221">
        <f t="shared" si="53"/>
        <v>0</v>
      </c>
      <c r="Z1104" t="e">
        <f t="shared" si="54"/>
        <v>#NUM!</v>
      </c>
    </row>
    <row r="1105" spans="1:26" x14ac:dyDescent="0.2">
      <c r="A1105" s="26" t="e">
        <f t="shared" si="52"/>
        <v>#NUM!</v>
      </c>
      <c r="Y1105" s="221">
        <f t="shared" si="53"/>
        <v>0</v>
      </c>
      <c r="Z1105" t="e">
        <f t="shared" si="54"/>
        <v>#NUM!</v>
      </c>
    </row>
    <row r="1106" spans="1:26" x14ac:dyDescent="0.2">
      <c r="A1106" s="26" t="e">
        <f t="shared" si="52"/>
        <v>#NUM!</v>
      </c>
      <c r="Y1106" s="221">
        <f t="shared" si="53"/>
        <v>0</v>
      </c>
      <c r="Z1106" t="e">
        <f t="shared" si="54"/>
        <v>#NUM!</v>
      </c>
    </row>
    <row r="1107" spans="1:26" x14ac:dyDescent="0.2">
      <c r="A1107" s="26" t="e">
        <f t="shared" si="52"/>
        <v>#NUM!</v>
      </c>
      <c r="Y1107" s="221">
        <f t="shared" si="53"/>
        <v>0</v>
      </c>
      <c r="Z1107" t="e">
        <f t="shared" si="54"/>
        <v>#NUM!</v>
      </c>
    </row>
    <row r="1108" spans="1:26" x14ac:dyDescent="0.2">
      <c r="A1108" s="26" t="e">
        <f t="shared" si="52"/>
        <v>#NUM!</v>
      </c>
      <c r="Y1108" s="221">
        <f t="shared" si="53"/>
        <v>0</v>
      </c>
      <c r="Z1108" t="e">
        <f t="shared" si="54"/>
        <v>#NUM!</v>
      </c>
    </row>
    <row r="1109" spans="1:26" x14ac:dyDescent="0.2">
      <c r="A1109" s="26" t="e">
        <f t="shared" si="52"/>
        <v>#NUM!</v>
      </c>
      <c r="Y1109" s="221">
        <f t="shared" si="53"/>
        <v>0</v>
      </c>
      <c r="Z1109" t="e">
        <f t="shared" si="54"/>
        <v>#NUM!</v>
      </c>
    </row>
    <row r="1110" spans="1:26" x14ac:dyDescent="0.2">
      <c r="A1110" s="26" t="e">
        <f t="shared" si="52"/>
        <v>#NUM!</v>
      </c>
      <c r="Y1110" s="221">
        <f t="shared" si="53"/>
        <v>0</v>
      </c>
      <c r="Z1110" t="e">
        <f t="shared" si="54"/>
        <v>#NUM!</v>
      </c>
    </row>
    <row r="1111" spans="1:26" x14ac:dyDescent="0.2">
      <c r="A1111" s="26" t="e">
        <f t="shared" si="52"/>
        <v>#NUM!</v>
      </c>
      <c r="Y1111" s="221">
        <f t="shared" si="53"/>
        <v>0</v>
      </c>
      <c r="Z1111" t="e">
        <f t="shared" si="54"/>
        <v>#NUM!</v>
      </c>
    </row>
    <row r="1112" spans="1:26" x14ac:dyDescent="0.2">
      <c r="A1112" s="26" t="e">
        <f t="shared" si="52"/>
        <v>#NUM!</v>
      </c>
      <c r="Y1112" s="221">
        <f t="shared" si="53"/>
        <v>0</v>
      </c>
      <c r="Z1112" t="e">
        <f t="shared" si="54"/>
        <v>#NUM!</v>
      </c>
    </row>
    <row r="1113" spans="1:26" x14ac:dyDescent="0.2">
      <c r="A1113" s="26" t="e">
        <f t="shared" si="52"/>
        <v>#NUM!</v>
      </c>
      <c r="Y1113" s="221">
        <f t="shared" si="53"/>
        <v>0</v>
      </c>
      <c r="Z1113" t="e">
        <f t="shared" si="54"/>
        <v>#NUM!</v>
      </c>
    </row>
    <row r="1114" spans="1:26" x14ac:dyDescent="0.2">
      <c r="A1114" s="26" t="e">
        <f t="shared" si="52"/>
        <v>#NUM!</v>
      </c>
      <c r="Y1114" s="221">
        <f t="shared" si="53"/>
        <v>0</v>
      </c>
      <c r="Z1114" t="e">
        <f t="shared" si="54"/>
        <v>#NUM!</v>
      </c>
    </row>
    <row r="1115" spans="1:26" x14ac:dyDescent="0.2">
      <c r="A1115" s="26" t="e">
        <f t="shared" si="52"/>
        <v>#NUM!</v>
      </c>
      <c r="Y1115" s="221">
        <f t="shared" si="53"/>
        <v>0</v>
      </c>
      <c r="Z1115" t="e">
        <f t="shared" si="54"/>
        <v>#NUM!</v>
      </c>
    </row>
    <row r="1116" spans="1:26" x14ac:dyDescent="0.2">
      <c r="A1116" s="26" t="e">
        <f t="shared" si="52"/>
        <v>#NUM!</v>
      </c>
      <c r="Y1116" s="221">
        <f t="shared" si="53"/>
        <v>0</v>
      </c>
      <c r="Z1116" t="e">
        <f t="shared" si="54"/>
        <v>#NUM!</v>
      </c>
    </row>
    <row r="1117" spans="1:26" x14ac:dyDescent="0.2">
      <c r="A1117" s="26" t="e">
        <f t="shared" si="52"/>
        <v>#NUM!</v>
      </c>
      <c r="Y1117" s="221">
        <f t="shared" si="53"/>
        <v>0</v>
      </c>
      <c r="Z1117" t="e">
        <f t="shared" si="54"/>
        <v>#NUM!</v>
      </c>
    </row>
    <row r="1118" spans="1:26" x14ac:dyDescent="0.2">
      <c r="A1118" s="26" t="e">
        <f t="shared" si="52"/>
        <v>#NUM!</v>
      </c>
      <c r="Y1118" s="221">
        <f t="shared" si="53"/>
        <v>0</v>
      </c>
      <c r="Z1118" t="e">
        <f t="shared" si="54"/>
        <v>#NUM!</v>
      </c>
    </row>
    <row r="1119" spans="1:26" x14ac:dyDescent="0.2">
      <c r="A1119" s="26" t="e">
        <f t="shared" si="52"/>
        <v>#NUM!</v>
      </c>
      <c r="Y1119" s="221">
        <f t="shared" si="53"/>
        <v>0</v>
      </c>
      <c r="Z1119" t="e">
        <f t="shared" si="54"/>
        <v>#NUM!</v>
      </c>
    </row>
    <row r="1120" spans="1:26" x14ac:dyDescent="0.2">
      <c r="A1120" s="26" t="e">
        <f t="shared" si="52"/>
        <v>#NUM!</v>
      </c>
      <c r="Y1120" s="221">
        <f t="shared" si="53"/>
        <v>0</v>
      </c>
      <c r="Z1120" t="e">
        <f t="shared" si="54"/>
        <v>#NUM!</v>
      </c>
    </row>
    <row r="1121" spans="1:26" x14ac:dyDescent="0.2">
      <c r="A1121" s="26" t="e">
        <f t="shared" si="52"/>
        <v>#NUM!</v>
      </c>
      <c r="Y1121" s="221">
        <f t="shared" si="53"/>
        <v>0</v>
      </c>
      <c r="Z1121" t="e">
        <f t="shared" si="54"/>
        <v>#NUM!</v>
      </c>
    </row>
    <row r="1122" spans="1:26" x14ac:dyDescent="0.2">
      <c r="A1122" s="26" t="e">
        <f t="shared" si="52"/>
        <v>#NUM!</v>
      </c>
      <c r="Y1122" s="221">
        <f t="shared" si="53"/>
        <v>0</v>
      </c>
      <c r="Z1122" t="e">
        <f t="shared" si="54"/>
        <v>#NUM!</v>
      </c>
    </row>
    <row r="1123" spans="1:26" x14ac:dyDescent="0.2">
      <c r="A1123" s="26" t="e">
        <f t="shared" si="52"/>
        <v>#NUM!</v>
      </c>
      <c r="Y1123" s="221">
        <f t="shared" si="53"/>
        <v>0</v>
      </c>
      <c r="Z1123" t="e">
        <f t="shared" si="54"/>
        <v>#NUM!</v>
      </c>
    </row>
    <row r="1124" spans="1:26" x14ac:dyDescent="0.2">
      <c r="A1124" s="26" t="e">
        <f t="shared" si="52"/>
        <v>#NUM!</v>
      </c>
      <c r="Y1124" s="221">
        <f t="shared" si="53"/>
        <v>0</v>
      </c>
      <c r="Z1124" t="e">
        <f t="shared" si="54"/>
        <v>#NUM!</v>
      </c>
    </row>
    <row r="1125" spans="1:26" x14ac:dyDescent="0.2">
      <c r="A1125" s="26" t="e">
        <f t="shared" si="52"/>
        <v>#NUM!</v>
      </c>
      <c r="Y1125" s="221">
        <f t="shared" si="53"/>
        <v>0</v>
      </c>
      <c r="Z1125" t="e">
        <f t="shared" si="54"/>
        <v>#NUM!</v>
      </c>
    </row>
    <row r="1126" spans="1:26" x14ac:dyDescent="0.2">
      <c r="A1126" s="26" t="e">
        <f t="shared" si="52"/>
        <v>#NUM!</v>
      </c>
      <c r="Y1126" s="221">
        <f t="shared" si="53"/>
        <v>0</v>
      </c>
      <c r="Z1126" t="e">
        <f t="shared" si="54"/>
        <v>#NUM!</v>
      </c>
    </row>
    <row r="1127" spans="1:26" x14ac:dyDescent="0.2">
      <c r="A1127" s="26" t="e">
        <f t="shared" si="52"/>
        <v>#NUM!</v>
      </c>
      <c r="Y1127" s="221">
        <f t="shared" si="53"/>
        <v>0</v>
      </c>
      <c r="Z1127" t="e">
        <f t="shared" si="54"/>
        <v>#NUM!</v>
      </c>
    </row>
    <row r="1128" spans="1:26" x14ac:dyDescent="0.2">
      <c r="A1128" s="26" t="e">
        <f t="shared" si="52"/>
        <v>#NUM!</v>
      </c>
      <c r="Y1128" s="221">
        <f t="shared" si="53"/>
        <v>0</v>
      </c>
      <c r="Z1128" t="e">
        <f t="shared" si="54"/>
        <v>#NUM!</v>
      </c>
    </row>
    <row r="1129" spans="1:26" x14ac:dyDescent="0.2">
      <c r="A1129" s="26" t="e">
        <f t="shared" si="52"/>
        <v>#NUM!</v>
      </c>
      <c r="Y1129" s="221">
        <f t="shared" si="53"/>
        <v>0</v>
      </c>
      <c r="Z1129" t="e">
        <f t="shared" si="54"/>
        <v>#NUM!</v>
      </c>
    </row>
    <row r="1130" spans="1:26" x14ac:dyDescent="0.2">
      <c r="A1130" s="26" t="e">
        <f t="shared" si="52"/>
        <v>#NUM!</v>
      </c>
      <c r="Y1130" s="221">
        <f t="shared" si="53"/>
        <v>0</v>
      </c>
      <c r="Z1130" t="e">
        <f t="shared" si="54"/>
        <v>#NUM!</v>
      </c>
    </row>
    <row r="1131" spans="1:26" x14ac:dyDescent="0.2">
      <c r="A1131" s="26" t="e">
        <f t="shared" si="52"/>
        <v>#NUM!</v>
      </c>
      <c r="Y1131" s="221">
        <f t="shared" si="53"/>
        <v>0</v>
      </c>
      <c r="Z1131" t="e">
        <f t="shared" si="54"/>
        <v>#NUM!</v>
      </c>
    </row>
    <row r="1132" spans="1:26" x14ac:dyDescent="0.2">
      <c r="A1132" s="26" t="e">
        <f t="shared" si="52"/>
        <v>#NUM!</v>
      </c>
      <c r="Y1132" s="221">
        <f t="shared" si="53"/>
        <v>0</v>
      </c>
      <c r="Z1132" t="e">
        <f t="shared" si="54"/>
        <v>#NUM!</v>
      </c>
    </row>
    <row r="1133" spans="1:26" x14ac:dyDescent="0.2">
      <c r="A1133" s="26" t="e">
        <f t="shared" si="52"/>
        <v>#NUM!</v>
      </c>
      <c r="Y1133" s="221">
        <f t="shared" si="53"/>
        <v>0</v>
      </c>
      <c r="Z1133" t="e">
        <f t="shared" si="54"/>
        <v>#NUM!</v>
      </c>
    </row>
    <row r="1134" spans="1:26" x14ac:dyDescent="0.2">
      <c r="A1134" s="26" t="e">
        <f t="shared" si="52"/>
        <v>#NUM!</v>
      </c>
      <c r="Y1134" s="221">
        <f t="shared" si="53"/>
        <v>0</v>
      </c>
      <c r="Z1134" t="e">
        <f t="shared" si="54"/>
        <v>#NUM!</v>
      </c>
    </row>
    <row r="1135" spans="1:26" x14ac:dyDescent="0.2">
      <c r="A1135" s="26" t="e">
        <f t="shared" si="52"/>
        <v>#NUM!</v>
      </c>
      <c r="Y1135" s="221">
        <f t="shared" si="53"/>
        <v>0</v>
      </c>
      <c r="Z1135" t="e">
        <f t="shared" si="54"/>
        <v>#NUM!</v>
      </c>
    </row>
    <row r="1136" spans="1:26" x14ac:dyDescent="0.2">
      <c r="A1136" s="26" t="e">
        <f t="shared" si="52"/>
        <v>#NUM!</v>
      </c>
      <c r="Y1136" s="221">
        <f t="shared" si="53"/>
        <v>0</v>
      </c>
      <c r="Z1136" t="e">
        <f t="shared" si="54"/>
        <v>#NUM!</v>
      </c>
    </row>
    <row r="1137" spans="1:26" x14ac:dyDescent="0.2">
      <c r="A1137" s="26" t="e">
        <f t="shared" si="52"/>
        <v>#NUM!</v>
      </c>
      <c r="Y1137" s="221">
        <f t="shared" si="53"/>
        <v>0</v>
      </c>
      <c r="Z1137" t="e">
        <f t="shared" si="54"/>
        <v>#NUM!</v>
      </c>
    </row>
    <row r="1138" spans="1:26" x14ac:dyDescent="0.2">
      <c r="A1138" s="26" t="e">
        <f t="shared" si="52"/>
        <v>#NUM!</v>
      </c>
      <c r="Y1138" s="221">
        <f t="shared" si="53"/>
        <v>0</v>
      </c>
      <c r="Z1138" t="e">
        <f t="shared" si="54"/>
        <v>#NUM!</v>
      </c>
    </row>
    <row r="1139" spans="1:26" x14ac:dyDescent="0.2">
      <c r="A1139" s="26" t="e">
        <f t="shared" si="52"/>
        <v>#NUM!</v>
      </c>
      <c r="Y1139" s="221">
        <f t="shared" si="53"/>
        <v>0</v>
      </c>
      <c r="Z1139" t="e">
        <f t="shared" si="54"/>
        <v>#NUM!</v>
      </c>
    </row>
    <row r="1140" spans="1:26" x14ac:dyDescent="0.2">
      <c r="A1140" s="26" t="e">
        <f t="shared" si="52"/>
        <v>#NUM!</v>
      </c>
      <c r="Y1140" s="221">
        <f t="shared" si="53"/>
        <v>0</v>
      </c>
      <c r="Z1140" t="e">
        <f t="shared" si="54"/>
        <v>#NUM!</v>
      </c>
    </row>
    <row r="1141" spans="1:26" x14ac:dyDescent="0.2">
      <c r="A1141" s="26" t="e">
        <f t="shared" si="52"/>
        <v>#NUM!</v>
      </c>
      <c r="Y1141" s="221">
        <f t="shared" si="53"/>
        <v>0</v>
      </c>
      <c r="Z1141" t="e">
        <f t="shared" si="54"/>
        <v>#NUM!</v>
      </c>
    </row>
    <row r="1142" spans="1:26" x14ac:dyDescent="0.2">
      <c r="A1142" s="26" t="e">
        <f t="shared" si="52"/>
        <v>#NUM!</v>
      </c>
      <c r="Y1142" s="221">
        <f t="shared" si="53"/>
        <v>0</v>
      </c>
      <c r="Z1142" t="e">
        <f t="shared" si="54"/>
        <v>#NUM!</v>
      </c>
    </row>
    <row r="1143" spans="1:26" x14ac:dyDescent="0.2">
      <c r="A1143" s="26" t="e">
        <f t="shared" si="52"/>
        <v>#NUM!</v>
      </c>
      <c r="Y1143" s="221">
        <f t="shared" si="53"/>
        <v>0</v>
      </c>
      <c r="Z1143" t="e">
        <f t="shared" si="54"/>
        <v>#NUM!</v>
      </c>
    </row>
    <row r="1144" spans="1:26" x14ac:dyDescent="0.2">
      <c r="A1144" s="26" t="e">
        <f t="shared" si="52"/>
        <v>#NUM!</v>
      </c>
      <c r="Y1144" s="221">
        <f t="shared" si="53"/>
        <v>0</v>
      </c>
      <c r="Z1144" t="e">
        <f t="shared" si="54"/>
        <v>#NUM!</v>
      </c>
    </row>
    <row r="1145" spans="1:26" x14ac:dyDescent="0.2">
      <c r="A1145" s="26" t="e">
        <f t="shared" si="52"/>
        <v>#NUM!</v>
      </c>
      <c r="Y1145" s="221">
        <f t="shared" si="53"/>
        <v>0</v>
      </c>
      <c r="Z1145" t="e">
        <f t="shared" si="54"/>
        <v>#NUM!</v>
      </c>
    </row>
    <row r="1146" spans="1:26" x14ac:dyDescent="0.2">
      <c r="A1146" s="26" t="e">
        <f t="shared" si="52"/>
        <v>#NUM!</v>
      </c>
      <c r="Y1146" s="221">
        <f t="shared" si="53"/>
        <v>0</v>
      </c>
      <c r="Z1146" t="e">
        <f t="shared" si="54"/>
        <v>#NUM!</v>
      </c>
    </row>
    <row r="1147" spans="1:26" x14ac:dyDescent="0.2">
      <c r="A1147" s="26" t="e">
        <f t="shared" si="52"/>
        <v>#NUM!</v>
      </c>
      <c r="Y1147" s="221">
        <f t="shared" si="53"/>
        <v>0</v>
      </c>
      <c r="Z1147" t="e">
        <f t="shared" si="54"/>
        <v>#NUM!</v>
      </c>
    </row>
    <row r="1148" spans="1:26" x14ac:dyDescent="0.2">
      <c r="A1148" s="26" t="e">
        <f t="shared" si="52"/>
        <v>#NUM!</v>
      </c>
      <c r="Y1148" s="221">
        <f t="shared" si="53"/>
        <v>0</v>
      </c>
      <c r="Z1148" t="e">
        <f t="shared" si="54"/>
        <v>#NUM!</v>
      </c>
    </row>
    <row r="1149" spans="1:26" x14ac:dyDescent="0.2">
      <c r="A1149" s="26" t="e">
        <f t="shared" si="52"/>
        <v>#NUM!</v>
      </c>
      <c r="Y1149" s="221">
        <f t="shared" si="53"/>
        <v>0</v>
      </c>
      <c r="Z1149" t="e">
        <f t="shared" si="54"/>
        <v>#NUM!</v>
      </c>
    </row>
    <row r="1150" spans="1:26" x14ac:dyDescent="0.2">
      <c r="A1150" s="26" t="e">
        <f t="shared" si="52"/>
        <v>#NUM!</v>
      </c>
      <c r="Y1150" s="221">
        <f t="shared" si="53"/>
        <v>0</v>
      </c>
      <c r="Z1150" t="e">
        <f t="shared" si="54"/>
        <v>#NUM!</v>
      </c>
    </row>
    <row r="1151" spans="1:26" x14ac:dyDescent="0.2">
      <c r="A1151" s="26" t="e">
        <f t="shared" si="52"/>
        <v>#NUM!</v>
      </c>
      <c r="Y1151" s="221">
        <f t="shared" si="53"/>
        <v>0</v>
      </c>
      <c r="Z1151" t="e">
        <f t="shared" si="54"/>
        <v>#NUM!</v>
      </c>
    </row>
    <row r="1152" spans="1:26" x14ac:dyDescent="0.2">
      <c r="A1152" s="26" t="e">
        <f t="shared" si="52"/>
        <v>#NUM!</v>
      </c>
      <c r="Y1152" s="221">
        <f t="shared" si="53"/>
        <v>0</v>
      </c>
      <c r="Z1152" t="e">
        <f t="shared" si="54"/>
        <v>#NUM!</v>
      </c>
    </row>
    <row r="1153" spans="1:26" x14ac:dyDescent="0.2">
      <c r="A1153" s="26" t="e">
        <f t="shared" si="52"/>
        <v>#NUM!</v>
      </c>
      <c r="Y1153" s="221">
        <f t="shared" si="53"/>
        <v>0</v>
      </c>
      <c r="Z1153" t="e">
        <f t="shared" si="54"/>
        <v>#NUM!</v>
      </c>
    </row>
    <row r="1154" spans="1:26" x14ac:dyDescent="0.2">
      <c r="A1154" s="26" t="e">
        <f t="shared" si="52"/>
        <v>#NUM!</v>
      </c>
      <c r="Y1154" s="221">
        <f t="shared" si="53"/>
        <v>0</v>
      </c>
      <c r="Z1154" t="e">
        <f t="shared" si="54"/>
        <v>#NUM!</v>
      </c>
    </row>
    <row r="1155" spans="1:26" x14ac:dyDescent="0.2">
      <c r="A1155" s="26" t="e">
        <f t="shared" ref="A1155:A1218" si="55">DATE(B1155,C1155,D1155)</f>
        <v>#NUM!</v>
      </c>
      <c r="Y1155" s="221">
        <f t="shared" ref="Y1155:Y1218" si="56">SUM(G1155:W1155)</f>
        <v>0</v>
      </c>
      <c r="Z1155" t="e">
        <f t="shared" ref="Z1155:Z1218" si="57">IF(OR(WEEKDAY(A1155,2)=6,WEEKDAY(A1155,2)=7),X1155,0)</f>
        <v>#NUM!</v>
      </c>
    </row>
    <row r="1156" spans="1:26" x14ac:dyDescent="0.2">
      <c r="A1156" s="26" t="e">
        <f t="shared" si="55"/>
        <v>#NUM!</v>
      </c>
      <c r="Y1156" s="221">
        <f t="shared" si="56"/>
        <v>0</v>
      </c>
      <c r="Z1156" t="e">
        <f t="shared" si="57"/>
        <v>#NUM!</v>
      </c>
    </row>
    <row r="1157" spans="1:26" x14ac:dyDescent="0.2">
      <c r="A1157" s="26" t="e">
        <f t="shared" si="55"/>
        <v>#NUM!</v>
      </c>
      <c r="Y1157" s="221">
        <f t="shared" si="56"/>
        <v>0</v>
      </c>
      <c r="Z1157" t="e">
        <f t="shared" si="57"/>
        <v>#NUM!</v>
      </c>
    </row>
    <row r="1158" spans="1:26" x14ac:dyDescent="0.2">
      <c r="A1158" s="26" t="e">
        <f t="shared" si="55"/>
        <v>#NUM!</v>
      </c>
      <c r="Y1158" s="221">
        <f t="shared" si="56"/>
        <v>0</v>
      </c>
      <c r="Z1158" t="e">
        <f t="shared" si="57"/>
        <v>#NUM!</v>
      </c>
    </row>
    <row r="1159" spans="1:26" x14ac:dyDescent="0.2">
      <c r="A1159" s="26" t="e">
        <f t="shared" si="55"/>
        <v>#NUM!</v>
      </c>
      <c r="Y1159" s="221">
        <f t="shared" si="56"/>
        <v>0</v>
      </c>
      <c r="Z1159" t="e">
        <f t="shared" si="57"/>
        <v>#NUM!</v>
      </c>
    </row>
    <row r="1160" spans="1:26" x14ac:dyDescent="0.2">
      <c r="A1160" s="26" t="e">
        <f t="shared" si="55"/>
        <v>#NUM!</v>
      </c>
      <c r="Y1160" s="221">
        <f t="shared" si="56"/>
        <v>0</v>
      </c>
      <c r="Z1160" t="e">
        <f t="shared" si="57"/>
        <v>#NUM!</v>
      </c>
    </row>
    <row r="1161" spans="1:26" x14ac:dyDescent="0.2">
      <c r="A1161" s="26" t="e">
        <f t="shared" si="55"/>
        <v>#NUM!</v>
      </c>
      <c r="Y1161" s="221">
        <f t="shared" si="56"/>
        <v>0</v>
      </c>
      <c r="Z1161" t="e">
        <f t="shared" si="57"/>
        <v>#NUM!</v>
      </c>
    </row>
    <row r="1162" spans="1:26" x14ac:dyDescent="0.2">
      <c r="A1162" s="26" t="e">
        <f t="shared" si="55"/>
        <v>#NUM!</v>
      </c>
      <c r="Y1162" s="221">
        <f t="shared" si="56"/>
        <v>0</v>
      </c>
      <c r="Z1162" t="e">
        <f t="shared" si="57"/>
        <v>#NUM!</v>
      </c>
    </row>
    <row r="1163" spans="1:26" x14ac:dyDescent="0.2">
      <c r="A1163" s="26" t="e">
        <f t="shared" si="55"/>
        <v>#NUM!</v>
      </c>
      <c r="Y1163" s="221">
        <f t="shared" si="56"/>
        <v>0</v>
      </c>
      <c r="Z1163" t="e">
        <f t="shared" si="57"/>
        <v>#NUM!</v>
      </c>
    </row>
    <row r="1164" spans="1:26" x14ac:dyDescent="0.2">
      <c r="A1164" s="26" t="e">
        <f t="shared" si="55"/>
        <v>#NUM!</v>
      </c>
      <c r="Y1164" s="221">
        <f t="shared" si="56"/>
        <v>0</v>
      </c>
      <c r="Z1164" t="e">
        <f t="shared" si="57"/>
        <v>#NUM!</v>
      </c>
    </row>
    <row r="1165" spans="1:26" x14ac:dyDescent="0.2">
      <c r="A1165" s="26" t="e">
        <f t="shared" si="55"/>
        <v>#NUM!</v>
      </c>
      <c r="Y1165" s="221">
        <f t="shared" si="56"/>
        <v>0</v>
      </c>
      <c r="Z1165" t="e">
        <f t="shared" si="57"/>
        <v>#NUM!</v>
      </c>
    </row>
    <row r="1166" spans="1:26" x14ac:dyDescent="0.2">
      <c r="A1166" s="26" t="e">
        <f t="shared" si="55"/>
        <v>#NUM!</v>
      </c>
      <c r="Y1166" s="221">
        <f t="shared" si="56"/>
        <v>0</v>
      </c>
      <c r="Z1166" t="e">
        <f t="shared" si="57"/>
        <v>#NUM!</v>
      </c>
    </row>
    <row r="1167" spans="1:26" x14ac:dyDescent="0.2">
      <c r="A1167" s="26" t="e">
        <f t="shared" si="55"/>
        <v>#NUM!</v>
      </c>
      <c r="Y1167" s="221">
        <f t="shared" si="56"/>
        <v>0</v>
      </c>
      <c r="Z1167" t="e">
        <f t="shared" si="57"/>
        <v>#NUM!</v>
      </c>
    </row>
    <row r="1168" spans="1:26" x14ac:dyDescent="0.2">
      <c r="A1168" s="26" t="e">
        <f t="shared" si="55"/>
        <v>#NUM!</v>
      </c>
      <c r="Y1168" s="221">
        <f t="shared" si="56"/>
        <v>0</v>
      </c>
      <c r="Z1168" t="e">
        <f t="shared" si="57"/>
        <v>#NUM!</v>
      </c>
    </row>
    <row r="1169" spans="1:26" x14ac:dyDescent="0.2">
      <c r="A1169" s="26" t="e">
        <f t="shared" si="55"/>
        <v>#NUM!</v>
      </c>
      <c r="Y1169" s="221">
        <f t="shared" si="56"/>
        <v>0</v>
      </c>
      <c r="Z1169" t="e">
        <f t="shared" si="57"/>
        <v>#NUM!</v>
      </c>
    </row>
    <row r="1170" spans="1:26" x14ac:dyDescent="0.2">
      <c r="A1170" s="26" t="e">
        <f t="shared" si="55"/>
        <v>#NUM!</v>
      </c>
      <c r="Y1170" s="221">
        <f t="shared" si="56"/>
        <v>0</v>
      </c>
      <c r="Z1170" t="e">
        <f t="shared" si="57"/>
        <v>#NUM!</v>
      </c>
    </row>
    <row r="1171" spans="1:26" x14ac:dyDescent="0.2">
      <c r="A1171" s="26" t="e">
        <f t="shared" si="55"/>
        <v>#NUM!</v>
      </c>
      <c r="Y1171" s="221">
        <f t="shared" si="56"/>
        <v>0</v>
      </c>
      <c r="Z1171" t="e">
        <f t="shared" si="57"/>
        <v>#NUM!</v>
      </c>
    </row>
    <row r="1172" spans="1:26" x14ac:dyDescent="0.2">
      <c r="A1172" s="26" t="e">
        <f t="shared" si="55"/>
        <v>#NUM!</v>
      </c>
      <c r="Y1172" s="221">
        <f t="shared" si="56"/>
        <v>0</v>
      </c>
      <c r="Z1172" t="e">
        <f t="shared" si="57"/>
        <v>#NUM!</v>
      </c>
    </row>
    <row r="1173" spans="1:26" x14ac:dyDescent="0.2">
      <c r="A1173" s="26" t="e">
        <f t="shared" si="55"/>
        <v>#NUM!</v>
      </c>
      <c r="Y1173" s="221">
        <f t="shared" si="56"/>
        <v>0</v>
      </c>
      <c r="Z1173" t="e">
        <f t="shared" si="57"/>
        <v>#NUM!</v>
      </c>
    </row>
    <row r="1174" spans="1:26" x14ac:dyDescent="0.2">
      <c r="A1174" s="26" t="e">
        <f t="shared" si="55"/>
        <v>#NUM!</v>
      </c>
      <c r="Y1174" s="221">
        <f t="shared" si="56"/>
        <v>0</v>
      </c>
      <c r="Z1174" t="e">
        <f t="shared" si="57"/>
        <v>#NUM!</v>
      </c>
    </row>
    <row r="1175" spans="1:26" x14ac:dyDescent="0.2">
      <c r="A1175" s="26" t="e">
        <f t="shared" si="55"/>
        <v>#NUM!</v>
      </c>
      <c r="Y1175" s="221">
        <f t="shared" si="56"/>
        <v>0</v>
      </c>
      <c r="Z1175" t="e">
        <f t="shared" si="57"/>
        <v>#NUM!</v>
      </c>
    </row>
    <row r="1176" spans="1:26" x14ac:dyDescent="0.2">
      <c r="A1176" s="26" t="e">
        <f t="shared" si="55"/>
        <v>#NUM!</v>
      </c>
      <c r="Y1176" s="221">
        <f t="shared" si="56"/>
        <v>0</v>
      </c>
      <c r="Z1176" t="e">
        <f t="shared" si="57"/>
        <v>#NUM!</v>
      </c>
    </row>
    <row r="1177" spans="1:26" x14ac:dyDescent="0.2">
      <c r="A1177" s="26" t="e">
        <f t="shared" si="55"/>
        <v>#NUM!</v>
      </c>
      <c r="Y1177" s="221">
        <f t="shared" si="56"/>
        <v>0</v>
      </c>
      <c r="Z1177" t="e">
        <f t="shared" si="57"/>
        <v>#NUM!</v>
      </c>
    </row>
    <row r="1178" spans="1:26" x14ac:dyDescent="0.2">
      <c r="A1178" s="26" t="e">
        <f t="shared" si="55"/>
        <v>#NUM!</v>
      </c>
      <c r="Y1178" s="221">
        <f t="shared" si="56"/>
        <v>0</v>
      </c>
      <c r="Z1178" t="e">
        <f t="shared" si="57"/>
        <v>#NUM!</v>
      </c>
    </row>
    <row r="1179" spans="1:26" x14ac:dyDescent="0.2">
      <c r="A1179" s="26" t="e">
        <f t="shared" si="55"/>
        <v>#NUM!</v>
      </c>
      <c r="Y1179" s="221">
        <f t="shared" si="56"/>
        <v>0</v>
      </c>
      <c r="Z1179" t="e">
        <f t="shared" si="57"/>
        <v>#NUM!</v>
      </c>
    </row>
    <row r="1180" spans="1:26" x14ac:dyDescent="0.2">
      <c r="A1180" s="26" t="e">
        <f t="shared" si="55"/>
        <v>#NUM!</v>
      </c>
      <c r="Y1180" s="221">
        <f t="shared" si="56"/>
        <v>0</v>
      </c>
      <c r="Z1180" t="e">
        <f t="shared" si="57"/>
        <v>#NUM!</v>
      </c>
    </row>
    <row r="1181" spans="1:26" x14ac:dyDescent="0.2">
      <c r="A1181" s="26" t="e">
        <f t="shared" si="55"/>
        <v>#NUM!</v>
      </c>
      <c r="Y1181" s="221">
        <f t="shared" si="56"/>
        <v>0</v>
      </c>
      <c r="Z1181" t="e">
        <f t="shared" si="57"/>
        <v>#NUM!</v>
      </c>
    </row>
    <row r="1182" spans="1:26" x14ac:dyDescent="0.2">
      <c r="A1182" s="26" t="e">
        <f t="shared" si="55"/>
        <v>#NUM!</v>
      </c>
      <c r="Y1182" s="221">
        <f t="shared" si="56"/>
        <v>0</v>
      </c>
      <c r="Z1182" t="e">
        <f t="shared" si="57"/>
        <v>#NUM!</v>
      </c>
    </row>
    <row r="1183" spans="1:26" x14ac:dyDescent="0.2">
      <c r="A1183" s="26" t="e">
        <f t="shared" si="55"/>
        <v>#NUM!</v>
      </c>
      <c r="Y1183" s="221">
        <f t="shared" si="56"/>
        <v>0</v>
      </c>
      <c r="Z1183" t="e">
        <f t="shared" si="57"/>
        <v>#NUM!</v>
      </c>
    </row>
    <row r="1184" spans="1:26" x14ac:dyDescent="0.2">
      <c r="A1184" s="26" t="e">
        <f t="shared" si="55"/>
        <v>#NUM!</v>
      </c>
      <c r="Y1184" s="221">
        <f t="shared" si="56"/>
        <v>0</v>
      </c>
      <c r="Z1184" t="e">
        <f t="shared" si="57"/>
        <v>#NUM!</v>
      </c>
    </row>
    <row r="1185" spans="1:26" x14ac:dyDescent="0.2">
      <c r="A1185" s="26" t="e">
        <f t="shared" si="55"/>
        <v>#NUM!</v>
      </c>
      <c r="Y1185" s="221">
        <f t="shared" si="56"/>
        <v>0</v>
      </c>
      <c r="Z1185" t="e">
        <f t="shared" si="57"/>
        <v>#NUM!</v>
      </c>
    </row>
    <row r="1186" spans="1:26" x14ac:dyDescent="0.2">
      <c r="A1186" s="26" t="e">
        <f t="shared" si="55"/>
        <v>#NUM!</v>
      </c>
      <c r="Y1186" s="221">
        <f t="shared" si="56"/>
        <v>0</v>
      </c>
      <c r="Z1186" t="e">
        <f t="shared" si="57"/>
        <v>#NUM!</v>
      </c>
    </row>
    <row r="1187" spans="1:26" x14ac:dyDescent="0.2">
      <c r="A1187" s="26" t="e">
        <f t="shared" si="55"/>
        <v>#NUM!</v>
      </c>
      <c r="Y1187" s="221">
        <f t="shared" si="56"/>
        <v>0</v>
      </c>
      <c r="Z1187" t="e">
        <f t="shared" si="57"/>
        <v>#NUM!</v>
      </c>
    </row>
    <row r="1188" spans="1:26" x14ac:dyDescent="0.2">
      <c r="A1188" s="26" t="e">
        <f t="shared" si="55"/>
        <v>#NUM!</v>
      </c>
      <c r="Y1188" s="221">
        <f t="shared" si="56"/>
        <v>0</v>
      </c>
      <c r="Z1188" t="e">
        <f t="shared" si="57"/>
        <v>#NUM!</v>
      </c>
    </row>
    <row r="1189" spans="1:26" x14ac:dyDescent="0.2">
      <c r="A1189" s="26" t="e">
        <f t="shared" si="55"/>
        <v>#NUM!</v>
      </c>
      <c r="Y1189" s="221">
        <f t="shared" si="56"/>
        <v>0</v>
      </c>
      <c r="Z1189" t="e">
        <f t="shared" si="57"/>
        <v>#NUM!</v>
      </c>
    </row>
    <row r="1190" spans="1:26" x14ac:dyDescent="0.2">
      <c r="A1190" s="26" t="e">
        <f t="shared" si="55"/>
        <v>#NUM!</v>
      </c>
      <c r="Y1190" s="221">
        <f t="shared" si="56"/>
        <v>0</v>
      </c>
      <c r="Z1190" t="e">
        <f t="shared" si="57"/>
        <v>#NUM!</v>
      </c>
    </row>
    <row r="1191" spans="1:26" x14ac:dyDescent="0.2">
      <c r="A1191" s="26" t="e">
        <f t="shared" si="55"/>
        <v>#NUM!</v>
      </c>
      <c r="Y1191" s="221">
        <f t="shared" si="56"/>
        <v>0</v>
      </c>
      <c r="Z1191" t="e">
        <f t="shared" si="57"/>
        <v>#NUM!</v>
      </c>
    </row>
    <row r="1192" spans="1:26" x14ac:dyDescent="0.2">
      <c r="A1192" s="26" t="e">
        <f t="shared" si="55"/>
        <v>#NUM!</v>
      </c>
      <c r="Y1192" s="221">
        <f t="shared" si="56"/>
        <v>0</v>
      </c>
      <c r="Z1192" t="e">
        <f t="shared" si="57"/>
        <v>#NUM!</v>
      </c>
    </row>
    <row r="1193" spans="1:26" x14ac:dyDescent="0.2">
      <c r="A1193" s="26" t="e">
        <f t="shared" si="55"/>
        <v>#NUM!</v>
      </c>
      <c r="Y1193" s="221">
        <f t="shared" si="56"/>
        <v>0</v>
      </c>
      <c r="Z1193" t="e">
        <f t="shared" si="57"/>
        <v>#NUM!</v>
      </c>
    </row>
    <row r="1194" spans="1:26" x14ac:dyDescent="0.2">
      <c r="A1194" s="26" t="e">
        <f t="shared" si="55"/>
        <v>#NUM!</v>
      </c>
      <c r="Y1194" s="221">
        <f t="shared" si="56"/>
        <v>0</v>
      </c>
      <c r="Z1194" t="e">
        <f t="shared" si="57"/>
        <v>#NUM!</v>
      </c>
    </row>
    <row r="1195" spans="1:26" x14ac:dyDescent="0.2">
      <c r="A1195" s="26" t="e">
        <f t="shared" si="55"/>
        <v>#NUM!</v>
      </c>
      <c r="Y1195" s="221">
        <f t="shared" si="56"/>
        <v>0</v>
      </c>
      <c r="Z1195" t="e">
        <f t="shared" si="57"/>
        <v>#NUM!</v>
      </c>
    </row>
    <row r="1196" spans="1:26" x14ac:dyDescent="0.2">
      <c r="A1196" s="26" t="e">
        <f t="shared" si="55"/>
        <v>#NUM!</v>
      </c>
      <c r="Y1196" s="221">
        <f t="shared" si="56"/>
        <v>0</v>
      </c>
      <c r="Z1196" t="e">
        <f t="shared" si="57"/>
        <v>#NUM!</v>
      </c>
    </row>
    <row r="1197" spans="1:26" x14ac:dyDescent="0.2">
      <c r="A1197" s="26" t="e">
        <f t="shared" si="55"/>
        <v>#NUM!</v>
      </c>
      <c r="Y1197" s="221">
        <f t="shared" si="56"/>
        <v>0</v>
      </c>
      <c r="Z1197" t="e">
        <f t="shared" si="57"/>
        <v>#NUM!</v>
      </c>
    </row>
    <row r="1198" spans="1:26" x14ac:dyDescent="0.2">
      <c r="A1198" s="26" t="e">
        <f t="shared" si="55"/>
        <v>#NUM!</v>
      </c>
      <c r="Y1198" s="221">
        <f t="shared" si="56"/>
        <v>0</v>
      </c>
      <c r="Z1198" t="e">
        <f t="shared" si="57"/>
        <v>#NUM!</v>
      </c>
    </row>
    <row r="1199" spans="1:26" x14ac:dyDescent="0.2">
      <c r="A1199" s="26" t="e">
        <f t="shared" si="55"/>
        <v>#NUM!</v>
      </c>
      <c r="Y1199" s="221">
        <f t="shared" si="56"/>
        <v>0</v>
      </c>
      <c r="Z1199" t="e">
        <f t="shared" si="57"/>
        <v>#NUM!</v>
      </c>
    </row>
    <row r="1200" spans="1:26" x14ac:dyDescent="0.2">
      <c r="A1200" s="26" t="e">
        <f t="shared" si="55"/>
        <v>#NUM!</v>
      </c>
      <c r="Y1200" s="221">
        <f t="shared" si="56"/>
        <v>0</v>
      </c>
      <c r="Z1200" t="e">
        <f t="shared" si="57"/>
        <v>#NUM!</v>
      </c>
    </row>
    <row r="1201" spans="1:26" x14ac:dyDescent="0.2">
      <c r="A1201" s="26" t="e">
        <f t="shared" si="55"/>
        <v>#NUM!</v>
      </c>
      <c r="Y1201" s="221">
        <f t="shared" si="56"/>
        <v>0</v>
      </c>
      <c r="Z1201" t="e">
        <f t="shared" si="57"/>
        <v>#NUM!</v>
      </c>
    </row>
    <row r="1202" spans="1:26" x14ac:dyDescent="0.2">
      <c r="A1202" s="26" t="e">
        <f t="shared" si="55"/>
        <v>#NUM!</v>
      </c>
      <c r="Y1202" s="221">
        <f t="shared" si="56"/>
        <v>0</v>
      </c>
      <c r="Z1202" t="e">
        <f t="shared" si="57"/>
        <v>#NUM!</v>
      </c>
    </row>
    <row r="1203" spans="1:26" x14ac:dyDescent="0.2">
      <c r="A1203" s="26" t="e">
        <f t="shared" si="55"/>
        <v>#NUM!</v>
      </c>
      <c r="Y1203" s="221">
        <f t="shared" si="56"/>
        <v>0</v>
      </c>
      <c r="Z1203" t="e">
        <f t="shared" si="57"/>
        <v>#NUM!</v>
      </c>
    </row>
    <row r="1204" spans="1:26" x14ac:dyDescent="0.2">
      <c r="A1204" s="26" t="e">
        <f t="shared" si="55"/>
        <v>#NUM!</v>
      </c>
      <c r="Y1204" s="221">
        <f t="shared" si="56"/>
        <v>0</v>
      </c>
      <c r="Z1204" t="e">
        <f t="shared" si="57"/>
        <v>#NUM!</v>
      </c>
    </row>
    <row r="1205" spans="1:26" x14ac:dyDescent="0.2">
      <c r="A1205" s="26" t="e">
        <f t="shared" si="55"/>
        <v>#NUM!</v>
      </c>
      <c r="Y1205" s="221">
        <f t="shared" si="56"/>
        <v>0</v>
      </c>
      <c r="Z1205" t="e">
        <f t="shared" si="57"/>
        <v>#NUM!</v>
      </c>
    </row>
    <row r="1206" spans="1:26" x14ac:dyDescent="0.2">
      <c r="A1206" s="26" t="e">
        <f t="shared" si="55"/>
        <v>#NUM!</v>
      </c>
      <c r="Y1206" s="221">
        <f t="shared" si="56"/>
        <v>0</v>
      </c>
      <c r="Z1206" t="e">
        <f t="shared" si="57"/>
        <v>#NUM!</v>
      </c>
    </row>
    <row r="1207" spans="1:26" x14ac:dyDescent="0.2">
      <c r="A1207" s="26" t="e">
        <f t="shared" si="55"/>
        <v>#NUM!</v>
      </c>
      <c r="Y1207" s="221">
        <f t="shared" si="56"/>
        <v>0</v>
      </c>
      <c r="Z1207" t="e">
        <f t="shared" si="57"/>
        <v>#NUM!</v>
      </c>
    </row>
    <row r="1208" spans="1:26" x14ac:dyDescent="0.2">
      <c r="A1208" s="26" t="e">
        <f t="shared" si="55"/>
        <v>#NUM!</v>
      </c>
      <c r="Y1208" s="221">
        <f t="shared" si="56"/>
        <v>0</v>
      </c>
      <c r="Z1208" t="e">
        <f t="shared" si="57"/>
        <v>#NUM!</v>
      </c>
    </row>
    <row r="1209" spans="1:26" x14ac:dyDescent="0.2">
      <c r="A1209" s="26" t="e">
        <f t="shared" si="55"/>
        <v>#NUM!</v>
      </c>
      <c r="Y1209" s="221">
        <f t="shared" si="56"/>
        <v>0</v>
      </c>
      <c r="Z1209" t="e">
        <f t="shared" si="57"/>
        <v>#NUM!</v>
      </c>
    </row>
    <row r="1210" spans="1:26" x14ac:dyDescent="0.2">
      <c r="A1210" s="26" t="e">
        <f t="shared" si="55"/>
        <v>#NUM!</v>
      </c>
      <c r="Y1210" s="221">
        <f t="shared" si="56"/>
        <v>0</v>
      </c>
      <c r="Z1210" t="e">
        <f t="shared" si="57"/>
        <v>#NUM!</v>
      </c>
    </row>
    <row r="1211" spans="1:26" x14ac:dyDescent="0.2">
      <c r="A1211" s="26" t="e">
        <f t="shared" si="55"/>
        <v>#NUM!</v>
      </c>
      <c r="Y1211" s="221">
        <f t="shared" si="56"/>
        <v>0</v>
      </c>
      <c r="Z1211" t="e">
        <f t="shared" si="57"/>
        <v>#NUM!</v>
      </c>
    </row>
    <row r="1212" spans="1:26" x14ac:dyDescent="0.2">
      <c r="A1212" s="26" t="e">
        <f t="shared" si="55"/>
        <v>#NUM!</v>
      </c>
      <c r="Y1212" s="221">
        <f t="shared" si="56"/>
        <v>0</v>
      </c>
      <c r="Z1212" t="e">
        <f t="shared" si="57"/>
        <v>#NUM!</v>
      </c>
    </row>
    <row r="1213" spans="1:26" x14ac:dyDescent="0.2">
      <c r="A1213" s="26" t="e">
        <f t="shared" si="55"/>
        <v>#NUM!</v>
      </c>
      <c r="Y1213" s="221">
        <f t="shared" si="56"/>
        <v>0</v>
      </c>
      <c r="Z1213" t="e">
        <f t="shared" si="57"/>
        <v>#NUM!</v>
      </c>
    </row>
    <row r="1214" spans="1:26" x14ac:dyDescent="0.2">
      <c r="A1214" s="26" t="e">
        <f t="shared" si="55"/>
        <v>#NUM!</v>
      </c>
      <c r="Y1214" s="221">
        <f t="shared" si="56"/>
        <v>0</v>
      </c>
      <c r="Z1214" t="e">
        <f t="shared" si="57"/>
        <v>#NUM!</v>
      </c>
    </row>
    <row r="1215" spans="1:26" x14ac:dyDescent="0.2">
      <c r="A1215" s="26" t="e">
        <f t="shared" si="55"/>
        <v>#NUM!</v>
      </c>
      <c r="Y1215" s="221">
        <f t="shared" si="56"/>
        <v>0</v>
      </c>
      <c r="Z1215" t="e">
        <f t="shared" si="57"/>
        <v>#NUM!</v>
      </c>
    </row>
    <row r="1216" spans="1:26" x14ac:dyDescent="0.2">
      <c r="A1216" s="26" t="e">
        <f t="shared" si="55"/>
        <v>#NUM!</v>
      </c>
      <c r="Y1216" s="221">
        <f t="shared" si="56"/>
        <v>0</v>
      </c>
      <c r="Z1216" t="e">
        <f t="shared" si="57"/>
        <v>#NUM!</v>
      </c>
    </row>
    <row r="1217" spans="1:26" x14ac:dyDescent="0.2">
      <c r="A1217" s="26" t="e">
        <f t="shared" si="55"/>
        <v>#NUM!</v>
      </c>
      <c r="Y1217" s="221">
        <f t="shared" si="56"/>
        <v>0</v>
      </c>
      <c r="Z1217" t="e">
        <f t="shared" si="57"/>
        <v>#NUM!</v>
      </c>
    </row>
    <row r="1218" spans="1:26" x14ac:dyDescent="0.2">
      <c r="A1218" s="26" t="e">
        <f t="shared" si="55"/>
        <v>#NUM!</v>
      </c>
      <c r="Y1218" s="221">
        <f t="shared" si="56"/>
        <v>0</v>
      </c>
      <c r="Z1218" t="e">
        <f t="shared" si="57"/>
        <v>#NUM!</v>
      </c>
    </row>
    <row r="1219" spans="1:26" x14ac:dyDescent="0.2">
      <c r="A1219" s="26" t="e">
        <f t="shared" ref="A1219:A1282" si="58">DATE(B1219,C1219,D1219)</f>
        <v>#NUM!</v>
      </c>
      <c r="Y1219" s="221">
        <f t="shared" ref="Y1219:Y1282" si="59">SUM(G1219:W1219)</f>
        <v>0</v>
      </c>
      <c r="Z1219" t="e">
        <f t="shared" ref="Z1219:Z1282" si="60">IF(OR(WEEKDAY(A1219,2)=6,WEEKDAY(A1219,2)=7),X1219,0)</f>
        <v>#NUM!</v>
      </c>
    </row>
    <row r="1220" spans="1:26" x14ac:dyDescent="0.2">
      <c r="A1220" s="26" t="e">
        <f t="shared" si="58"/>
        <v>#NUM!</v>
      </c>
      <c r="Y1220" s="221">
        <f t="shared" si="59"/>
        <v>0</v>
      </c>
      <c r="Z1220" t="e">
        <f t="shared" si="60"/>
        <v>#NUM!</v>
      </c>
    </row>
    <row r="1221" spans="1:26" x14ac:dyDescent="0.2">
      <c r="A1221" s="26" t="e">
        <f t="shared" si="58"/>
        <v>#NUM!</v>
      </c>
      <c r="Y1221" s="221">
        <f t="shared" si="59"/>
        <v>0</v>
      </c>
      <c r="Z1221" t="e">
        <f t="shared" si="60"/>
        <v>#NUM!</v>
      </c>
    </row>
    <row r="1222" spans="1:26" x14ac:dyDescent="0.2">
      <c r="A1222" s="26" t="e">
        <f t="shared" si="58"/>
        <v>#NUM!</v>
      </c>
      <c r="Y1222" s="221">
        <f t="shared" si="59"/>
        <v>0</v>
      </c>
      <c r="Z1222" t="e">
        <f t="shared" si="60"/>
        <v>#NUM!</v>
      </c>
    </row>
    <row r="1223" spans="1:26" x14ac:dyDescent="0.2">
      <c r="A1223" s="26" t="e">
        <f t="shared" si="58"/>
        <v>#NUM!</v>
      </c>
      <c r="Y1223" s="221">
        <f t="shared" si="59"/>
        <v>0</v>
      </c>
      <c r="Z1223" t="e">
        <f t="shared" si="60"/>
        <v>#NUM!</v>
      </c>
    </row>
    <row r="1224" spans="1:26" x14ac:dyDescent="0.2">
      <c r="A1224" s="26" t="e">
        <f t="shared" si="58"/>
        <v>#NUM!</v>
      </c>
      <c r="Y1224" s="221">
        <f t="shared" si="59"/>
        <v>0</v>
      </c>
      <c r="Z1224" t="e">
        <f t="shared" si="60"/>
        <v>#NUM!</v>
      </c>
    </row>
    <row r="1225" spans="1:26" x14ac:dyDescent="0.2">
      <c r="A1225" s="26" t="e">
        <f t="shared" si="58"/>
        <v>#NUM!</v>
      </c>
      <c r="Y1225" s="221">
        <f t="shared" si="59"/>
        <v>0</v>
      </c>
      <c r="Z1225" t="e">
        <f t="shared" si="60"/>
        <v>#NUM!</v>
      </c>
    </row>
    <row r="1226" spans="1:26" x14ac:dyDescent="0.2">
      <c r="A1226" s="26" t="e">
        <f t="shared" si="58"/>
        <v>#NUM!</v>
      </c>
      <c r="Y1226" s="221">
        <f t="shared" si="59"/>
        <v>0</v>
      </c>
      <c r="Z1226" t="e">
        <f t="shared" si="60"/>
        <v>#NUM!</v>
      </c>
    </row>
    <row r="1227" spans="1:26" x14ac:dyDescent="0.2">
      <c r="A1227" s="26" t="e">
        <f t="shared" si="58"/>
        <v>#NUM!</v>
      </c>
      <c r="Y1227" s="221">
        <f t="shared" si="59"/>
        <v>0</v>
      </c>
      <c r="Z1227" t="e">
        <f t="shared" si="60"/>
        <v>#NUM!</v>
      </c>
    </row>
    <row r="1228" spans="1:26" x14ac:dyDescent="0.2">
      <c r="A1228" s="26" t="e">
        <f t="shared" si="58"/>
        <v>#NUM!</v>
      </c>
      <c r="Y1228" s="221">
        <f t="shared" si="59"/>
        <v>0</v>
      </c>
      <c r="Z1228" t="e">
        <f t="shared" si="60"/>
        <v>#NUM!</v>
      </c>
    </row>
    <row r="1229" spans="1:26" x14ac:dyDescent="0.2">
      <c r="A1229" s="26" t="e">
        <f t="shared" si="58"/>
        <v>#NUM!</v>
      </c>
      <c r="Y1229" s="221">
        <f t="shared" si="59"/>
        <v>0</v>
      </c>
      <c r="Z1229" t="e">
        <f t="shared" si="60"/>
        <v>#NUM!</v>
      </c>
    </row>
    <row r="1230" spans="1:26" x14ac:dyDescent="0.2">
      <c r="A1230" s="26" t="e">
        <f t="shared" si="58"/>
        <v>#NUM!</v>
      </c>
      <c r="Y1230" s="221">
        <f t="shared" si="59"/>
        <v>0</v>
      </c>
      <c r="Z1230" t="e">
        <f t="shared" si="60"/>
        <v>#NUM!</v>
      </c>
    </row>
    <row r="1231" spans="1:26" x14ac:dyDescent="0.2">
      <c r="A1231" s="26" t="e">
        <f t="shared" si="58"/>
        <v>#NUM!</v>
      </c>
      <c r="Y1231" s="221">
        <f t="shared" si="59"/>
        <v>0</v>
      </c>
      <c r="Z1231" t="e">
        <f t="shared" si="60"/>
        <v>#NUM!</v>
      </c>
    </row>
    <row r="1232" spans="1:26" x14ac:dyDescent="0.2">
      <c r="A1232" s="26" t="e">
        <f t="shared" si="58"/>
        <v>#NUM!</v>
      </c>
      <c r="Y1232" s="221">
        <f t="shared" si="59"/>
        <v>0</v>
      </c>
      <c r="Z1232" t="e">
        <f t="shared" si="60"/>
        <v>#NUM!</v>
      </c>
    </row>
    <row r="1233" spans="1:26" x14ac:dyDescent="0.2">
      <c r="A1233" s="26" t="e">
        <f t="shared" si="58"/>
        <v>#NUM!</v>
      </c>
      <c r="Y1233" s="221">
        <f t="shared" si="59"/>
        <v>0</v>
      </c>
      <c r="Z1233" t="e">
        <f t="shared" si="60"/>
        <v>#NUM!</v>
      </c>
    </row>
    <row r="1234" spans="1:26" x14ac:dyDescent="0.2">
      <c r="A1234" s="26" t="e">
        <f t="shared" si="58"/>
        <v>#NUM!</v>
      </c>
      <c r="Y1234" s="221">
        <f t="shared" si="59"/>
        <v>0</v>
      </c>
      <c r="Z1234" t="e">
        <f t="shared" si="60"/>
        <v>#NUM!</v>
      </c>
    </row>
    <row r="1235" spans="1:26" x14ac:dyDescent="0.2">
      <c r="A1235" s="26" t="e">
        <f t="shared" si="58"/>
        <v>#NUM!</v>
      </c>
      <c r="Y1235" s="221">
        <f t="shared" si="59"/>
        <v>0</v>
      </c>
      <c r="Z1235" t="e">
        <f t="shared" si="60"/>
        <v>#NUM!</v>
      </c>
    </row>
    <row r="1236" spans="1:26" x14ac:dyDescent="0.2">
      <c r="A1236" s="26" t="e">
        <f t="shared" si="58"/>
        <v>#NUM!</v>
      </c>
      <c r="Y1236" s="221">
        <f t="shared" si="59"/>
        <v>0</v>
      </c>
      <c r="Z1236" t="e">
        <f t="shared" si="60"/>
        <v>#NUM!</v>
      </c>
    </row>
    <row r="1237" spans="1:26" x14ac:dyDescent="0.2">
      <c r="A1237" s="26" t="e">
        <f t="shared" si="58"/>
        <v>#NUM!</v>
      </c>
      <c r="Y1237" s="221">
        <f t="shared" si="59"/>
        <v>0</v>
      </c>
      <c r="Z1237" t="e">
        <f t="shared" si="60"/>
        <v>#NUM!</v>
      </c>
    </row>
    <row r="1238" spans="1:26" x14ac:dyDescent="0.2">
      <c r="A1238" s="26" t="e">
        <f t="shared" si="58"/>
        <v>#NUM!</v>
      </c>
      <c r="Y1238" s="221">
        <f t="shared" si="59"/>
        <v>0</v>
      </c>
      <c r="Z1238" t="e">
        <f t="shared" si="60"/>
        <v>#NUM!</v>
      </c>
    </row>
    <row r="1239" spans="1:26" x14ac:dyDescent="0.2">
      <c r="A1239" s="26" t="e">
        <f t="shared" si="58"/>
        <v>#NUM!</v>
      </c>
      <c r="Y1239" s="221">
        <f t="shared" si="59"/>
        <v>0</v>
      </c>
      <c r="Z1239" t="e">
        <f t="shared" si="60"/>
        <v>#NUM!</v>
      </c>
    </row>
    <row r="1240" spans="1:26" x14ac:dyDescent="0.2">
      <c r="A1240" s="26" t="e">
        <f t="shared" si="58"/>
        <v>#NUM!</v>
      </c>
      <c r="Y1240" s="221">
        <f t="shared" si="59"/>
        <v>0</v>
      </c>
      <c r="Z1240" t="e">
        <f t="shared" si="60"/>
        <v>#NUM!</v>
      </c>
    </row>
    <row r="1241" spans="1:26" x14ac:dyDescent="0.2">
      <c r="A1241" s="26" t="e">
        <f t="shared" si="58"/>
        <v>#NUM!</v>
      </c>
      <c r="Y1241" s="221">
        <f t="shared" si="59"/>
        <v>0</v>
      </c>
      <c r="Z1241" t="e">
        <f t="shared" si="60"/>
        <v>#NUM!</v>
      </c>
    </row>
    <row r="1242" spans="1:26" x14ac:dyDescent="0.2">
      <c r="A1242" s="26" t="e">
        <f t="shared" si="58"/>
        <v>#NUM!</v>
      </c>
      <c r="Y1242" s="221">
        <f t="shared" si="59"/>
        <v>0</v>
      </c>
      <c r="Z1242" t="e">
        <f t="shared" si="60"/>
        <v>#NUM!</v>
      </c>
    </row>
    <row r="1243" spans="1:26" x14ac:dyDescent="0.2">
      <c r="A1243" s="26" t="e">
        <f t="shared" si="58"/>
        <v>#NUM!</v>
      </c>
      <c r="Y1243" s="221">
        <f t="shared" si="59"/>
        <v>0</v>
      </c>
      <c r="Z1243" t="e">
        <f t="shared" si="60"/>
        <v>#NUM!</v>
      </c>
    </row>
    <row r="1244" spans="1:26" x14ac:dyDescent="0.2">
      <c r="A1244" s="26" t="e">
        <f t="shared" si="58"/>
        <v>#NUM!</v>
      </c>
      <c r="Y1244" s="221">
        <f t="shared" si="59"/>
        <v>0</v>
      </c>
      <c r="Z1244" t="e">
        <f t="shared" si="60"/>
        <v>#NUM!</v>
      </c>
    </row>
    <row r="1245" spans="1:26" x14ac:dyDescent="0.2">
      <c r="A1245" s="26" t="e">
        <f t="shared" si="58"/>
        <v>#NUM!</v>
      </c>
      <c r="Y1245" s="221">
        <f t="shared" si="59"/>
        <v>0</v>
      </c>
      <c r="Z1245" t="e">
        <f t="shared" si="60"/>
        <v>#NUM!</v>
      </c>
    </row>
    <row r="1246" spans="1:26" x14ac:dyDescent="0.2">
      <c r="A1246" s="26" t="e">
        <f t="shared" si="58"/>
        <v>#NUM!</v>
      </c>
      <c r="Y1246" s="221">
        <f t="shared" si="59"/>
        <v>0</v>
      </c>
      <c r="Z1246" t="e">
        <f t="shared" si="60"/>
        <v>#NUM!</v>
      </c>
    </row>
    <row r="1247" spans="1:26" x14ac:dyDescent="0.2">
      <c r="A1247" s="26" t="e">
        <f t="shared" si="58"/>
        <v>#NUM!</v>
      </c>
      <c r="Y1247" s="221">
        <f t="shared" si="59"/>
        <v>0</v>
      </c>
      <c r="Z1247" t="e">
        <f t="shared" si="60"/>
        <v>#NUM!</v>
      </c>
    </row>
    <row r="1248" spans="1:26" x14ac:dyDescent="0.2">
      <c r="A1248" s="26" t="e">
        <f t="shared" si="58"/>
        <v>#NUM!</v>
      </c>
      <c r="Y1248" s="221">
        <f t="shared" si="59"/>
        <v>0</v>
      </c>
      <c r="Z1248" t="e">
        <f t="shared" si="60"/>
        <v>#NUM!</v>
      </c>
    </row>
    <row r="1249" spans="1:26" x14ac:dyDescent="0.2">
      <c r="A1249" s="26" t="e">
        <f t="shared" si="58"/>
        <v>#NUM!</v>
      </c>
      <c r="Y1249" s="221">
        <f t="shared" si="59"/>
        <v>0</v>
      </c>
      <c r="Z1249" t="e">
        <f t="shared" si="60"/>
        <v>#NUM!</v>
      </c>
    </row>
    <row r="1250" spans="1:26" x14ac:dyDescent="0.2">
      <c r="A1250" s="26" t="e">
        <f t="shared" si="58"/>
        <v>#NUM!</v>
      </c>
      <c r="Y1250" s="221">
        <f t="shared" si="59"/>
        <v>0</v>
      </c>
      <c r="Z1250" t="e">
        <f t="shared" si="60"/>
        <v>#NUM!</v>
      </c>
    </row>
    <row r="1251" spans="1:26" x14ac:dyDescent="0.2">
      <c r="A1251" s="26" t="e">
        <f t="shared" si="58"/>
        <v>#NUM!</v>
      </c>
      <c r="Y1251" s="221">
        <f t="shared" si="59"/>
        <v>0</v>
      </c>
      <c r="Z1251" t="e">
        <f t="shared" si="60"/>
        <v>#NUM!</v>
      </c>
    </row>
    <row r="1252" spans="1:26" x14ac:dyDescent="0.2">
      <c r="A1252" s="26" t="e">
        <f t="shared" si="58"/>
        <v>#NUM!</v>
      </c>
      <c r="Y1252" s="221">
        <f t="shared" si="59"/>
        <v>0</v>
      </c>
      <c r="Z1252" t="e">
        <f t="shared" si="60"/>
        <v>#NUM!</v>
      </c>
    </row>
    <row r="1253" spans="1:26" x14ac:dyDescent="0.2">
      <c r="A1253" s="26" t="e">
        <f t="shared" si="58"/>
        <v>#NUM!</v>
      </c>
      <c r="Y1253" s="221">
        <f t="shared" si="59"/>
        <v>0</v>
      </c>
      <c r="Z1253" t="e">
        <f t="shared" si="60"/>
        <v>#NUM!</v>
      </c>
    </row>
    <row r="1254" spans="1:26" x14ac:dyDescent="0.2">
      <c r="A1254" s="26" t="e">
        <f t="shared" si="58"/>
        <v>#NUM!</v>
      </c>
      <c r="Y1254" s="221">
        <f t="shared" si="59"/>
        <v>0</v>
      </c>
      <c r="Z1254" t="e">
        <f t="shared" si="60"/>
        <v>#NUM!</v>
      </c>
    </row>
    <row r="1255" spans="1:26" x14ac:dyDescent="0.2">
      <c r="A1255" s="26" t="e">
        <f t="shared" si="58"/>
        <v>#NUM!</v>
      </c>
      <c r="Y1255" s="221">
        <f t="shared" si="59"/>
        <v>0</v>
      </c>
      <c r="Z1255" t="e">
        <f t="shared" si="60"/>
        <v>#NUM!</v>
      </c>
    </row>
    <row r="1256" spans="1:26" x14ac:dyDescent="0.2">
      <c r="A1256" s="26" t="e">
        <f t="shared" si="58"/>
        <v>#NUM!</v>
      </c>
      <c r="Y1256" s="221">
        <f t="shared" si="59"/>
        <v>0</v>
      </c>
      <c r="Z1256" t="e">
        <f t="shared" si="60"/>
        <v>#NUM!</v>
      </c>
    </row>
    <row r="1257" spans="1:26" x14ac:dyDescent="0.2">
      <c r="A1257" s="26" t="e">
        <f t="shared" si="58"/>
        <v>#NUM!</v>
      </c>
      <c r="Y1257" s="221">
        <f t="shared" si="59"/>
        <v>0</v>
      </c>
      <c r="Z1257" t="e">
        <f t="shared" si="60"/>
        <v>#NUM!</v>
      </c>
    </row>
    <row r="1258" spans="1:26" x14ac:dyDescent="0.2">
      <c r="A1258" s="26" t="e">
        <f t="shared" si="58"/>
        <v>#NUM!</v>
      </c>
      <c r="Y1258" s="221">
        <f t="shared" si="59"/>
        <v>0</v>
      </c>
      <c r="Z1258" t="e">
        <f t="shared" si="60"/>
        <v>#NUM!</v>
      </c>
    </row>
    <row r="1259" spans="1:26" x14ac:dyDescent="0.2">
      <c r="A1259" s="26" t="e">
        <f t="shared" si="58"/>
        <v>#NUM!</v>
      </c>
      <c r="Y1259" s="221">
        <f t="shared" si="59"/>
        <v>0</v>
      </c>
      <c r="Z1259" t="e">
        <f t="shared" si="60"/>
        <v>#NUM!</v>
      </c>
    </row>
    <row r="1260" spans="1:26" x14ac:dyDescent="0.2">
      <c r="A1260" s="26" t="e">
        <f t="shared" si="58"/>
        <v>#NUM!</v>
      </c>
      <c r="Y1260" s="221">
        <f t="shared" si="59"/>
        <v>0</v>
      </c>
      <c r="Z1260" t="e">
        <f t="shared" si="60"/>
        <v>#NUM!</v>
      </c>
    </row>
    <row r="1261" spans="1:26" x14ac:dyDescent="0.2">
      <c r="A1261" s="26" t="e">
        <f t="shared" si="58"/>
        <v>#NUM!</v>
      </c>
      <c r="Y1261" s="221">
        <f t="shared" si="59"/>
        <v>0</v>
      </c>
      <c r="Z1261" t="e">
        <f t="shared" si="60"/>
        <v>#NUM!</v>
      </c>
    </row>
    <row r="1262" spans="1:26" x14ac:dyDescent="0.2">
      <c r="A1262" s="26" t="e">
        <f t="shared" si="58"/>
        <v>#NUM!</v>
      </c>
      <c r="Y1262" s="221">
        <f t="shared" si="59"/>
        <v>0</v>
      </c>
      <c r="Z1262" t="e">
        <f t="shared" si="60"/>
        <v>#NUM!</v>
      </c>
    </row>
    <row r="1263" spans="1:26" x14ac:dyDescent="0.2">
      <c r="A1263" s="26" t="e">
        <f t="shared" si="58"/>
        <v>#NUM!</v>
      </c>
      <c r="Y1263" s="221">
        <f t="shared" si="59"/>
        <v>0</v>
      </c>
      <c r="Z1263" t="e">
        <f t="shared" si="60"/>
        <v>#NUM!</v>
      </c>
    </row>
    <row r="1264" spans="1:26" x14ac:dyDescent="0.2">
      <c r="A1264" s="26" t="e">
        <f t="shared" si="58"/>
        <v>#NUM!</v>
      </c>
      <c r="Y1264" s="221">
        <f t="shared" si="59"/>
        <v>0</v>
      </c>
      <c r="Z1264" t="e">
        <f t="shared" si="60"/>
        <v>#NUM!</v>
      </c>
    </row>
    <row r="1265" spans="1:26" x14ac:dyDescent="0.2">
      <c r="A1265" s="26" t="e">
        <f t="shared" si="58"/>
        <v>#NUM!</v>
      </c>
      <c r="Y1265" s="221">
        <f t="shared" si="59"/>
        <v>0</v>
      </c>
      <c r="Z1265" t="e">
        <f t="shared" si="60"/>
        <v>#NUM!</v>
      </c>
    </row>
    <row r="1266" spans="1:26" x14ac:dyDescent="0.2">
      <c r="A1266" s="26" t="e">
        <f t="shared" si="58"/>
        <v>#NUM!</v>
      </c>
      <c r="Y1266" s="221">
        <f t="shared" si="59"/>
        <v>0</v>
      </c>
      <c r="Z1266" t="e">
        <f t="shared" si="60"/>
        <v>#NUM!</v>
      </c>
    </row>
    <row r="1267" spans="1:26" x14ac:dyDescent="0.2">
      <c r="A1267" s="26" t="e">
        <f t="shared" si="58"/>
        <v>#NUM!</v>
      </c>
      <c r="Y1267" s="221">
        <f t="shared" si="59"/>
        <v>0</v>
      </c>
      <c r="Z1267" t="e">
        <f t="shared" si="60"/>
        <v>#NUM!</v>
      </c>
    </row>
    <row r="1268" spans="1:26" x14ac:dyDescent="0.2">
      <c r="A1268" s="26" t="e">
        <f t="shared" si="58"/>
        <v>#NUM!</v>
      </c>
      <c r="Y1268" s="221">
        <f t="shared" si="59"/>
        <v>0</v>
      </c>
      <c r="Z1268" t="e">
        <f t="shared" si="60"/>
        <v>#NUM!</v>
      </c>
    </row>
    <row r="1269" spans="1:26" x14ac:dyDescent="0.2">
      <c r="A1269" s="26" t="e">
        <f t="shared" si="58"/>
        <v>#NUM!</v>
      </c>
      <c r="Y1269" s="221">
        <f t="shared" si="59"/>
        <v>0</v>
      </c>
      <c r="Z1269" t="e">
        <f t="shared" si="60"/>
        <v>#NUM!</v>
      </c>
    </row>
    <row r="1270" spans="1:26" x14ac:dyDescent="0.2">
      <c r="A1270" s="26" t="e">
        <f t="shared" si="58"/>
        <v>#NUM!</v>
      </c>
      <c r="Y1270" s="221">
        <f t="shared" si="59"/>
        <v>0</v>
      </c>
      <c r="Z1270" t="e">
        <f t="shared" si="60"/>
        <v>#NUM!</v>
      </c>
    </row>
    <row r="1271" spans="1:26" x14ac:dyDescent="0.2">
      <c r="A1271" s="26" t="e">
        <f t="shared" si="58"/>
        <v>#NUM!</v>
      </c>
      <c r="Y1271" s="221">
        <f t="shared" si="59"/>
        <v>0</v>
      </c>
      <c r="Z1271" t="e">
        <f t="shared" si="60"/>
        <v>#NUM!</v>
      </c>
    </row>
    <row r="1272" spans="1:26" x14ac:dyDescent="0.2">
      <c r="A1272" s="26" t="e">
        <f t="shared" si="58"/>
        <v>#NUM!</v>
      </c>
      <c r="Y1272" s="221">
        <f t="shared" si="59"/>
        <v>0</v>
      </c>
      <c r="Z1272" t="e">
        <f t="shared" si="60"/>
        <v>#NUM!</v>
      </c>
    </row>
    <row r="1273" spans="1:26" x14ac:dyDescent="0.2">
      <c r="A1273" s="26" t="e">
        <f t="shared" si="58"/>
        <v>#NUM!</v>
      </c>
      <c r="Y1273" s="221">
        <f t="shared" si="59"/>
        <v>0</v>
      </c>
      <c r="Z1273" t="e">
        <f t="shared" si="60"/>
        <v>#NUM!</v>
      </c>
    </row>
    <row r="1274" spans="1:26" x14ac:dyDescent="0.2">
      <c r="A1274" s="26" t="e">
        <f t="shared" si="58"/>
        <v>#NUM!</v>
      </c>
      <c r="Y1274" s="221">
        <f t="shared" si="59"/>
        <v>0</v>
      </c>
      <c r="Z1274" t="e">
        <f t="shared" si="60"/>
        <v>#NUM!</v>
      </c>
    </row>
    <row r="1275" spans="1:26" x14ac:dyDescent="0.2">
      <c r="A1275" s="26" t="e">
        <f t="shared" si="58"/>
        <v>#NUM!</v>
      </c>
      <c r="Y1275" s="221">
        <f t="shared" si="59"/>
        <v>0</v>
      </c>
      <c r="Z1275" t="e">
        <f t="shared" si="60"/>
        <v>#NUM!</v>
      </c>
    </row>
    <row r="1276" spans="1:26" x14ac:dyDescent="0.2">
      <c r="A1276" s="26" t="e">
        <f t="shared" si="58"/>
        <v>#NUM!</v>
      </c>
      <c r="Y1276" s="221">
        <f t="shared" si="59"/>
        <v>0</v>
      </c>
      <c r="Z1276" t="e">
        <f t="shared" si="60"/>
        <v>#NUM!</v>
      </c>
    </row>
    <row r="1277" spans="1:26" x14ac:dyDescent="0.2">
      <c r="A1277" s="26" t="e">
        <f t="shared" si="58"/>
        <v>#NUM!</v>
      </c>
      <c r="Y1277" s="221">
        <f t="shared" si="59"/>
        <v>0</v>
      </c>
      <c r="Z1277" t="e">
        <f t="shared" si="60"/>
        <v>#NUM!</v>
      </c>
    </row>
    <row r="1278" spans="1:26" x14ac:dyDescent="0.2">
      <c r="A1278" s="26" t="e">
        <f t="shared" si="58"/>
        <v>#NUM!</v>
      </c>
      <c r="Y1278" s="221">
        <f t="shared" si="59"/>
        <v>0</v>
      </c>
      <c r="Z1278" t="e">
        <f t="shared" si="60"/>
        <v>#NUM!</v>
      </c>
    </row>
    <row r="1279" spans="1:26" x14ac:dyDescent="0.2">
      <c r="A1279" s="26" t="e">
        <f t="shared" si="58"/>
        <v>#NUM!</v>
      </c>
      <c r="Y1279" s="221">
        <f t="shared" si="59"/>
        <v>0</v>
      </c>
      <c r="Z1279" t="e">
        <f t="shared" si="60"/>
        <v>#NUM!</v>
      </c>
    </row>
    <row r="1280" spans="1:26" x14ac:dyDescent="0.2">
      <c r="A1280" s="26" t="e">
        <f t="shared" si="58"/>
        <v>#NUM!</v>
      </c>
      <c r="Y1280" s="221">
        <f t="shared" si="59"/>
        <v>0</v>
      </c>
      <c r="Z1280" t="e">
        <f t="shared" si="60"/>
        <v>#NUM!</v>
      </c>
    </row>
    <row r="1281" spans="1:26" x14ac:dyDescent="0.2">
      <c r="A1281" s="26" t="e">
        <f t="shared" si="58"/>
        <v>#NUM!</v>
      </c>
      <c r="Y1281" s="221">
        <f t="shared" si="59"/>
        <v>0</v>
      </c>
      <c r="Z1281" t="e">
        <f t="shared" si="60"/>
        <v>#NUM!</v>
      </c>
    </row>
    <row r="1282" spans="1:26" x14ac:dyDescent="0.2">
      <c r="A1282" s="26" t="e">
        <f t="shared" si="58"/>
        <v>#NUM!</v>
      </c>
      <c r="Y1282" s="221">
        <f t="shared" si="59"/>
        <v>0</v>
      </c>
      <c r="Z1282" t="e">
        <f t="shared" si="60"/>
        <v>#NUM!</v>
      </c>
    </row>
    <row r="1283" spans="1:26" x14ac:dyDescent="0.2">
      <c r="A1283" s="26" t="e">
        <f t="shared" ref="A1283:A1346" si="61">DATE(B1283,C1283,D1283)</f>
        <v>#NUM!</v>
      </c>
      <c r="Y1283" s="221">
        <f t="shared" ref="Y1283:Y1346" si="62">SUM(G1283:W1283)</f>
        <v>0</v>
      </c>
      <c r="Z1283" t="e">
        <f t="shared" ref="Z1283:Z1346" si="63">IF(OR(WEEKDAY(A1283,2)=6,WEEKDAY(A1283,2)=7),X1283,0)</f>
        <v>#NUM!</v>
      </c>
    </row>
    <row r="1284" spans="1:26" x14ac:dyDescent="0.2">
      <c r="A1284" s="26" t="e">
        <f t="shared" si="61"/>
        <v>#NUM!</v>
      </c>
      <c r="Y1284" s="221">
        <f t="shared" si="62"/>
        <v>0</v>
      </c>
      <c r="Z1284" t="e">
        <f t="shared" si="63"/>
        <v>#NUM!</v>
      </c>
    </row>
    <row r="1285" spans="1:26" x14ac:dyDescent="0.2">
      <c r="A1285" s="26" t="e">
        <f t="shared" si="61"/>
        <v>#NUM!</v>
      </c>
      <c r="Y1285" s="221">
        <f t="shared" si="62"/>
        <v>0</v>
      </c>
      <c r="Z1285" t="e">
        <f t="shared" si="63"/>
        <v>#NUM!</v>
      </c>
    </row>
    <row r="1286" spans="1:26" x14ac:dyDescent="0.2">
      <c r="A1286" s="26" t="e">
        <f t="shared" si="61"/>
        <v>#NUM!</v>
      </c>
      <c r="Y1286" s="221">
        <f t="shared" si="62"/>
        <v>0</v>
      </c>
      <c r="Z1286" t="e">
        <f t="shared" si="63"/>
        <v>#NUM!</v>
      </c>
    </row>
    <row r="1287" spans="1:26" x14ac:dyDescent="0.2">
      <c r="A1287" s="26" t="e">
        <f t="shared" si="61"/>
        <v>#NUM!</v>
      </c>
      <c r="Y1287" s="221">
        <f t="shared" si="62"/>
        <v>0</v>
      </c>
      <c r="Z1287" t="e">
        <f t="shared" si="63"/>
        <v>#NUM!</v>
      </c>
    </row>
    <row r="1288" spans="1:26" x14ac:dyDescent="0.2">
      <c r="A1288" s="26" t="e">
        <f t="shared" si="61"/>
        <v>#NUM!</v>
      </c>
      <c r="Y1288" s="221">
        <f t="shared" si="62"/>
        <v>0</v>
      </c>
      <c r="Z1288" t="e">
        <f t="shared" si="63"/>
        <v>#NUM!</v>
      </c>
    </row>
    <row r="1289" spans="1:26" x14ac:dyDescent="0.2">
      <c r="A1289" s="26" t="e">
        <f t="shared" si="61"/>
        <v>#NUM!</v>
      </c>
      <c r="Y1289" s="221">
        <f t="shared" si="62"/>
        <v>0</v>
      </c>
      <c r="Z1289" t="e">
        <f t="shared" si="63"/>
        <v>#NUM!</v>
      </c>
    </row>
    <row r="1290" spans="1:26" x14ac:dyDescent="0.2">
      <c r="A1290" s="26" t="e">
        <f t="shared" si="61"/>
        <v>#NUM!</v>
      </c>
      <c r="Y1290" s="221">
        <f t="shared" si="62"/>
        <v>0</v>
      </c>
      <c r="Z1290" t="e">
        <f t="shared" si="63"/>
        <v>#NUM!</v>
      </c>
    </row>
    <row r="1291" spans="1:26" x14ac:dyDescent="0.2">
      <c r="A1291" s="26" t="e">
        <f t="shared" si="61"/>
        <v>#NUM!</v>
      </c>
      <c r="Y1291" s="221">
        <f t="shared" si="62"/>
        <v>0</v>
      </c>
      <c r="Z1291" t="e">
        <f t="shared" si="63"/>
        <v>#NUM!</v>
      </c>
    </row>
    <row r="1292" spans="1:26" x14ac:dyDescent="0.2">
      <c r="A1292" s="26" t="e">
        <f t="shared" si="61"/>
        <v>#NUM!</v>
      </c>
      <c r="Y1292" s="221">
        <f t="shared" si="62"/>
        <v>0</v>
      </c>
      <c r="Z1292" t="e">
        <f t="shared" si="63"/>
        <v>#NUM!</v>
      </c>
    </row>
    <row r="1293" spans="1:26" x14ac:dyDescent="0.2">
      <c r="A1293" s="26" t="e">
        <f t="shared" si="61"/>
        <v>#NUM!</v>
      </c>
      <c r="Y1293" s="221">
        <f t="shared" si="62"/>
        <v>0</v>
      </c>
      <c r="Z1293" t="e">
        <f t="shared" si="63"/>
        <v>#NUM!</v>
      </c>
    </row>
    <row r="1294" spans="1:26" x14ac:dyDescent="0.2">
      <c r="A1294" s="26" t="e">
        <f t="shared" si="61"/>
        <v>#NUM!</v>
      </c>
      <c r="Y1294" s="221">
        <f t="shared" si="62"/>
        <v>0</v>
      </c>
      <c r="Z1294" t="e">
        <f t="shared" si="63"/>
        <v>#NUM!</v>
      </c>
    </row>
    <row r="1295" spans="1:26" x14ac:dyDescent="0.2">
      <c r="A1295" s="26" t="e">
        <f t="shared" si="61"/>
        <v>#NUM!</v>
      </c>
      <c r="Y1295" s="221">
        <f t="shared" si="62"/>
        <v>0</v>
      </c>
      <c r="Z1295" t="e">
        <f t="shared" si="63"/>
        <v>#NUM!</v>
      </c>
    </row>
    <row r="1296" spans="1:26" x14ac:dyDescent="0.2">
      <c r="A1296" s="26" t="e">
        <f t="shared" si="61"/>
        <v>#NUM!</v>
      </c>
      <c r="Y1296" s="221">
        <f t="shared" si="62"/>
        <v>0</v>
      </c>
      <c r="Z1296" t="e">
        <f t="shared" si="63"/>
        <v>#NUM!</v>
      </c>
    </row>
    <row r="1297" spans="1:26" x14ac:dyDescent="0.2">
      <c r="A1297" s="26" t="e">
        <f t="shared" si="61"/>
        <v>#NUM!</v>
      </c>
      <c r="Y1297" s="221">
        <f t="shared" si="62"/>
        <v>0</v>
      </c>
      <c r="Z1297" t="e">
        <f t="shared" si="63"/>
        <v>#NUM!</v>
      </c>
    </row>
    <row r="1298" spans="1:26" x14ac:dyDescent="0.2">
      <c r="A1298" s="26" t="e">
        <f t="shared" si="61"/>
        <v>#NUM!</v>
      </c>
      <c r="Y1298" s="221">
        <f t="shared" si="62"/>
        <v>0</v>
      </c>
      <c r="Z1298" t="e">
        <f t="shared" si="63"/>
        <v>#NUM!</v>
      </c>
    </row>
    <row r="1299" spans="1:26" x14ac:dyDescent="0.2">
      <c r="A1299" s="26" t="e">
        <f t="shared" si="61"/>
        <v>#NUM!</v>
      </c>
      <c r="Y1299" s="221">
        <f t="shared" si="62"/>
        <v>0</v>
      </c>
      <c r="Z1299" t="e">
        <f t="shared" si="63"/>
        <v>#NUM!</v>
      </c>
    </row>
    <row r="1300" spans="1:26" x14ac:dyDescent="0.2">
      <c r="A1300" s="26" t="e">
        <f t="shared" si="61"/>
        <v>#NUM!</v>
      </c>
      <c r="Y1300" s="221">
        <f t="shared" si="62"/>
        <v>0</v>
      </c>
      <c r="Z1300" t="e">
        <f t="shared" si="63"/>
        <v>#NUM!</v>
      </c>
    </row>
    <row r="1301" spans="1:26" x14ac:dyDescent="0.2">
      <c r="A1301" s="26" t="e">
        <f t="shared" si="61"/>
        <v>#NUM!</v>
      </c>
      <c r="Y1301" s="221">
        <f t="shared" si="62"/>
        <v>0</v>
      </c>
      <c r="Z1301" t="e">
        <f t="shared" si="63"/>
        <v>#NUM!</v>
      </c>
    </row>
    <row r="1302" spans="1:26" x14ac:dyDescent="0.2">
      <c r="A1302" s="26" t="e">
        <f t="shared" si="61"/>
        <v>#NUM!</v>
      </c>
      <c r="Y1302" s="221">
        <f t="shared" si="62"/>
        <v>0</v>
      </c>
      <c r="Z1302" t="e">
        <f t="shared" si="63"/>
        <v>#NUM!</v>
      </c>
    </row>
    <row r="1303" spans="1:26" x14ac:dyDescent="0.2">
      <c r="A1303" s="26" t="e">
        <f t="shared" si="61"/>
        <v>#NUM!</v>
      </c>
      <c r="Y1303" s="221">
        <f t="shared" si="62"/>
        <v>0</v>
      </c>
      <c r="Z1303" t="e">
        <f t="shared" si="63"/>
        <v>#NUM!</v>
      </c>
    </row>
    <row r="1304" spans="1:26" x14ac:dyDescent="0.2">
      <c r="A1304" s="26" t="e">
        <f t="shared" si="61"/>
        <v>#NUM!</v>
      </c>
      <c r="Y1304" s="221">
        <f t="shared" si="62"/>
        <v>0</v>
      </c>
      <c r="Z1304" t="e">
        <f t="shared" si="63"/>
        <v>#NUM!</v>
      </c>
    </row>
    <row r="1305" spans="1:26" x14ac:dyDescent="0.2">
      <c r="A1305" s="26" t="e">
        <f t="shared" si="61"/>
        <v>#NUM!</v>
      </c>
      <c r="Y1305" s="221">
        <f t="shared" si="62"/>
        <v>0</v>
      </c>
      <c r="Z1305" t="e">
        <f t="shared" si="63"/>
        <v>#NUM!</v>
      </c>
    </row>
    <row r="1306" spans="1:26" x14ac:dyDescent="0.2">
      <c r="A1306" s="26" t="e">
        <f t="shared" si="61"/>
        <v>#NUM!</v>
      </c>
      <c r="Y1306" s="221">
        <f t="shared" si="62"/>
        <v>0</v>
      </c>
      <c r="Z1306" t="e">
        <f t="shared" si="63"/>
        <v>#NUM!</v>
      </c>
    </row>
    <row r="1307" spans="1:26" x14ac:dyDescent="0.2">
      <c r="A1307" s="26" t="e">
        <f t="shared" si="61"/>
        <v>#NUM!</v>
      </c>
      <c r="Y1307" s="221">
        <f t="shared" si="62"/>
        <v>0</v>
      </c>
      <c r="Z1307" t="e">
        <f t="shared" si="63"/>
        <v>#NUM!</v>
      </c>
    </row>
    <row r="1308" spans="1:26" x14ac:dyDescent="0.2">
      <c r="A1308" s="26" t="e">
        <f t="shared" si="61"/>
        <v>#NUM!</v>
      </c>
      <c r="Y1308" s="221">
        <f t="shared" si="62"/>
        <v>0</v>
      </c>
      <c r="Z1308" t="e">
        <f t="shared" si="63"/>
        <v>#NUM!</v>
      </c>
    </row>
    <row r="1309" spans="1:26" x14ac:dyDescent="0.2">
      <c r="A1309" s="26" t="e">
        <f t="shared" si="61"/>
        <v>#NUM!</v>
      </c>
      <c r="Y1309" s="221">
        <f t="shared" si="62"/>
        <v>0</v>
      </c>
      <c r="Z1309" t="e">
        <f t="shared" si="63"/>
        <v>#NUM!</v>
      </c>
    </row>
    <row r="1310" spans="1:26" x14ac:dyDescent="0.2">
      <c r="A1310" s="26" t="e">
        <f t="shared" si="61"/>
        <v>#NUM!</v>
      </c>
      <c r="Y1310" s="221">
        <f t="shared" si="62"/>
        <v>0</v>
      </c>
      <c r="Z1310" t="e">
        <f t="shared" si="63"/>
        <v>#NUM!</v>
      </c>
    </row>
    <row r="1311" spans="1:26" x14ac:dyDescent="0.2">
      <c r="A1311" s="26" t="e">
        <f t="shared" si="61"/>
        <v>#NUM!</v>
      </c>
      <c r="Y1311" s="221">
        <f t="shared" si="62"/>
        <v>0</v>
      </c>
      <c r="Z1311" t="e">
        <f t="shared" si="63"/>
        <v>#NUM!</v>
      </c>
    </row>
    <row r="1312" spans="1:26" x14ac:dyDescent="0.2">
      <c r="A1312" s="26" t="e">
        <f t="shared" si="61"/>
        <v>#NUM!</v>
      </c>
      <c r="Y1312" s="221">
        <f t="shared" si="62"/>
        <v>0</v>
      </c>
      <c r="Z1312" t="e">
        <f t="shared" si="63"/>
        <v>#NUM!</v>
      </c>
    </row>
    <row r="1313" spans="1:26" x14ac:dyDescent="0.2">
      <c r="A1313" s="26" t="e">
        <f t="shared" si="61"/>
        <v>#NUM!</v>
      </c>
      <c r="Y1313" s="221">
        <f t="shared" si="62"/>
        <v>0</v>
      </c>
      <c r="Z1313" t="e">
        <f t="shared" si="63"/>
        <v>#NUM!</v>
      </c>
    </row>
    <row r="1314" spans="1:26" x14ac:dyDescent="0.2">
      <c r="A1314" s="26" t="e">
        <f t="shared" si="61"/>
        <v>#NUM!</v>
      </c>
      <c r="Y1314" s="221">
        <f t="shared" si="62"/>
        <v>0</v>
      </c>
      <c r="Z1314" t="e">
        <f t="shared" si="63"/>
        <v>#NUM!</v>
      </c>
    </row>
    <row r="1315" spans="1:26" x14ac:dyDescent="0.2">
      <c r="A1315" s="26" t="e">
        <f t="shared" si="61"/>
        <v>#NUM!</v>
      </c>
      <c r="Y1315" s="221">
        <f t="shared" si="62"/>
        <v>0</v>
      </c>
      <c r="Z1315" t="e">
        <f t="shared" si="63"/>
        <v>#NUM!</v>
      </c>
    </row>
    <row r="1316" spans="1:26" x14ac:dyDescent="0.2">
      <c r="A1316" s="26" t="e">
        <f t="shared" si="61"/>
        <v>#NUM!</v>
      </c>
      <c r="Y1316" s="221">
        <f t="shared" si="62"/>
        <v>0</v>
      </c>
      <c r="Z1316" t="e">
        <f t="shared" si="63"/>
        <v>#NUM!</v>
      </c>
    </row>
    <row r="1317" spans="1:26" x14ac:dyDescent="0.2">
      <c r="A1317" s="26" t="e">
        <f t="shared" si="61"/>
        <v>#NUM!</v>
      </c>
      <c r="Y1317" s="221">
        <f t="shared" si="62"/>
        <v>0</v>
      </c>
      <c r="Z1317" t="e">
        <f t="shared" si="63"/>
        <v>#NUM!</v>
      </c>
    </row>
    <row r="1318" spans="1:26" x14ac:dyDescent="0.2">
      <c r="A1318" s="26" t="e">
        <f t="shared" si="61"/>
        <v>#NUM!</v>
      </c>
      <c r="Y1318" s="221">
        <f t="shared" si="62"/>
        <v>0</v>
      </c>
      <c r="Z1318" t="e">
        <f t="shared" si="63"/>
        <v>#NUM!</v>
      </c>
    </row>
    <row r="1319" spans="1:26" x14ac:dyDescent="0.2">
      <c r="A1319" s="26" t="e">
        <f t="shared" si="61"/>
        <v>#NUM!</v>
      </c>
      <c r="Y1319" s="221">
        <f t="shared" si="62"/>
        <v>0</v>
      </c>
      <c r="Z1319" t="e">
        <f t="shared" si="63"/>
        <v>#NUM!</v>
      </c>
    </row>
    <row r="1320" spans="1:26" x14ac:dyDescent="0.2">
      <c r="A1320" s="26" t="e">
        <f t="shared" si="61"/>
        <v>#NUM!</v>
      </c>
      <c r="Y1320" s="221">
        <f t="shared" si="62"/>
        <v>0</v>
      </c>
      <c r="Z1320" t="e">
        <f t="shared" si="63"/>
        <v>#NUM!</v>
      </c>
    </row>
    <row r="1321" spans="1:26" x14ac:dyDescent="0.2">
      <c r="A1321" s="26" t="e">
        <f t="shared" si="61"/>
        <v>#NUM!</v>
      </c>
      <c r="Y1321" s="221">
        <f t="shared" si="62"/>
        <v>0</v>
      </c>
      <c r="Z1321" t="e">
        <f t="shared" si="63"/>
        <v>#NUM!</v>
      </c>
    </row>
    <row r="1322" spans="1:26" x14ac:dyDescent="0.2">
      <c r="A1322" s="26" t="e">
        <f t="shared" si="61"/>
        <v>#NUM!</v>
      </c>
      <c r="Y1322" s="221">
        <f t="shared" si="62"/>
        <v>0</v>
      </c>
      <c r="Z1322" t="e">
        <f t="shared" si="63"/>
        <v>#NUM!</v>
      </c>
    </row>
    <row r="1323" spans="1:26" x14ac:dyDescent="0.2">
      <c r="A1323" s="26" t="e">
        <f t="shared" si="61"/>
        <v>#NUM!</v>
      </c>
      <c r="Y1323" s="221">
        <f t="shared" si="62"/>
        <v>0</v>
      </c>
      <c r="Z1323" t="e">
        <f t="shared" si="63"/>
        <v>#NUM!</v>
      </c>
    </row>
    <row r="1324" spans="1:26" x14ac:dyDescent="0.2">
      <c r="A1324" s="26" t="e">
        <f t="shared" si="61"/>
        <v>#NUM!</v>
      </c>
      <c r="Y1324" s="221">
        <f t="shared" si="62"/>
        <v>0</v>
      </c>
      <c r="Z1324" t="e">
        <f t="shared" si="63"/>
        <v>#NUM!</v>
      </c>
    </row>
    <row r="1325" spans="1:26" x14ac:dyDescent="0.2">
      <c r="A1325" s="26" t="e">
        <f t="shared" si="61"/>
        <v>#NUM!</v>
      </c>
      <c r="Y1325" s="221">
        <f t="shared" si="62"/>
        <v>0</v>
      </c>
      <c r="Z1325" t="e">
        <f t="shared" si="63"/>
        <v>#NUM!</v>
      </c>
    </row>
    <row r="1326" spans="1:26" x14ac:dyDescent="0.2">
      <c r="A1326" s="26" t="e">
        <f t="shared" si="61"/>
        <v>#NUM!</v>
      </c>
      <c r="Y1326" s="221">
        <f t="shared" si="62"/>
        <v>0</v>
      </c>
      <c r="Z1326" t="e">
        <f t="shared" si="63"/>
        <v>#NUM!</v>
      </c>
    </row>
    <row r="1327" spans="1:26" x14ac:dyDescent="0.2">
      <c r="A1327" s="26" t="e">
        <f t="shared" si="61"/>
        <v>#NUM!</v>
      </c>
      <c r="Y1327" s="221">
        <f t="shared" si="62"/>
        <v>0</v>
      </c>
      <c r="Z1327" t="e">
        <f t="shared" si="63"/>
        <v>#NUM!</v>
      </c>
    </row>
    <row r="1328" spans="1:26" x14ac:dyDescent="0.2">
      <c r="A1328" s="26" t="e">
        <f t="shared" si="61"/>
        <v>#NUM!</v>
      </c>
      <c r="Y1328" s="221">
        <f t="shared" si="62"/>
        <v>0</v>
      </c>
      <c r="Z1328" t="e">
        <f t="shared" si="63"/>
        <v>#NUM!</v>
      </c>
    </row>
    <row r="1329" spans="1:26" x14ac:dyDescent="0.2">
      <c r="A1329" s="26" t="e">
        <f t="shared" si="61"/>
        <v>#NUM!</v>
      </c>
      <c r="Y1329" s="221">
        <f t="shared" si="62"/>
        <v>0</v>
      </c>
      <c r="Z1329" t="e">
        <f t="shared" si="63"/>
        <v>#NUM!</v>
      </c>
    </row>
    <row r="1330" spans="1:26" x14ac:dyDescent="0.2">
      <c r="A1330" s="26" t="e">
        <f t="shared" si="61"/>
        <v>#NUM!</v>
      </c>
      <c r="Y1330" s="221">
        <f t="shared" si="62"/>
        <v>0</v>
      </c>
      <c r="Z1330" t="e">
        <f t="shared" si="63"/>
        <v>#NUM!</v>
      </c>
    </row>
    <row r="1331" spans="1:26" x14ac:dyDescent="0.2">
      <c r="A1331" s="26" t="e">
        <f t="shared" si="61"/>
        <v>#NUM!</v>
      </c>
      <c r="Y1331" s="221">
        <f t="shared" si="62"/>
        <v>0</v>
      </c>
      <c r="Z1331" t="e">
        <f t="shared" si="63"/>
        <v>#NUM!</v>
      </c>
    </row>
    <row r="1332" spans="1:26" x14ac:dyDescent="0.2">
      <c r="A1332" s="26" t="e">
        <f t="shared" si="61"/>
        <v>#NUM!</v>
      </c>
      <c r="Y1332" s="221">
        <f t="shared" si="62"/>
        <v>0</v>
      </c>
      <c r="Z1332" t="e">
        <f t="shared" si="63"/>
        <v>#NUM!</v>
      </c>
    </row>
    <row r="1333" spans="1:26" x14ac:dyDescent="0.2">
      <c r="A1333" s="26" t="e">
        <f t="shared" si="61"/>
        <v>#NUM!</v>
      </c>
      <c r="Y1333" s="221">
        <f t="shared" si="62"/>
        <v>0</v>
      </c>
      <c r="Z1333" t="e">
        <f t="shared" si="63"/>
        <v>#NUM!</v>
      </c>
    </row>
    <row r="1334" spans="1:26" x14ac:dyDescent="0.2">
      <c r="A1334" s="26" t="e">
        <f t="shared" si="61"/>
        <v>#NUM!</v>
      </c>
      <c r="Y1334" s="221">
        <f t="shared" si="62"/>
        <v>0</v>
      </c>
      <c r="Z1334" t="e">
        <f t="shared" si="63"/>
        <v>#NUM!</v>
      </c>
    </row>
    <row r="1335" spans="1:26" x14ac:dyDescent="0.2">
      <c r="A1335" s="26" t="e">
        <f t="shared" si="61"/>
        <v>#NUM!</v>
      </c>
      <c r="Y1335" s="221">
        <f t="shared" si="62"/>
        <v>0</v>
      </c>
      <c r="Z1335" t="e">
        <f t="shared" si="63"/>
        <v>#NUM!</v>
      </c>
    </row>
    <row r="1336" spans="1:26" x14ac:dyDescent="0.2">
      <c r="A1336" s="26" t="e">
        <f t="shared" si="61"/>
        <v>#NUM!</v>
      </c>
      <c r="Y1336" s="221">
        <f t="shared" si="62"/>
        <v>0</v>
      </c>
      <c r="Z1336" t="e">
        <f t="shared" si="63"/>
        <v>#NUM!</v>
      </c>
    </row>
    <row r="1337" spans="1:26" x14ac:dyDescent="0.2">
      <c r="A1337" s="26" t="e">
        <f t="shared" si="61"/>
        <v>#NUM!</v>
      </c>
      <c r="Y1337" s="221">
        <f t="shared" si="62"/>
        <v>0</v>
      </c>
      <c r="Z1337" t="e">
        <f t="shared" si="63"/>
        <v>#NUM!</v>
      </c>
    </row>
    <row r="1338" spans="1:26" x14ac:dyDescent="0.2">
      <c r="A1338" s="26" t="e">
        <f t="shared" si="61"/>
        <v>#NUM!</v>
      </c>
      <c r="Y1338" s="221">
        <f t="shared" si="62"/>
        <v>0</v>
      </c>
      <c r="Z1338" t="e">
        <f t="shared" si="63"/>
        <v>#NUM!</v>
      </c>
    </row>
    <row r="1339" spans="1:26" x14ac:dyDescent="0.2">
      <c r="A1339" s="26" t="e">
        <f t="shared" si="61"/>
        <v>#NUM!</v>
      </c>
      <c r="Y1339" s="221">
        <f t="shared" si="62"/>
        <v>0</v>
      </c>
      <c r="Z1339" t="e">
        <f t="shared" si="63"/>
        <v>#NUM!</v>
      </c>
    </row>
    <row r="1340" spans="1:26" x14ac:dyDescent="0.2">
      <c r="A1340" s="26" t="e">
        <f t="shared" si="61"/>
        <v>#NUM!</v>
      </c>
      <c r="Y1340" s="221">
        <f t="shared" si="62"/>
        <v>0</v>
      </c>
      <c r="Z1340" t="e">
        <f t="shared" si="63"/>
        <v>#NUM!</v>
      </c>
    </row>
    <row r="1341" spans="1:26" x14ac:dyDescent="0.2">
      <c r="A1341" s="26" t="e">
        <f t="shared" si="61"/>
        <v>#NUM!</v>
      </c>
      <c r="Y1341" s="221">
        <f t="shared" si="62"/>
        <v>0</v>
      </c>
      <c r="Z1341" t="e">
        <f t="shared" si="63"/>
        <v>#NUM!</v>
      </c>
    </row>
    <row r="1342" spans="1:26" x14ac:dyDescent="0.2">
      <c r="A1342" s="26" t="e">
        <f t="shared" si="61"/>
        <v>#NUM!</v>
      </c>
      <c r="Y1342" s="221">
        <f t="shared" si="62"/>
        <v>0</v>
      </c>
      <c r="Z1342" t="e">
        <f t="shared" si="63"/>
        <v>#NUM!</v>
      </c>
    </row>
    <row r="1343" spans="1:26" x14ac:dyDescent="0.2">
      <c r="A1343" s="26" t="e">
        <f t="shared" si="61"/>
        <v>#NUM!</v>
      </c>
      <c r="Y1343" s="221">
        <f t="shared" si="62"/>
        <v>0</v>
      </c>
      <c r="Z1343" t="e">
        <f t="shared" si="63"/>
        <v>#NUM!</v>
      </c>
    </row>
    <row r="1344" spans="1:26" x14ac:dyDescent="0.2">
      <c r="A1344" s="26" t="e">
        <f t="shared" si="61"/>
        <v>#NUM!</v>
      </c>
      <c r="Y1344" s="221">
        <f t="shared" si="62"/>
        <v>0</v>
      </c>
      <c r="Z1344" t="e">
        <f t="shared" si="63"/>
        <v>#NUM!</v>
      </c>
    </row>
    <row r="1345" spans="1:26" x14ac:dyDescent="0.2">
      <c r="A1345" s="26" t="e">
        <f t="shared" si="61"/>
        <v>#NUM!</v>
      </c>
      <c r="Y1345" s="221">
        <f t="shared" si="62"/>
        <v>0</v>
      </c>
      <c r="Z1345" t="e">
        <f t="shared" si="63"/>
        <v>#NUM!</v>
      </c>
    </row>
    <row r="1346" spans="1:26" x14ac:dyDescent="0.2">
      <c r="A1346" s="26" t="e">
        <f t="shared" si="61"/>
        <v>#NUM!</v>
      </c>
      <c r="Y1346" s="221">
        <f t="shared" si="62"/>
        <v>0</v>
      </c>
      <c r="Z1346" t="e">
        <f t="shared" si="63"/>
        <v>#NUM!</v>
      </c>
    </row>
    <row r="1347" spans="1:26" x14ac:dyDescent="0.2">
      <c r="A1347" s="26" t="e">
        <f t="shared" ref="A1347:A1410" si="64">DATE(B1347,C1347,D1347)</f>
        <v>#NUM!</v>
      </c>
      <c r="Y1347" s="221">
        <f t="shared" ref="Y1347:Y1410" si="65">SUM(G1347:W1347)</f>
        <v>0</v>
      </c>
      <c r="Z1347" t="e">
        <f t="shared" ref="Z1347:Z1410" si="66">IF(OR(WEEKDAY(A1347,2)=6,WEEKDAY(A1347,2)=7),X1347,0)</f>
        <v>#NUM!</v>
      </c>
    </row>
    <row r="1348" spans="1:26" x14ac:dyDescent="0.2">
      <c r="A1348" s="26" t="e">
        <f t="shared" si="64"/>
        <v>#NUM!</v>
      </c>
      <c r="Y1348" s="221">
        <f t="shared" si="65"/>
        <v>0</v>
      </c>
      <c r="Z1348" t="e">
        <f t="shared" si="66"/>
        <v>#NUM!</v>
      </c>
    </row>
    <row r="1349" spans="1:26" x14ac:dyDescent="0.2">
      <c r="A1349" s="26" t="e">
        <f t="shared" si="64"/>
        <v>#NUM!</v>
      </c>
      <c r="Y1349" s="221">
        <f t="shared" si="65"/>
        <v>0</v>
      </c>
      <c r="Z1349" t="e">
        <f t="shared" si="66"/>
        <v>#NUM!</v>
      </c>
    </row>
    <row r="1350" spans="1:26" x14ac:dyDescent="0.2">
      <c r="A1350" s="26" t="e">
        <f t="shared" si="64"/>
        <v>#NUM!</v>
      </c>
      <c r="Y1350" s="221">
        <f t="shared" si="65"/>
        <v>0</v>
      </c>
      <c r="Z1350" t="e">
        <f t="shared" si="66"/>
        <v>#NUM!</v>
      </c>
    </row>
    <row r="1351" spans="1:26" x14ac:dyDescent="0.2">
      <c r="A1351" s="26" t="e">
        <f t="shared" si="64"/>
        <v>#NUM!</v>
      </c>
      <c r="Y1351" s="221">
        <f t="shared" si="65"/>
        <v>0</v>
      </c>
      <c r="Z1351" t="e">
        <f t="shared" si="66"/>
        <v>#NUM!</v>
      </c>
    </row>
    <row r="1352" spans="1:26" x14ac:dyDescent="0.2">
      <c r="A1352" s="26" t="e">
        <f t="shared" si="64"/>
        <v>#NUM!</v>
      </c>
      <c r="Y1352" s="221">
        <f t="shared" si="65"/>
        <v>0</v>
      </c>
      <c r="Z1352" t="e">
        <f t="shared" si="66"/>
        <v>#NUM!</v>
      </c>
    </row>
    <row r="1353" spans="1:26" x14ac:dyDescent="0.2">
      <c r="A1353" s="26" t="e">
        <f t="shared" si="64"/>
        <v>#NUM!</v>
      </c>
      <c r="Y1353" s="221">
        <f t="shared" si="65"/>
        <v>0</v>
      </c>
      <c r="Z1353" t="e">
        <f t="shared" si="66"/>
        <v>#NUM!</v>
      </c>
    </row>
    <row r="1354" spans="1:26" x14ac:dyDescent="0.2">
      <c r="A1354" s="26" t="e">
        <f t="shared" si="64"/>
        <v>#NUM!</v>
      </c>
      <c r="Y1354" s="221">
        <f t="shared" si="65"/>
        <v>0</v>
      </c>
      <c r="Z1354" t="e">
        <f t="shared" si="66"/>
        <v>#NUM!</v>
      </c>
    </row>
    <row r="1355" spans="1:26" x14ac:dyDescent="0.2">
      <c r="A1355" s="26" t="e">
        <f t="shared" si="64"/>
        <v>#NUM!</v>
      </c>
      <c r="Y1355" s="221">
        <f t="shared" si="65"/>
        <v>0</v>
      </c>
      <c r="Z1355" t="e">
        <f t="shared" si="66"/>
        <v>#NUM!</v>
      </c>
    </row>
    <row r="1356" spans="1:26" x14ac:dyDescent="0.2">
      <c r="A1356" s="26" t="e">
        <f t="shared" si="64"/>
        <v>#NUM!</v>
      </c>
      <c r="Y1356" s="221">
        <f t="shared" si="65"/>
        <v>0</v>
      </c>
      <c r="Z1356" t="e">
        <f t="shared" si="66"/>
        <v>#NUM!</v>
      </c>
    </row>
    <row r="1357" spans="1:26" x14ac:dyDescent="0.2">
      <c r="A1357" s="26" t="e">
        <f t="shared" si="64"/>
        <v>#NUM!</v>
      </c>
      <c r="Y1357" s="221">
        <f t="shared" si="65"/>
        <v>0</v>
      </c>
      <c r="Z1357" t="e">
        <f t="shared" si="66"/>
        <v>#NUM!</v>
      </c>
    </row>
    <row r="1358" spans="1:26" x14ac:dyDescent="0.2">
      <c r="A1358" s="26" t="e">
        <f t="shared" si="64"/>
        <v>#NUM!</v>
      </c>
      <c r="Y1358" s="221">
        <f t="shared" si="65"/>
        <v>0</v>
      </c>
      <c r="Z1358" t="e">
        <f t="shared" si="66"/>
        <v>#NUM!</v>
      </c>
    </row>
    <row r="1359" spans="1:26" x14ac:dyDescent="0.2">
      <c r="A1359" s="26" t="e">
        <f t="shared" si="64"/>
        <v>#NUM!</v>
      </c>
      <c r="Y1359" s="221">
        <f t="shared" si="65"/>
        <v>0</v>
      </c>
      <c r="Z1359" t="e">
        <f t="shared" si="66"/>
        <v>#NUM!</v>
      </c>
    </row>
    <row r="1360" spans="1:26" x14ac:dyDescent="0.2">
      <c r="A1360" s="26" t="e">
        <f t="shared" si="64"/>
        <v>#NUM!</v>
      </c>
      <c r="Y1360" s="221">
        <f t="shared" si="65"/>
        <v>0</v>
      </c>
      <c r="Z1360" t="e">
        <f t="shared" si="66"/>
        <v>#NUM!</v>
      </c>
    </row>
    <row r="1361" spans="1:26" x14ac:dyDescent="0.2">
      <c r="A1361" s="26" t="e">
        <f t="shared" si="64"/>
        <v>#NUM!</v>
      </c>
      <c r="Y1361" s="221">
        <f t="shared" si="65"/>
        <v>0</v>
      </c>
      <c r="Z1361" t="e">
        <f t="shared" si="66"/>
        <v>#NUM!</v>
      </c>
    </row>
    <row r="1362" spans="1:26" x14ac:dyDescent="0.2">
      <c r="A1362" s="26" t="e">
        <f t="shared" si="64"/>
        <v>#NUM!</v>
      </c>
      <c r="Y1362" s="221">
        <f t="shared" si="65"/>
        <v>0</v>
      </c>
      <c r="Z1362" t="e">
        <f t="shared" si="66"/>
        <v>#NUM!</v>
      </c>
    </row>
    <row r="1363" spans="1:26" x14ac:dyDescent="0.2">
      <c r="A1363" s="26" t="e">
        <f t="shared" si="64"/>
        <v>#NUM!</v>
      </c>
      <c r="Y1363" s="221">
        <f t="shared" si="65"/>
        <v>0</v>
      </c>
      <c r="Z1363" t="e">
        <f t="shared" si="66"/>
        <v>#NUM!</v>
      </c>
    </row>
    <row r="1364" spans="1:26" x14ac:dyDescent="0.2">
      <c r="A1364" s="26" t="e">
        <f t="shared" si="64"/>
        <v>#NUM!</v>
      </c>
      <c r="Y1364" s="221">
        <f t="shared" si="65"/>
        <v>0</v>
      </c>
      <c r="Z1364" t="e">
        <f t="shared" si="66"/>
        <v>#NUM!</v>
      </c>
    </row>
    <row r="1365" spans="1:26" x14ac:dyDescent="0.2">
      <c r="A1365" s="26" t="e">
        <f t="shared" si="64"/>
        <v>#NUM!</v>
      </c>
      <c r="Y1365" s="221">
        <f t="shared" si="65"/>
        <v>0</v>
      </c>
      <c r="Z1365" t="e">
        <f t="shared" si="66"/>
        <v>#NUM!</v>
      </c>
    </row>
    <row r="1366" spans="1:26" x14ac:dyDescent="0.2">
      <c r="A1366" s="26" t="e">
        <f t="shared" si="64"/>
        <v>#NUM!</v>
      </c>
      <c r="Y1366" s="221">
        <f t="shared" si="65"/>
        <v>0</v>
      </c>
      <c r="Z1366" t="e">
        <f t="shared" si="66"/>
        <v>#NUM!</v>
      </c>
    </row>
    <row r="1367" spans="1:26" x14ac:dyDescent="0.2">
      <c r="A1367" s="26" t="e">
        <f t="shared" si="64"/>
        <v>#NUM!</v>
      </c>
      <c r="Y1367" s="221">
        <f t="shared" si="65"/>
        <v>0</v>
      </c>
      <c r="Z1367" t="e">
        <f t="shared" si="66"/>
        <v>#NUM!</v>
      </c>
    </row>
    <row r="1368" spans="1:26" x14ac:dyDescent="0.2">
      <c r="A1368" s="26" t="e">
        <f t="shared" si="64"/>
        <v>#NUM!</v>
      </c>
      <c r="Y1368" s="221">
        <f t="shared" si="65"/>
        <v>0</v>
      </c>
      <c r="Z1368" t="e">
        <f t="shared" si="66"/>
        <v>#NUM!</v>
      </c>
    </row>
    <row r="1369" spans="1:26" x14ac:dyDescent="0.2">
      <c r="A1369" s="26" t="e">
        <f t="shared" si="64"/>
        <v>#NUM!</v>
      </c>
      <c r="Y1369" s="221">
        <f t="shared" si="65"/>
        <v>0</v>
      </c>
      <c r="Z1369" t="e">
        <f t="shared" si="66"/>
        <v>#NUM!</v>
      </c>
    </row>
    <row r="1370" spans="1:26" x14ac:dyDescent="0.2">
      <c r="A1370" s="26" t="e">
        <f t="shared" si="64"/>
        <v>#NUM!</v>
      </c>
      <c r="Y1370" s="221">
        <f t="shared" si="65"/>
        <v>0</v>
      </c>
      <c r="Z1370" t="e">
        <f t="shared" si="66"/>
        <v>#NUM!</v>
      </c>
    </row>
    <row r="1371" spans="1:26" x14ac:dyDescent="0.2">
      <c r="A1371" s="26" t="e">
        <f t="shared" si="64"/>
        <v>#NUM!</v>
      </c>
      <c r="Y1371" s="221">
        <f t="shared" si="65"/>
        <v>0</v>
      </c>
      <c r="Z1371" t="e">
        <f t="shared" si="66"/>
        <v>#NUM!</v>
      </c>
    </row>
    <row r="1372" spans="1:26" x14ac:dyDescent="0.2">
      <c r="A1372" s="26" t="e">
        <f t="shared" si="64"/>
        <v>#NUM!</v>
      </c>
      <c r="Y1372" s="221">
        <f t="shared" si="65"/>
        <v>0</v>
      </c>
      <c r="Z1372" t="e">
        <f t="shared" si="66"/>
        <v>#NUM!</v>
      </c>
    </row>
    <row r="1373" spans="1:26" x14ac:dyDescent="0.2">
      <c r="A1373" s="26" t="e">
        <f t="shared" si="64"/>
        <v>#NUM!</v>
      </c>
      <c r="Y1373" s="221">
        <f t="shared" si="65"/>
        <v>0</v>
      </c>
      <c r="Z1373" t="e">
        <f t="shared" si="66"/>
        <v>#NUM!</v>
      </c>
    </row>
    <row r="1374" spans="1:26" x14ac:dyDescent="0.2">
      <c r="A1374" s="26" t="e">
        <f t="shared" si="64"/>
        <v>#NUM!</v>
      </c>
      <c r="Y1374" s="221">
        <f t="shared" si="65"/>
        <v>0</v>
      </c>
      <c r="Z1374" t="e">
        <f t="shared" si="66"/>
        <v>#NUM!</v>
      </c>
    </row>
    <row r="1375" spans="1:26" x14ac:dyDescent="0.2">
      <c r="A1375" s="26" t="e">
        <f t="shared" si="64"/>
        <v>#NUM!</v>
      </c>
      <c r="Y1375" s="221">
        <f t="shared" si="65"/>
        <v>0</v>
      </c>
      <c r="Z1375" t="e">
        <f t="shared" si="66"/>
        <v>#NUM!</v>
      </c>
    </row>
    <row r="1376" spans="1:26" x14ac:dyDescent="0.2">
      <c r="A1376" s="26" t="e">
        <f t="shared" si="64"/>
        <v>#NUM!</v>
      </c>
      <c r="Y1376" s="221">
        <f t="shared" si="65"/>
        <v>0</v>
      </c>
      <c r="Z1376" t="e">
        <f t="shared" si="66"/>
        <v>#NUM!</v>
      </c>
    </row>
    <row r="1377" spans="1:26" x14ac:dyDescent="0.2">
      <c r="A1377" s="26" t="e">
        <f t="shared" si="64"/>
        <v>#NUM!</v>
      </c>
      <c r="Y1377" s="221">
        <f t="shared" si="65"/>
        <v>0</v>
      </c>
      <c r="Z1377" t="e">
        <f t="shared" si="66"/>
        <v>#NUM!</v>
      </c>
    </row>
    <row r="1378" spans="1:26" x14ac:dyDescent="0.2">
      <c r="A1378" s="26" t="e">
        <f t="shared" si="64"/>
        <v>#NUM!</v>
      </c>
      <c r="Y1378" s="221">
        <f t="shared" si="65"/>
        <v>0</v>
      </c>
      <c r="Z1378" t="e">
        <f t="shared" si="66"/>
        <v>#NUM!</v>
      </c>
    </row>
    <row r="1379" spans="1:26" x14ac:dyDescent="0.2">
      <c r="A1379" s="26" t="e">
        <f t="shared" si="64"/>
        <v>#NUM!</v>
      </c>
      <c r="Y1379" s="221">
        <f t="shared" si="65"/>
        <v>0</v>
      </c>
      <c r="Z1379" t="e">
        <f t="shared" si="66"/>
        <v>#NUM!</v>
      </c>
    </row>
    <row r="1380" spans="1:26" x14ac:dyDescent="0.2">
      <c r="A1380" s="26" t="e">
        <f t="shared" si="64"/>
        <v>#NUM!</v>
      </c>
      <c r="Y1380" s="221">
        <f t="shared" si="65"/>
        <v>0</v>
      </c>
      <c r="Z1380" t="e">
        <f t="shared" si="66"/>
        <v>#NUM!</v>
      </c>
    </row>
    <row r="1381" spans="1:26" x14ac:dyDescent="0.2">
      <c r="A1381" s="26" t="e">
        <f t="shared" si="64"/>
        <v>#NUM!</v>
      </c>
      <c r="Y1381" s="221">
        <f t="shared" si="65"/>
        <v>0</v>
      </c>
      <c r="Z1381" t="e">
        <f t="shared" si="66"/>
        <v>#NUM!</v>
      </c>
    </row>
    <row r="1382" spans="1:26" x14ac:dyDescent="0.2">
      <c r="A1382" s="26" t="e">
        <f t="shared" si="64"/>
        <v>#NUM!</v>
      </c>
      <c r="Y1382" s="221">
        <f t="shared" si="65"/>
        <v>0</v>
      </c>
      <c r="Z1382" t="e">
        <f t="shared" si="66"/>
        <v>#NUM!</v>
      </c>
    </row>
    <row r="1383" spans="1:26" x14ac:dyDescent="0.2">
      <c r="A1383" s="26" t="e">
        <f t="shared" si="64"/>
        <v>#NUM!</v>
      </c>
      <c r="Y1383" s="221">
        <f t="shared" si="65"/>
        <v>0</v>
      </c>
      <c r="Z1383" t="e">
        <f t="shared" si="66"/>
        <v>#NUM!</v>
      </c>
    </row>
    <row r="1384" spans="1:26" x14ac:dyDescent="0.2">
      <c r="A1384" s="26" t="e">
        <f t="shared" si="64"/>
        <v>#NUM!</v>
      </c>
      <c r="Y1384" s="221">
        <f t="shared" si="65"/>
        <v>0</v>
      </c>
      <c r="Z1384" t="e">
        <f t="shared" si="66"/>
        <v>#NUM!</v>
      </c>
    </row>
    <row r="1385" spans="1:26" x14ac:dyDescent="0.2">
      <c r="A1385" s="26" t="e">
        <f t="shared" si="64"/>
        <v>#NUM!</v>
      </c>
      <c r="Y1385" s="221">
        <f t="shared" si="65"/>
        <v>0</v>
      </c>
      <c r="Z1385" t="e">
        <f t="shared" si="66"/>
        <v>#NUM!</v>
      </c>
    </row>
    <row r="1386" spans="1:26" x14ac:dyDescent="0.2">
      <c r="A1386" s="26" t="e">
        <f t="shared" si="64"/>
        <v>#NUM!</v>
      </c>
      <c r="Y1386" s="221">
        <f t="shared" si="65"/>
        <v>0</v>
      </c>
      <c r="Z1386" t="e">
        <f t="shared" si="66"/>
        <v>#NUM!</v>
      </c>
    </row>
    <row r="1387" spans="1:26" x14ac:dyDescent="0.2">
      <c r="A1387" s="26" t="e">
        <f t="shared" si="64"/>
        <v>#NUM!</v>
      </c>
      <c r="Y1387" s="221">
        <f t="shared" si="65"/>
        <v>0</v>
      </c>
      <c r="Z1387" t="e">
        <f t="shared" si="66"/>
        <v>#NUM!</v>
      </c>
    </row>
    <row r="1388" spans="1:26" x14ac:dyDescent="0.2">
      <c r="A1388" s="26" t="e">
        <f t="shared" si="64"/>
        <v>#NUM!</v>
      </c>
      <c r="Y1388" s="221">
        <f t="shared" si="65"/>
        <v>0</v>
      </c>
      <c r="Z1388" t="e">
        <f t="shared" si="66"/>
        <v>#NUM!</v>
      </c>
    </row>
    <row r="1389" spans="1:26" x14ac:dyDescent="0.2">
      <c r="A1389" s="26" t="e">
        <f t="shared" si="64"/>
        <v>#NUM!</v>
      </c>
      <c r="Y1389" s="221">
        <f t="shared" si="65"/>
        <v>0</v>
      </c>
      <c r="Z1389" t="e">
        <f t="shared" si="66"/>
        <v>#NUM!</v>
      </c>
    </row>
    <row r="1390" spans="1:26" x14ac:dyDescent="0.2">
      <c r="A1390" s="26" t="e">
        <f t="shared" si="64"/>
        <v>#NUM!</v>
      </c>
      <c r="Y1390" s="221">
        <f t="shared" si="65"/>
        <v>0</v>
      </c>
      <c r="Z1390" t="e">
        <f t="shared" si="66"/>
        <v>#NUM!</v>
      </c>
    </row>
    <row r="1391" spans="1:26" x14ac:dyDescent="0.2">
      <c r="A1391" s="26" t="e">
        <f t="shared" si="64"/>
        <v>#NUM!</v>
      </c>
      <c r="Y1391" s="221">
        <f t="shared" si="65"/>
        <v>0</v>
      </c>
      <c r="Z1391" t="e">
        <f t="shared" si="66"/>
        <v>#NUM!</v>
      </c>
    </row>
    <row r="1392" spans="1:26" x14ac:dyDescent="0.2">
      <c r="A1392" s="26" t="e">
        <f t="shared" si="64"/>
        <v>#NUM!</v>
      </c>
      <c r="Y1392" s="221">
        <f t="shared" si="65"/>
        <v>0</v>
      </c>
      <c r="Z1392" t="e">
        <f t="shared" si="66"/>
        <v>#NUM!</v>
      </c>
    </row>
    <row r="1393" spans="1:26" x14ac:dyDescent="0.2">
      <c r="A1393" s="26" t="e">
        <f t="shared" si="64"/>
        <v>#NUM!</v>
      </c>
      <c r="Y1393" s="221">
        <f t="shared" si="65"/>
        <v>0</v>
      </c>
      <c r="Z1393" t="e">
        <f t="shared" si="66"/>
        <v>#NUM!</v>
      </c>
    </row>
    <row r="1394" spans="1:26" x14ac:dyDescent="0.2">
      <c r="A1394" s="26" t="e">
        <f t="shared" si="64"/>
        <v>#NUM!</v>
      </c>
      <c r="Y1394" s="221">
        <f t="shared" si="65"/>
        <v>0</v>
      </c>
      <c r="Z1394" t="e">
        <f t="shared" si="66"/>
        <v>#NUM!</v>
      </c>
    </row>
    <row r="1395" spans="1:26" x14ac:dyDescent="0.2">
      <c r="A1395" s="26" t="e">
        <f t="shared" si="64"/>
        <v>#NUM!</v>
      </c>
      <c r="Y1395" s="221">
        <f t="shared" si="65"/>
        <v>0</v>
      </c>
      <c r="Z1395" t="e">
        <f t="shared" si="66"/>
        <v>#NUM!</v>
      </c>
    </row>
    <row r="1396" spans="1:26" x14ac:dyDescent="0.2">
      <c r="A1396" s="26" t="e">
        <f t="shared" si="64"/>
        <v>#NUM!</v>
      </c>
      <c r="Y1396" s="221">
        <f t="shared" si="65"/>
        <v>0</v>
      </c>
      <c r="Z1396" t="e">
        <f t="shared" si="66"/>
        <v>#NUM!</v>
      </c>
    </row>
    <row r="1397" spans="1:26" x14ac:dyDescent="0.2">
      <c r="A1397" s="26" t="e">
        <f t="shared" si="64"/>
        <v>#NUM!</v>
      </c>
      <c r="Y1397" s="221">
        <f t="shared" si="65"/>
        <v>0</v>
      </c>
      <c r="Z1397" t="e">
        <f t="shared" si="66"/>
        <v>#NUM!</v>
      </c>
    </row>
    <row r="1398" spans="1:26" x14ac:dyDescent="0.2">
      <c r="A1398" s="26" t="e">
        <f t="shared" si="64"/>
        <v>#NUM!</v>
      </c>
      <c r="Y1398" s="221">
        <f t="shared" si="65"/>
        <v>0</v>
      </c>
      <c r="Z1398" t="e">
        <f t="shared" si="66"/>
        <v>#NUM!</v>
      </c>
    </row>
    <row r="1399" spans="1:26" x14ac:dyDescent="0.2">
      <c r="A1399" s="26" t="e">
        <f t="shared" si="64"/>
        <v>#NUM!</v>
      </c>
      <c r="Y1399" s="221">
        <f t="shared" si="65"/>
        <v>0</v>
      </c>
      <c r="Z1399" t="e">
        <f t="shared" si="66"/>
        <v>#NUM!</v>
      </c>
    </row>
    <row r="1400" spans="1:26" x14ac:dyDescent="0.2">
      <c r="A1400" s="26" t="e">
        <f t="shared" si="64"/>
        <v>#NUM!</v>
      </c>
      <c r="Y1400" s="221">
        <f t="shared" si="65"/>
        <v>0</v>
      </c>
      <c r="Z1400" t="e">
        <f t="shared" si="66"/>
        <v>#NUM!</v>
      </c>
    </row>
    <row r="1401" spans="1:26" x14ac:dyDescent="0.2">
      <c r="A1401" s="26" t="e">
        <f t="shared" si="64"/>
        <v>#NUM!</v>
      </c>
      <c r="Y1401" s="221">
        <f t="shared" si="65"/>
        <v>0</v>
      </c>
      <c r="Z1401" t="e">
        <f t="shared" si="66"/>
        <v>#NUM!</v>
      </c>
    </row>
    <row r="1402" spans="1:26" x14ac:dyDescent="0.2">
      <c r="A1402" s="26" t="e">
        <f t="shared" si="64"/>
        <v>#NUM!</v>
      </c>
      <c r="Y1402" s="221">
        <f t="shared" si="65"/>
        <v>0</v>
      </c>
      <c r="Z1402" t="e">
        <f t="shared" si="66"/>
        <v>#NUM!</v>
      </c>
    </row>
    <row r="1403" spans="1:26" x14ac:dyDescent="0.2">
      <c r="A1403" s="26" t="e">
        <f t="shared" si="64"/>
        <v>#NUM!</v>
      </c>
      <c r="Y1403" s="221">
        <f t="shared" si="65"/>
        <v>0</v>
      </c>
      <c r="Z1403" t="e">
        <f t="shared" si="66"/>
        <v>#NUM!</v>
      </c>
    </row>
    <row r="1404" spans="1:26" x14ac:dyDescent="0.2">
      <c r="A1404" s="26" t="e">
        <f t="shared" si="64"/>
        <v>#NUM!</v>
      </c>
      <c r="Y1404" s="221">
        <f t="shared" si="65"/>
        <v>0</v>
      </c>
      <c r="Z1404" t="e">
        <f t="shared" si="66"/>
        <v>#NUM!</v>
      </c>
    </row>
    <row r="1405" spans="1:26" x14ac:dyDescent="0.2">
      <c r="A1405" s="26" t="e">
        <f t="shared" si="64"/>
        <v>#NUM!</v>
      </c>
      <c r="Y1405" s="221">
        <f t="shared" si="65"/>
        <v>0</v>
      </c>
      <c r="Z1405" t="e">
        <f t="shared" si="66"/>
        <v>#NUM!</v>
      </c>
    </row>
    <row r="1406" spans="1:26" x14ac:dyDescent="0.2">
      <c r="A1406" s="26" t="e">
        <f t="shared" si="64"/>
        <v>#NUM!</v>
      </c>
      <c r="Y1406" s="221">
        <f t="shared" si="65"/>
        <v>0</v>
      </c>
      <c r="Z1406" t="e">
        <f t="shared" si="66"/>
        <v>#NUM!</v>
      </c>
    </row>
    <row r="1407" spans="1:26" x14ac:dyDescent="0.2">
      <c r="A1407" s="26" t="e">
        <f t="shared" si="64"/>
        <v>#NUM!</v>
      </c>
      <c r="Y1407" s="221">
        <f t="shared" si="65"/>
        <v>0</v>
      </c>
      <c r="Z1407" t="e">
        <f t="shared" si="66"/>
        <v>#NUM!</v>
      </c>
    </row>
    <row r="1408" spans="1:26" x14ac:dyDescent="0.2">
      <c r="A1408" s="26" t="e">
        <f t="shared" si="64"/>
        <v>#NUM!</v>
      </c>
      <c r="Y1408" s="221">
        <f t="shared" si="65"/>
        <v>0</v>
      </c>
      <c r="Z1408" t="e">
        <f t="shared" si="66"/>
        <v>#NUM!</v>
      </c>
    </row>
    <row r="1409" spans="1:26" x14ac:dyDescent="0.2">
      <c r="A1409" s="26" t="e">
        <f t="shared" si="64"/>
        <v>#NUM!</v>
      </c>
      <c r="Y1409" s="221">
        <f t="shared" si="65"/>
        <v>0</v>
      </c>
      <c r="Z1409" t="e">
        <f t="shared" si="66"/>
        <v>#NUM!</v>
      </c>
    </row>
    <row r="1410" spans="1:26" x14ac:dyDescent="0.2">
      <c r="A1410" s="26" t="e">
        <f t="shared" si="64"/>
        <v>#NUM!</v>
      </c>
      <c r="Y1410" s="221">
        <f t="shared" si="65"/>
        <v>0</v>
      </c>
      <c r="Z1410" t="e">
        <f t="shared" si="66"/>
        <v>#NUM!</v>
      </c>
    </row>
    <row r="1411" spans="1:26" x14ac:dyDescent="0.2">
      <c r="A1411" s="26" t="e">
        <f t="shared" ref="A1411:A1474" si="67">DATE(B1411,C1411,D1411)</f>
        <v>#NUM!</v>
      </c>
      <c r="Y1411" s="221">
        <f t="shared" ref="Y1411:Y1474" si="68">SUM(G1411:W1411)</f>
        <v>0</v>
      </c>
      <c r="Z1411" t="e">
        <f t="shared" ref="Z1411:Z1474" si="69">IF(OR(WEEKDAY(A1411,2)=6,WEEKDAY(A1411,2)=7),X1411,0)</f>
        <v>#NUM!</v>
      </c>
    </row>
    <row r="1412" spans="1:26" x14ac:dyDescent="0.2">
      <c r="A1412" s="26" t="e">
        <f t="shared" si="67"/>
        <v>#NUM!</v>
      </c>
      <c r="Y1412" s="221">
        <f t="shared" si="68"/>
        <v>0</v>
      </c>
      <c r="Z1412" t="e">
        <f t="shared" si="69"/>
        <v>#NUM!</v>
      </c>
    </row>
    <row r="1413" spans="1:26" x14ac:dyDescent="0.2">
      <c r="A1413" s="26" t="e">
        <f t="shared" si="67"/>
        <v>#NUM!</v>
      </c>
      <c r="Y1413" s="221">
        <f t="shared" si="68"/>
        <v>0</v>
      </c>
      <c r="Z1413" t="e">
        <f t="shared" si="69"/>
        <v>#NUM!</v>
      </c>
    </row>
    <row r="1414" spans="1:26" x14ac:dyDescent="0.2">
      <c r="A1414" s="26" t="e">
        <f t="shared" si="67"/>
        <v>#NUM!</v>
      </c>
      <c r="Y1414" s="221">
        <f t="shared" si="68"/>
        <v>0</v>
      </c>
      <c r="Z1414" t="e">
        <f t="shared" si="69"/>
        <v>#NUM!</v>
      </c>
    </row>
    <row r="1415" spans="1:26" x14ac:dyDescent="0.2">
      <c r="A1415" s="26" t="e">
        <f t="shared" si="67"/>
        <v>#NUM!</v>
      </c>
      <c r="Y1415" s="221">
        <f t="shared" si="68"/>
        <v>0</v>
      </c>
      <c r="Z1415" t="e">
        <f t="shared" si="69"/>
        <v>#NUM!</v>
      </c>
    </row>
    <row r="1416" spans="1:26" x14ac:dyDescent="0.2">
      <c r="A1416" s="26" t="e">
        <f t="shared" si="67"/>
        <v>#NUM!</v>
      </c>
      <c r="Y1416" s="221">
        <f t="shared" si="68"/>
        <v>0</v>
      </c>
      <c r="Z1416" t="e">
        <f t="shared" si="69"/>
        <v>#NUM!</v>
      </c>
    </row>
    <row r="1417" spans="1:26" x14ac:dyDescent="0.2">
      <c r="A1417" s="26" t="e">
        <f t="shared" si="67"/>
        <v>#NUM!</v>
      </c>
      <c r="Y1417" s="221">
        <f t="shared" si="68"/>
        <v>0</v>
      </c>
      <c r="Z1417" t="e">
        <f t="shared" si="69"/>
        <v>#NUM!</v>
      </c>
    </row>
    <row r="1418" spans="1:26" x14ac:dyDescent="0.2">
      <c r="A1418" s="26" t="e">
        <f t="shared" si="67"/>
        <v>#NUM!</v>
      </c>
      <c r="Y1418" s="221">
        <f t="shared" si="68"/>
        <v>0</v>
      </c>
      <c r="Z1418" t="e">
        <f t="shared" si="69"/>
        <v>#NUM!</v>
      </c>
    </row>
    <row r="1419" spans="1:26" x14ac:dyDescent="0.2">
      <c r="A1419" s="26" t="e">
        <f t="shared" si="67"/>
        <v>#NUM!</v>
      </c>
      <c r="Y1419" s="221">
        <f t="shared" si="68"/>
        <v>0</v>
      </c>
      <c r="Z1419" t="e">
        <f t="shared" si="69"/>
        <v>#NUM!</v>
      </c>
    </row>
    <row r="1420" spans="1:26" x14ac:dyDescent="0.2">
      <c r="A1420" s="26" t="e">
        <f t="shared" si="67"/>
        <v>#NUM!</v>
      </c>
      <c r="Y1420" s="221">
        <f t="shared" si="68"/>
        <v>0</v>
      </c>
      <c r="Z1420" t="e">
        <f t="shared" si="69"/>
        <v>#NUM!</v>
      </c>
    </row>
    <row r="1421" spans="1:26" x14ac:dyDescent="0.2">
      <c r="A1421" s="26" t="e">
        <f t="shared" si="67"/>
        <v>#NUM!</v>
      </c>
      <c r="Y1421" s="221">
        <f t="shared" si="68"/>
        <v>0</v>
      </c>
      <c r="Z1421" t="e">
        <f t="shared" si="69"/>
        <v>#NUM!</v>
      </c>
    </row>
    <row r="1422" spans="1:26" x14ac:dyDescent="0.2">
      <c r="A1422" s="26" t="e">
        <f t="shared" si="67"/>
        <v>#NUM!</v>
      </c>
      <c r="Y1422" s="221">
        <f t="shared" si="68"/>
        <v>0</v>
      </c>
      <c r="Z1422" t="e">
        <f t="shared" si="69"/>
        <v>#NUM!</v>
      </c>
    </row>
    <row r="1423" spans="1:26" x14ac:dyDescent="0.2">
      <c r="A1423" s="26" t="e">
        <f t="shared" si="67"/>
        <v>#NUM!</v>
      </c>
      <c r="Y1423" s="221">
        <f t="shared" si="68"/>
        <v>0</v>
      </c>
      <c r="Z1423" t="e">
        <f t="shared" si="69"/>
        <v>#NUM!</v>
      </c>
    </row>
    <row r="1424" spans="1:26" x14ac:dyDescent="0.2">
      <c r="A1424" s="26" t="e">
        <f t="shared" si="67"/>
        <v>#NUM!</v>
      </c>
      <c r="Y1424" s="221">
        <f t="shared" si="68"/>
        <v>0</v>
      </c>
      <c r="Z1424" t="e">
        <f t="shared" si="69"/>
        <v>#NUM!</v>
      </c>
    </row>
    <row r="1425" spans="1:26" x14ac:dyDescent="0.2">
      <c r="A1425" s="26" t="e">
        <f t="shared" si="67"/>
        <v>#NUM!</v>
      </c>
      <c r="Y1425" s="221">
        <f t="shared" si="68"/>
        <v>0</v>
      </c>
      <c r="Z1425" t="e">
        <f t="shared" si="69"/>
        <v>#NUM!</v>
      </c>
    </row>
    <row r="1426" spans="1:26" x14ac:dyDescent="0.2">
      <c r="A1426" s="26" t="e">
        <f t="shared" si="67"/>
        <v>#NUM!</v>
      </c>
      <c r="Y1426" s="221">
        <f t="shared" si="68"/>
        <v>0</v>
      </c>
      <c r="Z1426" t="e">
        <f t="shared" si="69"/>
        <v>#NUM!</v>
      </c>
    </row>
    <row r="1427" spans="1:26" x14ac:dyDescent="0.2">
      <c r="A1427" s="26" t="e">
        <f t="shared" si="67"/>
        <v>#NUM!</v>
      </c>
      <c r="Y1427" s="221">
        <f t="shared" si="68"/>
        <v>0</v>
      </c>
      <c r="Z1427" t="e">
        <f t="shared" si="69"/>
        <v>#NUM!</v>
      </c>
    </row>
    <row r="1428" spans="1:26" x14ac:dyDescent="0.2">
      <c r="A1428" s="26" t="e">
        <f t="shared" si="67"/>
        <v>#NUM!</v>
      </c>
      <c r="Y1428" s="221">
        <f t="shared" si="68"/>
        <v>0</v>
      </c>
      <c r="Z1428" t="e">
        <f t="shared" si="69"/>
        <v>#NUM!</v>
      </c>
    </row>
    <row r="1429" spans="1:26" x14ac:dyDescent="0.2">
      <c r="A1429" s="26" t="e">
        <f t="shared" si="67"/>
        <v>#NUM!</v>
      </c>
      <c r="Y1429" s="221">
        <f t="shared" si="68"/>
        <v>0</v>
      </c>
      <c r="Z1429" t="e">
        <f t="shared" si="69"/>
        <v>#NUM!</v>
      </c>
    </row>
    <row r="1430" spans="1:26" x14ac:dyDescent="0.2">
      <c r="A1430" s="26" t="e">
        <f t="shared" si="67"/>
        <v>#NUM!</v>
      </c>
      <c r="Y1430" s="221">
        <f t="shared" si="68"/>
        <v>0</v>
      </c>
      <c r="Z1430" t="e">
        <f t="shared" si="69"/>
        <v>#NUM!</v>
      </c>
    </row>
    <row r="1431" spans="1:26" x14ac:dyDescent="0.2">
      <c r="A1431" s="26" t="e">
        <f t="shared" si="67"/>
        <v>#NUM!</v>
      </c>
      <c r="Y1431" s="221">
        <f t="shared" si="68"/>
        <v>0</v>
      </c>
      <c r="Z1431" t="e">
        <f t="shared" si="69"/>
        <v>#NUM!</v>
      </c>
    </row>
    <row r="1432" spans="1:26" x14ac:dyDescent="0.2">
      <c r="A1432" s="26" t="e">
        <f t="shared" si="67"/>
        <v>#NUM!</v>
      </c>
      <c r="Y1432" s="221">
        <f t="shared" si="68"/>
        <v>0</v>
      </c>
      <c r="Z1432" t="e">
        <f t="shared" si="69"/>
        <v>#NUM!</v>
      </c>
    </row>
    <row r="1433" spans="1:26" x14ac:dyDescent="0.2">
      <c r="A1433" s="26" t="e">
        <f t="shared" si="67"/>
        <v>#NUM!</v>
      </c>
      <c r="Y1433" s="221">
        <f t="shared" si="68"/>
        <v>0</v>
      </c>
      <c r="Z1433" t="e">
        <f t="shared" si="69"/>
        <v>#NUM!</v>
      </c>
    </row>
    <row r="1434" spans="1:26" x14ac:dyDescent="0.2">
      <c r="A1434" s="26" t="e">
        <f t="shared" si="67"/>
        <v>#NUM!</v>
      </c>
      <c r="Y1434" s="221">
        <f t="shared" si="68"/>
        <v>0</v>
      </c>
      <c r="Z1434" t="e">
        <f t="shared" si="69"/>
        <v>#NUM!</v>
      </c>
    </row>
    <row r="1435" spans="1:26" x14ac:dyDescent="0.2">
      <c r="A1435" s="26" t="e">
        <f t="shared" si="67"/>
        <v>#NUM!</v>
      </c>
      <c r="Y1435" s="221">
        <f t="shared" si="68"/>
        <v>0</v>
      </c>
      <c r="Z1435" t="e">
        <f t="shared" si="69"/>
        <v>#NUM!</v>
      </c>
    </row>
    <row r="1436" spans="1:26" x14ac:dyDescent="0.2">
      <c r="A1436" s="26" t="e">
        <f t="shared" si="67"/>
        <v>#NUM!</v>
      </c>
      <c r="Y1436" s="221">
        <f t="shared" si="68"/>
        <v>0</v>
      </c>
      <c r="Z1436" t="e">
        <f t="shared" si="69"/>
        <v>#NUM!</v>
      </c>
    </row>
    <row r="1437" spans="1:26" x14ac:dyDescent="0.2">
      <c r="A1437" s="26" t="e">
        <f t="shared" si="67"/>
        <v>#NUM!</v>
      </c>
      <c r="Y1437" s="221">
        <f t="shared" si="68"/>
        <v>0</v>
      </c>
      <c r="Z1437" t="e">
        <f t="shared" si="69"/>
        <v>#NUM!</v>
      </c>
    </row>
    <row r="1438" spans="1:26" x14ac:dyDescent="0.2">
      <c r="A1438" s="26" t="e">
        <f t="shared" si="67"/>
        <v>#NUM!</v>
      </c>
      <c r="Y1438" s="221">
        <f t="shared" si="68"/>
        <v>0</v>
      </c>
      <c r="Z1438" t="e">
        <f t="shared" si="69"/>
        <v>#NUM!</v>
      </c>
    </row>
    <row r="1439" spans="1:26" x14ac:dyDescent="0.2">
      <c r="A1439" s="26" t="e">
        <f t="shared" si="67"/>
        <v>#NUM!</v>
      </c>
      <c r="Y1439" s="221">
        <f t="shared" si="68"/>
        <v>0</v>
      </c>
      <c r="Z1439" t="e">
        <f t="shared" si="69"/>
        <v>#NUM!</v>
      </c>
    </row>
    <row r="1440" spans="1:26" x14ac:dyDescent="0.2">
      <c r="A1440" s="26" t="e">
        <f t="shared" si="67"/>
        <v>#NUM!</v>
      </c>
      <c r="Y1440" s="221">
        <f t="shared" si="68"/>
        <v>0</v>
      </c>
      <c r="Z1440" t="e">
        <f t="shared" si="69"/>
        <v>#NUM!</v>
      </c>
    </row>
    <row r="1441" spans="1:26" x14ac:dyDescent="0.2">
      <c r="A1441" s="26" t="e">
        <f t="shared" si="67"/>
        <v>#NUM!</v>
      </c>
      <c r="Y1441" s="221">
        <f t="shared" si="68"/>
        <v>0</v>
      </c>
      <c r="Z1441" t="e">
        <f t="shared" si="69"/>
        <v>#NUM!</v>
      </c>
    </row>
    <row r="1442" spans="1:26" x14ac:dyDescent="0.2">
      <c r="A1442" s="26" t="e">
        <f t="shared" si="67"/>
        <v>#NUM!</v>
      </c>
      <c r="Y1442" s="221">
        <f t="shared" si="68"/>
        <v>0</v>
      </c>
      <c r="Z1442" t="e">
        <f t="shared" si="69"/>
        <v>#NUM!</v>
      </c>
    </row>
    <row r="1443" spans="1:26" x14ac:dyDescent="0.2">
      <c r="A1443" s="26" t="e">
        <f t="shared" si="67"/>
        <v>#NUM!</v>
      </c>
      <c r="Y1443" s="221">
        <f t="shared" si="68"/>
        <v>0</v>
      </c>
      <c r="Z1443" t="e">
        <f t="shared" si="69"/>
        <v>#NUM!</v>
      </c>
    </row>
    <row r="1444" spans="1:26" x14ac:dyDescent="0.2">
      <c r="A1444" s="26" t="e">
        <f t="shared" si="67"/>
        <v>#NUM!</v>
      </c>
      <c r="Y1444" s="221">
        <f t="shared" si="68"/>
        <v>0</v>
      </c>
      <c r="Z1444" t="e">
        <f t="shared" si="69"/>
        <v>#NUM!</v>
      </c>
    </row>
    <row r="1445" spans="1:26" x14ac:dyDescent="0.2">
      <c r="A1445" s="26" t="e">
        <f t="shared" si="67"/>
        <v>#NUM!</v>
      </c>
      <c r="Y1445" s="221">
        <f t="shared" si="68"/>
        <v>0</v>
      </c>
      <c r="Z1445" t="e">
        <f t="shared" si="69"/>
        <v>#NUM!</v>
      </c>
    </row>
    <row r="1446" spans="1:26" x14ac:dyDescent="0.2">
      <c r="A1446" s="26" t="e">
        <f t="shared" si="67"/>
        <v>#NUM!</v>
      </c>
      <c r="Y1446" s="221">
        <f t="shared" si="68"/>
        <v>0</v>
      </c>
      <c r="Z1446" t="e">
        <f t="shared" si="69"/>
        <v>#NUM!</v>
      </c>
    </row>
    <row r="1447" spans="1:26" x14ac:dyDescent="0.2">
      <c r="A1447" s="26" t="e">
        <f t="shared" si="67"/>
        <v>#NUM!</v>
      </c>
      <c r="Y1447" s="221">
        <f t="shared" si="68"/>
        <v>0</v>
      </c>
      <c r="Z1447" t="e">
        <f t="shared" si="69"/>
        <v>#NUM!</v>
      </c>
    </row>
    <row r="1448" spans="1:26" x14ac:dyDescent="0.2">
      <c r="A1448" s="26" t="e">
        <f t="shared" si="67"/>
        <v>#NUM!</v>
      </c>
      <c r="Y1448" s="221">
        <f t="shared" si="68"/>
        <v>0</v>
      </c>
      <c r="Z1448" t="e">
        <f t="shared" si="69"/>
        <v>#NUM!</v>
      </c>
    </row>
    <row r="1449" spans="1:26" x14ac:dyDescent="0.2">
      <c r="A1449" s="26" t="e">
        <f t="shared" si="67"/>
        <v>#NUM!</v>
      </c>
      <c r="Y1449" s="221">
        <f t="shared" si="68"/>
        <v>0</v>
      </c>
      <c r="Z1449" t="e">
        <f t="shared" si="69"/>
        <v>#NUM!</v>
      </c>
    </row>
    <row r="1450" spans="1:26" x14ac:dyDescent="0.2">
      <c r="A1450" s="26" t="e">
        <f t="shared" si="67"/>
        <v>#NUM!</v>
      </c>
      <c r="Y1450" s="221">
        <f t="shared" si="68"/>
        <v>0</v>
      </c>
      <c r="Z1450" t="e">
        <f t="shared" si="69"/>
        <v>#NUM!</v>
      </c>
    </row>
    <row r="1451" spans="1:26" x14ac:dyDescent="0.2">
      <c r="A1451" s="26" t="e">
        <f t="shared" si="67"/>
        <v>#NUM!</v>
      </c>
      <c r="Y1451" s="221">
        <f t="shared" si="68"/>
        <v>0</v>
      </c>
      <c r="Z1451" t="e">
        <f t="shared" si="69"/>
        <v>#NUM!</v>
      </c>
    </row>
    <row r="1452" spans="1:26" x14ac:dyDescent="0.2">
      <c r="A1452" s="26" t="e">
        <f t="shared" si="67"/>
        <v>#NUM!</v>
      </c>
      <c r="Y1452" s="221">
        <f t="shared" si="68"/>
        <v>0</v>
      </c>
      <c r="Z1452" t="e">
        <f t="shared" si="69"/>
        <v>#NUM!</v>
      </c>
    </row>
    <row r="1453" spans="1:26" x14ac:dyDescent="0.2">
      <c r="A1453" s="26" t="e">
        <f t="shared" si="67"/>
        <v>#NUM!</v>
      </c>
      <c r="Y1453" s="221">
        <f t="shared" si="68"/>
        <v>0</v>
      </c>
      <c r="Z1453" t="e">
        <f t="shared" si="69"/>
        <v>#NUM!</v>
      </c>
    </row>
    <row r="1454" spans="1:26" x14ac:dyDescent="0.2">
      <c r="A1454" s="26" t="e">
        <f t="shared" si="67"/>
        <v>#NUM!</v>
      </c>
      <c r="Y1454" s="221">
        <f t="shared" si="68"/>
        <v>0</v>
      </c>
      <c r="Z1454" t="e">
        <f t="shared" si="69"/>
        <v>#NUM!</v>
      </c>
    </row>
    <row r="1455" spans="1:26" x14ac:dyDescent="0.2">
      <c r="A1455" s="26" t="e">
        <f t="shared" si="67"/>
        <v>#NUM!</v>
      </c>
      <c r="Y1455" s="221">
        <f t="shared" si="68"/>
        <v>0</v>
      </c>
      <c r="Z1455" t="e">
        <f t="shared" si="69"/>
        <v>#NUM!</v>
      </c>
    </row>
    <row r="1456" spans="1:26" x14ac:dyDescent="0.2">
      <c r="A1456" s="26" t="e">
        <f t="shared" si="67"/>
        <v>#NUM!</v>
      </c>
      <c r="Y1456" s="221">
        <f t="shared" si="68"/>
        <v>0</v>
      </c>
      <c r="Z1456" t="e">
        <f t="shared" si="69"/>
        <v>#NUM!</v>
      </c>
    </row>
    <row r="1457" spans="1:26" x14ac:dyDescent="0.2">
      <c r="A1457" s="26" t="e">
        <f t="shared" si="67"/>
        <v>#NUM!</v>
      </c>
      <c r="Y1457" s="221">
        <f t="shared" si="68"/>
        <v>0</v>
      </c>
      <c r="Z1457" t="e">
        <f t="shared" si="69"/>
        <v>#NUM!</v>
      </c>
    </row>
    <row r="1458" spans="1:26" x14ac:dyDescent="0.2">
      <c r="A1458" s="26" t="e">
        <f t="shared" si="67"/>
        <v>#NUM!</v>
      </c>
      <c r="Y1458" s="221">
        <f t="shared" si="68"/>
        <v>0</v>
      </c>
      <c r="Z1458" t="e">
        <f t="shared" si="69"/>
        <v>#NUM!</v>
      </c>
    </row>
    <row r="1459" spans="1:26" x14ac:dyDescent="0.2">
      <c r="A1459" s="26" t="e">
        <f t="shared" si="67"/>
        <v>#NUM!</v>
      </c>
      <c r="Y1459" s="221">
        <f t="shared" si="68"/>
        <v>0</v>
      </c>
      <c r="Z1459" t="e">
        <f t="shared" si="69"/>
        <v>#NUM!</v>
      </c>
    </row>
    <row r="1460" spans="1:26" x14ac:dyDescent="0.2">
      <c r="A1460" s="26" t="e">
        <f t="shared" si="67"/>
        <v>#NUM!</v>
      </c>
      <c r="Y1460" s="221">
        <f t="shared" si="68"/>
        <v>0</v>
      </c>
      <c r="Z1460" t="e">
        <f t="shared" si="69"/>
        <v>#NUM!</v>
      </c>
    </row>
    <row r="1461" spans="1:26" x14ac:dyDescent="0.2">
      <c r="A1461" s="26" t="e">
        <f t="shared" si="67"/>
        <v>#NUM!</v>
      </c>
      <c r="Y1461" s="221">
        <f t="shared" si="68"/>
        <v>0</v>
      </c>
      <c r="Z1461" t="e">
        <f t="shared" si="69"/>
        <v>#NUM!</v>
      </c>
    </row>
    <row r="1462" spans="1:26" x14ac:dyDescent="0.2">
      <c r="A1462" s="26" t="e">
        <f t="shared" si="67"/>
        <v>#NUM!</v>
      </c>
      <c r="Y1462" s="221">
        <f t="shared" si="68"/>
        <v>0</v>
      </c>
      <c r="Z1462" t="e">
        <f t="shared" si="69"/>
        <v>#NUM!</v>
      </c>
    </row>
    <row r="1463" spans="1:26" x14ac:dyDescent="0.2">
      <c r="A1463" s="26" t="e">
        <f t="shared" si="67"/>
        <v>#NUM!</v>
      </c>
      <c r="Y1463" s="221">
        <f t="shared" si="68"/>
        <v>0</v>
      </c>
      <c r="Z1463" t="e">
        <f t="shared" si="69"/>
        <v>#NUM!</v>
      </c>
    </row>
    <row r="1464" spans="1:26" x14ac:dyDescent="0.2">
      <c r="A1464" s="26" t="e">
        <f t="shared" si="67"/>
        <v>#NUM!</v>
      </c>
      <c r="Y1464" s="221">
        <f t="shared" si="68"/>
        <v>0</v>
      </c>
      <c r="Z1464" t="e">
        <f t="shared" si="69"/>
        <v>#NUM!</v>
      </c>
    </row>
    <row r="1465" spans="1:26" x14ac:dyDescent="0.2">
      <c r="A1465" s="26" t="e">
        <f t="shared" si="67"/>
        <v>#NUM!</v>
      </c>
      <c r="Y1465" s="221">
        <f t="shared" si="68"/>
        <v>0</v>
      </c>
      <c r="Z1465" t="e">
        <f t="shared" si="69"/>
        <v>#NUM!</v>
      </c>
    </row>
    <row r="1466" spans="1:26" x14ac:dyDescent="0.2">
      <c r="A1466" s="26" t="e">
        <f t="shared" si="67"/>
        <v>#NUM!</v>
      </c>
      <c r="Y1466" s="221">
        <f t="shared" si="68"/>
        <v>0</v>
      </c>
      <c r="Z1466" t="e">
        <f t="shared" si="69"/>
        <v>#NUM!</v>
      </c>
    </row>
    <row r="1467" spans="1:26" x14ac:dyDescent="0.2">
      <c r="A1467" s="26" t="e">
        <f t="shared" si="67"/>
        <v>#NUM!</v>
      </c>
      <c r="Y1467" s="221">
        <f t="shared" si="68"/>
        <v>0</v>
      </c>
      <c r="Z1467" t="e">
        <f t="shared" si="69"/>
        <v>#NUM!</v>
      </c>
    </row>
    <row r="1468" spans="1:26" x14ac:dyDescent="0.2">
      <c r="A1468" s="26" t="e">
        <f t="shared" si="67"/>
        <v>#NUM!</v>
      </c>
      <c r="Y1468" s="221">
        <f t="shared" si="68"/>
        <v>0</v>
      </c>
      <c r="Z1468" t="e">
        <f t="shared" si="69"/>
        <v>#NUM!</v>
      </c>
    </row>
    <row r="1469" spans="1:26" x14ac:dyDescent="0.2">
      <c r="A1469" s="26" t="e">
        <f t="shared" si="67"/>
        <v>#NUM!</v>
      </c>
      <c r="Y1469" s="221">
        <f t="shared" si="68"/>
        <v>0</v>
      </c>
      <c r="Z1469" t="e">
        <f t="shared" si="69"/>
        <v>#NUM!</v>
      </c>
    </row>
    <row r="1470" spans="1:26" x14ac:dyDescent="0.2">
      <c r="A1470" s="26" t="e">
        <f t="shared" si="67"/>
        <v>#NUM!</v>
      </c>
      <c r="Y1470" s="221">
        <f t="shared" si="68"/>
        <v>0</v>
      </c>
      <c r="Z1470" t="e">
        <f t="shared" si="69"/>
        <v>#NUM!</v>
      </c>
    </row>
    <row r="1471" spans="1:26" x14ac:dyDescent="0.2">
      <c r="A1471" s="26" t="e">
        <f t="shared" si="67"/>
        <v>#NUM!</v>
      </c>
      <c r="Y1471" s="221">
        <f t="shared" si="68"/>
        <v>0</v>
      </c>
      <c r="Z1471" t="e">
        <f t="shared" si="69"/>
        <v>#NUM!</v>
      </c>
    </row>
    <row r="1472" spans="1:26" x14ac:dyDescent="0.2">
      <c r="A1472" s="26" t="e">
        <f t="shared" si="67"/>
        <v>#NUM!</v>
      </c>
      <c r="Y1472" s="221">
        <f t="shared" si="68"/>
        <v>0</v>
      </c>
      <c r="Z1472" t="e">
        <f t="shared" si="69"/>
        <v>#NUM!</v>
      </c>
    </row>
    <row r="1473" spans="1:26" x14ac:dyDescent="0.2">
      <c r="A1473" s="26" t="e">
        <f t="shared" si="67"/>
        <v>#NUM!</v>
      </c>
      <c r="Y1473" s="221">
        <f t="shared" si="68"/>
        <v>0</v>
      </c>
      <c r="Z1473" t="e">
        <f t="shared" si="69"/>
        <v>#NUM!</v>
      </c>
    </row>
    <row r="1474" spans="1:26" x14ac:dyDescent="0.2">
      <c r="A1474" s="26" t="e">
        <f t="shared" si="67"/>
        <v>#NUM!</v>
      </c>
      <c r="Y1474" s="221">
        <f t="shared" si="68"/>
        <v>0</v>
      </c>
      <c r="Z1474" t="e">
        <f t="shared" si="69"/>
        <v>#NUM!</v>
      </c>
    </row>
    <row r="1475" spans="1:26" x14ac:dyDescent="0.2">
      <c r="A1475" s="26" t="e">
        <f t="shared" ref="A1475:A1538" si="70">DATE(B1475,C1475,D1475)</f>
        <v>#NUM!</v>
      </c>
      <c r="Y1475" s="221">
        <f t="shared" ref="Y1475:Y1538" si="71">SUM(G1475:W1475)</f>
        <v>0</v>
      </c>
      <c r="Z1475" t="e">
        <f t="shared" ref="Z1475:Z1538" si="72">IF(OR(WEEKDAY(A1475,2)=6,WEEKDAY(A1475,2)=7),X1475,0)</f>
        <v>#NUM!</v>
      </c>
    </row>
    <row r="1476" spans="1:26" x14ac:dyDescent="0.2">
      <c r="A1476" s="26" t="e">
        <f t="shared" si="70"/>
        <v>#NUM!</v>
      </c>
      <c r="Y1476" s="221">
        <f t="shared" si="71"/>
        <v>0</v>
      </c>
      <c r="Z1476" t="e">
        <f t="shared" si="72"/>
        <v>#NUM!</v>
      </c>
    </row>
    <row r="1477" spans="1:26" x14ac:dyDescent="0.2">
      <c r="A1477" s="26" t="e">
        <f t="shared" si="70"/>
        <v>#NUM!</v>
      </c>
      <c r="Y1477" s="221">
        <f t="shared" si="71"/>
        <v>0</v>
      </c>
      <c r="Z1477" t="e">
        <f t="shared" si="72"/>
        <v>#NUM!</v>
      </c>
    </row>
    <row r="1478" spans="1:26" x14ac:dyDescent="0.2">
      <c r="A1478" s="26" t="e">
        <f t="shared" si="70"/>
        <v>#NUM!</v>
      </c>
      <c r="Y1478" s="221">
        <f t="shared" si="71"/>
        <v>0</v>
      </c>
      <c r="Z1478" t="e">
        <f t="shared" si="72"/>
        <v>#NUM!</v>
      </c>
    </row>
    <row r="1479" spans="1:26" x14ac:dyDescent="0.2">
      <c r="A1479" s="26" t="e">
        <f t="shared" si="70"/>
        <v>#NUM!</v>
      </c>
      <c r="Y1479" s="221">
        <f t="shared" si="71"/>
        <v>0</v>
      </c>
      <c r="Z1479" t="e">
        <f t="shared" si="72"/>
        <v>#NUM!</v>
      </c>
    </row>
    <row r="1480" spans="1:26" x14ac:dyDescent="0.2">
      <c r="A1480" s="26" t="e">
        <f t="shared" si="70"/>
        <v>#NUM!</v>
      </c>
      <c r="Y1480" s="221">
        <f t="shared" si="71"/>
        <v>0</v>
      </c>
      <c r="Z1480" t="e">
        <f t="shared" si="72"/>
        <v>#NUM!</v>
      </c>
    </row>
    <row r="1481" spans="1:26" x14ac:dyDescent="0.2">
      <c r="A1481" s="26" t="e">
        <f t="shared" si="70"/>
        <v>#NUM!</v>
      </c>
      <c r="Y1481" s="221">
        <f t="shared" si="71"/>
        <v>0</v>
      </c>
      <c r="Z1481" t="e">
        <f t="shared" si="72"/>
        <v>#NUM!</v>
      </c>
    </row>
    <row r="1482" spans="1:26" x14ac:dyDescent="0.2">
      <c r="A1482" s="26" t="e">
        <f t="shared" si="70"/>
        <v>#NUM!</v>
      </c>
      <c r="Y1482" s="221">
        <f t="shared" si="71"/>
        <v>0</v>
      </c>
      <c r="Z1482" t="e">
        <f t="shared" si="72"/>
        <v>#NUM!</v>
      </c>
    </row>
    <row r="1483" spans="1:26" x14ac:dyDescent="0.2">
      <c r="A1483" s="26" t="e">
        <f t="shared" si="70"/>
        <v>#NUM!</v>
      </c>
      <c r="Y1483" s="221">
        <f t="shared" si="71"/>
        <v>0</v>
      </c>
      <c r="Z1483" t="e">
        <f t="shared" si="72"/>
        <v>#NUM!</v>
      </c>
    </row>
    <row r="1484" spans="1:26" x14ac:dyDescent="0.2">
      <c r="A1484" s="26" t="e">
        <f t="shared" si="70"/>
        <v>#NUM!</v>
      </c>
      <c r="Y1484" s="221">
        <f t="shared" si="71"/>
        <v>0</v>
      </c>
      <c r="Z1484" t="e">
        <f t="shared" si="72"/>
        <v>#NUM!</v>
      </c>
    </row>
    <row r="1485" spans="1:26" x14ac:dyDescent="0.2">
      <c r="A1485" s="26" t="e">
        <f t="shared" si="70"/>
        <v>#NUM!</v>
      </c>
      <c r="Y1485" s="221">
        <f t="shared" si="71"/>
        <v>0</v>
      </c>
      <c r="Z1485" t="e">
        <f t="shared" si="72"/>
        <v>#NUM!</v>
      </c>
    </row>
    <row r="1486" spans="1:26" x14ac:dyDescent="0.2">
      <c r="A1486" s="26" t="e">
        <f t="shared" si="70"/>
        <v>#NUM!</v>
      </c>
      <c r="Y1486" s="221">
        <f t="shared" si="71"/>
        <v>0</v>
      </c>
      <c r="Z1486" t="e">
        <f t="shared" si="72"/>
        <v>#NUM!</v>
      </c>
    </row>
    <row r="1487" spans="1:26" x14ac:dyDescent="0.2">
      <c r="A1487" s="26" t="e">
        <f t="shared" si="70"/>
        <v>#NUM!</v>
      </c>
      <c r="Y1487" s="221">
        <f t="shared" si="71"/>
        <v>0</v>
      </c>
      <c r="Z1487" t="e">
        <f t="shared" si="72"/>
        <v>#NUM!</v>
      </c>
    </row>
    <row r="1488" spans="1:26" x14ac:dyDescent="0.2">
      <c r="A1488" s="26" t="e">
        <f t="shared" si="70"/>
        <v>#NUM!</v>
      </c>
      <c r="Y1488" s="221">
        <f t="shared" si="71"/>
        <v>0</v>
      </c>
      <c r="Z1488" t="e">
        <f t="shared" si="72"/>
        <v>#NUM!</v>
      </c>
    </row>
    <row r="1489" spans="1:26" x14ac:dyDescent="0.2">
      <c r="A1489" s="26" t="e">
        <f t="shared" si="70"/>
        <v>#NUM!</v>
      </c>
      <c r="Y1489" s="221">
        <f t="shared" si="71"/>
        <v>0</v>
      </c>
      <c r="Z1489" t="e">
        <f t="shared" si="72"/>
        <v>#NUM!</v>
      </c>
    </row>
    <row r="1490" spans="1:26" x14ac:dyDescent="0.2">
      <c r="A1490" s="26" t="e">
        <f t="shared" si="70"/>
        <v>#NUM!</v>
      </c>
      <c r="Y1490" s="221">
        <f t="shared" si="71"/>
        <v>0</v>
      </c>
      <c r="Z1490" t="e">
        <f t="shared" si="72"/>
        <v>#NUM!</v>
      </c>
    </row>
    <row r="1491" spans="1:26" x14ac:dyDescent="0.2">
      <c r="A1491" s="26" t="e">
        <f t="shared" si="70"/>
        <v>#NUM!</v>
      </c>
      <c r="Y1491" s="221">
        <f t="shared" si="71"/>
        <v>0</v>
      </c>
      <c r="Z1491" t="e">
        <f t="shared" si="72"/>
        <v>#NUM!</v>
      </c>
    </row>
    <row r="1492" spans="1:26" x14ac:dyDescent="0.2">
      <c r="A1492" s="26" t="e">
        <f t="shared" si="70"/>
        <v>#NUM!</v>
      </c>
      <c r="Y1492" s="221">
        <f t="shared" si="71"/>
        <v>0</v>
      </c>
      <c r="Z1492" t="e">
        <f t="shared" si="72"/>
        <v>#NUM!</v>
      </c>
    </row>
    <row r="1493" spans="1:26" x14ac:dyDescent="0.2">
      <c r="A1493" s="26" t="e">
        <f t="shared" si="70"/>
        <v>#NUM!</v>
      </c>
      <c r="Y1493" s="221">
        <f t="shared" si="71"/>
        <v>0</v>
      </c>
      <c r="Z1493" t="e">
        <f t="shared" si="72"/>
        <v>#NUM!</v>
      </c>
    </row>
    <row r="1494" spans="1:26" x14ac:dyDescent="0.2">
      <c r="A1494" s="26" t="e">
        <f t="shared" si="70"/>
        <v>#NUM!</v>
      </c>
      <c r="Y1494" s="221">
        <f t="shared" si="71"/>
        <v>0</v>
      </c>
      <c r="Z1494" t="e">
        <f t="shared" si="72"/>
        <v>#NUM!</v>
      </c>
    </row>
    <row r="1495" spans="1:26" x14ac:dyDescent="0.2">
      <c r="A1495" s="26" t="e">
        <f t="shared" si="70"/>
        <v>#NUM!</v>
      </c>
      <c r="Y1495" s="221">
        <f t="shared" si="71"/>
        <v>0</v>
      </c>
      <c r="Z1495" t="e">
        <f t="shared" si="72"/>
        <v>#NUM!</v>
      </c>
    </row>
    <row r="1496" spans="1:26" x14ac:dyDescent="0.2">
      <c r="A1496" s="26" t="e">
        <f t="shared" si="70"/>
        <v>#NUM!</v>
      </c>
      <c r="Y1496" s="221">
        <f t="shared" si="71"/>
        <v>0</v>
      </c>
      <c r="Z1496" t="e">
        <f t="shared" si="72"/>
        <v>#NUM!</v>
      </c>
    </row>
    <row r="1497" spans="1:26" x14ac:dyDescent="0.2">
      <c r="A1497" s="26" t="e">
        <f t="shared" si="70"/>
        <v>#NUM!</v>
      </c>
      <c r="Y1497" s="221">
        <f t="shared" si="71"/>
        <v>0</v>
      </c>
      <c r="Z1497" t="e">
        <f t="shared" si="72"/>
        <v>#NUM!</v>
      </c>
    </row>
    <row r="1498" spans="1:26" x14ac:dyDescent="0.2">
      <c r="A1498" s="26" t="e">
        <f t="shared" si="70"/>
        <v>#NUM!</v>
      </c>
      <c r="Y1498" s="221">
        <f t="shared" si="71"/>
        <v>0</v>
      </c>
      <c r="Z1498" t="e">
        <f t="shared" si="72"/>
        <v>#NUM!</v>
      </c>
    </row>
    <row r="1499" spans="1:26" x14ac:dyDescent="0.2">
      <c r="A1499" s="26" t="e">
        <f t="shared" si="70"/>
        <v>#NUM!</v>
      </c>
      <c r="Y1499" s="221">
        <f t="shared" si="71"/>
        <v>0</v>
      </c>
      <c r="Z1499" t="e">
        <f t="shared" si="72"/>
        <v>#NUM!</v>
      </c>
    </row>
    <row r="1500" spans="1:26" x14ac:dyDescent="0.2">
      <c r="A1500" s="26" t="e">
        <f t="shared" si="70"/>
        <v>#NUM!</v>
      </c>
      <c r="Y1500" s="221">
        <f t="shared" si="71"/>
        <v>0</v>
      </c>
      <c r="Z1500" t="e">
        <f t="shared" si="72"/>
        <v>#NUM!</v>
      </c>
    </row>
    <row r="1501" spans="1:26" x14ac:dyDescent="0.2">
      <c r="A1501" s="26" t="e">
        <f t="shared" si="70"/>
        <v>#NUM!</v>
      </c>
      <c r="Y1501" s="221">
        <f t="shared" si="71"/>
        <v>0</v>
      </c>
      <c r="Z1501" t="e">
        <f t="shared" si="72"/>
        <v>#NUM!</v>
      </c>
    </row>
    <row r="1502" spans="1:26" x14ac:dyDescent="0.2">
      <c r="A1502" s="26" t="e">
        <f t="shared" si="70"/>
        <v>#NUM!</v>
      </c>
      <c r="Y1502" s="221">
        <f t="shared" si="71"/>
        <v>0</v>
      </c>
      <c r="Z1502" t="e">
        <f t="shared" si="72"/>
        <v>#NUM!</v>
      </c>
    </row>
    <row r="1503" spans="1:26" x14ac:dyDescent="0.2">
      <c r="A1503" s="26" t="e">
        <f t="shared" si="70"/>
        <v>#NUM!</v>
      </c>
      <c r="Y1503" s="221">
        <f t="shared" si="71"/>
        <v>0</v>
      </c>
      <c r="Z1503" t="e">
        <f t="shared" si="72"/>
        <v>#NUM!</v>
      </c>
    </row>
    <row r="1504" spans="1:26" x14ac:dyDescent="0.2">
      <c r="A1504" s="26" t="e">
        <f t="shared" si="70"/>
        <v>#NUM!</v>
      </c>
      <c r="Y1504" s="221">
        <f t="shared" si="71"/>
        <v>0</v>
      </c>
      <c r="Z1504" t="e">
        <f t="shared" si="72"/>
        <v>#NUM!</v>
      </c>
    </row>
    <row r="1505" spans="1:26" x14ac:dyDescent="0.2">
      <c r="A1505" s="26" t="e">
        <f t="shared" si="70"/>
        <v>#NUM!</v>
      </c>
      <c r="Y1505" s="221">
        <f t="shared" si="71"/>
        <v>0</v>
      </c>
      <c r="Z1505" t="e">
        <f t="shared" si="72"/>
        <v>#NUM!</v>
      </c>
    </row>
    <row r="1506" spans="1:26" x14ac:dyDescent="0.2">
      <c r="A1506" s="26" t="e">
        <f t="shared" si="70"/>
        <v>#NUM!</v>
      </c>
      <c r="Y1506" s="221">
        <f t="shared" si="71"/>
        <v>0</v>
      </c>
      <c r="Z1506" t="e">
        <f t="shared" si="72"/>
        <v>#NUM!</v>
      </c>
    </row>
    <row r="1507" spans="1:26" x14ac:dyDescent="0.2">
      <c r="A1507" s="26" t="e">
        <f t="shared" si="70"/>
        <v>#NUM!</v>
      </c>
      <c r="Y1507" s="221">
        <f t="shared" si="71"/>
        <v>0</v>
      </c>
      <c r="Z1507" t="e">
        <f t="shared" si="72"/>
        <v>#NUM!</v>
      </c>
    </row>
    <row r="1508" spans="1:26" x14ac:dyDescent="0.2">
      <c r="A1508" s="26" t="e">
        <f t="shared" si="70"/>
        <v>#NUM!</v>
      </c>
      <c r="Y1508" s="221">
        <f t="shared" si="71"/>
        <v>0</v>
      </c>
      <c r="Z1508" t="e">
        <f t="shared" si="72"/>
        <v>#NUM!</v>
      </c>
    </row>
    <row r="1509" spans="1:26" x14ac:dyDescent="0.2">
      <c r="A1509" s="26" t="e">
        <f t="shared" si="70"/>
        <v>#NUM!</v>
      </c>
      <c r="Y1509" s="221">
        <f t="shared" si="71"/>
        <v>0</v>
      </c>
      <c r="Z1509" t="e">
        <f t="shared" si="72"/>
        <v>#NUM!</v>
      </c>
    </row>
    <row r="1510" spans="1:26" x14ac:dyDescent="0.2">
      <c r="A1510" s="26" t="e">
        <f t="shared" si="70"/>
        <v>#NUM!</v>
      </c>
      <c r="Y1510" s="221">
        <f t="shared" si="71"/>
        <v>0</v>
      </c>
      <c r="Z1510" t="e">
        <f t="shared" si="72"/>
        <v>#NUM!</v>
      </c>
    </row>
    <row r="1511" spans="1:26" x14ac:dyDescent="0.2">
      <c r="A1511" s="26" t="e">
        <f t="shared" si="70"/>
        <v>#NUM!</v>
      </c>
      <c r="Y1511" s="221">
        <f t="shared" si="71"/>
        <v>0</v>
      </c>
      <c r="Z1511" t="e">
        <f t="shared" si="72"/>
        <v>#NUM!</v>
      </c>
    </row>
    <row r="1512" spans="1:26" x14ac:dyDescent="0.2">
      <c r="A1512" s="26" t="e">
        <f t="shared" si="70"/>
        <v>#NUM!</v>
      </c>
      <c r="Y1512" s="221">
        <f t="shared" si="71"/>
        <v>0</v>
      </c>
      <c r="Z1512" t="e">
        <f t="shared" si="72"/>
        <v>#NUM!</v>
      </c>
    </row>
    <row r="1513" spans="1:26" x14ac:dyDescent="0.2">
      <c r="A1513" s="26" t="e">
        <f t="shared" si="70"/>
        <v>#NUM!</v>
      </c>
      <c r="Y1513" s="221">
        <f t="shared" si="71"/>
        <v>0</v>
      </c>
      <c r="Z1513" t="e">
        <f t="shared" si="72"/>
        <v>#NUM!</v>
      </c>
    </row>
    <row r="1514" spans="1:26" x14ac:dyDescent="0.2">
      <c r="A1514" s="26" t="e">
        <f t="shared" si="70"/>
        <v>#NUM!</v>
      </c>
      <c r="Y1514" s="221">
        <f t="shared" si="71"/>
        <v>0</v>
      </c>
      <c r="Z1514" t="e">
        <f t="shared" si="72"/>
        <v>#NUM!</v>
      </c>
    </row>
    <row r="1515" spans="1:26" x14ac:dyDescent="0.2">
      <c r="A1515" s="26" t="e">
        <f t="shared" si="70"/>
        <v>#NUM!</v>
      </c>
      <c r="Y1515" s="221">
        <f t="shared" si="71"/>
        <v>0</v>
      </c>
      <c r="Z1515" t="e">
        <f t="shared" si="72"/>
        <v>#NUM!</v>
      </c>
    </row>
    <row r="1516" spans="1:26" x14ac:dyDescent="0.2">
      <c r="A1516" s="26" t="e">
        <f t="shared" si="70"/>
        <v>#NUM!</v>
      </c>
      <c r="Y1516" s="221">
        <f t="shared" si="71"/>
        <v>0</v>
      </c>
      <c r="Z1516" t="e">
        <f t="shared" si="72"/>
        <v>#NUM!</v>
      </c>
    </row>
    <row r="1517" spans="1:26" x14ac:dyDescent="0.2">
      <c r="A1517" s="26" t="e">
        <f t="shared" si="70"/>
        <v>#NUM!</v>
      </c>
      <c r="Y1517" s="221">
        <f t="shared" si="71"/>
        <v>0</v>
      </c>
      <c r="Z1517" t="e">
        <f t="shared" si="72"/>
        <v>#NUM!</v>
      </c>
    </row>
    <row r="1518" spans="1:26" x14ac:dyDescent="0.2">
      <c r="A1518" s="26" t="e">
        <f t="shared" si="70"/>
        <v>#NUM!</v>
      </c>
      <c r="Y1518" s="221">
        <f t="shared" si="71"/>
        <v>0</v>
      </c>
      <c r="Z1518" t="e">
        <f t="shared" si="72"/>
        <v>#NUM!</v>
      </c>
    </row>
    <row r="1519" spans="1:26" x14ac:dyDescent="0.2">
      <c r="A1519" s="26" t="e">
        <f t="shared" si="70"/>
        <v>#NUM!</v>
      </c>
      <c r="Y1519" s="221">
        <f t="shared" si="71"/>
        <v>0</v>
      </c>
      <c r="Z1519" t="e">
        <f t="shared" si="72"/>
        <v>#NUM!</v>
      </c>
    </row>
    <row r="1520" spans="1:26" x14ac:dyDescent="0.2">
      <c r="A1520" s="26" t="e">
        <f t="shared" si="70"/>
        <v>#NUM!</v>
      </c>
      <c r="Y1520" s="221">
        <f t="shared" si="71"/>
        <v>0</v>
      </c>
      <c r="Z1520" t="e">
        <f t="shared" si="72"/>
        <v>#NUM!</v>
      </c>
    </row>
    <row r="1521" spans="1:26" x14ac:dyDescent="0.2">
      <c r="A1521" s="26" t="e">
        <f t="shared" si="70"/>
        <v>#NUM!</v>
      </c>
      <c r="Y1521" s="221">
        <f t="shared" si="71"/>
        <v>0</v>
      </c>
      <c r="Z1521" t="e">
        <f t="shared" si="72"/>
        <v>#NUM!</v>
      </c>
    </row>
    <row r="1522" spans="1:26" x14ac:dyDescent="0.2">
      <c r="A1522" s="26" t="e">
        <f t="shared" si="70"/>
        <v>#NUM!</v>
      </c>
      <c r="Y1522" s="221">
        <f t="shared" si="71"/>
        <v>0</v>
      </c>
      <c r="Z1522" t="e">
        <f t="shared" si="72"/>
        <v>#NUM!</v>
      </c>
    </row>
    <row r="1523" spans="1:26" x14ac:dyDescent="0.2">
      <c r="A1523" s="26" t="e">
        <f t="shared" si="70"/>
        <v>#NUM!</v>
      </c>
      <c r="Y1523" s="221">
        <f t="shared" si="71"/>
        <v>0</v>
      </c>
      <c r="Z1523" t="e">
        <f t="shared" si="72"/>
        <v>#NUM!</v>
      </c>
    </row>
    <row r="1524" spans="1:26" x14ac:dyDescent="0.2">
      <c r="A1524" s="26" t="e">
        <f t="shared" si="70"/>
        <v>#NUM!</v>
      </c>
      <c r="Y1524" s="221">
        <f t="shared" si="71"/>
        <v>0</v>
      </c>
      <c r="Z1524" t="e">
        <f t="shared" si="72"/>
        <v>#NUM!</v>
      </c>
    </row>
    <row r="1525" spans="1:26" x14ac:dyDescent="0.2">
      <c r="A1525" s="26" t="e">
        <f t="shared" si="70"/>
        <v>#NUM!</v>
      </c>
      <c r="Y1525" s="221">
        <f t="shared" si="71"/>
        <v>0</v>
      </c>
      <c r="Z1525" t="e">
        <f t="shared" si="72"/>
        <v>#NUM!</v>
      </c>
    </row>
    <row r="1526" spans="1:26" x14ac:dyDescent="0.2">
      <c r="A1526" s="26" t="e">
        <f t="shared" si="70"/>
        <v>#NUM!</v>
      </c>
      <c r="Y1526" s="221">
        <f t="shared" si="71"/>
        <v>0</v>
      </c>
      <c r="Z1526" t="e">
        <f t="shared" si="72"/>
        <v>#NUM!</v>
      </c>
    </row>
    <row r="1527" spans="1:26" x14ac:dyDescent="0.2">
      <c r="A1527" s="26" t="e">
        <f t="shared" si="70"/>
        <v>#NUM!</v>
      </c>
      <c r="Y1527" s="221">
        <f t="shared" si="71"/>
        <v>0</v>
      </c>
      <c r="Z1527" t="e">
        <f t="shared" si="72"/>
        <v>#NUM!</v>
      </c>
    </row>
    <row r="1528" spans="1:26" x14ac:dyDescent="0.2">
      <c r="A1528" s="26" t="e">
        <f t="shared" si="70"/>
        <v>#NUM!</v>
      </c>
      <c r="Y1528" s="221">
        <f t="shared" si="71"/>
        <v>0</v>
      </c>
      <c r="Z1528" t="e">
        <f t="shared" si="72"/>
        <v>#NUM!</v>
      </c>
    </row>
    <row r="1529" spans="1:26" x14ac:dyDescent="0.2">
      <c r="A1529" s="26" t="e">
        <f t="shared" si="70"/>
        <v>#NUM!</v>
      </c>
      <c r="Y1529" s="221">
        <f t="shared" si="71"/>
        <v>0</v>
      </c>
      <c r="Z1529" t="e">
        <f t="shared" si="72"/>
        <v>#NUM!</v>
      </c>
    </row>
    <row r="1530" spans="1:26" x14ac:dyDescent="0.2">
      <c r="A1530" s="26" t="e">
        <f t="shared" si="70"/>
        <v>#NUM!</v>
      </c>
      <c r="Y1530" s="221">
        <f t="shared" si="71"/>
        <v>0</v>
      </c>
      <c r="Z1530" t="e">
        <f t="shared" si="72"/>
        <v>#NUM!</v>
      </c>
    </row>
    <row r="1531" spans="1:26" x14ac:dyDescent="0.2">
      <c r="A1531" s="26" t="e">
        <f t="shared" si="70"/>
        <v>#NUM!</v>
      </c>
      <c r="Y1531" s="221">
        <f t="shared" si="71"/>
        <v>0</v>
      </c>
      <c r="Z1531" t="e">
        <f t="shared" si="72"/>
        <v>#NUM!</v>
      </c>
    </row>
    <row r="1532" spans="1:26" x14ac:dyDescent="0.2">
      <c r="A1532" s="26" t="e">
        <f t="shared" si="70"/>
        <v>#NUM!</v>
      </c>
      <c r="Y1532" s="221">
        <f t="shared" si="71"/>
        <v>0</v>
      </c>
      <c r="Z1532" t="e">
        <f t="shared" si="72"/>
        <v>#NUM!</v>
      </c>
    </row>
    <row r="1533" spans="1:26" x14ac:dyDescent="0.2">
      <c r="A1533" s="26" t="e">
        <f t="shared" si="70"/>
        <v>#NUM!</v>
      </c>
      <c r="Y1533" s="221">
        <f t="shared" si="71"/>
        <v>0</v>
      </c>
      <c r="Z1533" t="e">
        <f t="shared" si="72"/>
        <v>#NUM!</v>
      </c>
    </row>
    <row r="1534" spans="1:26" x14ac:dyDescent="0.2">
      <c r="A1534" s="26" t="e">
        <f t="shared" si="70"/>
        <v>#NUM!</v>
      </c>
      <c r="Y1534" s="221">
        <f t="shared" si="71"/>
        <v>0</v>
      </c>
      <c r="Z1534" t="e">
        <f t="shared" si="72"/>
        <v>#NUM!</v>
      </c>
    </row>
    <row r="1535" spans="1:26" x14ac:dyDescent="0.2">
      <c r="A1535" s="26" t="e">
        <f t="shared" si="70"/>
        <v>#NUM!</v>
      </c>
      <c r="Y1535" s="221">
        <f t="shared" si="71"/>
        <v>0</v>
      </c>
      <c r="Z1535" t="e">
        <f t="shared" si="72"/>
        <v>#NUM!</v>
      </c>
    </row>
    <row r="1536" spans="1:26" x14ac:dyDescent="0.2">
      <c r="A1536" s="26" t="e">
        <f t="shared" si="70"/>
        <v>#NUM!</v>
      </c>
      <c r="Y1536" s="221">
        <f t="shared" si="71"/>
        <v>0</v>
      </c>
      <c r="Z1536" t="e">
        <f t="shared" si="72"/>
        <v>#NUM!</v>
      </c>
    </row>
    <row r="1537" spans="1:26" x14ac:dyDescent="0.2">
      <c r="A1537" s="26" t="e">
        <f t="shared" si="70"/>
        <v>#NUM!</v>
      </c>
      <c r="Y1537" s="221">
        <f t="shared" si="71"/>
        <v>0</v>
      </c>
      <c r="Z1537" t="e">
        <f t="shared" si="72"/>
        <v>#NUM!</v>
      </c>
    </row>
    <row r="1538" spans="1:26" x14ac:dyDescent="0.2">
      <c r="A1538" s="26" t="e">
        <f t="shared" si="70"/>
        <v>#NUM!</v>
      </c>
      <c r="Y1538" s="221">
        <f t="shared" si="71"/>
        <v>0</v>
      </c>
      <c r="Z1538" t="e">
        <f t="shared" si="72"/>
        <v>#NUM!</v>
      </c>
    </row>
    <row r="1539" spans="1:26" x14ac:dyDescent="0.2">
      <c r="A1539" s="26" t="e">
        <f t="shared" ref="A1539:A1602" si="73">DATE(B1539,C1539,D1539)</f>
        <v>#NUM!</v>
      </c>
      <c r="Y1539" s="221">
        <f t="shared" ref="Y1539:Y1602" si="74">SUM(G1539:W1539)</f>
        <v>0</v>
      </c>
      <c r="Z1539" t="e">
        <f t="shared" ref="Z1539:Z1602" si="75">IF(OR(WEEKDAY(A1539,2)=6,WEEKDAY(A1539,2)=7),X1539,0)</f>
        <v>#NUM!</v>
      </c>
    </row>
    <row r="1540" spans="1:26" x14ac:dyDescent="0.2">
      <c r="A1540" s="26" t="e">
        <f t="shared" si="73"/>
        <v>#NUM!</v>
      </c>
      <c r="Y1540" s="221">
        <f t="shared" si="74"/>
        <v>0</v>
      </c>
      <c r="Z1540" t="e">
        <f t="shared" si="75"/>
        <v>#NUM!</v>
      </c>
    </row>
    <row r="1541" spans="1:26" x14ac:dyDescent="0.2">
      <c r="A1541" s="26" t="e">
        <f t="shared" si="73"/>
        <v>#NUM!</v>
      </c>
      <c r="Y1541" s="221">
        <f t="shared" si="74"/>
        <v>0</v>
      </c>
      <c r="Z1541" t="e">
        <f t="shared" si="75"/>
        <v>#NUM!</v>
      </c>
    </row>
    <row r="1542" spans="1:26" x14ac:dyDescent="0.2">
      <c r="A1542" s="26" t="e">
        <f t="shared" si="73"/>
        <v>#NUM!</v>
      </c>
      <c r="Y1542" s="221">
        <f t="shared" si="74"/>
        <v>0</v>
      </c>
      <c r="Z1542" t="e">
        <f t="shared" si="75"/>
        <v>#NUM!</v>
      </c>
    </row>
    <row r="1543" spans="1:26" x14ac:dyDescent="0.2">
      <c r="A1543" s="26" t="e">
        <f t="shared" si="73"/>
        <v>#NUM!</v>
      </c>
      <c r="Y1543" s="221">
        <f t="shared" si="74"/>
        <v>0</v>
      </c>
      <c r="Z1543" t="e">
        <f t="shared" si="75"/>
        <v>#NUM!</v>
      </c>
    </row>
    <row r="1544" spans="1:26" x14ac:dyDescent="0.2">
      <c r="A1544" s="26" t="e">
        <f t="shared" si="73"/>
        <v>#NUM!</v>
      </c>
      <c r="Y1544" s="221">
        <f t="shared" si="74"/>
        <v>0</v>
      </c>
      <c r="Z1544" t="e">
        <f t="shared" si="75"/>
        <v>#NUM!</v>
      </c>
    </row>
    <row r="1545" spans="1:26" x14ac:dyDescent="0.2">
      <c r="A1545" s="26" t="e">
        <f t="shared" si="73"/>
        <v>#NUM!</v>
      </c>
      <c r="Y1545" s="221">
        <f t="shared" si="74"/>
        <v>0</v>
      </c>
      <c r="Z1545" t="e">
        <f t="shared" si="75"/>
        <v>#NUM!</v>
      </c>
    </row>
    <row r="1546" spans="1:26" x14ac:dyDescent="0.2">
      <c r="A1546" s="26" t="e">
        <f t="shared" si="73"/>
        <v>#NUM!</v>
      </c>
      <c r="Y1546" s="221">
        <f t="shared" si="74"/>
        <v>0</v>
      </c>
      <c r="Z1546" t="e">
        <f t="shared" si="75"/>
        <v>#NUM!</v>
      </c>
    </row>
    <row r="1547" spans="1:26" x14ac:dyDescent="0.2">
      <c r="A1547" s="26" t="e">
        <f t="shared" si="73"/>
        <v>#NUM!</v>
      </c>
      <c r="Y1547" s="221">
        <f t="shared" si="74"/>
        <v>0</v>
      </c>
      <c r="Z1547" t="e">
        <f t="shared" si="75"/>
        <v>#NUM!</v>
      </c>
    </row>
    <row r="1548" spans="1:26" x14ac:dyDescent="0.2">
      <c r="A1548" s="26" t="e">
        <f t="shared" si="73"/>
        <v>#NUM!</v>
      </c>
      <c r="Y1548" s="221">
        <f t="shared" si="74"/>
        <v>0</v>
      </c>
      <c r="Z1548" t="e">
        <f t="shared" si="75"/>
        <v>#NUM!</v>
      </c>
    </row>
    <row r="1549" spans="1:26" x14ac:dyDescent="0.2">
      <c r="A1549" s="26" t="e">
        <f t="shared" si="73"/>
        <v>#NUM!</v>
      </c>
      <c r="Y1549" s="221">
        <f t="shared" si="74"/>
        <v>0</v>
      </c>
      <c r="Z1549" t="e">
        <f t="shared" si="75"/>
        <v>#NUM!</v>
      </c>
    </row>
    <row r="1550" spans="1:26" x14ac:dyDescent="0.2">
      <c r="A1550" s="26" t="e">
        <f t="shared" si="73"/>
        <v>#NUM!</v>
      </c>
      <c r="Y1550" s="221">
        <f t="shared" si="74"/>
        <v>0</v>
      </c>
      <c r="Z1550" t="e">
        <f t="shared" si="75"/>
        <v>#NUM!</v>
      </c>
    </row>
    <row r="1551" spans="1:26" x14ac:dyDescent="0.2">
      <c r="A1551" s="26" t="e">
        <f t="shared" si="73"/>
        <v>#NUM!</v>
      </c>
      <c r="Y1551" s="221">
        <f t="shared" si="74"/>
        <v>0</v>
      </c>
      <c r="Z1551" t="e">
        <f t="shared" si="75"/>
        <v>#NUM!</v>
      </c>
    </row>
    <row r="1552" spans="1:26" x14ac:dyDescent="0.2">
      <c r="A1552" s="26" t="e">
        <f t="shared" si="73"/>
        <v>#NUM!</v>
      </c>
      <c r="Y1552" s="221">
        <f t="shared" si="74"/>
        <v>0</v>
      </c>
      <c r="Z1552" t="e">
        <f t="shared" si="75"/>
        <v>#NUM!</v>
      </c>
    </row>
    <row r="1553" spans="1:26" x14ac:dyDescent="0.2">
      <c r="A1553" s="26" t="e">
        <f t="shared" si="73"/>
        <v>#NUM!</v>
      </c>
      <c r="Y1553" s="221">
        <f t="shared" si="74"/>
        <v>0</v>
      </c>
      <c r="Z1553" t="e">
        <f t="shared" si="75"/>
        <v>#NUM!</v>
      </c>
    </row>
    <row r="1554" spans="1:26" x14ac:dyDescent="0.2">
      <c r="A1554" s="26" t="e">
        <f t="shared" si="73"/>
        <v>#NUM!</v>
      </c>
      <c r="Y1554" s="221">
        <f t="shared" si="74"/>
        <v>0</v>
      </c>
      <c r="Z1554" t="e">
        <f t="shared" si="75"/>
        <v>#NUM!</v>
      </c>
    </row>
    <row r="1555" spans="1:26" x14ac:dyDescent="0.2">
      <c r="A1555" s="26" t="e">
        <f t="shared" si="73"/>
        <v>#NUM!</v>
      </c>
      <c r="Y1555" s="221">
        <f t="shared" si="74"/>
        <v>0</v>
      </c>
      <c r="Z1555" t="e">
        <f t="shared" si="75"/>
        <v>#NUM!</v>
      </c>
    </row>
    <row r="1556" spans="1:26" x14ac:dyDescent="0.2">
      <c r="A1556" s="26" t="e">
        <f t="shared" si="73"/>
        <v>#NUM!</v>
      </c>
      <c r="Y1556" s="221">
        <f t="shared" si="74"/>
        <v>0</v>
      </c>
      <c r="Z1556" t="e">
        <f t="shared" si="75"/>
        <v>#NUM!</v>
      </c>
    </row>
    <row r="1557" spans="1:26" x14ac:dyDescent="0.2">
      <c r="A1557" s="26" t="e">
        <f t="shared" si="73"/>
        <v>#NUM!</v>
      </c>
      <c r="Y1557" s="221">
        <f t="shared" si="74"/>
        <v>0</v>
      </c>
      <c r="Z1557" t="e">
        <f t="shared" si="75"/>
        <v>#NUM!</v>
      </c>
    </row>
    <row r="1558" spans="1:26" x14ac:dyDescent="0.2">
      <c r="A1558" s="26" t="e">
        <f t="shared" si="73"/>
        <v>#NUM!</v>
      </c>
      <c r="Y1558" s="221">
        <f t="shared" si="74"/>
        <v>0</v>
      </c>
      <c r="Z1558" t="e">
        <f t="shared" si="75"/>
        <v>#NUM!</v>
      </c>
    </row>
    <row r="1559" spans="1:26" x14ac:dyDescent="0.2">
      <c r="A1559" s="26" t="e">
        <f t="shared" si="73"/>
        <v>#NUM!</v>
      </c>
      <c r="Y1559" s="221">
        <f t="shared" si="74"/>
        <v>0</v>
      </c>
      <c r="Z1559" t="e">
        <f t="shared" si="75"/>
        <v>#NUM!</v>
      </c>
    </row>
    <row r="1560" spans="1:26" x14ac:dyDescent="0.2">
      <c r="A1560" s="26" t="e">
        <f t="shared" si="73"/>
        <v>#NUM!</v>
      </c>
      <c r="Y1560" s="221">
        <f t="shared" si="74"/>
        <v>0</v>
      </c>
      <c r="Z1560" t="e">
        <f t="shared" si="75"/>
        <v>#NUM!</v>
      </c>
    </row>
    <row r="1561" spans="1:26" x14ac:dyDescent="0.2">
      <c r="A1561" s="26" t="e">
        <f t="shared" si="73"/>
        <v>#NUM!</v>
      </c>
      <c r="Y1561" s="221">
        <f t="shared" si="74"/>
        <v>0</v>
      </c>
      <c r="Z1561" t="e">
        <f t="shared" si="75"/>
        <v>#NUM!</v>
      </c>
    </row>
    <row r="1562" spans="1:26" x14ac:dyDescent="0.2">
      <c r="A1562" s="26" t="e">
        <f t="shared" si="73"/>
        <v>#NUM!</v>
      </c>
      <c r="Y1562" s="221">
        <f t="shared" si="74"/>
        <v>0</v>
      </c>
      <c r="Z1562" t="e">
        <f t="shared" si="75"/>
        <v>#NUM!</v>
      </c>
    </row>
    <row r="1563" spans="1:26" x14ac:dyDescent="0.2">
      <c r="A1563" s="26" t="e">
        <f t="shared" si="73"/>
        <v>#NUM!</v>
      </c>
      <c r="Y1563" s="221">
        <f t="shared" si="74"/>
        <v>0</v>
      </c>
      <c r="Z1563" t="e">
        <f t="shared" si="75"/>
        <v>#NUM!</v>
      </c>
    </row>
    <row r="1564" spans="1:26" x14ac:dyDescent="0.2">
      <c r="A1564" s="26" t="e">
        <f t="shared" si="73"/>
        <v>#NUM!</v>
      </c>
      <c r="Y1564" s="221">
        <f t="shared" si="74"/>
        <v>0</v>
      </c>
      <c r="Z1564" t="e">
        <f t="shared" si="75"/>
        <v>#NUM!</v>
      </c>
    </row>
    <row r="1565" spans="1:26" x14ac:dyDescent="0.2">
      <c r="A1565" s="26" t="e">
        <f t="shared" si="73"/>
        <v>#NUM!</v>
      </c>
      <c r="Y1565" s="221">
        <f t="shared" si="74"/>
        <v>0</v>
      </c>
      <c r="Z1565" t="e">
        <f t="shared" si="75"/>
        <v>#NUM!</v>
      </c>
    </row>
    <row r="1566" spans="1:26" x14ac:dyDescent="0.2">
      <c r="A1566" s="26" t="e">
        <f t="shared" si="73"/>
        <v>#NUM!</v>
      </c>
      <c r="Y1566" s="221">
        <f t="shared" si="74"/>
        <v>0</v>
      </c>
      <c r="Z1566" t="e">
        <f t="shared" si="75"/>
        <v>#NUM!</v>
      </c>
    </row>
    <row r="1567" spans="1:26" x14ac:dyDescent="0.2">
      <c r="A1567" s="26" t="e">
        <f t="shared" si="73"/>
        <v>#NUM!</v>
      </c>
      <c r="Y1567" s="221">
        <f t="shared" si="74"/>
        <v>0</v>
      </c>
      <c r="Z1567" t="e">
        <f t="shared" si="75"/>
        <v>#NUM!</v>
      </c>
    </row>
    <row r="1568" spans="1:26" x14ac:dyDescent="0.2">
      <c r="A1568" s="26" t="e">
        <f t="shared" si="73"/>
        <v>#NUM!</v>
      </c>
      <c r="Y1568" s="221">
        <f t="shared" si="74"/>
        <v>0</v>
      </c>
      <c r="Z1568" t="e">
        <f t="shared" si="75"/>
        <v>#NUM!</v>
      </c>
    </row>
    <row r="1569" spans="1:26" x14ac:dyDescent="0.2">
      <c r="A1569" s="26" t="e">
        <f t="shared" si="73"/>
        <v>#NUM!</v>
      </c>
      <c r="Y1569" s="221">
        <f t="shared" si="74"/>
        <v>0</v>
      </c>
      <c r="Z1569" t="e">
        <f t="shared" si="75"/>
        <v>#NUM!</v>
      </c>
    </row>
    <row r="1570" spans="1:26" x14ac:dyDescent="0.2">
      <c r="A1570" s="26" t="e">
        <f t="shared" si="73"/>
        <v>#NUM!</v>
      </c>
      <c r="Y1570" s="221">
        <f t="shared" si="74"/>
        <v>0</v>
      </c>
      <c r="Z1570" t="e">
        <f t="shared" si="75"/>
        <v>#NUM!</v>
      </c>
    </row>
    <row r="1571" spans="1:26" x14ac:dyDescent="0.2">
      <c r="A1571" s="26" t="e">
        <f t="shared" si="73"/>
        <v>#NUM!</v>
      </c>
      <c r="Y1571" s="221">
        <f t="shared" si="74"/>
        <v>0</v>
      </c>
      <c r="Z1571" t="e">
        <f t="shared" si="75"/>
        <v>#NUM!</v>
      </c>
    </row>
    <row r="1572" spans="1:26" x14ac:dyDescent="0.2">
      <c r="A1572" s="26" t="e">
        <f t="shared" si="73"/>
        <v>#NUM!</v>
      </c>
      <c r="Y1572" s="221">
        <f t="shared" si="74"/>
        <v>0</v>
      </c>
      <c r="Z1572" t="e">
        <f t="shared" si="75"/>
        <v>#NUM!</v>
      </c>
    </row>
    <row r="1573" spans="1:26" x14ac:dyDescent="0.2">
      <c r="A1573" s="26" t="e">
        <f t="shared" si="73"/>
        <v>#NUM!</v>
      </c>
      <c r="Y1573" s="221">
        <f t="shared" si="74"/>
        <v>0</v>
      </c>
      <c r="Z1573" t="e">
        <f t="shared" si="75"/>
        <v>#NUM!</v>
      </c>
    </row>
    <row r="1574" spans="1:26" x14ac:dyDescent="0.2">
      <c r="A1574" s="26" t="e">
        <f t="shared" si="73"/>
        <v>#NUM!</v>
      </c>
      <c r="Y1574" s="221">
        <f t="shared" si="74"/>
        <v>0</v>
      </c>
      <c r="Z1574" t="e">
        <f t="shared" si="75"/>
        <v>#NUM!</v>
      </c>
    </row>
    <row r="1575" spans="1:26" x14ac:dyDescent="0.2">
      <c r="A1575" s="26" t="e">
        <f t="shared" si="73"/>
        <v>#NUM!</v>
      </c>
      <c r="Y1575" s="221">
        <f t="shared" si="74"/>
        <v>0</v>
      </c>
      <c r="Z1575" t="e">
        <f t="shared" si="75"/>
        <v>#NUM!</v>
      </c>
    </row>
    <row r="1576" spans="1:26" x14ac:dyDescent="0.2">
      <c r="A1576" s="26" t="e">
        <f t="shared" si="73"/>
        <v>#NUM!</v>
      </c>
      <c r="Y1576" s="221">
        <f t="shared" si="74"/>
        <v>0</v>
      </c>
      <c r="Z1576" t="e">
        <f t="shared" si="75"/>
        <v>#NUM!</v>
      </c>
    </row>
    <row r="1577" spans="1:26" x14ac:dyDescent="0.2">
      <c r="A1577" s="26" t="e">
        <f t="shared" si="73"/>
        <v>#NUM!</v>
      </c>
      <c r="Y1577" s="221">
        <f t="shared" si="74"/>
        <v>0</v>
      </c>
      <c r="Z1577" t="e">
        <f t="shared" si="75"/>
        <v>#NUM!</v>
      </c>
    </row>
    <row r="1578" spans="1:26" x14ac:dyDescent="0.2">
      <c r="A1578" s="26" t="e">
        <f t="shared" si="73"/>
        <v>#NUM!</v>
      </c>
      <c r="Y1578" s="221">
        <f t="shared" si="74"/>
        <v>0</v>
      </c>
      <c r="Z1578" t="e">
        <f t="shared" si="75"/>
        <v>#NUM!</v>
      </c>
    </row>
    <row r="1579" spans="1:26" x14ac:dyDescent="0.2">
      <c r="A1579" s="26" t="e">
        <f t="shared" si="73"/>
        <v>#NUM!</v>
      </c>
      <c r="Y1579" s="221">
        <f t="shared" si="74"/>
        <v>0</v>
      </c>
      <c r="Z1579" t="e">
        <f t="shared" si="75"/>
        <v>#NUM!</v>
      </c>
    </row>
    <row r="1580" spans="1:26" x14ac:dyDescent="0.2">
      <c r="A1580" s="26" t="e">
        <f t="shared" si="73"/>
        <v>#NUM!</v>
      </c>
      <c r="Y1580" s="221">
        <f t="shared" si="74"/>
        <v>0</v>
      </c>
      <c r="Z1580" t="e">
        <f t="shared" si="75"/>
        <v>#NUM!</v>
      </c>
    </row>
    <row r="1581" spans="1:26" x14ac:dyDescent="0.2">
      <c r="A1581" s="26" t="e">
        <f t="shared" si="73"/>
        <v>#NUM!</v>
      </c>
      <c r="Y1581" s="221">
        <f t="shared" si="74"/>
        <v>0</v>
      </c>
      <c r="Z1581" t="e">
        <f t="shared" si="75"/>
        <v>#NUM!</v>
      </c>
    </row>
    <row r="1582" spans="1:26" x14ac:dyDescent="0.2">
      <c r="A1582" s="26" t="e">
        <f t="shared" si="73"/>
        <v>#NUM!</v>
      </c>
      <c r="Y1582" s="221">
        <f t="shared" si="74"/>
        <v>0</v>
      </c>
      <c r="Z1582" t="e">
        <f t="shared" si="75"/>
        <v>#NUM!</v>
      </c>
    </row>
    <row r="1583" spans="1:26" x14ac:dyDescent="0.2">
      <c r="A1583" s="26" t="e">
        <f t="shared" si="73"/>
        <v>#NUM!</v>
      </c>
      <c r="Y1583" s="221">
        <f t="shared" si="74"/>
        <v>0</v>
      </c>
      <c r="Z1583" t="e">
        <f t="shared" si="75"/>
        <v>#NUM!</v>
      </c>
    </row>
    <row r="1584" spans="1:26" x14ac:dyDescent="0.2">
      <c r="A1584" s="26" t="e">
        <f t="shared" si="73"/>
        <v>#NUM!</v>
      </c>
      <c r="Y1584" s="221">
        <f t="shared" si="74"/>
        <v>0</v>
      </c>
      <c r="Z1584" t="e">
        <f t="shared" si="75"/>
        <v>#NUM!</v>
      </c>
    </row>
    <row r="1585" spans="1:26" x14ac:dyDescent="0.2">
      <c r="A1585" s="26" t="e">
        <f t="shared" si="73"/>
        <v>#NUM!</v>
      </c>
      <c r="Y1585" s="221">
        <f t="shared" si="74"/>
        <v>0</v>
      </c>
      <c r="Z1585" t="e">
        <f t="shared" si="75"/>
        <v>#NUM!</v>
      </c>
    </row>
    <row r="1586" spans="1:26" x14ac:dyDescent="0.2">
      <c r="A1586" s="26" t="e">
        <f t="shared" si="73"/>
        <v>#NUM!</v>
      </c>
      <c r="Y1586" s="221">
        <f t="shared" si="74"/>
        <v>0</v>
      </c>
      <c r="Z1586" t="e">
        <f t="shared" si="75"/>
        <v>#NUM!</v>
      </c>
    </row>
    <row r="1587" spans="1:26" x14ac:dyDescent="0.2">
      <c r="A1587" s="26" t="e">
        <f t="shared" si="73"/>
        <v>#NUM!</v>
      </c>
      <c r="Y1587" s="221">
        <f t="shared" si="74"/>
        <v>0</v>
      </c>
      <c r="Z1587" t="e">
        <f t="shared" si="75"/>
        <v>#NUM!</v>
      </c>
    </row>
    <row r="1588" spans="1:26" x14ac:dyDescent="0.2">
      <c r="A1588" s="26" t="e">
        <f t="shared" si="73"/>
        <v>#NUM!</v>
      </c>
      <c r="Y1588" s="221">
        <f t="shared" si="74"/>
        <v>0</v>
      </c>
      <c r="Z1588" t="e">
        <f t="shared" si="75"/>
        <v>#NUM!</v>
      </c>
    </row>
    <row r="1589" spans="1:26" x14ac:dyDescent="0.2">
      <c r="A1589" s="26" t="e">
        <f t="shared" si="73"/>
        <v>#NUM!</v>
      </c>
      <c r="Y1589" s="221">
        <f t="shared" si="74"/>
        <v>0</v>
      </c>
      <c r="Z1589" t="e">
        <f t="shared" si="75"/>
        <v>#NUM!</v>
      </c>
    </row>
    <row r="1590" spans="1:26" x14ac:dyDescent="0.2">
      <c r="A1590" s="26" t="e">
        <f t="shared" si="73"/>
        <v>#NUM!</v>
      </c>
      <c r="Y1590" s="221">
        <f t="shared" si="74"/>
        <v>0</v>
      </c>
      <c r="Z1590" t="e">
        <f t="shared" si="75"/>
        <v>#NUM!</v>
      </c>
    </row>
    <row r="1591" spans="1:26" x14ac:dyDescent="0.2">
      <c r="A1591" s="26" t="e">
        <f t="shared" si="73"/>
        <v>#NUM!</v>
      </c>
      <c r="Y1591" s="221">
        <f t="shared" si="74"/>
        <v>0</v>
      </c>
      <c r="Z1591" t="e">
        <f t="shared" si="75"/>
        <v>#NUM!</v>
      </c>
    </row>
    <row r="1592" spans="1:26" x14ac:dyDescent="0.2">
      <c r="A1592" s="26" t="e">
        <f t="shared" si="73"/>
        <v>#NUM!</v>
      </c>
      <c r="Y1592" s="221">
        <f t="shared" si="74"/>
        <v>0</v>
      </c>
      <c r="Z1592" t="e">
        <f t="shared" si="75"/>
        <v>#NUM!</v>
      </c>
    </row>
    <row r="1593" spans="1:26" x14ac:dyDescent="0.2">
      <c r="A1593" s="26" t="e">
        <f t="shared" si="73"/>
        <v>#NUM!</v>
      </c>
      <c r="Y1593" s="221">
        <f t="shared" si="74"/>
        <v>0</v>
      </c>
      <c r="Z1593" t="e">
        <f t="shared" si="75"/>
        <v>#NUM!</v>
      </c>
    </row>
    <row r="1594" spans="1:26" x14ac:dyDescent="0.2">
      <c r="A1594" s="26" t="e">
        <f t="shared" si="73"/>
        <v>#NUM!</v>
      </c>
      <c r="Y1594" s="221">
        <f t="shared" si="74"/>
        <v>0</v>
      </c>
      <c r="Z1594" t="e">
        <f t="shared" si="75"/>
        <v>#NUM!</v>
      </c>
    </row>
    <row r="1595" spans="1:26" x14ac:dyDescent="0.2">
      <c r="A1595" s="26" t="e">
        <f t="shared" si="73"/>
        <v>#NUM!</v>
      </c>
      <c r="Y1595" s="221">
        <f t="shared" si="74"/>
        <v>0</v>
      </c>
      <c r="Z1595" t="e">
        <f t="shared" si="75"/>
        <v>#NUM!</v>
      </c>
    </row>
    <row r="1596" spans="1:26" x14ac:dyDescent="0.2">
      <c r="A1596" s="26" t="e">
        <f t="shared" si="73"/>
        <v>#NUM!</v>
      </c>
      <c r="Y1596" s="221">
        <f t="shared" si="74"/>
        <v>0</v>
      </c>
      <c r="Z1596" t="e">
        <f t="shared" si="75"/>
        <v>#NUM!</v>
      </c>
    </row>
    <row r="1597" spans="1:26" x14ac:dyDescent="0.2">
      <c r="A1597" s="26" t="e">
        <f t="shared" si="73"/>
        <v>#NUM!</v>
      </c>
      <c r="Y1597" s="221">
        <f t="shared" si="74"/>
        <v>0</v>
      </c>
      <c r="Z1597" t="e">
        <f t="shared" si="75"/>
        <v>#NUM!</v>
      </c>
    </row>
    <row r="1598" spans="1:26" x14ac:dyDescent="0.2">
      <c r="A1598" s="26" t="e">
        <f t="shared" si="73"/>
        <v>#NUM!</v>
      </c>
      <c r="Y1598" s="221">
        <f t="shared" si="74"/>
        <v>0</v>
      </c>
      <c r="Z1598" t="e">
        <f t="shared" si="75"/>
        <v>#NUM!</v>
      </c>
    </row>
    <row r="1599" spans="1:26" x14ac:dyDescent="0.2">
      <c r="A1599" s="26" t="e">
        <f t="shared" si="73"/>
        <v>#NUM!</v>
      </c>
      <c r="Y1599" s="221">
        <f t="shared" si="74"/>
        <v>0</v>
      </c>
      <c r="Z1599" t="e">
        <f t="shared" si="75"/>
        <v>#NUM!</v>
      </c>
    </row>
    <row r="1600" spans="1:26" x14ac:dyDescent="0.2">
      <c r="A1600" s="26" t="e">
        <f t="shared" si="73"/>
        <v>#NUM!</v>
      </c>
      <c r="Y1600" s="221">
        <f t="shared" si="74"/>
        <v>0</v>
      </c>
      <c r="Z1600" t="e">
        <f t="shared" si="75"/>
        <v>#NUM!</v>
      </c>
    </row>
    <row r="1601" spans="1:26" x14ac:dyDescent="0.2">
      <c r="A1601" s="26" t="e">
        <f t="shared" si="73"/>
        <v>#NUM!</v>
      </c>
      <c r="Y1601" s="221">
        <f t="shared" si="74"/>
        <v>0</v>
      </c>
      <c r="Z1601" t="e">
        <f t="shared" si="75"/>
        <v>#NUM!</v>
      </c>
    </row>
    <row r="1602" spans="1:26" x14ac:dyDescent="0.2">
      <c r="A1602" s="26" t="e">
        <f t="shared" si="73"/>
        <v>#NUM!</v>
      </c>
      <c r="Y1602" s="221">
        <f t="shared" si="74"/>
        <v>0</v>
      </c>
      <c r="Z1602" t="e">
        <f t="shared" si="75"/>
        <v>#NUM!</v>
      </c>
    </row>
    <row r="1603" spans="1:26" x14ac:dyDescent="0.2">
      <c r="A1603" s="26" t="e">
        <f t="shared" ref="A1603:A1666" si="76">DATE(B1603,C1603,D1603)</f>
        <v>#NUM!</v>
      </c>
      <c r="Y1603" s="221">
        <f t="shared" ref="Y1603:Y1666" si="77">SUM(G1603:W1603)</f>
        <v>0</v>
      </c>
      <c r="Z1603" t="e">
        <f t="shared" ref="Z1603:Z1666" si="78">IF(OR(WEEKDAY(A1603,2)=6,WEEKDAY(A1603,2)=7),X1603,0)</f>
        <v>#NUM!</v>
      </c>
    </row>
    <row r="1604" spans="1:26" x14ac:dyDescent="0.2">
      <c r="A1604" s="26" t="e">
        <f t="shared" si="76"/>
        <v>#NUM!</v>
      </c>
      <c r="Y1604" s="221">
        <f t="shared" si="77"/>
        <v>0</v>
      </c>
      <c r="Z1604" t="e">
        <f t="shared" si="78"/>
        <v>#NUM!</v>
      </c>
    </row>
    <row r="1605" spans="1:26" x14ac:dyDescent="0.2">
      <c r="A1605" s="26" t="e">
        <f t="shared" si="76"/>
        <v>#NUM!</v>
      </c>
      <c r="Y1605" s="221">
        <f t="shared" si="77"/>
        <v>0</v>
      </c>
      <c r="Z1605" t="e">
        <f t="shared" si="78"/>
        <v>#NUM!</v>
      </c>
    </row>
    <row r="1606" spans="1:26" x14ac:dyDescent="0.2">
      <c r="A1606" s="26" t="e">
        <f t="shared" si="76"/>
        <v>#NUM!</v>
      </c>
      <c r="Y1606" s="221">
        <f t="shared" si="77"/>
        <v>0</v>
      </c>
      <c r="Z1606" t="e">
        <f t="shared" si="78"/>
        <v>#NUM!</v>
      </c>
    </row>
    <row r="1607" spans="1:26" x14ac:dyDescent="0.2">
      <c r="A1607" s="26" t="e">
        <f t="shared" si="76"/>
        <v>#NUM!</v>
      </c>
      <c r="Y1607" s="221">
        <f t="shared" si="77"/>
        <v>0</v>
      </c>
      <c r="Z1607" t="e">
        <f t="shared" si="78"/>
        <v>#NUM!</v>
      </c>
    </row>
    <row r="1608" spans="1:26" x14ac:dyDescent="0.2">
      <c r="A1608" s="26" t="e">
        <f t="shared" si="76"/>
        <v>#NUM!</v>
      </c>
      <c r="Y1608" s="221">
        <f t="shared" si="77"/>
        <v>0</v>
      </c>
      <c r="Z1608" t="e">
        <f t="shared" si="78"/>
        <v>#NUM!</v>
      </c>
    </row>
    <row r="1609" spans="1:26" x14ac:dyDescent="0.2">
      <c r="A1609" s="26" t="e">
        <f t="shared" si="76"/>
        <v>#NUM!</v>
      </c>
      <c r="Y1609" s="221">
        <f t="shared" si="77"/>
        <v>0</v>
      </c>
      <c r="Z1609" t="e">
        <f t="shared" si="78"/>
        <v>#NUM!</v>
      </c>
    </row>
    <row r="1610" spans="1:26" x14ac:dyDescent="0.2">
      <c r="A1610" s="26" t="e">
        <f t="shared" si="76"/>
        <v>#NUM!</v>
      </c>
      <c r="Y1610" s="221">
        <f t="shared" si="77"/>
        <v>0</v>
      </c>
      <c r="Z1610" t="e">
        <f t="shared" si="78"/>
        <v>#NUM!</v>
      </c>
    </row>
    <row r="1611" spans="1:26" x14ac:dyDescent="0.2">
      <c r="A1611" s="26" t="e">
        <f t="shared" si="76"/>
        <v>#NUM!</v>
      </c>
      <c r="Y1611" s="221">
        <f t="shared" si="77"/>
        <v>0</v>
      </c>
      <c r="Z1611" t="e">
        <f t="shared" si="78"/>
        <v>#NUM!</v>
      </c>
    </row>
    <row r="1612" spans="1:26" x14ac:dyDescent="0.2">
      <c r="A1612" s="26" t="e">
        <f t="shared" si="76"/>
        <v>#NUM!</v>
      </c>
      <c r="Y1612" s="221">
        <f t="shared" si="77"/>
        <v>0</v>
      </c>
      <c r="Z1612" t="e">
        <f t="shared" si="78"/>
        <v>#NUM!</v>
      </c>
    </row>
    <row r="1613" spans="1:26" x14ac:dyDescent="0.2">
      <c r="A1613" s="26" t="e">
        <f t="shared" si="76"/>
        <v>#NUM!</v>
      </c>
      <c r="Y1613" s="221">
        <f t="shared" si="77"/>
        <v>0</v>
      </c>
      <c r="Z1613" t="e">
        <f t="shared" si="78"/>
        <v>#NUM!</v>
      </c>
    </row>
    <row r="1614" spans="1:26" x14ac:dyDescent="0.2">
      <c r="A1614" s="26" t="e">
        <f t="shared" si="76"/>
        <v>#NUM!</v>
      </c>
      <c r="Y1614" s="221">
        <f t="shared" si="77"/>
        <v>0</v>
      </c>
      <c r="Z1614" t="e">
        <f t="shared" si="78"/>
        <v>#NUM!</v>
      </c>
    </row>
    <row r="1615" spans="1:26" x14ac:dyDescent="0.2">
      <c r="A1615" s="26" t="e">
        <f t="shared" si="76"/>
        <v>#NUM!</v>
      </c>
      <c r="Y1615" s="221">
        <f t="shared" si="77"/>
        <v>0</v>
      </c>
      <c r="Z1615" t="e">
        <f t="shared" si="78"/>
        <v>#NUM!</v>
      </c>
    </row>
    <row r="1616" spans="1:26" x14ac:dyDescent="0.2">
      <c r="A1616" s="26" t="e">
        <f t="shared" si="76"/>
        <v>#NUM!</v>
      </c>
      <c r="Y1616" s="221">
        <f t="shared" si="77"/>
        <v>0</v>
      </c>
      <c r="Z1616" t="e">
        <f t="shared" si="78"/>
        <v>#NUM!</v>
      </c>
    </row>
    <row r="1617" spans="1:26" x14ac:dyDescent="0.2">
      <c r="A1617" s="26" t="e">
        <f t="shared" si="76"/>
        <v>#NUM!</v>
      </c>
      <c r="Y1617" s="221">
        <f t="shared" si="77"/>
        <v>0</v>
      </c>
      <c r="Z1617" t="e">
        <f t="shared" si="78"/>
        <v>#NUM!</v>
      </c>
    </row>
    <row r="1618" spans="1:26" x14ac:dyDescent="0.2">
      <c r="A1618" s="26" t="e">
        <f t="shared" si="76"/>
        <v>#NUM!</v>
      </c>
      <c r="Y1618" s="221">
        <f t="shared" si="77"/>
        <v>0</v>
      </c>
      <c r="Z1618" t="e">
        <f t="shared" si="78"/>
        <v>#NUM!</v>
      </c>
    </row>
    <row r="1619" spans="1:26" x14ac:dyDescent="0.2">
      <c r="A1619" s="26" t="e">
        <f t="shared" si="76"/>
        <v>#NUM!</v>
      </c>
      <c r="Y1619" s="221">
        <f t="shared" si="77"/>
        <v>0</v>
      </c>
      <c r="Z1619" t="e">
        <f t="shared" si="78"/>
        <v>#NUM!</v>
      </c>
    </row>
    <row r="1620" spans="1:26" x14ac:dyDescent="0.2">
      <c r="A1620" s="26" t="e">
        <f t="shared" si="76"/>
        <v>#NUM!</v>
      </c>
      <c r="Y1620" s="221">
        <f t="shared" si="77"/>
        <v>0</v>
      </c>
      <c r="Z1620" t="e">
        <f t="shared" si="78"/>
        <v>#NUM!</v>
      </c>
    </row>
    <row r="1621" spans="1:26" x14ac:dyDescent="0.2">
      <c r="A1621" s="26" t="e">
        <f t="shared" si="76"/>
        <v>#NUM!</v>
      </c>
      <c r="Y1621" s="221">
        <f t="shared" si="77"/>
        <v>0</v>
      </c>
      <c r="Z1621" t="e">
        <f t="shared" si="78"/>
        <v>#NUM!</v>
      </c>
    </row>
    <row r="1622" spans="1:26" x14ac:dyDescent="0.2">
      <c r="A1622" s="26" t="e">
        <f t="shared" si="76"/>
        <v>#NUM!</v>
      </c>
      <c r="Y1622" s="221">
        <f t="shared" si="77"/>
        <v>0</v>
      </c>
      <c r="Z1622" t="e">
        <f t="shared" si="78"/>
        <v>#NUM!</v>
      </c>
    </row>
    <row r="1623" spans="1:26" x14ac:dyDescent="0.2">
      <c r="A1623" s="26" t="e">
        <f t="shared" si="76"/>
        <v>#NUM!</v>
      </c>
      <c r="Y1623" s="221">
        <f t="shared" si="77"/>
        <v>0</v>
      </c>
      <c r="Z1623" t="e">
        <f t="shared" si="78"/>
        <v>#NUM!</v>
      </c>
    </row>
    <row r="1624" spans="1:26" x14ac:dyDescent="0.2">
      <c r="A1624" s="26" t="e">
        <f t="shared" si="76"/>
        <v>#NUM!</v>
      </c>
      <c r="Y1624" s="221">
        <f t="shared" si="77"/>
        <v>0</v>
      </c>
      <c r="Z1624" t="e">
        <f t="shared" si="78"/>
        <v>#NUM!</v>
      </c>
    </row>
    <row r="1625" spans="1:26" x14ac:dyDescent="0.2">
      <c r="A1625" s="26" t="e">
        <f t="shared" si="76"/>
        <v>#NUM!</v>
      </c>
      <c r="Y1625" s="221">
        <f t="shared" si="77"/>
        <v>0</v>
      </c>
      <c r="Z1625" t="e">
        <f t="shared" si="78"/>
        <v>#NUM!</v>
      </c>
    </row>
    <row r="1626" spans="1:26" x14ac:dyDescent="0.2">
      <c r="A1626" s="26" t="e">
        <f t="shared" si="76"/>
        <v>#NUM!</v>
      </c>
      <c r="Y1626" s="221">
        <f t="shared" si="77"/>
        <v>0</v>
      </c>
      <c r="Z1626" t="e">
        <f t="shared" si="78"/>
        <v>#NUM!</v>
      </c>
    </row>
    <row r="1627" spans="1:26" x14ac:dyDescent="0.2">
      <c r="A1627" s="26" t="e">
        <f t="shared" si="76"/>
        <v>#NUM!</v>
      </c>
      <c r="Y1627" s="221">
        <f t="shared" si="77"/>
        <v>0</v>
      </c>
      <c r="Z1627" t="e">
        <f t="shared" si="78"/>
        <v>#NUM!</v>
      </c>
    </row>
    <row r="1628" spans="1:26" x14ac:dyDescent="0.2">
      <c r="A1628" s="26" t="e">
        <f t="shared" si="76"/>
        <v>#NUM!</v>
      </c>
      <c r="Y1628" s="221">
        <f t="shared" si="77"/>
        <v>0</v>
      </c>
      <c r="Z1628" t="e">
        <f t="shared" si="78"/>
        <v>#NUM!</v>
      </c>
    </row>
    <row r="1629" spans="1:26" x14ac:dyDescent="0.2">
      <c r="A1629" s="26" t="e">
        <f t="shared" si="76"/>
        <v>#NUM!</v>
      </c>
      <c r="Y1629" s="221">
        <f t="shared" si="77"/>
        <v>0</v>
      </c>
      <c r="Z1629" t="e">
        <f t="shared" si="78"/>
        <v>#NUM!</v>
      </c>
    </row>
    <row r="1630" spans="1:26" x14ac:dyDescent="0.2">
      <c r="A1630" s="26" t="e">
        <f t="shared" si="76"/>
        <v>#NUM!</v>
      </c>
      <c r="Y1630" s="221">
        <f t="shared" si="77"/>
        <v>0</v>
      </c>
      <c r="Z1630" t="e">
        <f t="shared" si="78"/>
        <v>#NUM!</v>
      </c>
    </row>
    <row r="1631" spans="1:26" x14ac:dyDescent="0.2">
      <c r="A1631" s="26" t="e">
        <f t="shared" si="76"/>
        <v>#NUM!</v>
      </c>
      <c r="Y1631" s="221">
        <f t="shared" si="77"/>
        <v>0</v>
      </c>
      <c r="Z1631" t="e">
        <f t="shared" si="78"/>
        <v>#NUM!</v>
      </c>
    </row>
    <row r="1632" spans="1:26" x14ac:dyDescent="0.2">
      <c r="A1632" s="26" t="e">
        <f t="shared" si="76"/>
        <v>#NUM!</v>
      </c>
      <c r="Y1632" s="221">
        <f t="shared" si="77"/>
        <v>0</v>
      </c>
      <c r="Z1632" t="e">
        <f t="shared" si="78"/>
        <v>#NUM!</v>
      </c>
    </row>
    <row r="1633" spans="1:26" x14ac:dyDescent="0.2">
      <c r="A1633" s="26" t="e">
        <f t="shared" si="76"/>
        <v>#NUM!</v>
      </c>
      <c r="Y1633" s="221">
        <f t="shared" si="77"/>
        <v>0</v>
      </c>
      <c r="Z1633" t="e">
        <f t="shared" si="78"/>
        <v>#NUM!</v>
      </c>
    </row>
    <row r="1634" spans="1:26" x14ac:dyDescent="0.2">
      <c r="A1634" s="26" t="e">
        <f t="shared" si="76"/>
        <v>#NUM!</v>
      </c>
      <c r="Y1634" s="221">
        <f t="shared" si="77"/>
        <v>0</v>
      </c>
      <c r="Z1634" t="e">
        <f t="shared" si="78"/>
        <v>#NUM!</v>
      </c>
    </row>
    <row r="1635" spans="1:26" x14ac:dyDescent="0.2">
      <c r="A1635" s="26" t="e">
        <f t="shared" si="76"/>
        <v>#NUM!</v>
      </c>
      <c r="Y1635" s="221">
        <f t="shared" si="77"/>
        <v>0</v>
      </c>
      <c r="Z1635" t="e">
        <f t="shared" si="78"/>
        <v>#NUM!</v>
      </c>
    </row>
    <row r="1636" spans="1:26" x14ac:dyDescent="0.2">
      <c r="A1636" s="26" t="e">
        <f t="shared" si="76"/>
        <v>#NUM!</v>
      </c>
      <c r="Y1636" s="221">
        <f t="shared" si="77"/>
        <v>0</v>
      </c>
      <c r="Z1636" t="e">
        <f t="shared" si="78"/>
        <v>#NUM!</v>
      </c>
    </row>
    <row r="1637" spans="1:26" x14ac:dyDescent="0.2">
      <c r="A1637" s="26" t="e">
        <f t="shared" si="76"/>
        <v>#NUM!</v>
      </c>
      <c r="Y1637" s="221">
        <f t="shared" si="77"/>
        <v>0</v>
      </c>
      <c r="Z1637" t="e">
        <f t="shared" si="78"/>
        <v>#NUM!</v>
      </c>
    </row>
    <row r="1638" spans="1:26" x14ac:dyDescent="0.2">
      <c r="A1638" s="26" t="e">
        <f t="shared" si="76"/>
        <v>#NUM!</v>
      </c>
      <c r="Y1638" s="221">
        <f t="shared" si="77"/>
        <v>0</v>
      </c>
      <c r="Z1638" t="e">
        <f t="shared" si="78"/>
        <v>#NUM!</v>
      </c>
    </row>
    <row r="1639" spans="1:26" x14ac:dyDescent="0.2">
      <c r="A1639" s="26" t="e">
        <f t="shared" si="76"/>
        <v>#NUM!</v>
      </c>
      <c r="Y1639" s="221">
        <f t="shared" si="77"/>
        <v>0</v>
      </c>
      <c r="Z1639" t="e">
        <f t="shared" si="78"/>
        <v>#NUM!</v>
      </c>
    </row>
    <row r="1640" spans="1:26" x14ac:dyDescent="0.2">
      <c r="A1640" s="26" t="e">
        <f t="shared" si="76"/>
        <v>#NUM!</v>
      </c>
      <c r="Y1640" s="221">
        <f t="shared" si="77"/>
        <v>0</v>
      </c>
      <c r="Z1640" t="e">
        <f t="shared" si="78"/>
        <v>#NUM!</v>
      </c>
    </row>
    <row r="1641" spans="1:26" x14ac:dyDescent="0.2">
      <c r="A1641" s="26" t="e">
        <f t="shared" si="76"/>
        <v>#NUM!</v>
      </c>
      <c r="Y1641" s="221">
        <f t="shared" si="77"/>
        <v>0</v>
      </c>
      <c r="Z1641" t="e">
        <f t="shared" si="78"/>
        <v>#NUM!</v>
      </c>
    </row>
    <row r="1642" spans="1:26" x14ac:dyDescent="0.2">
      <c r="A1642" s="26" t="e">
        <f t="shared" si="76"/>
        <v>#NUM!</v>
      </c>
      <c r="Y1642" s="221">
        <f t="shared" si="77"/>
        <v>0</v>
      </c>
      <c r="Z1642" t="e">
        <f t="shared" si="78"/>
        <v>#NUM!</v>
      </c>
    </row>
    <row r="1643" spans="1:26" x14ac:dyDescent="0.2">
      <c r="A1643" s="26" t="e">
        <f t="shared" si="76"/>
        <v>#NUM!</v>
      </c>
      <c r="Y1643" s="221">
        <f t="shared" si="77"/>
        <v>0</v>
      </c>
      <c r="Z1643" t="e">
        <f t="shared" si="78"/>
        <v>#NUM!</v>
      </c>
    </row>
    <row r="1644" spans="1:26" x14ac:dyDescent="0.2">
      <c r="A1644" s="26" t="e">
        <f t="shared" si="76"/>
        <v>#NUM!</v>
      </c>
      <c r="Y1644" s="221">
        <f t="shared" si="77"/>
        <v>0</v>
      </c>
      <c r="Z1644" t="e">
        <f t="shared" si="78"/>
        <v>#NUM!</v>
      </c>
    </row>
    <row r="1645" spans="1:26" x14ac:dyDescent="0.2">
      <c r="A1645" s="26" t="e">
        <f t="shared" si="76"/>
        <v>#NUM!</v>
      </c>
      <c r="Y1645" s="221">
        <f t="shared" si="77"/>
        <v>0</v>
      </c>
      <c r="Z1645" t="e">
        <f t="shared" si="78"/>
        <v>#NUM!</v>
      </c>
    </row>
    <row r="1646" spans="1:26" x14ac:dyDescent="0.2">
      <c r="A1646" s="26" t="e">
        <f t="shared" si="76"/>
        <v>#NUM!</v>
      </c>
      <c r="Y1646" s="221">
        <f t="shared" si="77"/>
        <v>0</v>
      </c>
      <c r="Z1646" t="e">
        <f t="shared" si="78"/>
        <v>#NUM!</v>
      </c>
    </row>
    <row r="1647" spans="1:26" x14ac:dyDescent="0.2">
      <c r="A1647" s="26" t="e">
        <f t="shared" si="76"/>
        <v>#NUM!</v>
      </c>
      <c r="Y1647" s="221">
        <f t="shared" si="77"/>
        <v>0</v>
      </c>
      <c r="Z1647" t="e">
        <f t="shared" si="78"/>
        <v>#NUM!</v>
      </c>
    </row>
    <row r="1648" spans="1:26" x14ac:dyDescent="0.2">
      <c r="A1648" s="26" t="e">
        <f t="shared" si="76"/>
        <v>#NUM!</v>
      </c>
      <c r="Y1648" s="221">
        <f t="shared" si="77"/>
        <v>0</v>
      </c>
      <c r="Z1648" t="e">
        <f t="shared" si="78"/>
        <v>#NUM!</v>
      </c>
    </row>
    <row r="1649" spans="1:26" x14ac:dyDescent="0.2">
      <c r="A1649" s="26" t="e">
        <f t="shared" si="76"/>
        <v>#NUM!</v>
      </c>
      <c r="Y1649" s="221">
        <f t="shared" si="77"/>
        <v>0</v>
      </c>
      <c r="Z1649" t="e">
        <f t="shared" si="78"/>
        <v>#NUM!</v>
      </c>
    </row>
    <row r="1650" spans="1:26" x14ac:dyDescent="0.2">
      <c r="A1650" s="26" t="e">
        <f t="shared" si="76"/>
        <v>#NUM!</v>
      </c>
      <c r="Y1650" s="221">
        <f t="shared" si="77"/>
        <v>0</v>
      </c>
      <c r="Z1650" t="e">
        <f t="shared" si="78"/>
        <v>#NUM!</v>
      </c>
    </row>
    <row r="1651" spans="1:26" x14ac:dyDescent="0.2">
      <c r="A1651" s="26" t="e">
        <f t="shared" si="76"/>
        <v>#NUM!</v>
      </c>
      <c r="Y1651" s="221">
        <f t="shared" si="77"/>
        <v>0</v>
      </c>
      <c r="Z1651" t="e">
        <f t="shared" si="78"/>
        <v>#NUM!</v>
      </c>
    </row>
    <row r="1652" spans="1:26" x14ac:dyDescent="0.2">
      <c r="A1652" s="26" t="e">
        <f t="shared" si="76"/>
        <v>#NUM!</v>
      </c>
      <c r="Y1652" s="221">
        <f t="shared" si="77"/>
        <v>0</v>
      </c>
      <c r="Z1652" t="e">
        <f t="shared" si="78"/>
        <v>#NUM!</v>
      </c>
    </row>
    <row r="1653" spans="1:26" x14ac:dyDescent="0.2">
      <c r="A1653" s="26" t="e">
        <f t="shared" si="76"/>
        <v>#NUM!</v>
      </c>
      <c r="Y1653" s="221">
        <f t="shared" si="77"/>
        <v>0</v>
      </c>
      <c r="Z1653" t="e">
        <f t="shared" si="78"/>
        <v>#NUM!</v>
      </c>
    </row>
    <row r="1654" spans="1:26" x14ac:dyDescent="0.2">
      <c r="A1654" s="26" t="e">
        <f t="shared" si="76"/>
        <v>#NUM!</v>
      </c>
      <c r="Y1654" s="221">
        <f t="shared" si="77"/>
        <v>0</v>
      </c>
      <c r="Z1654" t="e">
        <f t="shared" si="78"/>
        <v>#NUM!</v>
      </c>
    </row>
    <row r="1655" spans="1:26" x14ac:dyDescent="0.2">
      <c r="A1655" s="26" t="e">
        <f t="shared" si="76"/>
        <v>#NUM!</v>
      </c>
      <c r="Y1655" s="221">
        <f t="shared" si="77"/>
        <v>0</v>
      </c>
      <c r="Z1655" t="e">
        <f t="shared" si="78"/>
        <v>#NUM!</v>
      </c>
    </row>
    <row r="1656" spans="1:26" x14ac:dyDescent="0.2">
      <c r="A1656" s="26" t="e">
        <f t="shared" si="76"/>
        <v>#NUM!</v>
      </c>
      <c r="Y1656" s="221">
        <f t="shared" si="77"/>
        <v>0</v>
      </c>
      <c r="Z1656" t="e">
        <f t="shared" si="78"/>
        <v>#NUM!</v>
      </c>
    </row>
    <row r="1657" spans="1:26" x14ac:dyDescent="0.2">
      <c r="A1657" s="26" t="e">
        <f t="shared" si="76"/>
        <v>#NUM!</v>
      </c>
      <c r="Y1657" s="221">
        <f t="shared" si="77"/>
        <v>0</v>
      </c>
      <c r="Z1657" t="e">
        <f t="shared" si="78"/>
        <v>#NUM!</v>
      </c>
    </row>
    <row r="1658" spans="1:26" x14ac:dyDescent="0.2">
      <c r="A1658" s="26" t="e">
        <f t="shared" si="76"/>
        <v>#NUM!</v>
      </c>
      <c r="Y1658" s="221">
        <f t="shared" si="77"/>
        <v>0</v>
      </c>
      <c r="Z1658" t="e">
        <f t="shared" si="78"/>
        <v>#NUM!</v>
      </c>
    </row>
    <row r="1659" spans="1:26" x14ac:dyDescent="0.2">
      <c r="A1659" s="26" t="e">
        <f t="shared" si="76"/>
        <v>#NUM!</v>
      </c>
      <c r="Y1659" s="221">
        <f t="shared" si="77"/>
        <v>0</v>
      </c>
      <c r="Z1659" t="e">
        <f t="shared" si="78"/>
        <v>#NUM!</v>
      </c>
    </row>
    <row r="1660" spans="1:26" x14ac:dyDescent="0.2">
      <c r="A1660" s="26" t="e">
        <f t="shared" si="76"/>
        <v>#NUM!</v>
      </c>
      <c r="Y1660" s="221">
        <f t="shared" si="77"/>
        <v>0</v>
      </c>
      <c r="Z1660" t="e">
        <f t="shared" si="78"/>
        <v>#NUM!</v>
      </c>
    </row>
    <row r="1661" spans="1:26" x14ac:dyDescent="0.2">
      <c r="A1661" s="26" t="e">
        <f t="shared" si="76"/>
        <v>#NUM!</v>
      </c>
      <c r="Y1661" s="221">
        <f t="shared" si="77"/>
        <v>0</v>
      </c>
      <c r="Z1661" t="e">
        <f t="shared" si="78"/>
        <v>#NUM!</v>
      </c>
    </row>
    <row r="1662" spans="1:26" x14ac:dyDescent="0.2">
      <c r="A1662" s="26" t="e">
        <f t="shared" si="76"/>
        <v>#NUM!</v>
      </c>
      <c r="Y1662" s="221">
        <f t="shared" si="77"/>
        <v>0</v>
      </c>
      <c r="Z1662" t="e">
        <f t="shared" si="78"/>
        <v>#NUM!</v>
      </c>
    </row>
    <row r="1663" spans="1:26" x14ac:dyDescent="0.2">
      <c r="A1663" s="26" t="e">
        <f t="shared" si="76"/>
        <v>#NUM!</v>
      </c>
      <c r="Y1663" s="221">
        <f t="shared" si="77"/>
        <v>0</v>
      </c>
      <c r="Z1663" t="e">
        <f t="shared" si="78"/>
        <v>#NUM!</v>
      </c>
    </row>
    <row r="1664" spans="1:26" x14ac:dyDescent="0.2">
      <c r="A1664" s="26" t="e">
        <f t="shared" si="76"/>
        <v>#NUM!</v>
      </c>
      <c r="Y1664" s="221">
        <f t="shared" si="77"/>
        <v>0</v>
      </c>
      <c r="Z1664" t="e">
        <f t="shared" si="78"/>
        <v>#NUM!</v>
      </c>
    </row>
    <row r="1665" spans="1:26" x14ac:dyDescent="0.2">
      <c r="A1665" s="26" t="e">
        <f t="shared" si="76"/>
        <v>#NUM!</v>
      </c>
      <c r="Y1665" s="221">
        <f t="shared" si="77"/>
        <v>0</v>
      </c>
      <c r="Z1665" t="e">
        <f t="shared" si="78"/>
        <v>#NUM!</v>
      </c>
    </row>
    <row r="1666" spans="1:26" x14ac:dyDescent="0.2">
      <c r="A1666" s="26" t="e">
        <f t="shared" si="76"/>
        <v>#NUM!</v>
      </c>
      <c r="Y1666" s="221">
        <f t="shared" si="77"/>
        <v>0</v>
      </c>
      <c r="Z1666" t="e">
        <f t="shared" si="78"/>
        <v>#NUM!</v>
      </c>
    </row>
    <row r="1667" spans="1:26" x14ac:dyDescent="0.2">
      <c r="A1667" s="26" t="e">
        <f t="shared" ref="A1667:A1730" si="79">DATE(B1667,C1667,D1667)</f>
        <v>#NUM!</v>
      </c>
      <c r="Y1667" s="221">
        <f t="shared" ref="Y1667:Y1730" si="80">SUM(G1667:W1667)</f>
        <v>0</v>
      </c>
      <c r="Z1667" t="e">
        <f t="shared" ref="Z1667:Z1730" si="81">IF(OR(WEEKDAY(A1667,2)=6,WEEKDAY(A1667,2)=7),X1667,0)</f>
        <v>#NUM!</v>
      </c>
    </row>
    <row r="1668" spans="1:26" x14ac:dyDescent="0.2">
      <c r="A1668" s="26" t="e">
        <f t="shared" si="79"/>
        <v>#NUM!</v>
      </c>
      <c r="Y1668" s="221">
        <f t="shared" si="80"/>
        <v>0</v>
      </c>
      <c r="Z1668" t="e">
        <f t="shared" si="81"/>
        <v>#NUM!</v>
      </c>
    </row>
    <row r="1669" spans="1:26" x14ac:dyDescent="0.2">
      <c r="A1669" s="26" t="e">
        <f t="shared" si="79"/>
        <v>#NUM!</v>
      </c>
      <c r="Y1669" s="221">
        <f t="shared" si="80"/>
        <v>0</v>
      </c>
      <c r="Z1669" t="e">
        <f t="shared" si="81"/>
        <v>#NUM!</v>
      </c>
    </row>
    <row r="1670" spans="1:26" x14ac:dyDescent="0.2">
      <c r="A1670" s="26" t="e">
        <f t="shared" si="79"/>
        <v>#NUM!</v>
      </c>
      <c r="Y1670" s="221">
        <f t="shared" si="80"/>
        <v>0</v>
      </c>
      <c r="Z1670" t="e">
        <f t="shared" si="81"/>
        <v>#NUM!</v>
      </c>
    </row>
    <row r="1671" spans="1:26" x14ac:dyDescent="0.2">
      <c r="A1671" s="26" t="e">
        <f t="shared" si="79"/>
        <v>#NUM!</v>
      </c>
      <c r="Y1671" s="221">
        <f t="shared" si="80"/>
        <v>0</v>
      </c>
      <c r="Z1671" t="e">
        <f t="shared" si="81"/>
        <v>#NUM!</v>
      </c>
    </row>
    <row r="1672" spans="1:26" x14ac:dyDescent="0.2">
      <c r="A1672" s="26" t="e">
        <f t="shared" si="79"/>
        <v>#NUM!</v>
      </c>
      <c r="Y1672" s="221">
        <f t="shared" si="80"/>
        <v>0</v>
      </c>
      <c r="Z1672" t="e">
        <f t="shared" si="81"/>
        <v>#NUM!</v>
      </c>
    </row>
    <row r="1673" spans="1:26" x14ac:dyDescent="0.2">
      <c r="A1673" s="26" t="e">
        <f t="shared" si="79"/>
        <v>#NUM!</v>
      </c>
      <c r="Y1673" s="221">
        <f t="shared" si="80"/>
        <v>0</v>
      </c>
      <c r="Z1673" t="e">
        <f t="shared" si="81"/>
        <v>#NUM!</v>
      </c>
    </row>
    <row r="1674" spans="1:26" x14ac:dyDescent="0.2">
      <c r="A1674" s="26" t="e">
        <f t="shared" si="79"/>
        <v>#NUM!</v>
      </c>
      <c r="Y1674" s="221">
        <f t="shared" si="80"/>
        <v>0</v>
      </c>
      <c r="Z1674" t="e">
        <f t="shared" si="81"/>
        <v>#NUM!</v>
      </c>
    </row>
    <row r="1675" spans="1:26" x14ac:dyDescent="0.2">
      <c r="A1675" s="26" t="e">
        <f t="shared" si="79"/>
        <v>#NUM!</v>
      </c>
      <c r="Y1675" s="221">
        <f t="shared" si="80"/>
        <v>0</v>
      </c>
      <c r="Z1675" t="e">
        <f t="shared" si="81"/>
        <v>#NUM!</v>
      </c>
    </row>
    <row r="1676" spans="1:26" x14ac:dyDescent="0.2">
      <c r="A1676" s="26" t="e">
        <f t="shared" si="79"/>
        <v>#NUM!</v>
      </c>
      <c r="Y1676" s="221">
        <f t="shared" si="80"/>
        <v>0</v>
      </c>
      <c r="Z1676" t="e">
        <f t="shared" si="81"/>
        <v>#NUM!</v>
      </c>
    </row>
    <row r="1677" spans="1:26" x14ac:dyDescent="0.2">
      <c r="A1677" s="26" t="e">
        <f t="shared" si="79"/>
        <v>#NUM!</v>
      </c>
      <c r="Y1677" s="221">
        <f t="shared" si="80"/>
        <v>0</v>
      </c>
      <c r="Z1677" t="e">
        <f t="shared" si="81"/>
        <v>#NUM!</v>
      </c>
    </row>
    <row r="1678" spans="1:26" x14ac:dyDescent="0.2">
      <c r="A1678" s="26" t="e">
        <f t="shared" si="79"/>
        <v>#NUM!</v>
      </c>
      <c r="Y1678" s="221">
        <f t="shared" si="80"/>
        <v>0</v>
      </c>
      <c r="Z1678" t="e">
        <f t="shared" si="81"/>
        <v>#NUM!</v>
      </c>
    </row>
    <row r="1679" spans="1:26" x14ac:dyDescent="0.2">
      <c r="A1679" s="26" t="e">
        <f t="shared" si="79"/>
        <v>#NUM!</v>
      </c>
      <c r="Y1679" s="221">
        <f t="shared" si="80"/>
        <v>0</v>
      </c>
      <c r="Z1679" t="e">
        <f t="shared" si="81"/>
        <v>#NUM!</v>
      </c>
    </row>
    <row r="1680" spans="1:26" x14ac:dyDescent="0.2">
      <c r="A1680" s="26" t="e">
        <f t="shared" si="79"/>
        <v>#NUM!</v>
      </c>
      <c r="Y1680" s="221">
        <f t="shared" si="80"/>
        <v>0</v>
      </c>
      <c r="Z1680" t="e">
        <f t="shared" si="81"/>
        <v>#NUM!</v>
      </c>
    </row>
    <row r="1681" spans="1:26" x14ac:dyDescent="0.2">
      <c r="A1681" s="26" t="e">
        <f t="shared" si="79"/>
        <v>#NUM!</v>
      </c>
      <c r="Y1681" s="221">
        <f t="shared" si="80"/>
        <v>0</v>
      </c>
      <c r="Z1681" t="e">
        <f t="shared" si="81"/>
        <v>#NUM!</v>
      </c>
    </row>
    <row r="1682" spans="1:26" x14ac:dyDescent="0.2">
      <c r="A1682" s="26" t="e">
        <f t="shared" si="79"/>
        <v>#NUM!</v>
      </c>
      <c r="Y1682" s="221">
        <f t="shared" si="80"/>
        <v>0</v>
      </c>
      <c r="Z1682" t="e">
        <f t="shared" si="81"/>
        <v>#NUM!</v>
      </c>
    </row>
    <row r="1683" spans="1:26" x14ac:dyDescent="0.2">
      <c r="A1683" s="26" t="e">
        <f t="shared" si="79"/>
        <v>#NUM!</v>
      </c>
      <c r="Y1683" s="221">
        <f t="shared" si="80"/>
        <v>0</v>
      </c>
      <c r="Z1683" t="e">
        <f t="shared" si="81"/>
        <v>#NUM!</v>
      </c>
    </row>
    <row r="1684" spans="1:26" x14ac:dyDescent="0.2">
      <c r="A1684" s="26" t="e">
        <f t="shared" si="79"/>
        <v>#NUM!</v>
      </c>
      <c r="Y1684" s="221">
        <f t="shared" si="80"/>
        <v>0</v>
      </c>
      <c r="Z1684" t="e">
        <f t="shared" si="81"/>
        <v>#NUM!</v>
      </c>
    </row>
    <row r="1685" spans="1:26" x14ac:dyDescent="0.2">
      <c r="A1685" s="26" t="e">
        <f t="shared" si="79"/>
        <v>#NUM!</v>
      </c>
      <c r="Y1685" s="221">
        <f t="shared" si="80"/>
        <v>0</v>
      </c>
      <c r="Z1685" t="e">
        <f t="shared" si="81"/>
        <v>#NUM!</v>
      </c>
    </row>
    <row r="1686" spans="1:26" x14ac:dyDescent="0.2">
      <c r="A1686" s="26" t="e">
        <f t="shared" si="79"/>
        <v>#NUM!</v>
      </c>
      <c r="Y1686" s="221">
        <f t="shared" si="80"/>
        <v>0</v>
      </c>
      <c r="Z1686" t="e">
        <f t="shared" si="81"/>
        <v>#NUM!</v>
      </c>
    </row>
    <row r="1687" spans="1:26" x14ac:dyDescent="0.2">
      <c r="A1687" s="26" t="e">
        <f t="shared" si="79"/>
        <v>#NUM!</v>
      </c>
      <c r="Y1687" s="221">
        <f t="shared" si="80"/>
        <v>0</v>
      </c>
      <c r="Z1687" t="e">
        <f t="shared" si="81"/>
        <v>#NUM!</v>
      </c>
    </row>
    <row r="1688" spans="1:26" x14ac:dyDescent="0.2">
      <c r="A1688" s="26" t="e">
        <f t="shared" si="79"/>
        <v>#NUM!</v>
      </c>
      <c r="Y1688" s="221">
        <f t="shared" si="80"/>
        <v>0</v>
      </c>
      <c r="Z1688" t="e">
        <f t="shared" si="81"/>
        <v>#NUM!</v>
      </c>
    </row>
    <row r="1689" spans="1:26" x14ac:dyDescent="0.2">
      <c r="A1689" s="26" t="e">
        <f t="shared" si="79"/>
        <v>#NUM!</v>
      </c>
      <c r="Y1689" s="221">
        <f t="shared" si="80"/>
        <v>0</v>
      </c>
      <c r="Z1689" t="e">
        <f t="shared" si="81"/>
        <v>#NUM!</v>
      </c>
    </row>
    <row r="1690" spans="1:26" x14ac:dyDescent="0.2">
      <c r="A1690" s="26" t="e">
        <f t="shared" si="79"/>
        <v>#NUM!</v>
      </c>
      <c r="Y1690" s="221">
        <f t="shared" si="80"/>
        <v>0</v>
      </c>
      <c r="Z1690" t="e">
        <f t="shared" si="81"/>
        <v>#NUM!</v>
      </c>
    </row>
    <row r="1691" spans="1:26" x14ac:dyDescent="0.2">
      <c r="A1691" s="26" t="e">
        <f t="shared" si="79"/>
        <v>#NUM!</v>
      </c>
      <c r="Y1691" s="221">
        <f t="shared" si="80"/>
        <v>0</v>
      </c>
      <c r="Z1691" t="e">
        <f t="shared" si="81"/>
        <v>#NUM!</v>
      </c>
    </row>
    <row r="1692" spans="1:26" x14ac:dyDescent="0.2">
      <c r="A1692" s="26" t="e">
        <f t="shared" si="79"/>
        <v>#NUM!</v>
      </c>
      <c r="Y1692" s="221">
        <f t="shared" si="80"/>
        <v>0</v>
      </c>
      <c r="Z1692" t="e">
        <f t="shared" si="81"/>
        <v>#NUM!</v>
      </c>
    </row>
    <row r="1693" spans="1:26" x14ac:dyDescent="0.2">
      <c r="A1693" s="26" t="e">
        <f t="shared" si="79"/>
        <v>#NUM!</v>
      </c>
      <c r="Y1693" s="221">
        <f t="shared" si="80"/>
        <v>0</v>
      </c>
      <c r="Z1693" t="e">
        <f t="shared" si="81"/>
        <v>#NUM!</v>
      </c>
    </row>
    <row r="1694" spans="1:26" x14ac:dyDescent="0.2">
      <c r="A1694" s="26" t="e">
        <f t="shared" si="79"/>
        <v>#NUM!</v>
      </c>
      <c r="Y1694" s="221">
        <f t="shared" si="80"/>
        <v>0</v>
      </c>
      <c r="Z1694" t="e">
        <f t="shared" si="81"/>
        <v>#NUM!</v>
      </c>
    </row>
    <row r="1695" spans="1:26" x14ac:dyDescent="0.2">
      <c r="A1695" s="26" t="e">
        <f t="shared" si="79"/>
        <v>#NUM!</v>
      </c>
      <c r="Y1695" s="221">
        <f t="shared" si="80"/>
        <v>0</v>
      </c>
      <c r="Z1695" t="e">
        <f t="shared" si="81"/>
        <v>#NUM!</v>
      </c>
    </row>
    <row r="1696" spans="1:26" x14ac:dyDescent="0.2">
      <c r="A1696" s="26" t="e">
        <f t="shared" si="79"/>
        <v>#NUM!</v>
      </c>
      <c r="Y1696" s="221">
        <f t="shared" si="80"/>
        <v>0</v>
      </c>
      <c r="Z1696" t="e">
        <f t="shared" si="81"/>
        <v>#NUM!</v>
      </c>
    </row>
    <row r="1697" spans="1:26" x14ac:dyDescent="0.2">
      <c r="A1697" s="26" t="e">
        <f t="shared" si="79"/>
        <v>#NUM!</v>
      </c>
      <c r="Y1697" s="221">
        <f t="shared" si="80"/>
        <v>0</v>
      </c>
      <c r="Z1697" t="e">
        <f t="shared" si="81"/>
        <v>#NUM!</v>
      </c>
    </row>
    <row r="1698" spans="1:26" x14ac:dyDescent="0.2">
      <c r="A1698" s="26" t="e">
        <f t="shared" si="79"/>
        <v>#NUM!</v>
      </c>
      <c r="Y1698" s="221">
        <f t="shared" si="80"/>
        <v>0</v>
      </c>
      <c r="Z1698" t="e">
        <f t="shared" si="81"/>
        <v>#NUM!</v>
      </c>
    </row>
    <row r="1699" spans="1:26" x14ac:dyDescent="0.2">
      <c r="A1699" s="26" t="e">
        <f t="shared" si="79"/>
        <v>#NUM!</v>
      </c>
      <c r="Y1699" s="221">
        <f t="shared" si="80"/>
        <v>0</v>
      </c>
      <c r="Z1699" t="e">
        <f t="shared" si="81"/>
        <v>#NUM!</v>
      </c>
    </row>
    <row r="1700" spans="1:26" x14ac:dyDescent="0.2">
      <c r="A1700" s="26" t="e">
        <f t="shared" si="79"/>
        <v>#NUM!</v>
      </c>
      <c r="Y1700" s="221">
        <f t="shared" si="80"/>
        <v>0</v>
      </c>
      <c r="Z1700" t="e">
        <f t="shared" si="81"/>
        <v>#NUM!</v>
      </c>
    </row>
    <row r="1701" spans="1:26" x14ac:dyDescent="0.2">
      <c r="A1701" s="26" t="e">
        <f t="shared" si="79"/>
        <v>#NUM!</v>
      </c>
      <c r="Y1701" s="221">
        <f t="shared" si="80"/>
        <v>0</v>
      </c>
      <c r="Z1701" t="e">
        <f t="shared" si="81"/>
        <v>#NUM!</v>
      </c>
    </row>
    <row r="1702" spans="1:26" x14ac:dyDescent="0.2">
      <c r="A1702" s="26" t="e">
        <f t="shared" si="79"/>
        <v>#NUM!</v>
      </c>
      <c r="Y1702" s="221">
        <f t="shared" si="80"/>
        <v>0</v>
      </c>
      <c r="Z1702" t="e">
        <f t="shared" si="81"/>
        <v>#NUM!</v>
      </c>
    </row>
    <row r="1703" spans="1:26" x14ac:dyDescent="0.2">
      <c r="A1703" s="26" t="e">
        <f t="shared" si="79"/>
        <v>#NUM!</v>
      </c>
      <c r="Y1703" s="221">
        <f t="shared" si="80"/>
        <v>0</v>
      </c>
      <c r="Z1703" t="e">
        <f t="shared" si="81"/>
        <v>#NUM!</v>
      </c>
    </row>
    <row r="1704" spans="1:26" x14ac:dyDescent="0.2">
      <c r="A1704" s="26" t="e">
        <f t="shared" si="79"/>
        <v>#NUM!</v>
      </c>
      <c r="Y1704" s="221">
        <f t="shared" si="80"/>
        <v>0</v>
      </c>
      <c r="Z1704" t="e">
        <f t="shared" si="81"/>
        <v>#NUM!</v>
      </c>
    </row>
    <row r="1705" spans="1:26" x14ac:dyDescent="0.2">
      <c r="A1705" s="26" t="e">
        <f t="shared" si="79"/>
        <v>#NUM!</v>
      </c>
      <c r="Y1705" s="221">
        <f t="shared" si="80"/>
        <v>0</v>
      </c>
      <c r="Z1705" t="e">
        <f t="shared" si="81"/>
        <v>#NUM!</v>
      </c>
    </row>
    <row r="1706" spans="1:26" x14ac:dyDescent="0.2">
      <c r="A1706" s="26" t="e">
        <f t="shared" si="79"/>
        <v>#NUM!</v>
      </c>
      <c r="Y1706" s="221">
        <f t="shared" si="80"/>
        <v>0</v>
      </c>
      <c r="Z1706" t="e">
        <f t="shared" si="81"/>
        <v>#NUM!</v>
      </c>
    </row>
    <row r="1707" spans="1:26" x14ac:dyDescent="0.2">
      <c r="A1707" s="26" t="e">
        <f t="shared" si="79"/>
        <v>#NUM!</v>
      </c>
      <c r="Y1707" s="221">
        <f t="shared" si="80"/>
        <v>0</v>
      </c>
      <c r="Z1707" t="e">
        <f t="shared" si="81"/>
        <v>#NUM!</v>
      </c>
    </row>
    <row r="1708" spans="1:26" x14ac:dyDescent="0.2">
      <c r="A1708" s="26" t="e">
        <f t="shared" si="79"/>
        <v>#NUM!</v>
      </c>
      <c r="Y1708" s="221">
        <f t="shared" si="80"/>
        <v>0</v>
      </c>
      <c r="Z1708" t="e">
        <f t="shared" si="81"/>
        <v>#NUM!</v>
      </c>
    </row>
    <row r="1709" spans="1:26" x14ac:dyDescent="0.2">
      <c r="A1709" s="26" t="e">
        <f t="shared" si="79"/>
        <v>#NUM!</v>
      </c>
      <c r="Y1709" s="221">
        <f t="shared" si="80"/>
        <v>0</v>
      </c>
      <c r="Z1709" t="e">
        <f t="shared" si="81"/>
        <v>#NUM!</v>
      </c>
    </row>
    <row r="1710" spans="1:26" x14ac:dyDescent="0.2">
      <c r="A1710" s="26" t="e">
        <f t="shared" si="79"/>
        <v>#NUM!</v>
      </c>
      <c r="Y1710" s="221">
        <f t="shared" si="80"/>
        <v>0</v>
      </c>
      <c r="Z1710" t="e">
        <f t="shared" si="81"/>
        <v>#NUM!</v>
      </c>
    </row>
    <row r="1711" spans="1:26" x14ac:dyDescent="0.2">
      <c r="A1711" s="26" t="e">
        <f t="shared" si="79"/>
        <v>#NUM!</v>
      </c>
      <c r="Y1711" s="221">
        <f t="shared" si="80"/>
        <v>0</v>
      </c>
      <c r="Z1711" t="e">
        <f t="shared" si="81"/>
        <v>#NUM!</v>
      </c>
    </row>
    <row r="1712" spans="1:26" x14ac:dyDescent="0.2">
      <c r="A1712" s="26" t="e">
        <f t="shared" si="79"/>
        <v>#NUM!</v>
      </c>
      <c r="Y1712" s="221">
        <f t="shared" si="80"/>
        <v>0</v>
      </c>
      <c r="Z1712" t="e">
        <f t="shared" si="81"/>
        <v>#NUM!</v>
      </c>
    </row>
    <row r="1713" spans="1:26" x14ac:dyDescent="0.2">
      <c r="A1713" s="26" t="e">
        <f t="shared" si="79"/>
        <v>#NUM!</v>
      </c>
      <c r="Y1713" s="221">
        <f t="shared" si="80"/>
        <v>0</v>
      </c>
      <c r="Z1713" t="e">
        <f t="shared" si="81"/>
        <v>#NUM!</v>
      </c>
    </row>
    <row r="1714" spans="1:26" x14ac:dyDescent="0.2">
      <c r="A1714" s="26" t="e">
        <f t="shared" si="79"/>
        <v>#NUM!</v>
      </c>
      <c r="Y1714" s="221">
        <f t="shared" si="80"/>
        <v>0</v>
      </c>
      <c r="Z1714" t="e">
        <f t="shared" si="81"/>
        <v>#NUM!</v>
      </c>
    </row>
    <row r="1715" spans="1:26" x14ac:dyDescent="0.2">
      <c r="A1715" s="26" t="e">
        <f t="shared" si="79"/>
        <v>#NUM!</v>
      </c>
      <c r="Y1715" s="221">
        <f t="shared" si="80"/>
        <v>0</v>
      </c>
      <c r="Z1715" t="e">
        <f t="shared" si="81"/>
        <v>#NUM!</v>
      </c>
    </row>
    <row r="1716" spans="1:26" x14ac:dyDescent="0.2">
      <c r="A1716" s="26" t="e">
        <f t="shared" si="79"/>
        <v>#NUM!</v>
      </c>
      <c r="Y1716" s="221">
        <f t="shared" si="80"/>
        <v>0</v>
      </c>
      <c r="Z1716" t="e">
        <f t="shared" si="81"/>
        <v>#NUM!</v>
      </c>
    </row>
    <row r="1717" spans="1:26" x14ac:dyDescent="0.2">
      <c r="A1717" s="26" t="e">
        <f t="shared" si="79"/>
        <v>#NUM!</v>
      </c>
      <c r="Y1717" s="221">
        <f t="shared" si="80"/>
        <v>0</v>
      </c>
      <c r="Z1717" t="e">
        <f t="shared" si="81"/>
        <v>#NUM!</v>
      </c>
    </row>
    <row r="1718" spans="1:26" x14ac:dyDescent="0.2">
      <c r="A1718" s="26" t="e">
        <f t="shared" si="79"/>
        <v>#NUM!</v>
      </c>
      <c r="Y1718" s="221">
        <f t="shared" si="80"/>
        <v>0</v>
      </c>
      <c r="Z1718" t="e">
        <f t="shared" si="81"/>
        <v>#NUM!</v>
      </c>
    </row>
    <row r="1719" spans="1:26" x14ac:dyDescent="0.2">
      <c r="A1719" s="26" t="e">
        <f t="shared" si="79"/>
        <v>#NUM!</v>
      </c>
      <c r="Y1719" s="221">
        <f t="shared" si="80"/>
        <v>0</v>
      </c>
      <c r="Z1719" t="e">
        <f t="shared" si="81"/>
        <v>#NUM!</v>
      </c>
    </row>
    <row r="1720" spans="1:26" x14ac:dyDescent="0.2">
      <c r="A1720" s="26" t="e">
        <f t="shared" si="79"/>
        <v>#NUM!</v>
      </c>
      <c r="Y1720" s="221">
        <f t="shared" si="80"/>
        <v>0</v>
      </c>
      <c r="Z1720" t="e">
        <f t="shared" si="81"/>
        <v>#NUM!</v>
      </c>
    </row>
    <row r="1721" spans="1:26" x14ac:dyDescent="0.2">
      <c r="A1721" s="26" t="e">
        <f t="shared" si="79"/>
        <v>#NUM!</v>
      </c>
      <c r="Y1721" s="221">
        <f t="shared" si="80"/>
        <v>0</v>
      </c>
      <c r="Z1721" t="e">
        <f t="shared" si="81"/>
        <v>#NUM!</v>
      </c>
    </row>
    <row r="1722" spans="1:26" x14ac:dyDescent="0.2">
      <c r="A1722" s="26" t="e">
        <f t="shared" si="79"/>
        <v>#NUM!</v>
      </c>
      <c r="Y1722" s="221">
        <f t="shared" si="80"/>
        <v>0</v>
      </c>
      <c r="Z1722" t="e">
        <f t="shared" si="81"/>
        <v>#NUM!</v>
      </c>
    </row>
    <row r="1723" spans="1:26" x14ac:dyDescent="0.2">
      <c r="A1723" s="26" t="e">
        <f t="shared" si="79"/>
        <v>#NUM!</v>
      </c>
      <c r="Y1723" s="221">
        <f t="shared" si="80"/>
        <v>0</v>
      </c>
      <c r="Z1723" t="e">
        <f t="shared" si="81"/>
        <v>#NUM!</v>
      </c>
    </row>
    <row r="1724" spans="1:26" x14ac:dyDescent="0.2">
      <c r="A1724" s="26" t="e">
        <f t="shared" si="79"/>
        <v>#NUM!</v>
      </c>
      <c r="Y1724" s="221">
        <f t="shared" si="80"/>
        <v>0</v>
      </c>
      <c r="Z1724" t="e">
        <f t="shared" si="81"/>
        <v>#NUM!</v>
      </c>
    </row>
    <row r="1725" spans="1:26" x14ac:dyDescent="0.2">
      <c r="A1725" s="26" t="e">
        <f t="shared" si="79"/>
        <v>#NUM!</v>
      </c>
      <c r="Y1725" s="221">
        <f t="shared" si="80"/>
        <v>0</v>
      </c>
      <c r="Z1725" t="e">
        <f t="shared" si="81"/>
        <v>#NUM!</v>
      </c>
    </row>
    <row r="1726" spans="1:26" x14ac:dyDescent="0.2">
      <c r="A1726" s="26" t="e">
        <f t="shared" si="79"/>
        <v>#NUM!</v>
      </c>
      <c r="Y1726" s="221">
        <f t="shared" si="80"/>
        <v>0</v>
      </c>
      <c r="Z1726" t="e">
        <f t="shared" si="81"/>
        <v>#NUM!</v>
      </c>
    </row>
    <row r="1727" spans="1:26" x14ac:dyDescent="0.2">
      <c r="A1727" s="26" t="e">
        <f t="shared" si="79"/>
        <v>#NUM!</v>
      </c>
      <c r="Y1727" s="221">
        <f t="shared" si="80"/>
        <v>0</v>
      </c>
      <c r="Z1727" t="e">
        <f t="shared" si="81"/>
        <v>#NUM!</v>
      </c>
    </row>
    <row r="1728" spans="1:26" x14ac:dyDescent="0.2">
      <c r="A1728" s="26" t="e">
        <f t="shared" si="79"/>
        <v>#NUM!</v>
      </c>
      <c r="Y1728" s="221">
        <f t="shared" si="80"/>
        <v>0</v>
      </c>
      <c r="Z1728" t="e">
        <f t="shared" si="81"/>
        <v>#NUM!</v>
      </c>
    </row>
    <row r="1729" spans="1:26" x14ac:dyDescent="0.2">
      <c r="A1729" s="26" t="e">
        <f t="shared" si="79"/>
        <v>#NUM!</v>
      </c>
      <c r="Y1729" s="221">
        <f t="shared" si="80"/>
        <v>0</v>
      </c>
      <c r="Z1729" t="e">
        <f t="shared" si="81"/>
        <v>#NUM!</v>
      </c>
    </row>
    <row r="1730" spans="1:26" x14ac:dyDescent="0.2">
      <c r="A1730" s="26" t="e">
        <f t="shared" si="79"/>
        <v>#NUM!</v>
      </c>
      <c r="Y1730" s="221">
        <f t="shared" si="80"/>
        <v>0</v>
      </c>
      <c r="Z1730" t="e">
        <f t="shared" si="81"/>
        <v>#NUM!</v>
      </c>
    </row>
    <row r="1731" spans="1:26" x14ac:dyDescent="0.2">
      <c r="A1731" s="26" t="e">
        <f t="shared" ref="A1731:A1794" si="82">DATE(B1731,C1731,D1731)</f>
        <v>#NUM!</v>
      </c>
      <c r="Y1731" s="221">
        <f t="shared" ref="Y1731:Y1794" si="83">SUM(G1731:W1731)</f>
        <v>0</v>
      </c>
      <c r="Z1731" t="e">
        <f t="shared" ref="Z1731:Z1794" si="84">IF(OR(WEEKDAY(A1731,2)=6,WEEKDAY(A1731,2)=7),X1731,0)</f>
        <v>#NUM!</v>
      </c>
    </row>
    <row r="1732" spans="1:26" x14ac:dyDescent="0.2">
      <c r="A1732" s="26" t="e">
        <f t="shared" si="82"/>
        <v>#NUM!</v>
      </c>
      <c r="Y1732" s="221">
        <f t="shared" si="83"/>
        <v>0</v>
      </c>
      <c r="Z1732" t="e">
        <f t="shared" si="84"/>
        <v>#NUM!</v>
      </c>
    </row>
    <row r="1733" spans="1:26" x14ac:dyDescent="0.2">
      <c r="A1733" s="26" t="e">
        <f t="shared" si="82"/>
        <v>#NUM!</v>
      </c>
      <c r="Y1733" s="221">
        <f t="shared" si="83"/>
        <v>0</v>
      </c>
      <c r="Z1733" t="e">
        <f t="shared" si="84"/>
        <v>#NUM!</v>
      </c>
    </row>
    <row r="1734" spans="1:26" x14ac:dyDescent="0.2">
      <c r="A1734" s="26" t="e">
        <f t="shared" si="82"/>
        <v>#NUM!</v>
      </c>
      <c r="Y1734" s="221">
        <f t="shared" si="83"/>
        <v>0</v>
      </c>
      <c r="Z1734" t="e">
        <f t="shared" si="84"/>
        <v>#NUM!</v>
      </c>
    </row>
    <row r="1735" spans="1:26" x14ac:dyDescent="0.2">
      <c r="A1735" s="26" t="e">
        <f t="shared" si="82"/>
        <v>#NUM!</v>
      </c>
      <c r="Y1735" s="221">
        <f t="shared" si="83"/>
        <v>0</v>
      </c>
      <c r="Z1735" t="e">
        <f t="shared" si="84"/>
        <v>#NUM!</v>
      </c>
    </row>
    <row r="1736" spans="1:26" x14ac:dyDescent="0.2">
      <c r="A1736" s="26" t="e">
        <f t="shared" si="82"/>
        <v>#NUM!</v>
      </c>
      <c r="Y1736" s="221">
        <f t="shared" si="83"/>
        <v>0</v>
      </c>
      <c r="Z1736" t="e">
        <f t="shared" si="84"/>
        <v>#NUM!</v>
      </c>
    </row>
    <row r="1737" spans="1:26" x14ac:dyDescent="0.2">
      <c r="A1737" s="26" t="e">
        <f t="shared" si="82"/>
        <v>#NUM!</v>
      </c>
      <c r="Y1737" s="221">
        <f t="shared" si="83"/>
        <v>0</v>
      </c>
      <c r="Z1737" t="e">
        <f t="shared" si="84"/>
        <v>#NUM!</v>
      </c>
    </row>
    <row r="1738" spans="1:26" x14ac:dyDescent="0.2">
      <c r="A1738" s="26" t="e">
        <f t="shared" si="82"/>
        <v>#NUM!</v>
      </c>
      <c r="Y1738" s="221">
        <f t="shared" si="83"/>
        <v>0</v>
      </c>
      <c r="Z1738" t="e">
        <f t="shared" si="84"/>
        <v>#NUM!</v>
      </c>
    </row>
    <row r="1739" spans="1:26" x14ac:dyDescent="0.2">
      <c r="A1739" s="26" t="e">
        <f t="shared" si="82"/>
        <v>#NUM!</v>
      </c>
      <c r="Y1739" s="221">
        <f t="shared" si="83"/>
        <v>0</v>
      </c>
      <c r="Z1739" t="e">
        <f t="shared" si="84"/>
        <v>#NUM!</v>
      </c>
    </row>
    <row r="1740" spans="1:26" x14ac:dyDescent="0.2">
      <c r="A1740" s="26" t="e">
        <f t="shared" si="82"/>
        <v>#NUM!</v>
      </c>
      <c r="Y1740" s="221">
        <f t="shared" si="83"/>
        <v>0</v>
      </c>
      <c r="Z1740" t="e">
        <f t="shared" si="84"/>
        <v>#NUM!</v>
      </c>
    </row>
    <row r="1741" spans="1:26" x14ac:dyDescent="0.2">
      <c r="A1741" s="26" t="e">
        <f t="shared" si="82"/>
        <v>#NUM!</v>
      </c>
      <c r="Y1741" s="221">
        <f t="shared" si="83"/>
        <v>0</v>
      </c>
      <c r="Z1741" t="e">
        <f t="shared" si="84"/>
        <v>#NUM!</v>
      </c>
    </row>
    <row r="1742" spans="1:26" x14ac:dyDescent="0.2">
      <c r="A1742" s="26" t="e">
        <f t="shared" si="82"/>
        <v>#NUM!</v>
      </c>
      <c r="Y1742" s="221">
        <f t="shared" si="83"/>
        <v>0</v>
      </c>
      <c r="Z1742" t="e">
        <f t="shared" si="84"/>
        <v>#NUM!</v>
      </c>
    </row>
    <row r="1743" spans="1:26" x14ac:dyDescent="0.2">
      <c r="A1743" s="26" t="e">
        <f t="shared" si="82"/>
        <v>#NUM!</v>
      </c>
      <c r="Y1743" s="221">
        <f t="shared" si="83"/>
        <v>0</v>
      </c>
      <c r="Z1743" t="e">
        <f t="shared" si="84"/>
        <v>#NUM!</v>
      </c>
    </row>
    <row r="1744" spans="1:26" x14ac:dyDescent="0.2">
      <c r="A1744" s="26" t="e">
        <f t="shared" si="82"/>
        <v>#NUM!</v>
      </c>
      <c r="Y1744" s="221">
        <f t="shared" si="83"/>
        <v>0</v>
      </c>
      <c r="Z1744" t="e">
        <f t="shared" si="84"/>
        <v>#NUM!</v>
      </c>
    </row>
    <row r="1745" spans="1:26" x14ac:dyDescent="0.2">
      <c r="A1745" s="26" t="e">
        <f t="shared" si="82"/>
        <v>#NUM!</v>
      </c>
      <c r="Y1745" s="221">
        <f t="shared" si="83"/>
        <v>0</v>
      </c>
      <c r="Z1745" t="e">
        <f t="shared" si="84"/>
        <v>#NUM!</v>
      </c>
    </row>
    <row r="1746" spans="1:26" x14ac:dyDescent="0.2">
      <c r="A1746" s="26" t="e">
        <f t="shared" si="82"/>
        <v>#NUM!</v>
      </c>
      <c r="Y1746" s="221">
        <f t="shared" si="83"/>
        <v>0</v>
      </c>
      <c r="Z1746" t="e">
        <f t="shared" si="84"/>
        <v>#NUM!</v>
      </c>
    </row>
    <row r="1747" spans="1:26" x14ac:dyDescent="0.2">
      <c r="A1747" s="26" t="e">
        <f t="shared" si="82"/>
        <v>#NUM!</v>
      </c>
      <c r="Y1747" s="221">
        <f t="shared" si="83"/>
        <v>0</v>
      </c>
      <c r="Z1747" t="e">
        <f t="shared" si="84"/>
        <v>#NUM!</v>
      </c>
    </row>
    <row r="1748" spans="1:26" x14ac:dyDescent="0.2">
      <c r="A1748" s="26" t="e">
        <f t="shared" si="82"/>
        <v>#NUM!</v>
      </c>
      <c r="Y1748" s="221">
        <f t="shared" si="83"/>
        <v>0</v>
      </c>
      <c r="Z1748" t="e">
        <f t="shared" si="84"/>
        <v>#NUM!</v>
      </c>
    </row>
    <row r="1749" spans="1:26" x14ac:dyDescent="0.2">
      <c r="A1749" s="26" t="e">
        <f t="shared" si="82"/>
        <v>#NUM!</v>
      </c>
      <c r="Y1749" s="221">
        <f t="shared" si="83"/>
        <v>0</v>
      </c>
      <c r="Z1749" t="e">
        <f t="shared" si="84"/>
        <v>#NUM!</v>
      </c>
    </row>
    <row r="1750" spans="1:26" x14ac:dyDescent="0.2">
      <c r="A1750" s="26" t="e">
        <f t="shared" si="82"/>
        <v>#NUM!</v>
      </c>
      <c r="Y1750" s="221">
        <f t="shared" si="83"/>
        <v>0</v>
      </c>
      <c r="Z1750" t="e">
        <f t="shared" si="84"/>
        <v>#NUM!</v>
      </c>
    </row>
    <row r="1751" spans="1:26" x14ac:dyDescent="0.2">
      <c r="A1751" s="26" t="e">
        <f t="shared" si="82"/>
        <v>#NUM!</v>
      </c>
      <c r="Y1751" s="221">
        <f t="shared" si="83"/>
        <v>0</v>
      </c>
      <c r="Z1751" t="e">
        <f t="shared" si="84"/>
        <v>#NUM!</v>
      </c>
    </row>
    <row r="1752" spans="1:26" x14ac:dyDescent="0.2">
      <c r="A1752" s="26" t="e">
        <f t="shared" si="82"/>
        <v>#NUM!</v>
      </c>
      <c r="Y1752" s="221">
        <f t="shared" si="83"/>
        <v>0</v>
      </c>
      <c r="Z1752" t="e">
        <f t="shared" si="84"/>
        <v>#NUM!</v>
      </c>
    </row>
    <row r="1753" spans="1:26" x14ac:dyDescent="0.2">
      <c r="A1753" s="26" t="e">
        <f t="shared" si="82"/>
        <v>#NUM!</v>
      </c>
      <c r="Y1753" s="221">
        <f t="shared" si="83"/>
        <v>0</v>
      </c>
      <c r="Z1753" t="e">
        <f t="shared" si="84"/>
        <v>#NUM!</v>
      </c>
    </row>
    <row r="1754" spans="1:26" x14ac:dyDescent="0.2">
      <c r="A1754" s="26" t="e">
        <f t="shared" si="82"/>
        <v>#NUM!</v>
      </c>
      <c r="Y1754" s="221">
        <f t="shared" si="83"/>
        <v>0</v>
      </c>
      <c r="Z1754" t="e">
        <f t="shared" si="84"/>
        <v>#NUM!</v>
      </c>
    </row>
    <row r="1755" spans="1:26" x14ac:dyDescent="0.2">
      <c r="A1755" s="26" t="e">
        <f t="shared" si="82"/>
        <v>#NUM!</v>
      </c>
      <c r="Y1755" s="221">
        <f t="shared" si="83"/>
        <v>0</v>
      </c>
      <c r="Z1755" t="e">
        <f t="shared" si="84"/>
        <v>#NUM!</v>
      </c>
    </row>
    <row r="1756" spans="1:26" x14ac:dyDescent="0.2">
      <c r="A1756" s="26" t="e">
        <f t="shared" si="82"/>
        <v>#NUM!</v>
      </c>
      <c r="Y1756" s="221">
        <f t="shared" si="83"/>
        <v>0</v>
      </c>
      <c r="Z1756" t="e">
        <f t="shared" si="84"/>
        <v>#NUM!</v>
      </c>
    </row>
    <row r="1757" spans="1:26" x14ac:dyDescent="0.2">
      <c r="A1757" s="26" t="e">
        <f t="shared" si="82"/>
        <v>#NUM!</v>
      </c>
      <c r="Y1757" s="221">
        <f t="shared" si="83"/>
        <v>0</v>
      </c>
      <c r="Z1757" t="e">
        <f t="shared" si="84"/>
        <v>#NUM!</v>
      </c>
    </row>
    <row r="1758" spans="1:26" x14ac:dyDescent="0.2">
      <c r="A1758" s="26" t="e">
        <f t="shared" si="82"/>
        <v>#NUM!</v>
      </c>
      <c r="Y1758" s="221">
        <f t="shared" si="83"/>
        <v>0</v>
      </c>
      <c r="Z1758" t="e">
        <f t="shared" si="84"/>
        <v>#NUM!</v>
      </c>
    </row>
    <row r="1759" spans="1:26" x14ac:dyDescent="0.2">
      <c r="A1759" s="26" t="e">
        <f t="shared" si="82"/>
        <v>#NUM!</v>
      </c>
      <c r="Y1759" s="221">
        <f t="shared" si="83"/>
        <v>0</v>
      </c>
      <c r="Z1759" t="e">
        <f t="shared" si="84"/>
        <v>#NUM!</v>
      </c>
    </row>
    <row r="1760" spans="1:26" x14ac:dyDescent="0.2">
      <c r="A1760" s="26" t="e">
        <f t="shared" si="82"/>
        <v>#NUM!</v>
      </c>
      <c r="Y1760" s="221">
        <f t="shared" si="83"/>
        <v>0</v>
      </c>
      <c r="Z1760" t="e">
        <f t="shared" si="84"/>
        <v>#NUM!</v>
      </c>
    </row>
    <row r="1761" spans="1:26" x14ac:dyDescent="0.2">
      <c r="A1761" s="26" t="e">
        <f t="shared" si="82"/>
        <v>#NUM!</v>
      </c>
      <c r="Y1761" s="221">
        <f t="shared" si="83"/>
        <v>0</v>
      </c>
      <c r="Z1761" t="e">
        <f t="shared" si="84"/>
        <v>#NUM!</v>
      </c>
    </row>
    <row r="1762" spans="1:26" x14ac:dyDescent="0.2">
      <c r="A1762" s="26" t="e">
        <f t="shared" si="82"/>
        <v>#NUM!</v>
      </c>
      <c r="Y1762" s="221">
        <f t="shared" si="83"/>
        <v>0</v>
      </c>
      <c r="Z1762" t="e">
        <f t="shared" si="84"/>
        <v>#NUM!</v>
      </c>
    </row>
    <row r="1763" spans="1:26" x14ac:dyDescent="0.2">
      <c r="A1763" s="26" t="e">
        <f t="shared" si="82"/>
        <v>#NUM!</v>
      </c>
      <c r="Y1763" s="221">
        <f t="shared" si="83"/>
        <v>0</v>
      </c>
      <c r="Z1763" t="e">
        <f t="shared" si="84"/>
        <v>#NUM!</v>
      </c>
    </row>
    <row r="1764" spans="1:26" x14ac:dyDescent="0.2">
      <c r="A1764" s="26" t="e">
        <f t="shared" si="82"/>
        <v>#NUM!</v>
      </c>
      <c r="Y1764" s="221">
        <f t="shared" si="83"/>
        <v>0</v>
      </c>
      <c r="Z1764" t="e">
        <f t="shared" si="84"/>
        <v>#NUM!</v>
      </c>
    </row>
    <row r="1765" spans="1:26" x14ac:dyDescent="0.2">
      <c r="A1765" s="26" t="e">
        <f t="shared" si="82"/>
        <v>#NUM!</v>
      </c>
      <c r="Y1765" s="221">
        <f t="shared" si="83"/>
        <v>0</v>
      </c>
      <c r="Z1765" t="e">
        <f t="shared" si="84"/>
        <v>#NUM!</v>
      </c>
    </row>
    <row r="1766" spans="1:26" x14ac:dyDescent="0.2">
      <c r="A1766" s="26" t="e">
        <f t="shared" si="82"/>
        <v>#NUM!</v>
      </c>
      <c r="Y1766" s="221">
        <f t="shared" si="83"/>
        <v>0</v>
      </c>
      <c r="Z1766" t="e">
        <f t="shared" si="84"/>
        <v>#NUM!</v>
      </c>
    </row>
    <row r="1767" spans="1:26" x14ac:dyDescent="0.2">
      <c r="A1767" s="26" t="e">
        <f t="shared" si="82"/>
        <v>#NUM!</v>
      </c>
      <c r="Y1767" s="221">
        <f t="shared" si="83"/>
        <v>0</v>
      </c>
      <c r="Z1767" t="e">
        <f t="shared" si="84"/>
        <v>#NUM!</v>
      </c>
    </row>
    <row r="1768" spans="1:26" x14ac:dyDescent="0.2">
      <c r="A1768" s="26" t="e">
        <f t="shared" si="82"/>
        <v>#NUM!</v>
      </c>
      <c r="Y1768" s="221">
        <f t="shared" si="83"/>
        <v>0</v>
      </c>
      <c r="Z1768" t="e">
        <f t="shared" si="84"/>
        <v>#NUM!</v>
      </c>
    </row>
    <row r="1769" spans="1:26" x14ac:dyDescent="0.2">
      <c r="A1769" s="26" t="e">
        <f t="shared" si="82"/>
        <v>#NUM!</v>
      </c>
      <c r="Y1769" s="221">
        <f t="shared" si="83"/>
        <v>0</v>
      </c>
      <c r="Z1769" t="e">
        <f t="shared" si="84"/>
        <v>#NUM!</v>
      </c>
    </row>
    <row r="1770" spans="1:26" x14ac:dyDescent="0.2">
      <c r="A1770" s="26" t="e">
        <f t="shared" si="82"/>
        <v>#NUM!</v>
      </c>
      <c r="Y1770" s="221">
        <f t="shared" si="83"/>
        <v>0</v>
      </c>
      <c r="Z1770" t="e">
        <f t="shared" si="84"/>
        <v>#NUM!</v>
      </c>
    </row>
    <row r="1771" spans="1:26" x14ac:dyDescent="0.2">
      <c r="A1771" s="26" t="e">
        <f t="shared" si="82"/>
        <v>#NUM!</v>
      </c>
      <c r="Y1771" s="221">
        <f t="shared" si="83"/>
        <v>0</v>
      </c>
      <c r="Z1771" t="e">
        <f t="shared" si="84"/>
        <v>#NUM!</v>
      </c>
    </row>
    <row r="1772" spans="1:26" x14ac:dyDescent="0.2">
      <c r="A1772" s="26" t="e">
        <f t="shared" si="82"/>
        <v>#NUM!</v>
      </c>
      <c r="Y1772" s="221">
        <f t="shared" si="83"/>
        <v>0</v>
      </c>
      <c r="Z1772" t="e">
        <f t="shared" si="84"/>
        <v>#NUM!</v>
      </c>
    </row>
    <row r="1773" spans="1:26" x14ac:dyDescent="0.2">
      <c r="A1773" s="26" t="e">
        <f t="shared" si="82"/>
        <v>#NUM!</v>
      </c>
      <c r="Y1773" s="221">
        <f t="shared" si="83"/>
        <v>0</v>
      </c>
      <c r="Z1773" t="e">
        <f t="shared" si="84"/>
        <v>#NUM!</v>
      </c>
    </row>
    <row r="1774" spans="1:26" x14ac:dyDescent="0.2">
      <c r="A1774" s="26" t="e">
        <f t="shared" si="82"/>
        <v>#NUM!</v>
      </c>
      <c r="Y1774" s="221">
        <f t="shared" si="83"/>
        <v>0</v>
      </c>
      <c r="Z1774" t="e">
        <f t="shared" si="84"/>
        <v>#NUM!</v>
      </c>
    </row>
    <row r="1775" spans="1:26" x14ac:dyDescent="0.2">
      <c r="A1775" s="26" t="e">
        <f t="shared" si="82"/>
        <v>#NUM!</v>
      </c>
      <c r="Y1775" s="221">
        <f t="shared" si="83"/>
        <v>0</v>
      </c>
      <c r="Z1775" t="e">
        <f t="shared" si="84"/>
        <v>#NUM!</v>
      </c>
    </row>
    <row r="1776" spans="1:26" x14ac:dyDescent="0.2">
      <c r="A1776" s="26" t="e">
        <f t="shared" si="82"/>
        <v>#NUM!</v>
      </c>
      <c r="Y1776" s="221">
        <f t="shared" si="83"/>
        <v>0</v>
      </c>
      <c r="Z1776" t="e">
        <f t="shared" si="84"/>
        <v>#NUM!</v>
      </c>
    </row>
    <row r="1777" spans="1:26" x14ac:dyDescent="0.2">
      <c r="A1777" s="26" t="e">
        <f t="shared" si="82"/>
        <v>#NUM!</v>
      </c>
      <c r="Y1777" s="221">
        <f t="shared" si="83"/>
        <v>0</v>
      </c>
      <c r="Z1777" t="e">
        <f t="shared" si="84"/>
        <v>#NUM!</v>
      </c>
    </row>
    <row r="1778" spans="1:26" x14ac:dyDescent="0.2">
      <c r="A1778" s="26" t="e">
        <f t="shared" si="82"/>
        <v>#NUM!</v>
      </c>
      <c r="Y1778" s="221">
        <f t="shared" si="83"/>
        <v>0</v>
      </c>
      <c r="Z1778" t="e">
        <f t="shared" si="84"/>
        <v>#NUM!</v>
      </c>
    </row>
    <row r="1779" spans="1:26" x14ac:dyDescent="0.2">
      <c r="A1779" s="26" t="e">
        <f t="shared" si="82"/>
        <v>#NUM!</v>
      </c>
      <c r="Y1779" s="221">
        <f t="shared" si="83"/>
        <v>0</v>
      </c>
      <c r="Z1779" t="e">
        <f t="shared" si="84"/>
        <v>#NUM!</v>
      </c>
    </row>
    <row r="1780" spans="1:26" x14ac:dyDescent="0.2">
      <c r="A1780" s="26" t="e">
        <f t="shared" si="82"/>
        <v>#NUM!</v>
      </c>
      <c r="Y1780" s="221">
        <f t="shared" si="83"/>
        <v>0</v>
      </c>
      <c r="Z1780" t="e">
        <f t="shared" si="84"/>
        <v>#NUM!</v>
      </c>
    </row>
    <row r="1781" spans="1:26" x14ac:dyDescent="0.2">
      <c r="A1781" s="26" t="e">
        <f t="shared" si="82"/>
        <v>#NUM!</v>
      </c>
      <c r="Y1781" s="221">
        <f t="shared" si="83"/>
        <v>0</v>
      </c>
      <c r="Z1781" t="e">
        <f t="shared" si="84"/>
        <v>#NUM!</v>
      </c>
    </row>
    <row r="1782" spans="1:26" x14ac:dyDescent="0.2">
      <c r="A1782" s="26" t="e">
        <f t="shared" si="82"/>
        <v>#NUM!</v>
      </c>
      <c r="Y1782" s="221">
        <f t="shared" si="83"/>
        <v>0</v>
      </c>
      <c r="Z1782" t="e">
        <f t="shared" si="84"/>
        <v>#NUM!</v>
      </c>
    </row>
    <row r="1783" spans="1:26" x14ac:dyDescent="0.2">
      <c r="A1783" s="26" t="e">
        <f t="shared" si="82"/>
        <v>#NUM!</v>
      </c>
      <c r="Y1783" s="221">
        <f t="shared" si="83"/>
        <v>0</v>
      </c>
      <c r="Z1783" t="e">
        <f t="shared" si="84"/>
        <v>#NUM!</v>
      </c>
    </row>
    <row r="1784" spans="1:26" x14ac:dyDescent="0.2">
      <c r="A1784" s="26" t="e">
        <f t="shared" si="82"/>
        <v>#NUM!</v>
      </c>
      <c r="Y1784" s="221">
        <f t="shared" si="83"/>
        <v>0</v>
      </c>
      <c r="Z1784" t="e">
        <f t="shared" si="84"/>
        <v>#NUM!</v>
      </c>
    </row>
    <row r="1785" spans="1:26" x14ac:dyDescent="0.2">
      <c r="A1785" s="26" t="e">
        <f t="shared" si="82"/>
        <v>#NUM!</v>
      </c>
      <c r="Y1785" s="221">
        <f t="shared" si="83"/>
        <v>0</v>
      </c>
      <c r="Z1785" t="e">
        <f t="shared" si="84"/>
        <v>#NUM!</v>
      </c>
    </row>
    <row r="1786" spans="1:26" x14ac:dyDescent="0.2">
      <c r="A1786" s="26" t="e">
        <f t="shared" si="82"/>
        <v>#NUM!</v>
      </c>
      <c r="Y1786" s="221">
        <f t="shared" si="83"/>
        <v>0</v>
      </c>
      <c r="Z1786" t="e">
        <f t="shared" si="84"/>
        <v>#NUM!</v>
      </c>
    </row>
    <row r="1787" spans="1:26" x14ac:dyDescent="0.2">
      <c r="A1787" s="26" t="e">
        <f t="shared" si="82"/>
        <v>#NUM!</v>
      </c>
      <c r="Y1787" s="221">
        <f t="shared" si="83"/>
        <v>0</v>
      </c>
      <c r="Z1787" t="e">
        <f t="shared" si="84"/>
        <v>#NUM!</v>
      </c>
    </row>
    <row r="1788" spans="1:26" x14ac:dyDescent="0.2">
      <c r="A1788" s="26" t="e">
        <f t="shared" si="82"/>
        <v>#NUM!</v>
      </c>
      <c r="Y1788" s="221">
        <f t="shared" si="83"/>
        <v>0</v>
      </c>
      <c r="Z1788" t="e">
        <f t="shared" si="84"/>
        <v>#NUM!</v>
      </c>
    </row>
    <row r="1789" spans="1:26" x14ac:dyDescent="0.2">
      <c r="A1789" s="26" t="e">
        <f t="shared" si="82"/>
        <v>#NUM!</v>
      </c>
      <c r="Y1789" s="221">
        <f t="shared" si="83"/>
        <v>0</v>
      </c>
      <c r="Z1789" t="e">
        <f t="shared" si="84"/>
        <v>#NUM!</v>
      </c>
    </row>
    <row r="1790" spans="1:26" x14ac:dyDescent="0.2">
      <c r="A1790" s="26" t="e">
        <f t="shared" si="82"/>
        <v>#NUM!</v>
      </c>
      <c r="Y1790" s="221">
        <f t="shared" si="83"/>
        <v>0</v>
      </c>
      <c r="Z1790" t="e">
        <f t="shared" si="84"/>
        <v>#NUM!</v>
      </c>
    </row>
    <row r="1791" spans="1:26" x14ac:dyDescent="0.2">
      <c r="A1791" s="26" t="e">
        <f t="shared" si="82"/>
        <v>#NUM!</v>
      </c>
      <c r="Y1791" s="221">
        <f t="shared" si="83"/>
        <v>0</v>
      </c>
      <c r="Z1791" t="e">
        <f t="shared" si="84"/>
        <v>#NUM!</v>
      </c>
    </row>
    <row r="1792" spans="1:26" x14ac:dyDescent="0.2">
      <c r="A1792" s="26" t="e">
        <f t="shared" si="82"/>
        <v>#NUM!</v>
      </c>
      <c r="Y1792" s="221">
        <f t="shared" si="83"/>
        <v>0</v>
      </c>
      <c r="Z1792" t="e">
        <f t="shared" si="84"/>
        <v>#NUM!</v>
      </c>
    </row>
    <row r="1793" spans="1:26" x14ac:dyDescent="0.2">
      <c r="A1793" s="26" t="e">
        <f t="shared" si="82"/>
        <v>#NUM!</v>
      </c>
      <c r="Y1793" s="221">
        <f t="shared" si="83"/>
        <v>0</v>
      </c>
      <c r="Z1793" t="e">
        <f t="shared" si="84"/>
        <v>#NUM!</v>
      </c>
    </row>
    <row r="1794" spans="1:26" x14ac:dyDescent="0.2">
      <c r="A1794" s="26" t="e">
        <f t="shared" si="82"/>
        <v>#NUM!</v>
      </c>
      <c r="Y1794" s="221">
        <f t="shared" si="83"/>
        <v>0</v>
      </c>
      <c r="Z1794" t="e">
        <f t="shared" si="84"/>
        <v>#NUM!</v>
      </c>
    </row>
    <row r="1795" spans="1:26" x14ac:dyDescent="0.2">
      <c r="A1795" s="26" t="e">
        <f t="shared" ref="A1795:A1858" si="85">DATE(B1795,C1795,D1795)</f>
        <v>#NUM!</v>
      </c>
      <c r="Y1795" s="221">
        <f t="shared" ref="Y1795:Y1858" si="86">SUM(G1795:W1795)</f>
        <v>0</v>
      </c>
      <c r="Z1795" t="e">
        <f t="shared" ref="Z1795:Z1858" si="87">IF(OR(WEEKDAY(A1795,2)=6,WEEKDAY(A1795,2)=7),X1795,0)</f>
        <v>#NUM!</v>
      </c>
    </row>
    <row r="1796" spans="1:26" x14ac:dyDescent="0.2">
      <c r="A1796" s="26" t="e">
        <f t="shared" si="85"/>
        <v>#NUM!</v>
      </c>
      <c r="Y1796" s="221">
        <f t="shared" si="86"/>
        <v>0</v>
      </c>
      <c r="Z1796" t="e">
        <f t="shared" si="87"/>
        <v>#NUM!</v>
      </c>
    </row>
    <row r="1797" spans="1:26" x14ac:dyDescent="0.2">
      <c r="A1797" s="26" t="e">
        <f t="shared" si="85"/>
        <v>#NUM!</v>
      </c>
      <c r="Y1797" s="221">
        <f t="shared" si="86"/>
        <v>0</v>
      </c>
      <c r="Z1797" t="e">
        <f t="shared" si="87"/>
        <v>#NUM!</v>
      </c>
    </row>
    <row r="1798" spans="1:26" x14ac:dyDescent="0.2">
      <c r="A1798" s="26" t="e">
        <f t="shared" si="85"/>
        <v>#NUM!</v>
      </c>
      <c r="Y1798" s="221">
        <f t="shared" si="86"/>
        <v>0</v>
      </c>
      <c r="Z1798" t="e">
        <f t="shared" si="87"/>
        <v>#NUM!</v>
      </c>
    </row>
    <row r="1799" spans="1:26" x14ac:dyDescent="0.2">
      <c r="A1799" s="26" t="e">
        <f t="shared" si="85"/>
        <v>#NUM!</v>
      </c>
      <c r="Y1799" s="221">
        <f t="shared" si="86"/>
        <v>0</v>
      </c>
      <c r="Z1799" t="e">
        <f t="shared" si="87"/>
        <v>#NUM!</v>
      </c>
    </row>
    <row r="1800" spans="1:26" x14ac:dyDescent="0.2">
      <c r="A1800" s="26" t="e">
        <f t="shared" si="85"/>
        <v>#NUM!</v>
      </c>
      <c r="Y1800" s="221">
        <f t="shared" si="86"/>
        <v>0</v>
      </c>
      <c r="Z1800" t="e">
        <f t="shared" si="87"/>
        <v>#NUM!</v>
      </c>
    </row>
    <row r="1801" spans="1:26" x14ac:dyDescent="0.2">
      <c r="A1801" s="26" t="e">
        <f t="shared" si="85"/>
        <v>#NUM!</v>
      </c>
      <c r="Y1801" s="221">
        <f t="shared" si="86"/>
        <v>0</v>
      </c>
      <c r="Z1801" t="e">
        <f t="shared" si="87"/>
        <v>#NUM!</v>
      </c>
    </row>
    <row r="1802" spans="1:26" x14ac:dyDescent="0.2">
      <c r="A1802" s="26" t="e">
        <f t="shared" si="85"/>
        <v>#NUM!</v>
      </c>
      <c r="Y1802" s="221">
        <f t="shared" si="86"/>
        <v>0</v>
      </c>
      <c r="Z1802" t="e">
        <f t="shared" si="87"/>
        <v>#NUM!</v>
      </c>
    </row>
    <row r="1803" spans="1:26" x14ac:dyDescent="0.2">
      <c r="A1803" s="26" t="e">
        <f t="shared" si="85"/>
        <v>#NUM!</v>
      </c>
      <c r="Y1803" s="221">
        <f t="shared" si="86"/>
        <v>0</v>
      </c>
      <c r="Z1803" t="e">
        <f t="shared" si="87"/>
        <v>#NUM!</v>
      </c>
    </row>
    <row r="1804" spans="1:26" x14ac:dyDescent="0.2">
      <c r="A1804" s="26" t="e">
        <f t="shared" si="85"/>
        <v>#NUM!</v>
      </c>
      <c r="Y1804" s="221">
        <f t="shared" si="86"/>
        <v>0</v>
      </c>
      <c r="Z1804" t="e">
        <f t="shared" si="87"/>
        <v>#NUM!</v>
      </c>
    </row>
    <row r="1805" spans="1:26" x14ac:dyDescent="0.2">
      <c r="A1805" s="26" t="e">
        <f t="shared" si="85"/>
        <v>#NUM!</v>
      </c>
      <c r="Y1805" s="221">
        <f t="shared" si="86"/>
        <v>0</v>
      </c>
      <c r="Z1805" t="e">
        <f t="shared" si="87"/>
        <v>#NUM!</v>
      </c>
    </row>
    <row r="1806" spans="1:26" x14ac:dyDescent="0.2">
      <c r="A1806" s="26" t="e">
        <f t="shared" si="85"/>
        <v>#NUM!</v>
      </c>
      <c r="Y1806" s="221">
        <f t="shared" si="86"/>
        <v>0</v>
      </c>
      <c r="Z1806" t="e">
        <f t="shared" si="87"/>
        <v>#NUM!</v>
      </c>
    </row>
    <row r="1807" spans="1:26" x14ac:dyDescent="0.2">
      <c r="A1807" s="26" t="e">
        <f t="shared" si="85"/>
        <v>#NUM!</v>
      </c>
      <c r="Y1807" s="221">
        <f t="shared" si="86"/>
        <v>0</v>
      </c>
      <c r="Z1807" t="e">
        <f t="shared" si="87"/>
        <v>#NUM!</v>
      </c>
    </row>
    <row r="1808" spans="1:26" x14ac:dyDescent="0.2">
      <c r="A1808" s="26" t="e">
        <f t="shared" si="85"/>
        <v>#NUM!</v>
      </c>
      <c r="Y1808" s="221">
        <f t="shared" si="86"/>
        <v>0</v>
      </c>
      <c r="Z1808" t="e">
        <f t="shared" si="87"/>
        <v>#NUM!</v>
      </c>
    </row>
    <row r="1809" spans="1:26" x14ac:dyDescent="0.2">
      <c r="A1809" s="26" t="e">
        <f t="shared" si="85"/>
        <v>#NUM!</v>
      </c>
      <c r="Y1809" s="221">
        <f t="shared" si="86"/>
        <v>0</v>
      </c>
      <c r="Z1809" t="e">
        <f t="shared" si="87"/>
        <v>#NUM!</v>
      </c>
    </row>
    <row r="1810" spans="1:26" x14ac:dyDescent="0.2">
      <c r="A1810" s="26" t="e">
        <f t="shared" si="85"/>
        <v>#NUM!</v>
      </c>
      <c r="Y1810" s="221">
        <f t="shared" si="86"/>
        <v>0</v>
      </c>
      <c r="Z1810" t="e">
        <f t="shared" si="87"/>
        <v>#NUM!</v>
      </c>
    </row>
    <row r="1811" spans="1:26" x14ac:dyDescent="0.2">
      <c r="A1811" s="26" t="e">
        <f t="shared" si="85"/>
        <v>#NUM!</v>
      </c>
      <c r="Y1811" s="221">
        <f t="shared" si="86"/>
        <v>0</v>
      </c>
      <c r="Z1811" t="e">
        <f t="shared" si="87"/>
        <v>#NUM!</v>
      </c>
    </row>
    <row r="1812" spans="1:26" x14ac:dyDescent="0.2">
      <c r="A1812" s="26" t="e">
        <f t="shared" si="85"/>
        <v>#NUM!</v>
      </c>
      <c r="Y1812" s="221">
        <f t="shared" si="86"/>
        <v>0</v>
      </c>
      <c r="Z1812" t="e">
        <f t="shared" si="87"/>
        <v>#NUM!</v>
      </c>
    </row>
    <row r="1813" spans="1:26" x14ac:dyDescent="0.2">
      <c r="A1813" s="26" t="e">
        <f t="shared" si="85"/>
        <v>#NUM!</v>
      </c>
      <c r="Y1813" s="221">
        <f t="shared" si="86"/>
        <v>0</v>
      </c>
      <c r="Z1813" t="e">
        <f t="shared" si="87"/>
        <v>#NUM!</v>
      </c>
    </row>
    <row r="1814" spans="1:26" x14ac:dyDescent="0.2">
      <c r="A1814" s="26" t="e">
        <f t="shared" si="85"/>
        <v>#NUM!</v>
      </c>
      <c r="Y1814" s="221">
        <f t="shared" si="86"/>
        <v>0</v>
      </c>
      <c r="Z1814" t="e">
        <f t="shared" si="87"/>
        <v>#NUM!</v>
      </c>
    </row>
    <row r="1815" spans="1:26" x14ac:dyDescent="0.2">
      <c r="A1815" s="26" t="e">
        <f t="shared" si="85"/>
        <v>#NUM!</v>
      </c>
      <c r="Y1815" s="221">
        <f t="shared" si="86"/>
        <v>0</v>
      </c>
      <c r="Z1815" t="e">
        <f t="shared" si="87"/>
        <v>#NUM!</v>
      </c>
    </row>
    <row r="1816" spans="1:26" x14ac:dyDescent="0.2">
      <c r="A1816" s="26" t="e">
        <f t="shared" si="85"/>
        <v>#NUM!</v>
      </c>
      <c r="Y1816" s="221">
        <f t="shared" si="86"/>
        <v>0</v>
      </c>
      <c r="Z1816" t="e">
        <f t="shared" si="87"/>
        <v>#NUM!</v>
      </c>
    </row>
    <row r="1817" spans="1:26" x14ac:dyDescent="0.2">
      <c r="A1817" s="26" t="e">
        <f t="shared" si="85"/>
        <v>#NUM!</v>
      </c>
      <c r="Y1817" s="221">
        <f t="shared" si="86"/>
        <v>0</v>
      </c>
      <c r="Z1817" t="e">
        <f t="shared" si="87"/>
        <v>#NUM!</v>
      </c>
    </row>
    <row r="1818" spans="1:26" x14ac:dyDescent="0.2">
      <c r="A1818" s="26" t="e">
        <f t="shared" si="85"/>
        <v>#NUM!</v>
      </c>
      <c r="Y1818" s="221">
        <f t="shared" si="86"/>
        <v>0</v>
      </c>
      <c r="Z1818" t="e">
        <f t="shared" si="87"/>
        <v>#NUM!</v>
      </c>
    </row>
    <row r="1819" spans="1:26" x14ac:dyDescent="0.2">
      <c r="A1819" s="26" t="e">
        <f t="shared" si="85"/>
        <v>#NUM!</v>
      </c>
      <c r="Y1819" s="221">
        <f t="shared" si="86"/>
        <v>0</v>
      </c>
      <c r="Z1819" t="e">
        <f t="shared" si="87"/>
        <v>#NUM!</v>
      </c>
    </row>
    <row r="1820" spans="1:26" x14ac:dyDescent="0.2">
      <c r="A1820" s="26" t="e">
        <f t="shared" si="85"/>
        <v>#NUM!</v>
      </c>
      <c r="Y1820" s="221">
        <f t="shared" si="86"/>
        <v>0</v>
      </c>
      <c r="Z1820" t="e">
        <f t="shared" si="87"/>
        <v>#NUM!</v>
      </c>
    </row>
    <row r="1821" spans="1:26" x14ac:dyDescent="0.2">
      <c r="A1821" s="26" t="e">
        <f t="shared" si="85"/>
        <v>#NUM!</v>
      </c>
      <c r="Y1821" s="221">
        <f t="shared" si="86"/>
        <v>0</v>
      </c>
      <c r="Z1821" t="e">
        <f t="shared" si="87"/>
        <v>#NUM!</v>
      </c>
    </row>
    <row r="1822" spans="1:26" x14ac:dyDescent="0.2">
      <c r="A1822" s="26" t="e">
        <f t="shared" si="85"/>
        <v>#NUM!</v>
      </c>
      <c r="Y1822" s="221">
        <f t="shared" si="86"/>
        <v>0</v>
      </c>
      <c r="Z1822" t="e">
        <f t="shared" si="87"/>
        <v>#NUM!</v>
      </c>
    </row>
    <row r="1823" spans="1:26" x14ac:dyDescent="0.2">
      <c r="A1823" s="26" t="e">
        <f t="shared" si="85"/>
        <v>#NUM!</v>
      </c>
      <c r="Y1823" s="221">
        <f t="shared" si="86"/>
        <v>0</v>
      </c>
      <c r="Z1823" t="e">
        <f t="shared" si="87"/>
        <v>#NUM!</v>
      </c>
    </row>
    <row r="1824" spans="1:26" x14ac:dyDescent="0.2">
      <c r="A1824" s="26" t="e">
        <f t="shared" si="85"/>
        <v>#NUM!</v>
      </c>
      <c r="Y1824" s="221">
        <f t="shared" si="86"/>
        <v>0</v>
      </c>
      <c r="Z1824" t="e">
        <f t="shared" si="87"/>
        <v>#NUM!</v>
      </c>
    </row>
    <row r="1825" spans="1:26" x14ac:dyDescent="0.2">
      <c r="A1825" s="26" t="e">
        <f t="shared" si="85"/>
        <v>#NUM!</v>
      </c>
      <c r="Y1825" s="221">
        <f t="shared" si="86"/>
        <v>0</v>
      </c>
      <c r="Z1825" t="e">
        <f t="shared" si="87"/>
        <v>#NUM!</v>
      </c>
    </row>
    <row r="1826" spans="1:26" x14ac:dyDescent="0.2">
      <c r="A1826" s="26" t="e">
        <f t="shared" si="85"/>
        <v>#NUM!</v>
      </c>
      <c r="Y1826" s="221">
        <f t="shared" si="86"/>
        <v>0</v>
      </c>
      <c r="Z1826" t="e">
        <f t="shared" si="87"/>
        <v>#NUM!</v>
      </c>
    </row>
    <row r="1827" spans="1:26" x14ac:dyDescent="0.2">
      <c r="A1827" s="26" t="e">
        <f t="shared" si="85"/>
        <v>#NUM!</v>
      </c>
      <c r="Y1827" s="221">
        <f t="shared" si="86"/>
        <v>0</v>
      </c>
      <c r="Z1827" t="e">
        <f t="shared" si="87"/>
        <v>#NUM!</v>
      </c>
    </row>
    <row r="1828" spans="1:26" x14ac:dyDescent="0.2">
      <c r="A1828" s="26" t="e">
        <f t="shared" si="85"/>
        <v>#NUM!</v>
      </c>
      <c r="Y1828" s="221">
        <f t="shared" si="86"/>
        <v>0</v>
      </c>
      <c r="Z1828" t="e">
        <f t="shared" si="87"/>
        <v>#NUM!</v>
      </c>
    </row>
    <row r="1829" spans="1:26" x14ac:dyDescent="0.2">
      <c r="A1829" s="26" t="e">
        <f t="shared" si="85"/>
        <v>#NUM!</v>
      </c>
      <c r="Y1829" s="221">
        <f t="shared" si="86"/>
        <v>0</v>
      </c>
      <c r="Z1829" t="e">
        <f t="shared" si="87"/>
        <v>#NUM!</v>
      </c>
    </row>
    <row r="1830" spans="1:26" x14ac:dyDescent="0.2">
      <c r="A1830" s="26" t="e">
        <f t="shared" si="85"/>
        <v>#NUM!</v>
      </c>
      <c r="Y1830" s="221">
        <f t="shared" si="86"/>
        <v>0</v>
      </c>
      <c r="Z1830" t="e">
        <f t="shared" si="87"/>
        <v>#NUM!</v>
      </c>
    </row>
    <row r="1831" spans="1:26" x14ac:dyDescent="0.2">
      <c r="A1831" s="26" t="e">
        <f t="shared" si="85"/>
        <v>#NUM!</v>
      </c>
      <c r="Y1831" s="221">
        <f t="shared" si="86"/>
        <v>0</v>
      </c>
      <c r="Z1831" t="e">
        <f t="shared" si="87"/>
        <v>#NUM!</v>
      </c>
    </row>
    <row r="1832" spans="1:26" x14ac:dyDescent="0.2">
      <c r="A1832" s="26" t="e">
        <f t="shared" si="85"/>
        <v>#NUM!</v>
      </c>
      <c r="Y1832" s="221">
        <f t="shared" si="86"/>
        <v>0</v>
      </c>
      <c r="Z1832" t="e">
        <f t="shared" si="87"/>
        <v>#NUM!</v>
      </c>
    </row>
    <row r="1833" spans="1:26" x14ac:dyDescent="0.2">
      <c r="A1833" s="26" t="e">
        <f t="shared" si="85"/>
        <v>#NUM!</v>
      </c>
      <c r="Y1833" s="221">
        <f t="shared" si="86"/>
        <v>0</v>
      </c>
      <c r="Z1833" t="e">
        <f t="shared" si="87"/>
        <v>#NUM!</v>
      </c>
    </row>
    <row r="1834" spans="1:26" x14ac:dyDescent="0.2">
      <c r="A1834" s="26" t="e">
        <f t="shared" si="85"/>
        <v>#NUM!</v>
      </c>
      <c r="Y1834" s="221">
        <f t="shared" si="86"/>
        <v>0</v>
      </c>
      <c r="Z1834" t="e">
        <f t="shared" si="87"/>
        <v>#NUM!</v>
      </c>
    </row>
    <row r="1835" spans="1:26" x14ac:dyDescent="0.2">
      <c r="A1835" s="26" t="e">
        <f t="shared" si="85"/>
        <v>#NUM!</v>
      </c>
      <c r="Y1835" s="221">
        <f t="shared" si="86"/>
        <v>0</v>
      </c>
      <c r="Z1835" t="e">
        <f t="shared" si="87"/>
        <v>#NUM!</v>
      </c>
    </row>
    <row r="1836" spans="1:26" x14ac:dyDescent="0.2">
      <c r="A1836" s="26" t="e">
        <f t="shared" si="85"/>
        <v>#NUM!</v>
      </c>
      <c r="Y1836" s="221">
        <f t="shared" si="86"/>
        <v>0</v>
      </c>
      <c r="Z1836" t="e">
        <f t="shared" si="87"/>
        <v>#NUM!</v>
      </c>
    </row>
    <row r="1837" spans="1:26" x14ac:dyDescent="0.2">
      <c r="A1837" s="26" t="e">
        <f t="shared" si="85"/>
        <v>#NUM!</v>
      </c>
      <c r="Y1837" s="221">
        <f t="shared" si="86"/>
        <v>0</v>
      </c>
      <c r="Z1837" t="e">
        <f t="shared" si="87"/>
        <v>#NUM!</v>
      </c>
    </row>
    <row r="1838" spans="1:26" x14ac:dyDescent="0.2">
      <c r="A1838" s="26" t="e">
        <f t="shared" si="85"/>
        <v>#NUM!</v>
      </c>
      <c r="Y1838" s="221">
        <f t="shared" si="86"/>
        <v>0</v>
      </c>
      <c r="Z1838" t="e">
        <f t="shared" si="87"/>
        <v>#NUM!</v>
      </c>
    </row>
    <row r="1839" spans="1:26" x14ac:dyDescent="0.2">
      <c r="A1839" s="26" t="e">
        <f t="shared" si="85"/>
        <v>#NUM!</v>
      </c>
      <c r="Y1839" s="221">
        <f t="shared" si="86"/>
        <v>0</v>
      </c>
      <c r="Z1839" t="e">
        <f t="shared" si="87"/>
        <v>#NUM!</v>
      </c>
    </row>
    <row r="1840" spans="1:26" x14ac:dyDescent="0.2">
      <c r="A1840" s="26" t="e">
        <f t="shared" si="85"/>
        <v>#NUM!</v>
      </c>
      <c r="Y1840" s="221">
        <f t="shared" si="86"/>
        <v>0</v>
      </c>
      <c r="Z1840" t="e">
        <f t="shared" si="87"/>
        <v>#NUM!</v>
      </c>
    </row>
    <row r="1841" spans="1:26" x14ac:dyDescent="0.2">
      <c r="A1841" s="26" t="e">
        <f t="shared" si="85"/>
        <v>#NUM!</v>
      </c>
      <c r="Y1841" s="221">
        <f t="shared" si="86"/>
        <v>0</v>
      </c>
      <c r="Z1841" t="e">
        <f t="shared" si="87"/>
        <v>#NUM!</v>
      </c>
    </row>
    <row r="1842" spans="1:26" x14ac:dyDescent="0.2">
      <c r="A1842" s="26" t="e">
        <f t="shared" si="85"/>
        <v>#NUM!</v>
      </c>
      <c r="Y1842" s="221">
        <f t="shared" si="86"/>
        <v>0</v>
      </c>
      <c r="Z1842" t="e">
        <f t="shared" si="87"/>
        <v>#NUM!</v>
      </c>
    </row>
    <row r="1843" spans="1:26" x14ac:dyDescent="0.2">
      <c r="A1843" s="26" t="e">
        <f t="shared" si="85"/>
        <v>#NUM!</v>
      </c>
      <c r="Y1843" s="221">
        <f t="shared" si="86"/>
        <v>0</v>
      </c>
      <c r="Z1843" t="e">
        <f t="shared" si="87"/>
        <v>#NUM!</v>
      </c>
    </row>
    <row r="1844" spans="1:26" x14ac:dyDescent="0.2">
      <c r="A1844" s="26" t="e">
        <f t="shared" si="85"/>
        <v>#NUM!</v>
      </c>
      <c r="Y1844" s="221">
        <f t="shared" si="86"/>
        <v>0</v>
      </c>
      <c r="Z1844" t="e">
        <f t="shared" si="87"/>
        <v>#NUM!</v>
      </c>
    </row>
    <row r="1845" spans="1:26" x14ac:dyDescent="0.2">
      <c r="A1845" s="26" t="e">
        <f t="shared" si="85"/>
        <v>#NUM!</v>
      </c>
      <c r="Y1845" s="221">
        <f t="shared" si="86"/>
        <v>0</v>
      </c>
      <c r="Z1845" t="e">
        <f t="shared" si="87"/>
        <v>#NUM!</v>
      </c>
    </row>
    <row r="1846" spans="1:26" x14ac:dyDescent="0.2">
      <c r="A1846" s="26" t="e">
        <f t="shared" si="85"/>
        <v>#NUM!</v>
      </c>
      <c r="Y1846" s="221">
        <f t="shared" si="86"/>
        <v>0</v>
      </c>
      <c r="Z1846" t="e">
        <f t="shared" si="87"/>
        <v>#NUM!</v>
      </c>
    </row>
    <row r="1847" spans="1:26" x14ac:dyDescent="0.2">
      <c r="A1847" s="26" t="e">
        <f t="shared" si="85"/>
        <v>#NUM!</v>
      </c>
      <c r="Y1847" s="221">
        <f t="shared" si="86"/>
        <v>0</v>
      </c>
      <c r="Z1847" t="e">
        <f t="shared" si="87"/>
        <v>#NUM!</v>
      </c>
    </row>
    <row r="1848" spans="1:26" x14ac:dyDescent="0.2">
      <c r="A1848" s="26" t="e">
        <f t="shared" si="85"/>
        <v>#NUM!</v>
      </c>
      <c r="Y1848" s="221">
        <f t="shared" si="86"/>
        <v>0</v>
      </c>
      <c r="Z1848" t="e">
        <f t="shared" si="87"/>
        <v>#NUM!</v>
      </c>
    </row>
    <row r="1849" spans="1:26" x14ac:dyDescent="0.2">
      <c r="A1849" s="26" t="e">
        <f t="shared" si="85"/>
        <v>#NUM!</v>
      </c>
      <c r="Y1849" s="221">
        <f t="shared" si="86"/>
        <v>0</v>
      </c>
      <c r="Z1849" t="e">
        <f t="shared" si="87"/>
        <v>#NUM!</v>
      </c>
    </row>
    <row r="1850" spans="1:26" x14ac:dyDescent="0.2">
      <c r="A1850" s="26" t="e">
        <f t="shared" si="85"/>
        <v>#NUM!</v>
      </c>
      <c r="Y1850" s="221">
        <f t="shared" si="86"/>
        <v>0</v>
      </c>
      <c r="Z1850" t="e">
        <f t="shared" si="87"/>
        <v>#NUM!</v>
      </c>
    </row>
    <row r="1851" spans="1:26" x14ac:dyDescent="0.2">
      <c r="A1851" s="26" t="e">
        <f t="shared" si="85"/>
        <v>#NUM!</v>
      </c>
      <c r="Y1851" s="221">
        <f t="shared" si="86"/>
        <v>0</v>
      </c>
      <c r="Z1851" t="e">
        <f t="shared" si="87"/>
        <v>#NUM!</v>
      </c>
    </row>
    <row r="1852" spans="1:26" x14ac:dyDescent="0.2">
      <c r="A1852" s="26" t="e">
        <f t="shared" si="85"/>
        <v>#NUM!</v>
      </c>
      <c r="Y1852" s="221">
        <f t="shared" si="86"/>
        <v>0</v>
      </c>
      <c r="Z1852" t="e">
        <f t="shared" si="87"/>
        <v>#NUM!</v>
      </c>
    </row>
    <row r="1853" spans="1:26" x14ac:dyDescent="0.2">
      <c r="A1853" s="26" t="e">
        <f t="shared" si="85"/>
        <v>#NUM!</v>
      </c>
      <c r="Y1853" s="221">
        <f t="shared" si="86"/>
        <v>0</v>
      </c>
      <c r="Z1853" t="e">
        <f t="shared" si="87"/>
        <v>#NUM!</v>
      </c>
    </row>
    <row r="1854" spans="1:26" x14ac:dyDescent="0.2">
      <c r="A1854" s="26" t="e">
        <f t="shared" si="85"/>
        <v>#NUM!</v>
      </c>
      <c r="Y1854" s="221">
        <f t="shared" si="86"/>
        <v>0</v>
      </c>
      <c r="Z1854" t="e">
        <f t="shared" si="87"/>
        <v>#NUM!</v>
      </c>
    </row>
    <row r="1855" spans="1:26" x14ac:dyDescent="0.2">
      <c r="A1855" s="26" t="e">
        <f t="shared" si="85"/>
        <v>#NUM!</v>
      </c>
      <c r="Y1855" s="221">
        <f t="shared" si="86"/>
        <v>0</v>
      </c>
      <c r="Z1855" t="e">
        <f t="shared" si="87"/>
        <v>#NUM!</v>
      </c>
    </row>
    <row r="1856" spans="1:26" x14ac:dyDescent="0.2">
      <c r="A1856" s="26" t="e">
        <f t="shared" si="85"/>
        <v>#NUM!</v>
      </c>
      <c r="Y1856" s="221">
        <f t="shared" si="86"/>
        <v>0</v>
      </c>
      <c r="Z1856" t="e">
        <f t="shared" si="87"/>
        <v>#NUM!</v>
      </c>
    </row>
    <row r="1857" spans="1:26" x14ac:dyDescent="0.2">
      <c r="A1857" s="26" t="e">
        <f t="shared" si="85"/>
        <v>#NUM!</v>
      </c>
      <c r="Y1857" s="221">
        <f t="shared" si="86"/>
        <v>0</v>
      </c>
      <c r="Z1857" t="e">
        <f t="shared" si="87"/>
        <v>#NUM!</v>
      </c>
    </row>
    <row r="1858" spans="1:26" x14ac:dyDescent="0.2">
      <c r="A1858" s="26" t="e">
        <f t="shared" si="85"/>
        <v>#NUM!</v>
      </c>
      <c r="Y1858" s="221">
        <f t="shared" si="86"/>
        <v>0</v>
      </c>
      <c r="Z1858" t="e">
        <f t="shared" si="87"/>
        <v>#NUM!</v>
      </c>
    </row>
    <row r="1859" spans="1:26" x14ac:dyDescent="0.2">
      <c r="A1859" s="26" t="e">
        <f t="shared" ref="A1859:A1922" si="88">DATE(B1859,C1859,D1859)</f>
        <v>#NUM!</v>
      </c>
      <c r="Y1859" s="221">
        <f t="shared" ref="Y1859:Y1922" si="89">SUM(G1859:W1859)</f>
        <v>0</v>
      </c>
      <c r="Z1859" t="e">
        <f t="shared" ref="Z1859:Z1922" si="90">IF(OR(WEEKDAY(A1859,2)=6,WEEKDAY(A1859,2)=7),X1859,0)</f>
        <v>#NUM!</v>
      </c>
    </row>
    <row r="1860" spans="1:26" x14ac:dyDescent="0.2">
      <c r="A1860" s="26" t="e">
        <f t="shared" si="88"/>
        <v>#NUM!</v>
      </c>
      <c r="Y1860" s="221">
        <f t="shared" si="89"/>
        <v>0</v>
      </c>
      <c r="Z1860" t="e">
        <f t="shared" si="90"/>
        <v>#NUM!</v>
      </c>
    </row>
    <row r="1861" spans="1:26" x14ac:dyDescent="0.2">
      <c r="A1861" s="26" t="e">
        <f t="shared" si="88"/>
        <v>#NUM!</v>
      </c>
      <c r="Y1861" s="221">
        <f t="shared" si="89"/>
        <v>0</v>
      </c>
      <c r="Z1861" t="e">
        <f t="shared" si="90"/>
        <v>#NUM!</v>
      </c>
    </row>
    <row r="1862" spans="1:26" x14ac:dyDescent="0.2">
      <c r="A1862" s="26" t="e">
        <f t="shared" si="88"/>
        <v>#NUM!</v>
      </c>
      <c r="Y1862" s="221">
        <f t="shared" si="89"/>
        <v>0</v>
      </c>
      <c r="Z1862" t="e">
        <f t="shared" si="90"/>
        <v>#NUM!</v>
      </c>
    </row>
    <row r="1863" spans="1:26" x14ac:dyDescent="0.2">
      <c r="A1863" s="26" t="e">
        <f t="shared" si="88"/>
        <v>#NUM!</v>
      </c>
      <c r="Y1863" s="221">
        <f t="shared" si="89"/>
        <v>0</v>
      </c>
      <c r="Z1863" t="e">
        <f t="shared" si="90"/>
        <v>#NUM!</v>
      </c>
    </row>
    <row r="1864" spans="1:26" x14ac:dyDescent="0.2">
      <c r="A1864" s="26" t="e">
        <f t="shared" si="88"/>
        <v>#NUM!</v>
      </c>
      <c r="Y1864" s="221">
        <f t="shared" si="89"/>
        <v>0</v>
      </c>
      <c r="Z1864" t="e">
        <f t="shared" si="90"/>
        <v>#NUM!</v>
      </c>
    </row>
    <row r="1865" spans="1:26" x14ac:dyDescent="0.2">
      <c r="A1865" s="26" t="e">
        <f t="shared" si="88"/>
        <v>#NUM!</v>
      </c>
      <c r="Y1865" s="221">
        <f t="shared" si="89"/>
        <v>0</v>
      </c>
      <c r="Z1865" t="e">
        <f t="shared" si="90"/>
        <v>#NUM!</v>
      </c>
    </row>
    <row r="1866" spans="1:26" x14ac:dyDescent="0.2">
      <c r="A1866" s="26" t="e">
        <f t="shared" si="88"/>
        <v>#NUM!</v>
      </c>
      <c r="Y1866" s="221">
        <f t="shared" si="89"/>
        <v>0</v>
      </c>
      <c r="Z1866" t="e">
        <f t="shared" si="90"/>
        <v>#NUM!</v>
      </c>
    </row>
    <row r="1867" spans="1:26" x14ac:dyDescent="0.2">
      <c r="A1867" s="26" t="e">
        <f t="shared" si="88"/>
        <v>#NUM!</v>
      </c>
      <c r="Y1867" s="221">
        <f t="shared" si="89"/>
        <v>0</v>
      </c>
      <c r="Z1867" t="e">
        <f t="shared" si="90"/>
        <v>#NUM!</v>
      </c>
    </row>
    <row r="1868" spans="1:26" x14ac:dyDescent="0.2">
      <c r="A1868" s="26" t="e">
        <f t="shared" si="88"/>
        <v>#NUM!</v>
      </c>
      <c r="Y1868" s="221">
        <f t="shared" si="89"/>
        <v>0</v>
      </c>
      <c r="Z1868" t="e">
        <f t="shared" si="90"/>
        <v>#NUM!</v>
      </c>
    </row>
    <row r="1869" spans="1:26" x14ac:dyDescent="0.2">
      <c r="A1869" s="26" t="e">
        <f t="shared" si="88"/>
        <v>#NUM!</v>
      </c>
      <c r="Y1869" s="221">
        <f t="shared" si="89"/>
        <v>0</v>
      </c>
      <c r="Z1869" t="e">
        <f t="shared" si="90"/>
        <v>#NUM!</v>
      </c>
    </row>
    <row r="1870" spans="1:26" x14ac:dyDescent="0.2">
      <c r="A1870" s="26" t="e">
        <f t="shared" si="88"/>
        <v>#NUM!</v>
      </c>
      <c r="Y1870" s="221">
        <f t="shared" si="89"/>
        <v>0</v>
      </c>
      <c r="Z1870" t="e">
        <f t="shared" si="90"/>
        <v>#NUM!</v>
      </c>
    </row>
    <row r="1871" spans="1:26" x14ac:dyDescent="0.2">
      <c r="A1871" s="26" t="e">
        <f t="shared" si="88"/>
        <v>#NUM!</v>
      </c>
      <c r="Y1871" s="221">
        <f t="shared" si="89"/>
        <v>0</v>
      </c>
      <c r="Z1871" t="e">
        <f t="shared" si="90"/>
        <v>#NUM!</v>
      </c>
    </row>
    <row r="1872" spans="1:26" x14ac:dyDescent="0.2">
      <c r="A1872" s="26" t="e">
        <f t="shared" si="88"/>
        <v>#NUM!</v>
      </c>
      <c r="Y1872" s="221">
        <f t="shared" si="89"/>
        <v>0</v>
      </c>
      <c r="Z1872" t="e">
        <f t="shared" si="90"/>
        <v>#NUM!</v>
      </c>
    </row>
    <row r="1873" spans="1:26" x14ac:dyDescent="0.2">
      <c r="A1873" s="26" t="e">
        <f t="shared" si="88"/>
        <v>#NUM!</v>
      </c>
      <c r="Y1873" s="221">
        <f t="shared" si="89"/>
        <v>0</v>
      </c>
      <c r="Z1873" t="e">
        <f t="shared" si="90"/>
        <v>#NUM!</v>
      </c>
    </row>
    <row r="1874" spans="1:26" x14ac:dyDescent="0.2">
      <c r="A1874" s="26" t="e">
        <f t="shared" si="88"/>
        <v>#NUM!</v>
      </c>
      <c r="Y1874" s="221">
        <f t="shared" si="89"/>
        <v>0</v>
      </c>
      <c r="Z1874" t="e">
        <f t="shared" si="90"/>
        <v>#NUM!</v>
      </c>
    </row>
    <row r="1875" spans="1:26" x14ac:dyDescent="0.2">
      <c r="A1875" s="26" t="e">
        <f t="shared" si="88"/>
        <v>#NUM!</v>
      </c>
      <c r="Y1875" s="221">
        <f t="shared" si="89"/>
        <v>0</v>
      </c>
      <c r="Z1875" t="e">
        <f t="shared" si="90"/>
        <v>#NUM!</v>
      </c>
    </row>
    <row r="1876" spans="1:26" x14ac:dyDescent="0.2">
      <c r="A1876" s="26" t="e">
        <f t="shared" si="88"/>
        <v>#NUM!</v>
      </c>
      <c r="Y1876" s="221">
        <f t="shared" si="89"/>
        <v>0</v>
      </c>
      <c r="Z1876" t="e">
        <f t="shared" si="90"/>
        <v>#NUM!</v>
      </c>
    </row>
    <row r="1877" spans="1:26" x14ac:dyDescent="0.2">
      <c r="A1877" s="26" t="e">
        <f t="shared" si="88"/>
        <v>#NUM!</v>
      </c>
      <c r="Y1877" s="221">
        <f t="shared" si="89"/>
        <v>0</v>
      </c>
      <c r="Z1877" t="e">
        <f t="shared" si="90"/>
        <v>#NUM!</v>
      </c>
    </row>
    <row r="1878" spans="1:26" x14ac:dyDescent="0.2">
      <c r="A1878" s="26" t="e">
        <f t="shared" si="88"/>
        <v>#NUM!</v>
      </c>
      <c r="Y1878" s="221">
        <f t="shared" si="89"/>
        <v>0</v>
      </c>
      <c r="Z1878" t="e">
        <f t="shared" si="90"/>
        <v>#NUM!</v>
      </c>
    </row>
    <row r="1879" spans="1:26" x14ac:dyDescent="0.2">
      <c r="A1879" s="26" t="e">
        <f t="shared" si="88"/>
        <v>#NUM!</v>
      </c>
      <c r="Y1879" s="221">
        <f t="shared" si="89"/>
        <v>0</v>
      </c>
      <c r="Z1879" t="e">
        <f t="shared" si="90"/>
        <v>#NUM!</v>
      </c>
    </row>
    <row r="1880" spans="1:26" x14ac:dyDescent="0.2">
      <c r="A1880" s="26" t="e">
        <f t="shared" si="88"/>
        <v>#NUM!</v>
      </c>
      <c r="Y1880" s="221">
        <f t="shared" si="89"/>
        <v>0</v>
      </c>
      <c r="Z1880" t="e">
        <f t="shared" si="90"/>
        <v>#NUM!</v>
      </c>
    </row>
    <row r="1881" spans="1:26" x14ac:dyDescent="0.2">
      <c r="A1881" s="26" t="e">
        <f t="shared" si="88"/>
        <v>#NUM!</v>
      </c>
      <c r="Y1881" s="221">
        <f t="shared" si="89"/>
        <v>0</v>
      </c>
      <c r="Z1881" t="e">
        <f t="shared" si="90"/>
        <v>#NUM!</v>
      </c>
    </row>
    <row r="1882" spans="1:26" x14ac:dyDescent="0.2">
      <c r="A1882" s="26" t="e">
        <f t="shared" si="88"/>
        <v>#NUM!</v>
      </c>
      <c r="Y1882" s="221">
        <f t="shared" si="89"/>
        <v>0</v>
      </c>
      <c r="Z1882" t="e">
        <f t="shared" si="90"/>
        <v>#NUM!</v>
      </c>
    </row>
    <row r="1883" spans="1:26" x14ac:dyDescent="0.2">
      <c r="A1883" s="26" t="e">
        <f t="shared" si="88"/>
        <v>#NUM!</v>
      </c>
      <c r="Y1883" s="221">
        <f t="shared" si="89"/>
        <v>0</v>
      </c>
      <c r="Z1883" t="e">
        <f t="shared" si="90"/>
        <v>#NUM!</v>
      </c>
    </row>
    <row r="1884" spans="1:26" x14ac:dyDescent="0.2">
      <c r="A1884" s="26" t="e">
        <f t="shared" si="88"/>
        <v>#NUM!</v>
      </c>
      <c r="Y1884" s="221">
        <f t="shared" si="89"/>
        <v>0</v>
      </c>
      <c r="Z1884" t="e">
        <f t="shared" si="90"/>
        <v>#NUM!</v>
      </c>
    </row>
    <row r="1885" spans="1:26" x14ac:dyDescent="0.2">
      <c r="A1885" s="26" t="e">
        <f t="shared" si="88"/>
        <v>#NUM!</v>
      </c>
      <c r="Y1885" s="221">
        <f t="shared" si="89"/>
        <v>0</v>
      </c>
      <c r="Z1885" t="e">
        <f t="shared" si="90"/>
        <v>#NUM!</v>
      </c>
    </row>
    <row r="1886" spans="1:26" x14ac:dyDescent="0.2">
      <c r="A1886" s="26" t="e">
        <f t="shared" si="88"/>
        <v>#NUM!</v>
      </c>
      <c r="Y1886" s="221">
        <f t="shared" si="89"/>
        <v>0</v>
      </c>
      <c r="Z1886" t="e">
        <f t="shared" si="90"/>
        <v>#NUM!</v>
      </c>
    </row>
    <row r="1887" spans="1:26" x14ac:dyDescent="0.2">
      <c r="A1887" s="26" t="e">
        <f t="shared" si="88"/>
        <v>#NUM!</v>
      </c>
      <c r="Y1887" s="221">
        <f t="shared" si="89"/>
        <v>0</v>
      </c>
      <c r="Z1887" t="e">
        <f t="shared" si="90"/>
        <v>#NUM!</v>
      </c>
    </row>
    <row r="1888" spans="1:26" x14ac:dyDescent="0.2">
      <c r="A1888" s="26" t="e">
        <f t="shared" si="88"/>
        <v>#NUM!</v>
      </c>
      <c r="Y1888" s="221">
        <f t="shared" si="89"/>
        <v>0</v>
      </c>
      <c r="Z1888" t="e">
        <f t="shared" si="90"/>
        <v>#NUM!</v>
      </c>
    </row>
    <row r="1889" spans="1:26" x14ac:dyDescent="0.2">
      <c r="A1889" s="26" t="e">
        <f t="shared" si="88"/>
        <v>#NUM!</v>
      </c>
      <c r="Y1889" s="221">
        <f t="shared" si="89"/>
        <v>0</v>
      </c>
      <c r="Z1889" t="e">
        <f t="shared" si="90"/>
        <v>#NUM!</v>
      </c>
    </row>
    <row r="1890" spans="1:26" x14ac:dyDescent="0.2">
      <c r="A1890" s="26" t="e">
        <f t="shared" si="88"/>
        <v>#NUM!</v>
      </c>
      <c r="Y1890" s="221">
        <f t="shared" si="89"/>
        <v>0</v>
      </c>
      <c r="Z1890" t="e">
        <f t="shared" si="90"/>
        <v>#NUM!</v>
      </c>
    </row>
    <row r="1891" spans="1:26" x14ac:dyDescent="0.2">
      <c r="A1891" s="26" t="e">
        <f t="shared" si="88"/>
        <v>#NUM!</v>
      </c>
      <c r="Y1891" s="221">
        <f t="shared" si="89"/>
        <v>0</v>
      </c>
      <c r="Z1891" t="e">
        <f t="shared" si="90"/>
        <v>#NUM!</v>
      </c>
    </row>
    <row r="1892" spans="1:26" x14ac:dyDescent="0.2">
      <c r="A1892" s="26" t="e">
        <f t="shared" si="88"/>
        <v>#NUM!</v>
      </c>
      <c r="Y1892" s="221">
        <f t="shared" si="89"/>
        <v>0</v>
      </c>
      <c r="Z1892" t="e">
        <f t="shared" si="90"/>
        <v>#NUM!</v>
      </c>
    </row>
    <row r="1893" spans="1:26" x14ac:dyDescent="0.2">
      <c r="A1893" s="26" t="e">
        <f t="shared" si="88"/>
        <v>#NUM!</v>
      </c>
      <c r="Y1893" s="221">
        <f t="shared" si="89"/>
        <v>0</v>
      </c>
      <c r="Z1893" t="e">
        <f t="shared" si="90"/>
        <v>#NUM!</v>
      </c>
    </row>
    <row r="1894" spans="1:26" x14ac:dyDescent="0.2">
      <c r="A1894" s="26" t="e">
        <f t="shared" si="88"/>
        <v>#NUM!</v>
      </c>
      <c r="Y1894" s="221">
        <f t="shared" si="89"/>
        <v>0</v>
      </c>
      <c r="Z1894" t="e">
        <f t="shared" si="90"/>
        <v>#NUM!</v>
      </c>
    </row>
    <row r="1895" spans="1:26" x14ac:dyDescent="0.2">
      <c r="A1895" s="26" t="e">
        <f t="shared" si="88"/>
        <v>#NUM!</v>
      </c>
      <c r="Y1895" s="221">
        <f t="shared" si="89"/>
        <v>0</v>
      </c>
      <c r="Z1895" t="e">
        <f t="shared" si="90"/>
        <v>#NUM!</v>
      </c>
    </row>
    <row r="1896" spans="1:26" x14ac:dyDescent="0.2">
      <c r="A1896" s="26" t="e">
        <f t="shared" si="88"/>
        <v>#NUM!</v>
      </c>
      <c r="Y1896" s="221">
        <f t="shared" si="89"/>
        <v>0</v>
      </c>
      <c r="Z1896" t="e">
        <f t="shared" si="90"/>
        <v>#NUM!</v>
      </c>
    </row>
    <row r="1897" spans="1:26" x14ac:dyDescent="0.2">
      <c r="A1897" s="26" t="e">
        <f t="shared" si="88"/>
        <v>#NUM!</v>
      </c>
      <c r="Y1897" s="221">
        <f t="shared" si="89"/>
        <v>0</v>
      </c>
      <c r="Z1897" t="e">
        <f t="shared" si="90"/>
        <v>#NUM!</v>
      </c>
    </row>
    <row r="1898" spans="1:26" x14ac:dyDescent="0.2">
      <c r="A1898" s="26" t="e">
        <f t="shared" si="88"/>
        <v>#NUM!</v>
      </c>
      <c r="Y1898" s="221">
        <f t="shared" si="89"/>
        <v>0</v>
      </c>
      <c r="Z1898" t="e">
        <f t="shared" si="90"/>
        <v>#NUM!</v>
      </c>
    </row>
    <row r="1899" spans="1:26" x14ac:dyDescent="0.2">
      <c r="A1899" s="26" t="e">
        <f t="shared" si="88"/>
        <v>#NUM!</v>
      </c>
      <c r="Y1899" s="221">
        <f t="shared" si="89"/>
        <v>0</v>
      </c>
      <c r="Z1899" t="e">
        <f t="shared" si="90"/>
        <v>#NUM!</v>
      </c>
    </row>
    <row r="1900" spans="1:26" x14ac:dyDescent="0.2">
      <c r="A1900" s="26" t="e">
        <f t="shared" si="88"/>
        <v>#NUM!</v>
      </c>
      <c r="Y1900" s="221">
        <f t="shared" si="89"/>
        <v>0</v>
      </c>
      <c r="Z1900" t="e">
        <f t="shared" si="90"/>
        <v>#NUM!</v>
      </c>
    </row>
    <row r="1901" spans="1:26" x14ac:dyDescent="0.2">
      <c r="A1901" s="26" t="e">
        <f t="shared" si="88"/>
        <v>#NUM!</v>
      </c>
      <c r="Y1901" s="221">
        <f t="shared" si="89"/>
        <v>0</v>
      </c>
      <c r="Z1901" t="e">
        <f t="shared" si="90"/>
        <v>#NUM!</v>
      </c>
    </row>
    <row r="1902" spans="1:26" x14ac:dyDescent="0.2">
      <c r="A1902" s="26" t="e">
        <f t="shared" si="88"/>
        <v>#NUM!</v>
      </c>
      <c r="Y1902" s="221">
        <f t="shared" si="89"/>
        <v>0</v>
      </c>
      <c r="Z1902" t="e">
        <f t="shared" si="90"/>
        <v>#NUM!</v>
      </c>
    </row>
    <row r="1903" spans="1:26" x14ac:dyDescent="0.2">
      <c r="A1903" s="26" t="e">
        <f t="shared" si="88"/>
        <v>#NUM!</v>
      </c>
      <c r="Y1903" s="221">
        <f t="shared" si="89"/>
        <v>0</v>
      </c>
      <c r="Z1903" t="e">
        <f t="shared" si="90"/>
        <v>#NUM!</v>
      </c>
    </row>
    <row r="1904" spans="1:26" x14ac:dyDescent="0.2">
      <c r="A1904" s="26" t="e">
        <f t="shared" si="88"/>
        <v>#NUM!</v>
      </c>
      <c r="Y1904" s="221">
        <f t="shared" si="89"/>
        <v>0</v>
      </c>
      <c r="Z1904" t="e">
        <f t="shared" si="90"/>
        <v>#NUM!</v>
      </c>
    </row>
    <row r="1905" spans="1:26" x14ac:dyDescent="0.2">
      <c r="A1905" s="26" t="e">
        <f t="shared" si="88"/>
        <v>#NUM!</v>
      </c>
      <c r="Y1905" s="221">
        <f t="shared" si="89"/>
        <v>0</v>
      </c>
      <c r="Z1905" t="e">
        <f t="shared" si="90"/>
        <v>#NUM!</v>
      </c>
    </row>
    <row r="1906" spans="1:26" x14ac:dyDescent="0.2">
      <c r="A1906" s="26" t="e">
        <f t="shared" si="88"/>
        <v>#NUM!</v>
      </c>
      <c r="Y1906" s="221">
        <f t="shared" si="89"/>
        <v>0</v>
      </c>
      <c r="Z1906" t="e">
        <f t="shared" si="90"/>
        <v>#NUM!</v>
      </c>
    </row>
    <row r="1907" spans="1:26" x14ac:dyDescent="0.2">
      <c r="A1907" s="26" t="e">
        <f t="shared" si="88"/>
        <v>#NUM!</v>
      </c>
      <c r="Y1907" s="221">
        <f t="shared" si="89"/>
        <v>0</v>
      </c>
      <c r="Z1907" t="e">
        <f t="shared" si="90"/>
        <v>#NUM!</v>
      </c>
    </row>
    <row r="1908" spans="1:26" x14ac:dyDescent="0.2">
      <c r="A1908" s="26" t="e">
        <f t="shared" si="88"/>
        <v>#NUM!</v>
      </c>
      <c r="Y1908" s="221">
        <f t="shared" si="89"/>
        <v>0</v>
      </c>
      <c r="Z1908" t="e">
        <f t="shared" si="90"/>
        <v>#NUM!</v>
      </c>
    </row>
    <row r="1909" spans="1:26" x14ac:dyDescent="0.2">
      <c r="A1909" s="26" t="e">
        <f t="shared" si="88"/>
        <v>#NUM!</v>
      </c>
      <c r="Y1909" s="221">
        <f t="shared" si="89"/>
        <v>0</v>
      </c>
      <c r="Z1909" t="e">
        <f t="shared" si="90"/>
        <v>#NUM!</v>
      </c>
    </row>
    <row r="1910" spans="1:26" x14ac:dyDescent="0.2">
      <c r="A1910" s="26" t="e">
        <f t="shared" si="88"/>
        <v>#NUM!</v>
      </c>
      <c r="Y1910" s="221">
        <f t="shared" si="89"/>
        <v>0</v>
      </c>
      <c r="Z1910" t="e">
        <f t="shared" si="90"/>
        <v>#NUM!</v>
      </c>
    </row>
    <row r="1911" spans="1:26" x14ac:dyDescent="0.2">
      <c r="A1911" s="26" t="e">
        <f t="shared" si="88"/>
        <v>#NUM!</v>
      </c>
      <c r="Y1911" s="221">
        <f t="shared" si="89"/>
        <v>0</v>
      </c>
      <c r="Z1911" t="e">
        <f t="shared" si="90"/>
        <v>#NUM!</v>
      </c>
    </row>
    <row r="1912" spans="1:26" x14ac:dyDescent="0.2">
      <c r="A1912" s="26" t="e">
        <f t="shared" si="88"/>
        <v>#NUM!</v>
      </c>
      <c r="Y1912" s="221">
        <f t="shared" si="89"/>
        <v>0</v>
      </c>
      <c r="Z1912" t="e">
        <f t="shared" si="90"/>
        <v>#NUM!</v>
      </c>
    </row>
    <row r="1913" spans="1:26" x14ac:dyDescent="0.2">
      <c r="A1913" s="26" t="e">
        <f t="shared" si="88"/>
        <v>#NUM!</v>
      </c>
      <c r="Y1913" s="221">
        <f t="shared" si="89"/>
        <v>0</v>
      </c>
      <c r="Z1913" t="e">
        <f t="shared" si="90"/>
        <v>#NUM!</v>
      </c>
    </row>
    <row r="1914" spans="1:26" x14ac:dyDescent="0.2">
      <c r="A1914" s="26" t="e">
        <f t="shared" si="88"/>
        <v>#NUM!</v>
      </c>
      <c r="Y1914" s="221">
        <f t="shared" si="89"/>
        <v>0</v>
      </c>
      <c r="Z1914" t="e">
        <f t="shared" si="90"/>
        <v>#NUM!</v>
      </c>
    </row>
    <row r="1915" spans="1:26" x14ac:dyDescent="0.2">
      <c r="A1915" s="26" t="e">
        <f t="shared" si="88"/>
        <v>#NUM!</v>
      </c>
      <c r="Y1915" s="221">
        <f t="shared" si="89"/>
        <v>0</v>
      </c>
      <c r="Z1915" t="e">
        <f t="shared" si="90"/>
        <v>#NUM!</v>
      </c>
    </row>
    <row r="1916" spans="1:26" x14ac:dyDescent="0.2">
      <c r="A1916" s="26" t="e">
        <f t="shared" si="88"/>
        <v>#NUM!</v>
      </c>
      <c r="Y1916" s="221">
        <f t="shared" si="89"/>
        <v>0</v>
      </c>
      <c r="Z1916" t="e">
        <f t="shared" si="90"/>
        <v>#NUM!</v>
      </c>
    </row>
    <row r="1917" spans="1:26" x14ac:dyDescent="0.2">
      <c r="A1917" s="26" t="e">
        <f t="shared" si="88"/>
        <v>#NUM!</v>
      </c>
      <c r="Y1917" s="221">
        <f t="shared" si="89"/>
        <v>0</v>
      </c>
      <c r="Z1917" t="e">
        <f t="shared" si="90"/>
        <v>#NUM!</v>
      </c>
    </row>
    <row r="1918" spans="1:26" x14ac:dyDescent="0.2">
      <c r="A1918" s="26" t="e">
        <f t="shared" si="88"/>
        <v>#NUM!</v>
      </c>
      <c r="Y1918" s="221">
        <f t="shared" si="89"/>
        <v>0</v>
      </c>
      <c r="Z1918" t="e">
        <f t="shared" si="90"/>
        <v>#NUM!</v>
      </c>
    </row>
    <row r="1919" spans="1:26" x14ac:dyDescent="0.2">
      <c r="A1919" s="26" t="e">
        <f t="shared" si="88"/>
        <v>#NUM!</v>
      </c>
      <c r="Y1919" s="221">
        <f t="shared" si="89"/>
        <v>0</v>
      </c>
      <c r="Z1919" t="e">
        <f t="shared" si="90"/>
        <v>#NUM!</v>
      </c>
    </row>
    <row r="1920" spans="1:26" x14ac:dyDescent="0.2">
      <c r="A1920" s="26" t="e">
        <f t="shared" si="88"/>
        <v>#NUM!</v>
      </c>
      <c r="Y1920" s="221">
        <f t="shared" si="89"/>
        <v>0</v>
      </c>
      <c r="Z1920" t="e">
        <f t="shared" si="90"/>
        <v>#NUM!</v>
      </c>
    </row>
    <row r="1921" spans="1:26" x14ac:dyDescent="0.2">
      <c r="A1921" s="26" t="e">
        <f t="shared" si="88"/>
        <v>#NUM!</v>
      </c>
      <c r="Y1921" s="221">
        <f t="shared" si="89"/>
        <v>0</v>
      </c>
      <c r="Z1921" t="e">
        <f t="shared" si="90"/>
        <v>#NUM!</v>
      </c>
    </row>
    <row r="1922" spans="1:26" x14ac:dyDescent="0.2">
      <c r="A1922" s="26" t="e">
        <f t="shared" si="88"/>
        <v>#NUM!</v>
      </c>
      <c r="Y1922" s="221">
        <f t="shared" si="89"/>
        <v>0</v>
      </c>
      <c r="Z1922" t="e">
        <f t="shared" si="90"/>
        <v>#NUM!</v>
      </c>
    </row>
    <row r="1923" spans="1:26" x14ac:dyDescent="0.2">
      <c r="A1923" s="26" t="e">
        <f t="shared" ref="A1923:A1986" si="91">DATE(B1923,C1923,D1923)</f>
        <v>#NUM!</v>
      </c>
      <c r="Y1923" s="221">
        <f t="shared" ref="Y1923:Y1986" si="92">SUM(G1923:W1923)</f>
        <v>0</v>
      </c>
      <c r="Z1923" t="e">
        <f t="shared" ref="Z1923:Z1986" si="93">IF(OR(WEEKDAY(A1923,2)=6,WEEKDAY(A1923,2)=7),X1923,0)</f>
        <v>#NUM!</v>
      </c>
    </row>
    <row r="1924" spans="1:26" x14ac:dyDescent="0.2">
      <c r="A1924" s="26" t="e">
        <f t="shared" si="91"/>
        <v>#NUM!</v>
      </c>
      <c r="Y1924" s="221">
        <f t="shared" si="92"/>
        <v>0</v>
      </c>
      <c r="Z1924" t="e">
        <f t="shared" si="93"/>
        <v>#NUM!</v>
      </c>
    </row>
    <row r="1925" spans="1:26" x14ac:dyDescent="0.2">
      <c r="A1925" s="26" t="e">
        <f t="shared" si="91"/>
        <v>#NUM!</v>
      </c>
      <c r="Y1925" s="221">
        <f t="shared" si="92"/>
        <v>0</v>
      </c>
      <c r="Z1925" t="e">
        <f t="shared" si="93"/>
        <v>#NUM!</v>
      </c>
    </row>
    <row r="1926" spans="1:26" x14ac:dyDescent="0.2">
      <c r="A1926" s="26" t="e">
        <f t="shared" si="91"/>
        <v>#NUM!</v>
      </c>
      <c r="Y1926" s="221">
        <f t="shared" si="92"/>
        <v>0</v>
      </c>
      <c r="Z1926" t="e">
        <f t="shared" si="93"/>
        <v>#NUM!</v>
      </c>
    </row>
    <row r="1927" spans="1:26" x14ac:dyDescent="0.2">
      <c r="A1927" s="26" t="e">
        <f t="shared" si="91"/>
        <v>#NUM!</v>
      </c>
      <c r="Y1927" s="221">
        <f t="shared" si="92"/>
        <v>0</v>
      </c>
      <c r="Z1927" t="e">
        <f t="shared" si="93"/>
        <v>#NUM!</v>
      </c>
    </row>
    <row r="1928" spans="1:26" x14ac:dyDescent="0.2">
      <c r="A1928" s="26" t="e">
        <f t="shared" si="91"/>
        <v>#NUM!</v>
      </c>
      <c r="Y1928" s="221">
        <f t="shared" si="92"/>
        <v>0</v>
      </c>
      <c r="Z1928" t="e">
        <f t="shared" si="93"/>
        <v>#NUM!</v>
      </c>
    </row>
    <row r="1929" spans="1:26" x14ac:dyDescent="0.2">
      <c r="A1929" s="26" t="e">
        <f t="shared" si="91"/>
        <v>#NUM!</v>
      </c>
      <c r="Y1929" s="221">
        <f t="shared" si="92"/>
        <v>0</v>
      </c>
      <c r="Z1929" t="e">
        <f t="shared" si="93"/>
        <v>#NUM!</v>
      </c>
    </row>
    <row r="1930" spans="1:26" x14ac:dyDescent="0.2">
      <c r="A1930" s="26" t="e">
        <f t="shared" si="91"/>
        <v>#NUM!</v>
      </c>
      <c r="Y1930" s="221">
        <f t="shared" si="92"/>
        <v>0</v>
      </c>
      <c r="Z1930" t="e">
        <f t="shared" si="93"/>
        <v>#NUM!</v>
      </c>
    </row>
    <row r="1931" spans="1:26" x14ac:dyDescent="0.2">
      <c r="A1931" s="26" t="e">
        <f t="shared" si="91"/>
        <v>#NUM!</v>
      </c>
      <c r="Y1931" s="221">
        <f t="shared" si="92"/>
        <v>0</v>
      </c>
      <c r="Z1931" t="e">
        <f t="shared" si="93"/>
        <v>#NUM!</v>
      </c>
    </row>
    <row r="1932" spans="1:26" x14ac:dyDescent="0.2">
      <c r="A1932" s="26" t="e">
        <f t="shared" si="91"/>
        <v>#NUM!</v>
      </c>
      <c r="Y1932" s="221">
        <f t="shared" si="92"/>
        <v>0</v>
      </c>
      <c r="Z1932" t="e">
        <f t="shared" si="93"/>
        <v>#NUM!</v>
      </c>
    </row>
    <row r="1933" spans="1:26" x14ac:dyDescent="0.2">
      <c r="A1933" s="26" t="e">
        <f t="shared" si="91"/>
        <v>#NUM!</v>
      </c>
      <c r="Y1933" s="221">
        <f t="shared" si="92"/>
        <v>0</v>
      </c>
      <c r="Z1933" t="e">
        <f t="shared" si="93"/>
        <v>#NUM!</v>
      </c>
    </row>
    <row r="1934" spans="1:26" x14ac:dyDescent="0.2">
      <c r="A1934" s="26" t="e">
        <f t="shared" si="91"/>
        <v>#NUM!</v>
      </c>
      <c r="Y1934" s="221">
        <f t="shared" si="92"/>
        <v>0</v>
      </c>
      <c r="Z1934" t="e">
        <f t="shared" si="93"/>
        <v>#NUM!</v>
      </c>
    </row>
    <row r="1935" spans="1:26" x14ac:dyDescent="0.2">
      <c r="A1935" s="26" t="e">
        <f t="shared" si="91"/>
        <v>#NUM!</v>
      </c>
      <c r="Y1935" s="221">
        <f t="shared" si="92"/>
        <v>0</v>
      </c>
      <c r="Z1935" t="e">
        <f t="shared" si="93"/>
        <v>#NUM!</v>
      </c>
    </row>
    <row r="1936" spans="1:26" x14ac:dyDescent="0.2">
      <c r="A1936" s="26" t="e">
        <f t="shared" si="91"/>
        <v>#NUM!</v>
      </c>
      <c r="Y1936" s="221">
        <f t="shared" si="92"/>
        <v>0</v>
      </c>
      <c r="Z1936" t="e">
        <f t="shared" si="93"/>
        <v>#NUM!</v>
      </c>
    </row>
    <row r="1937" spans="1:26" x14ac:dyDescent="0.2">
      <c r="A1937" s="26" t="e">
        <f t="shared" si="91"/>
        <v>#NUM!</v>
      </c>
      <c r="Y1937" s="221">
        <f t="shared" si="92"/>
        <v>0</v>
      </c>
      <c r="Z1937" t="e">
        <f t="shared" si="93"/>
        <v>#NUM!</v>
      </c>
    </row>
    <row r="1938" spans="1:26" x14ac:dyDescent="0.2">
      <c r="A1938" s="26" t="e">
        <f t="shared" si="91"/>
        <v>#NUM!</v>
      </c>
      <c r="Y1938" s="221">
        <f t="shared" si="92"/>
        <v>0</v>
      </c>
      <c r="Z1938" t="e">
        <f t="shared" si="93"/>
        <v>#NUM!</v>
      </c>
    </row>
    <row r="1939" spans="1:26" x14ac:dyDescent="0.2">
      <c r="A1939" s="26" t="e">
        <f t="shared" si="91"/>
        <v>#NUM!</v>
      </c>
      <c r="Y1939" s="221">
        <f t="shared" si="92"/>
        <v>0</v>
      </c>
      <c r="Z1939" t="e">
        <f t="shared" si="93"/>
        <v>#NUM!</v>
      </c>
    </row>
    <row r="1940" spans="1:26" x14ac:dyDescent="0.2">
      <c r="A1940" s="26" t="e">
        <f t="shared" si="91"/>
        <v>#NUM!</v>
      </c>
      <c r="Y1940" s="221">
        <f t="shared" si="92"/>
        <v>0</v>
      </c>
      <c r="Z1940" t="e">
        <f t="shared" si="93"/>
        <v>#NUM!</v>
      </c>
    </row>
    <row r="1941" spans="1:26" x14ac:dyDescent="0.2">
      <c r="A1941" s="26" t="e">
        <f t="shared" si="91"/>
        <v>#NUM!</v>
      </c>
      <c r="Y1941" s="221">
        <f t="shared" si="92"/>
        <v>0</v>
      </c>
      <c r="Z1941" t="e">
        <f t="shared" si="93"/>
        <v>#NUM!</v>
      </c>
    </row>
    <row r="1942" spans="1:26" x14ac:dyDescent="0.2">
      <c r="A1942" s="26" t="e">
        <f t="shared" si="91"/>
        <v>#NUM!</v>
      </c>
      <c r="Y1942" s="221">
        <f t="shared" si="92"/>
        <v>0</v>
      </c>
      <c r="Z1942" t="e">
        <f t="shared" si="93"/>
        <v>#NUM!</v>
      </c>
    </row>
    <row r="1943" spans="1:26" x14ac:dyDescent="0.2">
      <c r="A1943" s="26" t="e">
        <f t="shared" si="91"/>
        <v>#NUM!</v>
      </c>
      <c r="Y1943" s="221">
        <f t="shared" si="92"/>
        <v>0</v>
      </c>
      <c r="Z1943" t="e">
        <f t="shared" si="93"/>
        <v>#NUM!</v>
      </c>
    </row>
    <row r="1944" spans="1:26" x14ac:dyDescent="0.2">
      <c r="A1944" s="26" t="e">
        <f t="shared" si="91"/>
        <v>#NUM!</v>
      </c>
      <c r="Y1944" s="221">
        <f t="shared" si="92"/>
        <v>0</v>
      </c>
      <c r="Z1944" t="e">
        <f t="shared" si="93"/>
        <v>#NUM!</v>
      </c>
    </row>
    <row r="1945" spans="1:26" x14ac:dyDescent="0.2">
      <c r="A1945" s="26" t="e">
        <f t="shared" si="91"/>
        <v>#NUM!</v>
      </c>
      <c r="Y1945" s="221">
        <f t="shared" si="92"/>
        <v>0</v>
      </c>
      <c r="Z1945" t="e">
        <f t="shared" si="93"/>
        <v>#NUM!</v>
      </c>
    </row>
    <row r="1946" spans="1:26" x14ac:dyDescent="0.2">
      <c r="A1946" s="26" t="e">
        <f t="shared" si="91"/>
        <v>#NUM!</v>
      </c>
      <c r="Y1946" s="221">
        <f t="shared" si="92"/>
        <v>0</v>
      </c>
      <c r="Z1946" t="e">
        <f t="shared" si="93"/>
        <v>#NUM!</v>
      </c>
    </row>
    <row r="1947" spans="1:26" x14ac:dyDescent="0.2">
      <c r="A1947" s="26" t="e">
        <f t="shared" si="91"/>
        <v>#NUM!</v>
      </c>
      <c r="Y1947" s="221">
        <f t="shared" si="92"/>
        <v>0</v>
      </c>
      <c r="Z1947" t="e">
        <f t="shared" si="93"/>
        <v>#NUM!</v>
      </c>
    </row>
    <row r="1948" spans="1:26" x14ac:dyDescent="0.2">
      <c r="A1948" s="26" t="e">
        <f t="shared" si="91"/>
        <v>#NUM!</v>
      </c>
      <c r="Y1948" s="221">
        <f t="shared" si="92"/>
        <v>0</v>
      </c>
      <c r="Z1948" t="e">
        <f t="shared" si="93"/>
        <v>#NUM!</v>
      </c>
    </row>
    <row r="1949" spans="1:26" x14ac:dyDescent="0.2">
      <c r="A1949" s="26" t="e">
        <f t="shared" si="91"/>
        <v>#NUM!</v>
      </c>
      <c r="Y1949" s="221">
        <f t="shared" si="92"/>
        <v>0</v>
      </c>
      <c r="Z1949" t="e">
        <f t="shared" si="93"/>
        <v>#NUM!</v>
      </c>
    </row>
    <row r="1950" spans="1:26" x14ac:dyDescent="0.2">
      <c r="A1950" s="26" t="e">
        <f t="shared" si="91"/>
        <v>#NUM!</v>
      </c>
      <c r="Y1950" s="221">
        <f t="shared" si="92"/>
        <v>0</v>
      </c>
      <c r="Z1950" t="e">
        <f t="shared" si="93"/>
        <v>#NUM!</v>
      </c>
    </row>
    <row r="1951" spans="1:26" x14ac:dyDescent="0.2">
      <c r="A1951" s="26" t="e">
        <f t="shared" si="91"/>
        <v>#NUM!</v>
      </c>
      <c r="Y1951" s="221">
        <f t="shared" si="92"/>
        <v>0</v>
      </c>
      <c r="Z1951" t="e">
        <f t="shared" si="93"/>
        <v>#NUM!</v>
      </c>
    </row>
    <row r="1952" spans="1:26" x14ac:dyDescent="0.2">
      <c r="A1952" s="26" t="e">
        <f t="shared" si="91"/>
        <v>#NUM!</v>
      </c>
      <c r="Y1952" s="221">
        <f t="shared" si="92"/>
        <v>0</v>
      </c>
      <c r="Z1952" t="e">
        <f t="shared" si="93"/>
        <v>#NUM!</v>
      </c>
    </row>
    <row r="1953" spans="1:26" x14ac:dyDescent="0.2">
      <c r="A1953" s="26" t="e">
        <f t="shared" si="91"/>
        <v>#NUM!</v>
      </c>
      <c r="Y1953" s="221">
        <f t="shared" si="92"/>
        <v>0</v>
      </c>
      <c r="Z1953" t="e">
        <f t="shared" si="93"/>
        <v>#NUM!</v>
      </c>
    </row>
    <row r="1954" spans="1:26" x14ac:dyDescent="0.2">
      <c r="A1954" s="26" t="e">
        <f t="shared" si="91"/>
        <v>#NUM!</v>
      </c>
      <c r="Y1954" s="221">
        <f t="shared" si="92"/>
        <v>0</v>
      </c>
      <c r="Z1954" t="e">
        <f t="shared" si="93"/>
        <v>#NUM!</v>
      </c>
    </row>
    <row r="1955" spans="1:26" x14ac:dyDescent="0.2">
      <c r="A1955" s="26" t="e">
        <f t="shared" si="91"/>
        <v>#NUM!</v>
      </c>
      <c r="Y1955" s="221">
        <f t="shared" si="92"/>
        <v>0</v>
      </c>
      <c r="Z1955" t="e">
        <f t="shared" si="93"/>
        <v>#NUM!</v>
      </c>
    </row>
    <row r="1956" spans="1:26" x14ac:dyDescent="0.2">
      <c r="A1956" s="26" t="e">
        <f t="shared" si="91"/>
        <v>#NUM!</v>
      </c>
      <c r="Y1956" s="221">
        <f t="shared" si="92"/>
        <v>0</v>
      </c>
      <c r="Z1956" t="e">
        <f t="shared" si="93"/>
        <v>#NUM!</v>
      </c>
    </row>
    <row r="1957" spans="1:26" x14ac:dyDescent="0.2">
      <c r="A1957" s="26" t="e">
        <f t="shared" si="91"/>
        <v>#NUM!</v>
      </c>
      <c r="Y1957" s="221">
        <f t="shared" si="92"/>
        <v>0</v>
      </c>
      <c r="Z1957" t="e">
        <f t="shared" si="93"/>
        <v>#NUM!</v>
      </c>
    </row>
    <row r="1958" spans="1:26" x14ac:dyDescent="0.2">
      <c r="A1958" s="26" t="e">
        <f t="shared" si="91"/>
        <v>#NUM!</v>
      </c>
      <c r="Y1958" s="221">
        <f t="shared" si="92"/>
        <v>0</v>
      </c>
      <c r="Z1958" t="e">
        <f t="shared" si="93"/>
        <v>#NUM!</v>
      </c>
    </row>
    <row r="1959" spans="1:26" x14ac:dyDescent="0.2">
      <c r="A1959" s="26" t="e">
        <f t="shared" si="91"/>
        <v>#NUM!</v>
      </c>
      <c r="Y1959" s="221">
        <f t="shared" si="92"/>
        <v>0</v>
      </c>
      <c r="Z1959" t="e">
        <f t="shared" si="93"/>
        <v>#NUM!</v>
      </c>
    </row>
    <row r="1960" spans="1:26" x14ac:dyDescent="0.2">
      <c r="A1960" s="26" t="e">
        <f t="shared" si="91"/>
        <v>#NUM!</v>
      </c>
      <c r="Y1960" s="221">
        <f t="shared" si="92"/>
        <v>0</v>
      </c>
      <c r="Z1960" t="e">
        <f t="shared" si="93"/>
        <v>#NUM!</v>
      </c>
    </row>
    <row r="1961" spans="1:26" x14ac:dyDescent="0.2">
      <c r="A1961" s="26" t="e">
        <f t="shared" si="91"/>
        <v>#NUM!</v>
      </c>
      <c r="Y1961" s="221">
        <f t="shared" si="92"/>
        <v>0</v>
      </c>
      <c r="Z1961" t="e">
        <f t="shared" si="93"/>
        <v>#NUM!</v>
      </c>
    </row>
    <row r="1962" spans="1:26" x14ac:dyDescent="0.2">
      <c r="A1962" s="26" t="e">
        <f t="shared" si="91"/>
        <v>#NUM!</v>
      </c>
      <c r="Y1962" s="221">
        <f t="shared" si="92"/>
        <v>0</v>
      </c>
      <c r="Z1962" t="e">
        <f t="shared" si="93"/>
        <v>#NUM!</v>
      </c>
    </row>
    <row r="1963" spans="1:26" x14ac:dyDescent="0.2">
      <c r="A1963" s="26" t="e">
        <f t="shared" si="91"/>
        <v>#NUM!</v>
      </c>
      <c r="Y1963" s="221">
        <f t="shared" si="92"/>
        <v>0</v>
      </c>
      <c r="Z1963" t="e">
        <f t="shared" si="93"/>
        <v>#NUM!</v>
      </c>
    </row>
    <row r="1964" spans="1:26" x14ac:dyDescent="0.2">
      <c r="A1964" s="26" t="e">
        <f t="shared" si="91"/>
        <v>#NUM!</v>
      </c>
      <c r="Y1964" s="221">
        <f t="shared" si="92"/>
        <v>0</v>
      </c>
      <c r="Z1964" t="e">
        <f t="shared" si="93"/>
        <v>#NUM!</v>
      </c>
    </row>
    <row r="1965" spans="1:26" x14ac:dyDescent="0.2">
      <c r="A1965" s="26" t="e">
        <f t="shared" si="91"/>
        <v>#NUM!</v>
      </c>
      <c r="Y1965" s="221">
        <f t="shared" si="92"/>
        <v>0</v>
      </c>
      <c r="Z1965" t="e">
        <f t="shared" si="93"/>
        <v>#NUM!</v>
      </c>
    </row>
    <row r="1966" spans="1:26" x14ac:dyDescent="0.2">
      <c r="A1966" s="26" t="e">
        <f t="shared" si="91"/>
        <v>#NUM!</v>
      </c>
      <c r="Y1966" s="221">
        <f t="shared" si="92"/>
        <v>0</v>
      </c>
      <c r="Z1966" t="e">
        <f t="shared" si="93"/>
        <v>#NUM!</v>
      </c>
    </row>
    <row r="1967" spans="1:26" x14ac:dyDescent="0.2">
      <c r="A1967" s="26" t="e">
        <f t="shared" si="91"/>
        <v>#NUM!</v>
      </c>
      <c r="Y1967" s="221">
        <f t="shared" si="92"/>
        <v>0</v>
      </c>
      <c r="Z1967" t="e">
        <f t="shared" si="93"/>
        <v>#NUM!</v>
      </c>
    </row>
    <row r="1968" spans="1:26" x14ac:dyDescent="0.2">
      <c r="A1968" s="26" t="e">
        <f t="shared" si="91"/>
        <v>#NUM!</v>
      </c>
      <c r="Y1968" s="221">
        <f t="shared" si="92"/>
        <v>0</v>
      </c>
      <c r="Z1968" t="e">
        <f t="shared" si="93"/>
        <v>#NUM!</v>
      </c>
    </row>
    <row r="1969" spans="1:26" x14ac:dyDescent="0.2">
      <c r="A1969" s="26" t="e">
        <f t="shared" si="91"/>
        <v>#NUM!</v>
      </c>
      <c r="Y1969" s="221">
        <f t="shared" si="92"/>
        <v>0</v>
      </c>
      <c r="Z1969" t="e">
        <f t="shared" si="93"/>
        <v>#NUM!</v>
      </c>
    </row>
    <row r="1970" spans="1:26" x14ac:dyDescent="0.2">
      <c r="A1970" s="26" t="e">
        <f t="shared" si="91"/>
        <v>#NUM!</v>
      </c>
      <c r="Y1970" s="221">
        <f t="shared" si="92"/>
        <v>0</v>
      </c>
      <c r="Z1970" t="e">
        <f t="shared" si="93"/>
        <v>#NUM!</v>
      </c>
    </row>
    <row r="1971" spans="1:26" x14ac:dyDescent="0.2">
      <c r="A1971" s="26" t="e">
        <f t="shared" si="91"/>
        <v>#NUM!</v>
      </c>
      <c r="Y1971" s="221">
        <f t="shared" si="92"/>
        <v>0</v>
      </c>
      <c r="Z1971" t="e">
        <f t="shared" si="93"/>
        <v>#NUM!</v>
      </c>
    </row>
    <row r="1972" spans="1:26" x14ac:dyDescent="0.2">
      <c r="A1972" s="26" t="e">
        <f t="shared" si="91"/>
        <v>#NUM!</v>
      </c>
      <c r="Y1972" s="221">
        <f t="shared" si="92"/>
        <v>0</v>
      </c>
      <c r="Z1972" t="e">
        <f t="shared" si="93"/>
        <v>#NUM!</v>
      </c>
    </row>
    <row r="1973" spans="1:26" x14ac:dyDescent="0.2">
      <c r="A1973" s="26" t="e">
        <f t="shared" si="91"/>
        <v>#NUM!</v>
      </c>
      <c r="Y1973" s="221">
        <f t="shared" si="92"/>
        <v>0</v>
      </c>
      <c r="Z1973" t="e">
        <f t="shared" si="93"/>
        <v>#NUM!</v>
      </c>
    </row>
    <row r="1974" spans="1:26" x14ac:dyDescent="0.2">
      <c r="A1974" s="26" t="e">
        <f t="shared" si="91"/>
        <v>#NUM!</v>
      </c>
      <c r="Y1974" s="221">
        <f t="shared" si="92"/>
        <v>0</v>
      </c>
      <c r="Z1974" t="e">
        <f t="shared" si="93"/>
        <v>#NUM!</v>
      </c>
    </row>
    <row r="1975" spans="1:26" x14ac:dyDescent="0.2">
      <c r="A1975" s="26" t="e">
        <f t="shared" si="91"/>
        <v>#NUM!</v>
      </c>
      <c r="Y1975" s="221">
        <f t="shared" si="92"/>
        <v>0</v>
      </c>
      <c r="Z1975" t="e">
        <f t="shared" si="93"/>
        <v>#NUM!</v>
      </c>
    </row>
    <row r="1976" spans="1:26" x14ac:dyDescent="0.2">
      <c r="A1976" s="26" t="e">
        <f t="shared" si="91"/>
        <v>#NUM!</v>
      </c>
      <c r="Y1976" s="221">
        <f t="shared" si="92"/>
        <v>0</v>
      </c>
      <c r="Z1976" t="e">
        <f t="shared" si="93"/>
        <v>#NUM!</v>
      </c>
    </row>
    <row r="1977" spans="1:26" x14ac:dyDescent="0.2">
      <c r="A1977" s="26" t="e">
        <f t="shared" si="91"/>
        <v>#NUM!</v>
      </c>
      <c r="Y1977" s="221">
        <f t="shared" si="92"/>
        <v>0</v>
      </c>
      <c r="Z1977" t="e">
        <f t="shared" si="93"/>
        <v>#NUM!</v>
      </c>
    </row>
    <row r="1978" spans="1:26" x14ac:dyDescent="0.2">
      <c r="A1978" s="26" t="e">
        <f t="shared" si="91"/>
        <v>#NUM!</v>
      </c>
      <c r="Y1978" s="221">
        <f t="shared" si="92"/>
        <v>0</v>
      </c>
      <c r="Z1978" t="e">
        <f t="shared" si="93"/>
        <v>#NUM!</v>
      </c>
    </row>
    <row r="1979" spans="1:26" x14ac:dyDescent="0.2">
      <c r="A1979" s="26" t="e">
        <f t="shared" si="91"/>
        <v>#NUM!</v>
      </c>
      <c r="Y1979" s="221">
        <f t="shared" si="92"/>
        <v>0</v>
      </c>
      <c r="Z1979" t="e">
        <f t="shared" si="93"/>
        <v>#NUM!</v>
      </c>
    </row>
    <row r="1980" spans="1:26" x14ac:dyDescent="0.2">
      <c r="A1980" s="26" t="e">
        <f t="shared" si="91"/>
        <v>#NUM!</v>
      </c>
      <c r="Y1980" s="221">
        <f t="shared" si="92"/>
        <v>0</v>
      </c>
      <c r="Z1980" t="e">
        <f t="shared" si="93"/>
        <v>#NUM!</v>
      </c>
    </row>
    <row r="1981" spans="1:26" x14ac:dyDescent="0.2">
      <c r="A1981" s="26" t="e">
        <f t="shared" si="91"/>
        <v>#NUM!</v>
      </c>
      <c r="Y1981" s="221">
        <f t="shared" si="92"/>
        <v>0</v>
      </c>
      <c r="Z1981" t="e">
        <f t="shared" si="93"/>
        <v>#NUM!</v>
      </c>
    </row>
    <row r="1982" spans="1:26" x14ac:dyDescent="0.2">
      <c r="A1982" s="26" t="e">
        <f t="shared" si="91"/>
        <v>#NUM!</v>
      </c>
      <c r="Y1982" s="221">
        <f t="shared" si="92"/>
        <v>0</v>
      </c>
      <c r="Z1982" t="e">
        <f t="shared" si="93"/>
        <v>#NUM!</v>
      </c>
    </row>
    <row r="1983" spans="1:26" x14ac:dyDescent="0.2">
      <c r="A1983" s="26" t="e">
        <f t="shared" si="91"/>
        <v>#NUM!</v>
      </c>
      <c r="Y1983" s="221">
        <f t="shared" si="92"/>
        <v>0</v>
      </c>
      <c r="Z1983" t="e">
        <f t="shared" si="93"/>
        <v>#NUM!</v>
      </c>
    </row>
    <row r="1984" spans="1:26" x14ac:dyDescent="0.2">
      <c r="A1984" s="26" t="e">
        <f t="shared" si="91"/>
        <v>#NUM!</v>
      </c>
      <c r="Y1984" s="221">
        <f t="shared" si="92"/>
        <v>0</v>
      </c>
      <c r="Z1984" t="e">
        <f t="shared" si="93"/>
        <v>#NUM!</v>
      </c>
    </row>
    <row r="1985" spans="1:26" x14ac:dyDescent="0.2">
      <c r="A1985" s="26" t="e">
        <f t="shared" si="91"/>
        <v>#NUM!</v>
      </c>
      <c r="Y1985" s="221">
        <f t="shared" si="92"/>
        <v>0</v>
      </c>
      <c r="Z1985" t="e">
        <f t="shared" si="93"/>
        <v>#NUM!</v>
      </c>
    </row>
    <row r="1986" spans="1:26" x14ac:dyDescent="0.2">
      <c r="A1986" s="26" t="e">
        <f t="shared" si="91"/>
        <v>#NUM!</v>
      </c>
      <c r="Y1986" s="221">
        <f t="shared" si="92"/>
        <v>0</v>
      </c>
      <c r="Z1986" t="e">
        <f t="shared" si="93"/>
        <v>#NUM!</v>
      </c>
    </row>
    <row r="1987" spans="1:26" x14ac:dyDescent="0.2">
      <c r="A1987" s="26" t="e">
        <f t="shared" ref="A1987:A2000" si="94">DATE(B1987,C1987,D1987)</f>
        <v>#NUM!</v>
      </c>
      <c r="Y1987" s="221">
        <f t="shared" ref="Y1987:Y2000" si="95">SUM(G1987:W1987)</f>
        <v>0</v>
      </c>
      <c r="Z1987" t="e">
        <f t="shared" ref="Z1987:Z2000" si="96">IF(OR(WEEKDAY(A1987,2)=6,WEEKDAY(A1987,2)=7),X1987,0)</f>
        <v>#NUM!</v>
      </c>
    </row>
    <row r="1988" spans="1:26" x14ac:dyDescent="0.2">
      <c r="A1988" s="26" t="e">
        <f t="shared" si="94"/>
        <v>#NUM!</v>
      </c>
      <c r="Y1988" s="221">
        <f t="shared" si="95"/>
        <v>0</v>
      </c>
      <c r="Z1988" t="e">
        <f t="shared" si="96"/>
        <v>#NUM!</v>
      </c>
    </row>
    <row r="1989" spans="1:26" x14ac:dyDescent="0.2">
      <c r="A1989" s="26" t="e">
        <f t="shared" si="94"/>
        <v>#NUM!</v>
      </c>
      <c r="Y1989" s="221">
        <f t="shared" si="95"/>
        <v>0</v>
      </c>
      <c r="Z1989" t="e">
        <f t="shared" si="96"/>
        <v>#NUM!</v>
      </c>
    </row>
    <row r="1990" spans="1:26" x14ac:dyDescent="0.2">
      <c r="A1990" s="26" t="e">
        <f t="shared" si="94"/>
        <v>#NUM!</v>
      </c>
      <c r="Y1990" s="221">
        <f t="shared" si="95"/>
        <v>0</v>
      </c>
      <c r="Z1990" t="e">
        <f t="shared" si="96"/>
        <v>#NUM!</v>
      </c>
    </row>
    <row r="1991" spans="1:26" x14ac:dyDescent="0.2">
      <c r="A1991" s="26" t="e">
        <f t="shared" si="94"/>
        <v>#NUM!</v>
      </c>
      <c r="Y1991" s="221">
        <f t="shared" si="95"/>
        <v>0</v>
      </c>
      <c r="Z1991" t="e">
        <f t="shared" si="96"/>
        <v>#NUM!</v>
      </c>
    </row>
    <row r="1992" spans="1:26" x14ac:dyDescent="0.2">
      <c r="A1992" s="26" t="e">
        <f t="shared" si="94"/>
        <v>#NUM!</v>
      </c>
      <c r="Y1992" s="221">
        <f t="shared" si="95"/>
        <v>0</v>
      </c>
      <c r="Z1992" t="e">
        <f t="shared" si="96"/>
        <v>#NUM!</v>
      </c>
    </row>
    <row r="1993" spans="1:26" x14ac:dyDescent="0.2">
      <c r="A1993" s="26" t="e">
        <f t="shared" si="94"/>
        <v>#NUM!</v>
      </c>
      <c r="Y1993" s="221">
        <f t="shared" si="95"/>
        <v>0</v>
      </c>
      <c r="Z1993" t="e">
        <f t="shared" si="96"/>
        <v>#NUM!</v>
      </c>
    </row>
    <row r="1994" spans="1:26" x14ac:dyDescent="0.2">
      <c r="A1994" s="26" t="e">
        <f t="shared" si="94"/>
        <v>#NUM!</v>
      </c>
      <c r="Y1994" s="221">
        <f t="shared" si="95"/>
        <v>0</v>
      </c>
      <c r="Z1994" t="e">
        <f t="shared" si="96"/>
        <v>#NUM!</v>
      </c>
    </row>
    <row r="1995" spans="1:26" x14ac:dyDescent="0.2">
      <c r="A1995" s="26" t="e">
        <f t="shared" si="94"/>
        <v>#NUM!</v>
      </c>
      <c r="Y1995" s="221">
        <f t="shared" si="95"/>
        <v>0</v>
      </c>
      <c r="Z1995" t="e">
        <f t="shared" si="96"/>
        <v>#NUM!</v>
      </c>
    </row>
    <row r="1996" spans="1:26" x14ac:dyDescent="0.2">
      <c r="A1996" s="26" t="e">
        <f t="shared" si="94"/>
        <v>#NUM!</v>
      </c>
      <c r="Y1996" s="221">
        <f t="shared" si="95"/>
        <v>0</v>
      </c>
      <c r="Z1996" t="e">
        <f t="shared" si="96"/>
        <v>#NUM!</v>
      </c>
    </row>
    <row r="1997" spans="1:26" x14ac:dyDescent="0.2">
      <c r="A1997" s="26" t="e">
        <f t="shared" si="94"/>
        <v>#NUM!</v>
      </c>
      <c r="Y1997" s="221">
        <f t="shared" si="95"/>
        <v>0</v>
      </c>
      <c r="Z1997" t="e">
        <f t="shared" si="96"/>
        <v>#NUM!</v>
      </c>
    </row>
    <row r="1998" spans="1:26" x14ac:dyDescent="0.2">
      <c r="A1998" s="26" t="e">
        <f t="shared" si="94"/>
        <v>#NUM!</v>
      </c>
      <c r="Y1998" s="221">
        <f t="shared" si="95"/>
        <v>0</v>
      </c>
      <c r="Z1998" t="e">
        <f t="shared" si="96"/>
        <v>#NUM!</v>
      </c>
    </row>
    <row r="1999" spans="1:26" x14ac:dyDescent="0.2">
      <c r="A1999" s="26" t="e">
        <f t="shared" si="94"/>
        <v>#NUM!</v>
      </c>
      <c r="Y1999" s="221">
        <f t="shared" si="95"/>
        <v>0</v>
      </c>
      <c r="Z1999" t="e">
        <f t="shared" si="96"/>
        <v>#NUM!</v>
      </c>
    </row>
    <row r="2000" spans="1:26" x14ac:dyDescent="0.2">
      <c r="A2000" s="26" t="e">
        <f t="shared" si="94"/>
        <v>#NUM!</v>
      </c>
      <c r="Y2000" s="221">
        <f t="shared" si="95"/>
        <v>0</v>
      </c>
      <c r="Z2000" t="e">
        <f t="shared" si="96"/>
        <v>#NUM!</v>
      </c>
    </row>
  </sheetData>
  <autoFilter ref="A1:X2000" xr:uid="{00000000-0009-0000-0000-00000A000000}"/>
  <customSheetViews>
    <customSheetView guid="{FC643F0B-3E44-4304-9C6C-EBD35A45B8FD}" showAutoFilter="1" hiddenColumns="1" topLeftCell="B1">
      <selection activeCell="B1" sqref="B1:X679"/>
      <pageMargins left="0" right="0" top="0" bottom="0" header="0" footer="0"/>
      <autoFilter ref="A1:X2000" xr:uid="{11925DDA-95F7-424E-B196-2A3D58C351AF}"/>
    </customSheetView>
    <customSheetView guid="{ECC56881-4CE2-4FBF-815D-85F544F885E8}" showAutoFilter="1">
      <selection sqref="A1:A1048576"/>
      <pageMargins left="0" right="0" top="0" bottom="0" header="0" footer="0"/>
      <autoFilter ref="A1:X2000" xr:uid="{7E5F5735-B392-4F63-8BCE-EBB00138B0B2}"/>
    </customSheetView>
    <customSheetView guid="{40F11FFD-627B-4157-AFFE-E57E44CED524}" showAutoFilter="1" hiddenColumns="1" topLeftCell="B1">
      <selection activeCell="Z8" sqref="Z8"/>
      <pageMargins left="0" right="0" top="0" bottom="0" header="0" footer="0"/>
      <autoFilter ref="A1:X2000" xr:uid="{61CB9767-CF8B-48E0-A22E-BDE0DA1FA160}"/>
    </customSheetView>
  </customSheetView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BT428"/>
  <sheetViews>
    <sheetView workbookViewId="0">
      <pane ySplit="153" topLeftCell="A154" activePane="bottomLeft" state="frozen"/>
      <selection pane="bottomLeft" activeCell="J436" sqref="J436"/>
    </sheetView>
  </sheetViews>
  <sheetFormatPr defaultRowHeight="12.75" x14ac:dyDescent="0.2"/>
  <cols>
    <col min="1" max="1" width="10.7109375" style="78" customWidth="1"/>
    <col min="2" max="15" width="10.140625" style="78" customWidth="1"/>
    <col min="17" max="17" width="10.42578125" bestFit="1" customWidth="1"/>
    <col min="18" max="31" width="10.7109375" style="78" customWidth="1"/>
    <col min="34" max="35" width="6.42578125" bestFit="1" customWidth="1"/>
    <col min="36" max="49" width="10.7109375" customWidth="1"/>
    <col min="53" max="53" width="10.42578125" bestFit="1" customWidth="1"/>
    <col min="66" max="66" width="7.7109375" bestFit="1" customWidth="1"/>
    <col min="68" max="68" width="11" bestFit="1" customWidth="1"/>
    <col min="69" max="70" width="11" customWidth="1"/>
    <col min="71" max="71" width="9.7109375" bestFit="1" customWidth="1"/>
    <col min="72" max="72" width="3.7109375" customWidth="1"/>
  </cols>
  <sheetData>
    <row r="1" spans="1:72" s="160" customFormat="1" ht="30" customHeight="1" x14ac:dyDescent="0.2">
      <c r="A1" s="161" t="s">
        <v>78</v>
      </c>
      <c r="B1" s="161" t="s">
        <v>155</v>
      </c>
      <c r="C1" s="161" t="s">
        <v>156</v>
      </c>
      <c r="D1" s="161" t="s">
        <v>157</v>
      </c>
      <c r="E1" s="161" t="s">
        <v>158</v>
      </c>
      <c r="F1" s="161" t="s">
        <v>159</v>
      </c>
      <c r="G1" s="161" t="s">
        <v>160</v>
      </c>
      <c r="H1" s="161" t="s">
        <v>161</v>
      </c>
      <c r="I1" s="161" t="s">
        <v>162</v>
      </c>
      <c r="J1" s="161" t="s">
        <v>163</v>
      </c>
      <c r="K1" s="161" t="s">
        <v>164</v>
      </c>
      <c r="L1" s="161" t="s">
        <v>165</v>
      </c>
      <c r="M1" s="161" t="s">
        <v>166</v>
      </c>
      <c r="N1" s="161" t="s">
        <v>167</v>
      </c>
      <c r="O1" s="162" t="s">
        <v>168</v>
      </c>
      <c r="BT1" s="102"/>
    </row>
    <row r="2" spans="1:72" hidden="1" x14ac:dyDescent="0.2">
      <c r="A2" s="163">
        <v>42309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6"/>
    </row>
    <row r="3" spans="1:72" hidden="1" x14ac:dyDescent="0.2">
      <c r="A3" s="164">
        <v>42310</v>
      </c>
      <c r="B3" s="177"/>
      <c r="C3" s="177"/>
      <c r="D3" s="177"/>
      <c r="E3" s="177"/>
      <c r="F3" s="177"/>
      <c r="G3" s="177"/>
      <c r="H3" s="177"/>
      <c r="I3" s="177"/>
      <c r="J3" s="177">
        <v>100</v>
      </c>
      <c r="K3" s="177">
        <v>88</v>
      </c>
      <c r="L3" s="177"/>
      <c r="M3" s="177"/>
      <c r="N3" s="177"/>
      <c r="O3" s="178"/>
    </row>
    <row r="4" spans="1:72" hidden="1" x14ac:dyDescent="0.2">
      <c r="A4" s="165">
        <v>42311</v>
      </c>
      <c r="B4" s="179"/>
      <c r="C4" s="179">
        <v>95</v>
      </c>
      <c r="D4" s="179">
        <v>46</v>
      </c>
      <c r="E4" s="179">
        <v>115</v>
      </c>
      <c r="F4" s="179"/>
      <c r="G4" s="179">
        <v>68</v>
      </c>
      <c r="H4" s="179">
        <v>118</v>
      </c>
      <c r="I4" s="179">
        <v>204</v>
      </c>
      <c r="J4" s="179">
        <v>88</v>
      </c>
      <c r="K4" s="179">
        <v>63</v>
      </c>
      <c r="L4" s="179">
        <v>45</v>
      </c>
      <c r="M4" s="179"/>
      <c r="N4" s="179"/>
      <c r="O4" s="180"/>
    </row>
    <row r="5" spans="1:72" hidden="1" x14ac:dyDescent="0.2">
      <c r="A5" s="164">
        <v>42312</v>
      </c>
      <c r="B5" s="177"/>
      <c r="C5" s="177">
        <v>105</v>
      </c>
      <c r="D5" s="177">
        <v>57</v>
      </c>
      <c r="E5" s="177">
        <v>75</v>
      </c>
      <c r="F5" s="177"/>
      <c r="G5" s="177">
        <v>130</v>
      </c>
      <c r="H5" s="177">
        <v>42</v>
      </c>
      <c r="I5" s="177">
        <v>141</v>
      </c>
      <c r="J5" s="177">
        <v>59</v>
      </c>
      <c r="K5" s="177">
        <v>53</v>
      </c>
      <c r="L5" s="177">
        <v>67</v>
      </c>
      <c r="M5" s="177"/>
      <c r="N5" s="177"/>
      <c r="O5" s="178">
        <v>164</v>
      </c>
    </row>
    <row r="6" spans="1:72" hidden="1" x14ac:dyDescent="0.2">
      <c r="A6" s="165">
        <v>42313</v>
      </c>
      <c r="B6" s="179"/>
      <c r="C6" s="179">
        <v>107</v>
      </c>
      <c r="D6" s="179">
        <v>127</v>
      </c>
      <c r="E6" s="179">
        <v>77</v>
      </c>
      <c r="F6" s="179"/>
      <c r="G6" s="179">
        <v>49</v>
      </c>
      <c r="H6" s="179">
        <v>130</v>
      </c>
      <c r="I6" s="179">
        <v>171</v>
      </c>
      <c r="J6" s="179"/>
      <c r="K6" s="179">
        <v>56</v>
      </c>
      <c r="L6" s="179">
        <v>24</v>
      </c>
      <c r="M6" s="179"/>
      <c r="N6" s="179">
        <v>21</v>
      </c>
      <c r="O6" s="180">
        <v>112</v>
      </c>
    </row>
    <row r="7" spans="1:72" hidden="1" x14ac:dyDescent="0.2">
      <c r="A7" s="164">
        <v>42314</v>
      </c>
      <c r="B7" s="177">
        <v>47</v>
      </c>
      <c r="C7" s="177">
        <v>89</v>
      </c>
      <c r="D7" s="177">
        <v>86</v>
      </c>
      <c r="E7" s="177">
        <v>64</v>
      </c>
      <c r="F7" s="177"/>
      <c r="G7" s="177">
        <v>84</v>
      </c>
      <c r="H7" s="177">
        <v>126</v>
      </c>
      <c r="I7" s="177"/>
      <c r="J7" s="177">
        <v>57</v>
      </c>
      <c r="K7" s="177">
        <v>124</v>
      </c>
      <c r="L7" s="177">
        <v>66</v>
      </c>
      <c r="M7" s="177"/>
      <c r="N7" s="177">
        <v>57</v>
      </c>
      <c r="O7" s="178">
        <v>125</v>
      </c>
    </row>
    <row r="8" spans="1:72" hidden="1" x14ac:dyDescent="0.2">
      <c r="A8" s="165">
        <v>42315</v>
      </c>
      <c r="B8" s="179"/>
      <c r="C8" s="179"/>
      <c r="D8" s="179"/>
      <c r="E8" s="179">
        <v>16</v>
      </c>
      <c r="F8" s="179"/>
      <c r="G8" s="179"/>
      <c r="H8" s="179">
        <v>77</v>
      </c>
      <c r="I8" s="179"/>
      <c r="J8" s="179">
        <v>46</v>
      </c>
      <c r="K8" s="179">
        <v>66</v>
      </c>
      <c r="L8" s="179"/>
      <c r="M8" s="179"/>
      <c r="N8" s="179"/>
      <c r="O8" s="180">
        <v>65</v>
      </c>
    </row>
    <row r="9" spans="1:72" hidden="1" x14ac:dyDescent="0.2">
      <c r="A9" s="164">
        <v>42316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8"/>
    </row>
    <row r="10" spans="1:72" hidden="1" x14ac:dyDescent="0.2">
      <c r="A10" s="165">
        <v>42317</v>
      </c>
      <c r="B10" s="179"/>
      <c r="C10" s="179">
        <v>157</v>
      </c>
      <c r="D10" s="179">
        <v>115</v>
      </c>
      <c r="E10" s="179">
        <v>69</v>
      </c>
      <c r="F10" s="179"/>
      <c r="G10" s="179">
        <v>40</v>
      </c>
      <c r="H10" s="179">
        <v>88</v>
      </c>
      <c r="I10" s="179">
        <v>143</v>
      </c>
      <c r="J10" s="179">
        <v>104</v>
      </c>
      <c r="K10" s="179">
        <v>66</v>
      </c>
      <c r="L10" s="179">
        <v>22</v>
      </c>
      <c r="M10" s="179"/>
      <c r="N10" s="179">
        <v>20</v>
      </c>
      <c r="O10" s="180">
        <v>105</v>
      </c>
    </row>
    <row r="11" spans="1:72" hidden="1" x14ac:dyDescent="0.2">
      <c r="A11" s="164">
        <v>42318</v>
      </c>
      <c r="B11" s="177"/>
      <c r="C11" s="177">
        <v>87</v>
      </c>
      <c r="D11" s="177">
        <v>39</v>
      </c>
      <c r="E11" s="177">
        <v>119</v>
      </c>
      <c r="F11" s="177"/>
      <c r="G11" s="177">
        <v>101</v>
      </c>
      <c r="H11" s="177">
        <v>118</v>
      </c>
      <c r="I11" s="177">
        <v>157</v>
      </c>
      <c r="J11" s="177">
        <v>84</v>
      </c>
      <c r="K11" s="177">
        <v>81</v>
      </c>
      <c r="L11" s="177">
        <v>67</v>
      </c>
      <c r="M11" s="177"/>
      <c r="N11" s="177">
        <v>22</v>
      </c>
      <c r="O11" s="178">
        <v>125</v>
      </c>
    </row>
    <row r="12" spans="1:72" hidden="1" x14ac:dyDescent="0.2">
      <c r="A12" s="165">
        <v>42319</v>
      </c>
      <c r="B12" s="179"/>
      <c r="C12" s="179">
        <v>77</v>
      </c>
      <c r="D12" s="179">
        <v>83</v>
      </c>
      <c r="E12" s="179">
        <v>40</v>
      </c>
      <c r="F12" s="179"/>
      <c r="G12" s="179">
        <v>83</v>
      </c>
      <c r="H12" s="179">
        <v>35</v>
      </c>
      <c r="I12" s="179">
        <v>88</v>
      </c>
      <c r="J12" s="179">
        <v>58</v>
      </c>
      <c r="K12" s="179">
        <v>71</v>
      </c>
      <c r="L12" s="179">
        <v>67</v>
      </c>
      <c r="M12" s="179"/>
      <c r="N12" s="179"/>
      <c r="O12" s="180">
        <v>86</v>
      </c>
    </row>
    <row r="13" spans="1:72" hidden="1" x14ac:dyDescent="0.2">
      <c r="A13" s="164">
        <v>42320</v>
      </c>
      <c r="B13" s="177"/>
      <c r="C13" s="177">
        <v>32</v>
      </c>
      <c r="D13" s="177">
        <v>73</v>
      </c>
      <c r="E13" s="177">
        <v>125</v>
      </c>
      <c r="F13" s="177"/>
      <c r="G13" s="177">
        <v>164</v>
      </c>
      <c r="H13" s="177">
        <v>120</v>
      </c>
      <c r="I13" s="177">
        <v>139</v>
      </c>
      <c r="J13" s="177">
        <v>77</v>
      </c>
      <c r="K13" s="177">
        <v>67</v>
      </c>
      <c r="L13" s="177">
        <v>67</v>
      </c>
      <c r="M13" s="177"/>
      <c r="N13" s="177"/>
      <c r="O13" s="178">
        <v>103</v>
      </c>
    </row>
    <row r="14" spans="1:72" hidden="1" x14ac:dyDescent="0.2">
      <c r="A14" s="165">
        <v>42321</v>
      </c>
      <c r="B14" s="179"/>
      <c r="C14" s="179">
        <v>85</v>
      </c>
      <c r="D14" s="179">
        <v>129</v>
      </c>
      <c r="E14" s="179">
        <v>64</v>
      </c>
      <c r="F14" s="179"/>
      <c r="G14" s="179">
        <v>82</v>
      </c>
      <c r="H14" s="179">
        <v>74</v>
      </c>
      <c r="I14" s="179">
        <v>131</v>
      </c>
      <c r="J14" s="179">
        <v>96</v>
      </c>
      <c r="K14" s="179">
        <v>69</v>
      </c>
      <c r="L14" s="179">
        <v>51</v>
      </c>
      <c r="M14" s="179"/>
      <c r="N14" s="179">
        <v>66</v>
      </c>
      <c r="O14" s="180">
        <v>70</v>
      </c>
    </row>
    <row r="15" spans="1:72" hidden="1" x14ac:dyDescent="0.2">
      <c r="A15" s="164">
        <v>42322</v>
      </c>
      <c r="B15" s="177"/>
      <c r="C15" s="177"/>
      <c r="D15" s="177"/>
      <c r="E15" s="177">
        <v>33</v>
      </c>
      <c r="F15" s="177"/>
      <c r="G15" s="177"/>
      <c r="H15" s="177">
        <v>50</v>
      </c>
      <c r="I15" s="177"/>
      <c r="J15" s="177">
        <v>51</v>
      </c>
      <c r="K15" s="177">
        <v>55</v>
      </c>
      <c r="L15" s="177"/>
      <c r="M15" s="177"/>
      <c r="N15" s="177"/>
      <c r="O15" s="178"/>
    </row>
    <row r="16" spans="1:72" hidden="1" x14ac:dyDescent="0.2">
      <c r="A16" s="165">
        <v>42323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80"/>
    </row>
    <row r="17" spans="1:15" hidden="1" x14ac:dyDescent="0.2">
      <c r="A17" s="164">
        <v>42324</v>
      </c>
      <c r="B17" s="177"/>
      <c r="C17" s="177">
        <v>107</v>
      </c>
      <c r="D17" s="177">
        <v>103</v>
      </c>
      <c r="E17" s="177">
        <v>68</v>
      </c>
      <c r="F17" s="177"/>
      <c r="G17" s="177">
        <v>48</v>
      </c>
      <c r="H17" s="177">
        <v>94</v>
      </c>
      <c r="I17" s="177">
        <v>141</v>
      </c>
      <c r="J17" s="177">
        <v>42</v>
      </c>
      <c r="K17" s="177">
        <v>72</v>
      </c>
      <c r="L17" s="177">
        <v>85</v>
      </c>
      <c r="M17" s="177"/>
      <c r="N17" s="177">
        <v>64</v>
      </c>
      <c r="O17" s="178">
        <v>131</v>
      </c>
    </row>
    <row r="18" spans="1:15" hidden="1" x14ac:dyDescent="0.2">
      <c r="A18" s="165">
        <v>42325</v>
      </c>
      <c r="B18" s="179"/>
      <c r="C18" s="179">
        <v>49</v>
      </c>
      <c r="D18" s="179">
        <v>76</v>
      </c>
      <c r="E18" s="179"/>
      <c r="F18" s="179"/>
      <c r="G18" s="179">
        <v>92</v>
      </c>
      <c r="H18" s="179">
        <v>215</v>
      </c>
      <c r="I18" s="179">
        <v>220</v>
      </c>
      <c r="J18" s="179">
        <v>83</v>
      </c>
      <c r="K18" s="179">
        <v>51</v>
      </c>
      <c r="L18" s="179">
        <v>38</v>
      </c>
      <c r="M18" s="179"/>
      <c r="N18" s="179"/>
      <c r="O18" s="180">
        <v>127</v>
      </c>
    </row>
    <row r="19" spans="1:15" hidden="1" x14ac:dyDescent="0.2">
      <c r="A19" s="164">
        <v>42326</v>
      </c>
      <c r="B19" s="177"/>
      <c r="C19" s="177">
        <v>22</v>
      </c>
      <c r="D19" s="177">
        <v>116</v>
      </c>
      <c r="E19" s="177">
        <v>58</v>
      </c>
      <c r="F19" s="177"/>
      <c r="G19" s="177">
        <v>60</v>
      </c>
      <c r="H19" s="177">
        <v>75</v>
      </c>
      <c r="I19" s="177">
        <v>156</v>
      </c>
      <c r="J19" s="177"/>
      <c r="K19" s="177">
        <v>93</v>
      </c>
      <c r="L19" s="177">
        <v>64</v>
      </c>
      <c r="M19" s="177"/>
      <c r="N19" s="177"/>
      <c r="O19" s="178">
        <v>93</v>
      </c>
    </row>
    <row r="20" spans="1:15" hidden="1" x14ac:dyDescent="0.2">
      <c r="A20" s="165">
        <v>42327</v>
      </c>
      <c r="B20" s="179"/>
      <c r="C20" s="179">
        <v>81</v>
      </c>
      <c r="D20" s="179">
        <v>147</v>
      </c>
      <c r="E20" s="179">
        <v>97</v>
      </c>
      <c r="F20" s="179"/>
      <c r="G20" s="179">
        <v>82</v>
      </c>
      <c r="H20" s="179">
        <v>117</v>
      </c>
      <c r="I20" s="179">
        <v>150</v>
      </c>
      <c r="J20" s="179">
        <v>106</v>
      </c>
      <c r="K20" s="179">
        <v>93</v>
      </c>
      <c r="L20" s="179">
        <v>32</v>
      </c>
      <c r="M20" s="179"/>
      <c r="N20" s="179"/>
      <c r="O20" s="180">
        <v>117</v>
      </c>
    </row>
    <row r="21" spans="1:15" hidden="1" x14ac:dyDescent="0.2">
      <c r="A21" s="164">
        <v>42328</v>
      </c>
      <c r="B21" s="177"/>
      <c r="C21" s="177">
        <v>110</v>
      </c>
      <c r="D21" s="177">
        <v>133</v>
      </c>
      <c r="E21" s="177">
        <v>59</v>
      </c>
      <c r="F21" s="177"/>
      <c r="G21" s="177">
        <v>70</v>
      </c>
      <c r="H21" s="177">
        <v>101</v>
      </c>
      <c r="I21" s="177">
        <v>123</v>
      </c>
      <c r="J21" s="177">
        <v>59</v>
      </c>
      <c r="K21" s="177">
        <v>134</v>
      </c>
      <c r="L21" s="177">
        <v>65</v>
      </c>
      <c r="M21" s="177"/>
      <c r="N21" s="177"/>
      <c r="O21" s="178">
        <v>118</v>
      </c>
    </row>
    <row r="22" spans="1:15" hidden="1" x14ac:dyDescent="0.2">
      <c r="A22" s="165">
        <v>42329</v>
      </c>
      <c r="B22" s="179"/>
      <c r="C22" s="179"/>
      <c r="D22" s="179"/>
      <c r="E22" s="179">
        <v>40</v>
      </c>
      <c r="F22" s="179"/>
      <c r="G22" s="179"/>
      <c r="H22" s="179">
        <v>71</v>
      </c>
      <c r="I22" s="179"/>
      <c r="J22" s="179">
        <v>67</v>
      </c>
      <c r="K22" s="179">
        <v>47</v>
      </c>
      <c r="L22" s="179"/>
      <c r="M22" s="179"/>
      <c r="N22" s="179"/>
      <c r="O22" s="180"/>
    </row>
    <row r="23" spans="1:15" hidden="1" x14ac:dyDescent="0.2">
      <c r="A23" s="164">
        <v>42330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8"/>
    </row>
    <row r="24" spans="1:15" hidden="1" x14ac:dyDescent="0.2">
      <c r="A24" s="165">
        <v>42331</v>
      </c>
      <c r="B24" s="179"/>
      <c r="C24" s="179">
        <v>125</v>
      </c>
      <c r="D24" s="179"/>
      <c r="E24" s="179">
        <v>102</v>
      </c>
      <c r="F24" s="179"/>
      <c r="G24" s="179">
        <v>105</v>
      </c>
      <c r="H24" s="179">
        <v>77</v>
      </c>
      <c r="I24" s="179">
        <v>81</v>
      </c>
      <c r="J24" s="179">
        <v>91</v>
      </c>
      <c r="K24" s="179">
        <v>45</v>
      </c>
      <c r="L24" s="179">
        <v>95</v>
      </c>
      <c r="M24" s="179"/>
      <c r="N24" s="179"/>
      <c r="O24" s="180">
        <v>96</v>
      </c>
    </row>
    <row r="25" spans="1:15" hidden="1" x14ac:dyDescent="0.2">
      <c r="A25" s="164">
        <v>42332</v>
      </c>
      <c r="B25" s="177"/>
      <c r="C25" s="177">
        <v>58</v>
      </c>
      <c r="D25" s="177">
        <v>120</v>
      </c>
      <c r="E25" s="177">
        <v>58</v>
      </c>
      <c r="F25" s="177"/>
      <c r="G25" s="177">
        <v>61</v>
      </c>
      <c r="H25" s="177">
        <v>92</v>
      </c>
      <c r="I25" s="177">
        <v>138</v>
      </c>
      <c r="J25" s="177">
        <v>72</v>
      </c>
      <c r="K25" s="177">
        <v>50</v>
      </c>
      <c r="L25" s="177">
        <v>67</v>
      </c>
      <c r="M25" s="177"/>
      <c r="N25" s="177"/>
      <c r="O25" s="178">
        <v>102</v>
      </c>
    </row>
    <row r="26" spans="1:15" hidden="1" x14ac:dyDescent="0.2">
      <c r="A26" s="165">
        <v>42333</v>
      </c>
      <c r="B26" s="179"/>
      <c r="C26" s="179">
        <v>256</v>
      </c>
      <c r="D26" s="179">
        <v>43</v>
      </c>
      <c r="E26" s="179">
        <v>77</v>
      </c>
      <c r="F26" s="179"/>
      <c r="G26" s="179">
        <v>80</v>
      </c>
      <c r="H26" s="179">
        <v>61</v>
      </c>
      <c r="I26" s="179">
        <v>51</v>
      </c>
      <c r="J26" s="179">
        <v>27</v>
      </c>
      <c r="K26" s="179">
        <v>80</v>
      </c>
      <c r="L26" s="179">
        <v>47</v>
      </c>
      <c r="M26" s="179"/>
      <c r="N26" s="179"/>
      <c r="O26" s="180">
        <v>81</v>
      </c>
    </row>
    <row r="27" spans="1:15" hidden="1" x14ac:dyDescent="0.2">
      <c r="A27" s="164">
        <v>42334</v>
      </c>
      <c r="B27" s="177"/>
      <c r="C27" s="177">
        <v>36</v>
      </c>
      <c r="D27" s="177">
        <v>177</v>
      </c>
      <c r="E27" s="177"/>
      <c r="F27" s="177"/>
      <c r="G27" s="177">
        <v>97</v>
      </c>
      <c r="H27" s="177">
        <v>121</v>
      </c>
      <c r="I27" s="177">
        <v>80</v>
      </c>
      <c r="J27" s="177">
        <v>66</v>
      </c>
      <c r="K27" s="177"/>
      <c r="L27" s="177">
        <v>92</v>
      </c>
      <c r="M27" s="177"/>
      <c r="N27" s="177"/>
      <c r="O27" s="178">
        <v>95</v>
      </c>
    </row>
    <row r="28" spans="1:15" hidden="1" x14ac:dyDescent="0.2">
      <c r="A28" s="165">
        <v>42335</v>
      </c>
      <c r="B28" s="179"/>
      <c r="C28" s="179">
        <v>17</v>
      </c>
      <c r="D28" s="179">
        <v>71</v>
      </c>
      <c r="E28" s="179"/>
      <c r="F28" s="179"/>
      <c r="G28" s="179">
        <v>147</v>
      </c>
      <c r="H28" s="179">
        <v>69</v>
      </c>
      <c r="I28" s="179">
        <v>119</v>
      </c>
      <c r="J28" s="179">
        <v>94</v>
      </c>
      <c r="K28" s="179">
        <v>24</v>
      </c>
      <c r="L28" s="179"/>
      <c r="M28" s="179"/>
      <c r="N28" s="179"/>
      <c r="O28" s="180">
        <v>71</v>
      </c>
    </row>
    <row r="29" spans="1:15" hidden="1" x14ac:dyDescent="0.2">
      <c r="A29" s="164">
        <v>42336</v>
      </c>
      <c r="B29" s="177"/>
      <c r="C29" s="177"/>
      <c r="D29" s="177"/>
      <c r="E29" s="177">
        <v>28</v>
      </c>
      <c r="F29" s="177"/>
      <c r="G29" s="177"/>
      <c r="H29" s="177">
        <v>60</v>
      </c>
      <c r="I29" s="177"/>
      <c r="J29" s="177">
        <v>48</v>
      </c>
      <c r="K29" s="177">
        <v>48</v>
      </c>
      <c r="L29" s="177"/>
      <c r="M29" s="177"/>
      <c r="N29" s="177"/>
      <c r="O29" s="178"/>
    </row>
    <row r="30" spans="1:15" hidden="1" x14ac:dyDescent="0.2">
      <c r="A30" s="165">
        <v>42337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80"/>
    </row>
    <row r="31" spans="1:15" hidden="1" x14ac:dyDescent="0.2">
      <c r="A31" s="164">
        <v>42338</v>
      </c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8"/>
    </row>
    <row r="32" spans="1:15" hidden="1" x14ac:dyDescent="0.2">
      <c r="A32" s="165">
        <v>42339</v>
      </c>
      <c r="B32" s="179">
        <v>38</v>
      </c>
      <c r="C32" s="179">
        <v>65</v>
      </c>
      <c r="D32" s="179"/>
      <c r="E32" s="179">
        <v>98</v>
      </c>
      <c r="F32" s="179"/>
      <c r="G32" s="179">
        <v>80</v>
      </c>
      <c r="H32" s="179">
        <v>101</v>
      </c>
      <c r="I32" s="179">
        <v>94</v>
      </c>
      <c r="J32" s="179">
        <v>85</v>
      </c>
      <c r="K32" s="179">
        <v>88</v>
      </c>
      <c r="L32" s="179">
        <v>32</v>
      </c>
      <c r="M32" s="179"/>
      <c r="N32" s="179"/>
      <c r="O32" s="180">
        <v>90</v>
      </c>
    </row>
    <row r="33" spans="1:15" hidden="1" x14ac:dyDescent="0.2">
      <c r="A33" s="164">
        <v>42340</v>
      </c>
      <c r="B33" s="177">
        <v>49</v>
      </c>
      <c r="C33" s="177">
        <v>82</v>
      </c>
      <c r="D33" s="177"/>
      <c r="E33" s="177">
        <v>52</v>
      </c>
      <c r="F33" s="177"/>
      <c r="G33" s="177">
        <v>74</v>
      </c>
      <c r="H33" s="177">
        <v>81</v>
      </c>
      <c r="I33" s="177">
        <v>113</v>
      </c>
      <c r="J33" s="177"/>
      <c r="K33" s="177"/>
      <c r="L33" s="177">
        <v>56</v>
      </c>
      <c r="M33" s="177"/>
      <c r="N33" s="177"/>
      <c r="O33" s="178">
        <v>68</v>
      </c>
    </row>
    <row r="34" spans="1:15" hidden="1" x14ac:dyDescent="0.2">
      <c r="A34" s="165">
        <v>42341</v>
      </c>
      <c r="B34" s="179"/>
      <c r="C34" s="179">
        <v>84</v>
      </c>
      <c r="D34" s="179"/>
      <c r="E34" s="179">
        <v>92</v>
      </c>
      <c r="F34" s="179"/>
      <c r="G34" s="179">
        <v>121</v>
      </c>
      <c r="H34" s="179">
        <v>103</v>
      </c>
      <c r="I34" s="179">
        <v>77</v>
      </c>
      <c r="J34" s="179">
        <v>56</v>
      </c>
      <c r="K34" s="179">
        <v>57</v>
      </c>
      <c r="L34" s="179">
        <v>41</v>
      </c>
      <c r="M34" s="179"/>
      <c r="N34" s="179"/>
      <c r="O34" s="180">
        <v>126</v>
      </c>
    </row>
    <row r="35" spans="1:15" hidden="1" x14ac:dyDescent="0.2">
      <c r="A35" s="164">
        <v>42342</v>
      </c>
      <c r="B35" s="177">
        <v>55</v>
      </c>
      <c r="C35" s="177">
        <v>125</v>
      </c>
      <c r="D35" s="177"/>
      <c r="E35" s="177"/>
      <c r="F35" s="177"/>
      <c r="G35" s="177">
        <v>98</v>
      </c>
      <c r="H35" s="177">
        <v>65</v>
      </c>
      <c r="I35" s="177">
        <v>167</v>
      </c>
      <c r="J35" s="177">
        <v>59</v>
      </c>
      <c r="K35" s="177">
        <v>85</v>
      </c>
      <c r="L35" s="177">
        <v>72</v>
      </c>
      <c r="M35" s="177"/>
      <c r="N35" s="177"/>
      <c r="O35" s="178">
        <v>80</v>
      </c>
    </row>
    <row r="36" spans="1:15" hidden="1" x14ac:dyDescent="0.2">
      <c r="A36" s="165">
        <v>42343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>
        <v>52</v>
      </c>
      <c r="L36" s="179"/>
      <c r="M36" s="179"/>
      <c r="N36" s="179"/>
      <c r="O36" s="180">
        <v>25</v>
      </c>
    </row>
    <row r="37" spans="1:15" hidden="1" x14ac:dyDescent="0.2">
      <c r="A37" s="164">
        <v>42344</v>
      </c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8"/>
    </row>
    <row r="38" spans="1:15" hidden="1" x14ac:dyDescent="0.2">
      <c r="A38" s="165">
        <v>42345</v>
      </c>
      <c r="B38" s="179">
        <v>67</v>
      </c>
      <c r="C38" s="179"/>
      <c r="D38" s="179"/>
      <c r="E38" s="179">
        <v>130</v>
      </c>
      <c r="F38" s="179"/>
      <c r="G38" s="179">
        <v>39</v>
      </c>
      <c r="H38" s="179">
        <v>93</v>
      </c>
      <c r="I38" s="179">
        <v>81</v>
      </c>
      <c r="J38" s="179">
        <v>86</v>
      </c>
      <c r="K38" s="179">
        <v>83</v>
      </c>
      <c r="L38" s="179">
        <v>57</v>
      </c>
      <c r="M38" s="179"/>
      <c r="N38" s="179"/>
      <c r="O38" s="180">
        <v>91</v>
      </c>
    </row>
    <row r="39" spans="1:15" hidden="1" x14ac:dyDescent="0.2">
      <c r="A39" s="164">
        <v>42346</v>
      </c>
      <c r="B39" s="177">
        <v>88</v>
      </c>
      <c r="C39" s="177">
        <v>19</v>
      </c>
      <c r="D39" s="177"/>
      <c r="E39" s="177">
        <v>46</v>
      </c>
      <c r="F39" s="177"/>
      <c r="G39" s="177">
        <v>78</v>
      </c>
      <c r="H39" s="177">
        <v>77</v>
      </c>
      <c r="I39" s="177">
        <v>115</v>
      </c>
      <c r="J39" s="177">
        <v>45</v>
      </c>
      <c r="K39" s="177">
        <v>65</v>
      </c>
      <c r="L39" s="177">
        <v>57</v>
      </c>
      <c r="M39" s="177"/>
      <c r="N39" s="177"/>
      <c r="O39" s="178">
        <v>67</v>
      </c>
    </row>
    <row r="40" spans="1:15" hidden="1" x14ac:dyDescent="0.2">
      <c r="A40" s="165">
        <v>42347</v>
      </c>
      <c r="B40" s="179">
        <v>47</v>
      </c>
      <c r="C40" s="179">
        <v>32</v>
      </c>
      <c r="D40" s="179"/>
      <c r="E40" s="179"/>
      <c r="F40" s="179"/>
      <c r="G40" s="179">
        <v>105</v>
      </c>
      <c r="H40" s="179">
        <v>46</v>
      </c>
      <c r="I40" s="179">
        <v>116</v>
      </c>
      <c r="J40" s="179">
        <v>90</v>
      </c>
      <c r="K40" s="179">
        <v>74</v>
      </c>
      <c r="L40" s="179">
        <v>194</v>
      </c>
      <c r="M40" s="179"/>
      <c r="N40" s="179"/>
      <c r="O40" s="180">
        <v>73</v>
      </c>
    </row>
    <row r="41" spans="1:15" hidden="1" x14ac:dyDescent="0.2">
      <c r="A41" s="164">
        <v>42348</v>
      </c>
      <c r="B41" s="177">
        <v>44</v>
      </c>
      <c r="C41" s="177">
        <v>44</v>
      </c>
      <c r="D41" s="177"/>
      <c r="E41" s="177">
        <v>112</v>
      </c>
      <c r="F41" s="177"/>
      <c r="G41" s="177">
        <v>81</v>
      </c>
      <c r="H41" s="177">
        <v>98</v>
      </c>
      <c r="I41" s="177">
        <v>119</v>
      </c>
      <c r="J41" s="177">
        <v>106</v>
      </c>
      <c r="K41" s="177">
        <v>102</v>
      </c>
      <c r="L41" s="177">
        <v>62</v>
      </c>
      <c r="M41" s="177"/>
      <c r="N41" s="177"/>
      <c r="O41" s="178">
        <v>74</v>
      </c>
    </row>
    <row r="42" spans="1:15" hidden="1" x14ac:dyDescent="0.2">
      <c r="A42" s="165">
        <v>42349</v>
      </c>
      <c r="B42" s="179">
        <v>20</v>
      </c>
      <c r="C42" s="179">
        <v>65</v>
      </c>
      <c r="D42" s="179"/>
      <c r="E42" s="179"/>
      <c r="F42" s="179"/>
      <c r="G42" s="179">
        <v>63</v>
      </c>
      <c r="H42" s="179"/>
      <c r="I42" s="179"/>
      <c r="J42" s="179"/>
      <c r="K42" s="179">
        <v>64</v>
      </c>
      <c r="L42" s="179"/>
      <c r="M42" s="179"/>
      <c r="N42" s="179"/>
      <c r="O42" s="180">
        <v>62</v>
      </c>
    </row>
    <row r="43" spans="1:15" hidden="1" x14ac:dyDescent="0.2">
      <c r="A43" s="164">
        <v>42350</v>
      </c>
      <c r="B43" s="177"/>
      <c r="C43" s="177"/>
      <c r="D43" s="177"/>
      <c r="E43" s="177">
        <v>28</v>
      </c>
      <c r="F43" s="177"/>
      <c r="G43" s="177"/>
      <c r="H43" s="177">
        <v>44</v>
      </c>
      <c r="I43" s="177"/>
      <c r="J43" s="177"/>
      <c r="K43" s="177">
        <v>31</v>
      </c>
      <c r="L43" s="177"/>
      <c r="M43" s="177"/>
      <c r="N43" s="177"/>
      <c r="O43" s="178">
        <v>29</v>
      </c>
    </row>
    <row r="44" spans="1:15" hidden="1" x14ac:dyDescent="0.2">
      <c r="A44" s="165">
        <v>42351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80"/>
    </row>
    <row r="45" spans="1:15" hidden="1" x14ac:dyDescent="0.2">
      <c r="A45" s="164">
        <v>42352</v>
      </c>
      <c r="B45" s="177">
        <v>53</v>
      </c>
      <c r="C45" s="177">
        <v>133</v>
      </c>
      <c r="D45" s="177"/>
      <c r="E45" s="177"/>
      <c r="F45" s="177"/>
      <c r="G45" s="177">
        <v>97</v>
      </c>
      <c r="H45" s="177">
        <v>81</v>
      </c>
      <c r="I45" s="177">
        <v>166</v>
      </c>
      <c r="J45" s="177">
        <v>58</v>
      </c>
      <c r="K45" s="177">
        <v>81</v>
      </c>
      <c r="L45" s="177">
        <v>84</v>
      </c>
      <c r="M45" s="177"/>
      <c r="N45" s="177"/>
      <c r="O45" s="178">
        <v>111</v>
      </c>
    </row>
    <row r="46" spans="1:15" hidden="1" x14ac:dyDescent="0.2">
      <c r="A46" s="165">
        <v>42353</v>
      </c>
      <c r="B46" s="179">
        <v>66</v>
      </c>
      <c r="C46" s="179">
        <v>90</v>
      </c>
      <c r="D46" s="179"/>
      <c r="E46" s="179">
        <v>102</v>
      </c>
      <c r="F46" s="179"/>
      <c r="G46" s="179">
        <v>157</v>
      </c>
      <c r="H46" s="179">
        <v>71</v>
      </c>
      <c r="I46" s="179">
        <v>131</v>
      </c>
      <c r="J46" s="179"/>
      <c r="K46" s="179">
        <v>48</v>
      </c>
      <c r="L46" s="179">
        <v>46</v>
      </c>
      <c r="M46" s="179"/>
      <c r="N46" s="179"/>
      <c r="O46" s="180">
        <v>92</v>
      </c>
    </row>
    <row r="47" spans="1:15" hidden="1" x14ac:dyDescent="0.2">
      <c r="A47" s="164">
        <v>42354</v>
      </c>
      <c r="B47" s="177">
        <v>34</v>
      </c>
      <c r="C47" s="177">
        <v>99</v>
      </c>
      <c r="D47" s="177"/>
      <c r="E47" s="177">
        <v>99</v>
      </c>
      <c r="F47" s="177"/>
      <c r="G47" s="177">
        <v>121</v>
      </c>
      <c r="H47" s="177">
        <v>118</v>
      </c>
      <c r="I47" s="177">
        <v>138</v>
      </c>
      <c r="J47" s="177">
        <v>64</v>
      </c>
      <c r="K47" s="177">
        <v>92</v>
      </c>
      <c r="L47" s="177">
        <v>65</v>
      </c>
      <c r="M47" s="177"/>
      <c r="N47" s="177"/>
      <c r="O47" s="178">
        <v>67</v>
      </c>
    </row>
    <row r="48" spans="1:15" hidden="1" x14ac:dyDescent="0.2">
      <c r="A48" s="165">
        <v>42355</v>
      </c>
      <c r="B48" s="179"/>
      <c r="C48" s="179">
        <v>124</v>
      </c>
      <c r="D48" s="179"/>
      <c r="E48" s="179">
        <v>72</v>
      </c>
      <c r="F48" s="179"/>
      <c r="G48" s="179"/>
      <c r="H48" s="179">
        <v>79</v>
      </c>
      <c r="I48" s="179">
        <v>181</v>
      </c>
      <c r="J48" s="179">
        <v>80</v>
      </c>
      <c r="K48" s="179">
        <v>71</v>
      </c>
      <c r="L48" s="179">
        <v>50</v>
      </c>
      <c r="M48" s="179"/>
      <c r="N48" s="179"/>
      <c r="O48" s="180">
        <v>100</v>
      </c>
    </row>
    <row r="49" spans="1:15" hidden="1" x14ac:dyDescent="0.2">
      <c r="A49" s="164">
        <v>42356</v>
      </c>
      <c r="B49" s="177">
        <v>17</v>
      </c>
      <c r="C49" s="177">
        <v>103</v>
      </c>
      <c r="D49" s="177"/>
      <c r="E49" s="177">
        <v>69</v>
      </c>
      <c r="F49" s="177"/>
      <c r="G49" s="177">
        <v>65</v>
      </c>
      <c r="H49" s="177">
        <v>73</v>
      </c>
      <c r="I49" s="177">
        <v>65</v>
      </c>
      <c r="J49" s="177">
        <v>98</v>
      </c>
      <c r="K49" s="177">
        <v>85</v>
      </c>
      <c r="L49" s="177">
        <v>33</v>
      </c>
      <c r="M49" s="177"/>
      <c r="N49" s="177"/>
      <c r="O49" s="178"/>
    </row>
    <row r="50" spans="1:15" hidden="1" x14ac:dyDescent="0.2">
      <c r="A50" s="165">
        <v>42357</v>
      </c>
      <c r="B50" s="179"/>
      <c r="C50" s="179"/>
      <c r="D50" s="179"/>
      <c r="E50" s="179">
        <v>37</v>
      </c>
      <c r="F50" s="179"/>
      <c r="G50" s="179"/>
      <c r="H50" s="179"/>
      <c r="I50" s="179">
        <v>108</v>
      </c>
      <c r="J50" s="179">
        <v>54</v>
      </c>
      <c r="K50" s="179">
        <v>60</v>
      </c>
      <c r="L50" s="179"/>
      <c r="M50" s="179"/>
      <c r="N50" s="179"/>
      <c r="O50" s="180"/>
    </row>
    <row r="51" spans="1:15" hidden="1" x14ac:dyDescent="0.2">
      <c r="A51" s="164">
        <v>42358</v>
      </c>
      <c r="B51" s="177"/>
      <c r="C51" s="177"/>
      <c r="D51" s="177"/>
      <c r="E51" s="177"/>
      <c r="F51" s="177"/>
      <c r="G51" s="177"/>
      <c r="H51" s="177"/>
      <c r="I51" s="177">
        <v>116</v>
      </c>
      <c r="J51" s="177"/>
      <c r="K51" s="177"/>
      <c r="L51" s="177"/>
      <c r="M51" s="177"/>
      <c r="N51" s="177"/>
      <c r="O51" s="178"/>
    </row>
    <row r="52" spans="1:15" hidden="1" x14ac:dyDescent="0.2">
      <c r="A52" s="165">
        <v>42359</v>
      </c>
      <c r="B52" s="179">
        <v>35</v>
      </c>
      <c r="C52" s="179"/>
      <c r="D52" s="179"/>
      <c r="E52" s="179">
        <v>68</v>
      </c>
      <c r="F52" s="179"/>
      <c r="G52" s="179">
        <v>84</v>
      </c>
      <c r="H52" s="179">
        <v>83</v>
      </c>
      <c r="I52" s="179">
        <v>126</v>
      </c>
      <c r="J52" s="179">
        <v>109</v>
      </c>
      <c r="K52" s="179">
        <v>85</v>
      </c>
      <c r="L52" s="179">
        <v>54</v>
      </c>
      <c r="M52" s="179"/>
      <c r="N52" s="179"/>
      <c r="O52" s="180"/>
    </row>
    <row r="53" spans="1:15" hidden="1" x14ac:dyDescent="0.2">
      <c r="A53" s="164">
        <v>42360</v>
      </c>
      <c r="B53" s="177">
        <v>65</v>
      </c>
      <c r="C53" s="177"/>
      <c r="D53" s="177"/>
      <c r="E53" s="177">
        <v>31</v>
      </c>
      <c r="F53" s="177"/>
      <c r="G53" s="177">
        <v>73</v>
      </c>
      <c r="H53" s="177">
        <v>105</v>
      </c>
      <c r="I53" s="177">
        <v>122</v>
      </c>
      <c r="J53" s="177">
        <v>92</v>
      </c>
      <c r="K53" s="177">
        <v>81</v>
      </c>
      <c r="L53" s="177">
        <v>92</v>
      </c>
      <c r="M53" s="177"/>
      <c r="N53" s="177"/>
      <c r="O53" s="178"/>
    </row>
    <row r="54" spans="1:15" hidden="1" x14ac:dyDescent="0.2">
      <c r="A54" s="165">
        <v>42361</v>
      </c>
      <c r="B54" s="179"/>
      <c r="C54" s="179"/>
      <c r="D54" s="179"/>
      <c r="E54" s="179">
        <v>23</v>
      </c>
      <c r="F54" s="179">
        <v>28</v>
      </c>
      <c r="G54" s="179">
        <v>82</v>
      </c>
      <c r="H54" s="179">
        <v>87</v>
      </c>
      <c r="I54" s="179"/>
      <c r="J54" s="179">
        <v>72</v>
      </c>
      <c r="K54" s="179">
        <v>67</v>
      </c>
      <c r="L54" s="179">
        <v>125</v>
      </c>
      <c r="M54" s="179"/>
      <c r="N54" s="179"/>
      <c r="O54" s="180"/>
    </row>
    <row r="55" spans="1:15" hidden="1" x14ac:dyDescent="0.2">
      <c r="A55" s="164">
        <v>42362</v>
      </c>
      <c r="B55" s="177"/>
      <c r="C55" s="177"/>
      <c r="D55" s="177"/>
      <c r="E55" s="177">
        <v>14</v>
      </c>
      <c r="F55" s="177"/>
      <c r="G55" s="177">
        <v>51</v>
      </c>
      <c r="H55" s="177">
        <v>35</v>
      </c>
      <c r="I55" s="177"/>
      <c r="J55" s="177">
        <v>51</v>
      </c>
      <c r="K55" s="177"/>
      <c r="L55" s="177"/>
      <c r="M55" s="177"/>
      <c r="N55" s="177"/>
      <c r="O55" s="178"/>
    </row>
    <row r="56" spans="1:15" hidden="1" x14ac:dyDescent="0.2">
      <c r="A56" s="165">
        <v>42363</v>
      </c>
      <c r="B56" s="179"/>
      <c r="C56" s="179"/>
      <c r="D56" s="179"/>
      <c r="E56" s="179"/>
      <c r="F56" s="179"/>
      <c r="G56" s="179"/>
      <c r="H56" s="179"/>
      <c r="I56" s="179">
        <v>86</v>
      </c>
      <c r="J56" s="179"/>
      <c r="K56" s="179"/>
      <c r="L56" s="179"/>
      <c r="M56" s="179"/>
      <c r="N56" s="179"/>
      <c r="O56" s="180"/>
    </row>
    <row r="57" spans="1:15" hidden="1" x14ac:dyDescent="0.2">
      <c r="A57" s="164">
        <v>42364</v>
      </c>
      <c r="B57" s="177"/>
      <c r="C57" s="177"/>
      <c r="D57" s="177"/>
      <c r="E57" s="177"/>
      <c r="F57" s="177"/>
      <c r="G57" s="177"/>
      <c r="H57" s="177"/>
      <c r="I57" s="177">
        <v>95</v>
      </c>
      <c r="J57" s="177"/>
      <c r="K57" s="177"/>
      <c r="L57" s="177"/>
      <c r="M57" s="177"/>
      <c r="N57" s="177"/>
      <c r="O57" s="178"/>
    </row>
    <row r="58" spans="1:15" hidden="1" x14ac:dyDescent="0.2">
      <c r="A58" s="165">
        <v>42365</v>
      </c>
      <c r="B58" s="179"/>
      <c r="C58" s="179"/>
      <c r="D58" s="179"/>
      <c r="E58" s="179"/>
      <c r="F58" s="179"/>
      <c r="G58" s="179"/>
      <c r="H58" s="179"/>
      <c r="I58" s="179">
        <v>124</v>
      </c>
      <c r="J58" s="179"/>
      <c r="K58" s="179"/>
      <c r="L58" s="179"/>
      <c r="M58" s="179"/>
      <c r="N58" s="179"/>
      <c r="O58" s="180"/>
    </row>
    <row r="59" spans="1:15" hidden="1" x14ac:dyDescent="0.2">
      <c r="A59" s="164">
        <v>42366</v>
      </c>
      <c r="B59" s="177"/>
      <c r="C59" s="177">
        <v>100</v>
      </c>
      <c r="D59" s="177">
        <v>71</v>
      </c>
      <c r="E59" s="177"/>
      <c r="F59" s="177"/>
      <c r="G59" s="177"/>
      <c r="H59" s="177"/>
      <c r="I59" s="177">
        <v>77</v>
      </c>
      <c r="J59" s="177"/>
      <c r="K59" s="177"/>
      <c r="L59" s="177"/>
      <c r="M59" s="177"/>
      <c r="N59" s="177"/>
      <c r="O59" s="178">
        <v>79</v>
      </c>
    </row>
    <row r="60" spans="1:15" hidden="1" x14ac:dyDescent="0.2">
      <c r="A60" s="165">
        <v>42367</v>
      </c>
      <c r="B60" s="179"/>
      <c r="C60" s="179">
        <v>119</v>
      </c>
      <c r="D60" s="179">
        <v>108</v>
      </c>
      <c r="E60" s="179"/>
      <c r="F60" s="179"/>
      <c r="G60" s="179"/>
      <c r="H60" s="179"/>
      <c r="I60" s="179">
        <v>137</v>
      </c>
      <c r="J60" s="179"/>
      <c r="K60" s="179"/>
      <c r="L60" s="179"/>
      <c r="M60" s="179"/>
      <c r="N60" s="179"/>
      <c r="O60" s="180">
        <v>77</v>
      </c>
    </row>
    <row r="61" spans="1:15" hidden="1" x14ac:dyDescent="0.2">
      <c r="A61" s="164">
        <v>42368</v>
      </c>
      <c r="B61" s="177"/>
      <c r="C61" s="177">
        <v>124</v>
      </c>
      <c r="D61" s="177">
        <v>97</v>
      </c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8">
        <v>150</v>
      </c>
    </row>
    <row r="62" spans="1:15" hidden="1" x14ac:dyDescent="0.2">
      <c r="A62" s="165">
        <v>42369</v>
      </c>
      <c r="B62" s="179"/>
      <c r="C62" s="179">
        <v>54</v>
      </c>
      <c r="D62" s="179">
        <v>64</v>
      </c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80">
        <v>44</v>
      </c>
    </row>
    <row r="63" spans="1:15" hidden="1" x14ac:dyDescent="0.2">
      <c r="A63" s="164">
        <v>42370</v>
      </c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8"/>
    </row>
    <row r="64" spans="1:15" hidden="1" x14ac:dyDescent="0.2">
      <c r="A64" s="165">
        <v>42371</v>
      </c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0"/>
    </row>
    <row r="65" spans="1:15" hidden="1" x14ac:dyDescent="0.2">
      <c r="A65" s="164">
        <v>42372</v>
      </c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8"/>
    </row>
    <row r="66" spans="1:15" hidden="1" x14ac:dyDescent="0.2">
      <c r="A66" s="165">
        <v>42373</v>
      </c>
      <c r="B66" s="179"/>
      <c r="C66" s="179">
        <v>103</v>
      </c>
      <c r="D66" s="179">
        <v>60</v>
      </c>
      <c r="E66" s="179"/>
      <c r="F66" s="179"/>
      <c r="G66" s="179"/>
      <c r="H66" s="179">
        <v>80</v>
      </c>
      <c r="I66" s="179"/>
      <c r="J66" s="179">
        <v>42</v>
      </c>
      <c r="K66" s="179">
        <v>102</v>
      </c>
      <c r="L66" s="179">
        <v>82</v>
      </c>
      <c r="M66" s="179"/>
      <c r="N66" s="179"/>
      <c r="O66" s="180"/>
    </row>
    <row r="67" spans="1:15" hidden="1" x14ac:dyDescent="0.2">
      <c r="A67" s="164">
        <v>42374</v>
      </c>
      <c r="B67" s="177"/>
      <c r="C67" s="177">
        <v>156</v>
      </c>
      <c r="D67" s="177">
        <v>103</v>
      </c>
      <c r="E67" s="177"/>
      <c r="F67" s="177"/>
      <c r="G67" s="177"/>
      <c r="H67" s="177">
        <v>89</v>
      </c>
      <c r="I67" s="177"/>
      <c r="J67" s="177">
        <v>85</v>
      </c>
      <c r="K67" s="177">
        <v>57</v>
      </c>
      <c r="L67" s="177">
        <v>141</v>
      </c>
      <c r="M67" s="177"/>
      <c r="N67" s="177"/>
      <c r="O67" s="178"/>
    </row>
    <row r="68" spans="1:15" hidden="1" x14ac:dyDescent="0.2">
      <c r="A68" s="165">
        <v>42375</v>
      </c>
      <c r="B68" s="179"/>
      <c r="C68" s="179">
        <v>126</v>
      </c>
      <c r="D68" s="179">
        <v>119</v>
      </c>
      <c r="E68" s="179"/>
      <c r="F68" s="179"/>
      <c r="G68" s="179"/>
      <c r="H68" s="179">
        <v>98</v>
      </c>
      <c r="I68" s="179"/>
      <c r="J68" s="179">
        <v>102</v>
      </c>
      <c r="K68" s="179">
        <v>61</v>
      </c>
      <c r="L68" s="179">
        <v>139</v>
      </c>
      <c r="M68" s="179"/>
      <c r="N68" s="179"/>
      <c r="O68" s="180"/>
    </row>
    <row r="69" spans="1:15" hidden="1" x14ac:dyDescent="0.2">
      <c r="A69" s="164">
        <v>42376</v>
      </c>
      <c r="B69" s="177"/>
      <c r="C69" s="177">
        <v>73</v>
      </c>
      <c r="D69" s="177">
        <v>86</v>
      </c>
      <c r="E69" s="177"/>
      <c r="F69" s="177"/>
      <c r="G69" s="177"/>
      <c r="H69" s="177">
        <v>105</v>
      </c>
      <c r="I69" s="177"/>
      <c r="J69" s="177">
        <v>112</v>
      </c>
      <c r="K69" s="177">
        <v>141</v>
      </c>
      <c r="L69" s="177">
        <v>113</v>
      </c>
      <c r="M69" s="177"/>
      <c r="N69" s="177"/>
      <c r="O69" s="178"/>
    </row>
    <row r="70" spans="1:15" hidden="1" x14ac:dyDescent="0.2">
      <c r="A70" s="165">
        <v>42377</v>
      </c>
      <c r="B70" s="179"/>
      <c r="C70" s="179">
        <v>104</v>
      </c>
      <c r="D70" s="179"/>
      <c r="E70" s="179"/>
      <c r="F70" s="179"/>
      <c r="G70" s="179"/>
      <c r="H70" s="179">
        <v>90</v>
      </c>
      <c r="I70" s="179"/>
      <c r="J70" s="179">
        <v>36</v>
      </c>
      <c r="K70" s="179">
        <v>111</v>
      </c>
      <c r="L70" s="179">
        <v>41</v>
      </c>
      <c r="M70" s="179"/>
      <c r="N70" s="179"/>
      <c r="O70" s="180">
        <v>69</v>
      </c>
    </row>
    <row r="71" spans="1:15" hidden="1" x14ac:dyDescent="0.2">
      <c r="A71" s="164">
        <v>42378</v>
      </c>
      <c r="B71" s="177"/>
      <c r="C71" s="177"/>
      <c r="D71" s="177"/>
      <c r="E71" s="177"/>
      <c r="F71" s="177"/>
      <c r="G71" s="177"/>
      <c r="H71" s="177"/>
      <c r="I71" s="177"/>
      <c r="J71" s="177"/>
      <c r="K71" s="177">
        <v>74</v>
      </c>
      <c r="L71" s="177"/>
      <c r="M71" s="177"/>
      <c r="N71" s="177"/>
      <c r="O71" s="178"/>
    </row>
    <row r="72" spans="1:15" hidden="1" x14ac:dyDescent="0.2">
      <c r="A72" s="165">
        <v>42379</v>
      </c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0"/>
    </row>
    <row r="73" spans="1:15" hidden="1" x14ac:dyDescent="0.2">
      <c r="A73" s="164">
        <v>42380</v>
      </c>
      <c r="B73" s="177"/>
      <c r="C73" s="177">
        <v>106</v>
      </c>
      <c r="D73" s="177">
        <v>64</v>
      </c>
      <c r="E73" s="177"/>
      <c r="F73" s="177"/>
      <c r="G73" s="177"/>
      <c r="H73" s="177">
        <v>105</v>
      </c>
      <c r="I73" s="177"/>
      <c r="J73" s="177">
        <v>89</v>
      </c>
      <c r="K73" s="177">
        <v>131</v>
      </c>
      <c r="L73" s="177">
        <v>44</v>
      </c>
      <c r="M73" s="177"/>
      <c r="N73" s="177"/>
      <c r="O73" s="178"/>
    </row>
    <row r="74" spans="1:15" hidden="1" x14ac:dyDescent="0.2">
      <c r="A74" s="165">
        <v>42381</v>
      </c>
      <c r="B74" s="179"/>
      <c r="C74" s="179">
        <v>98</v>
      </c>
      <c r="D74" s="179">
        <v>115</v>
      </c>
      <c r="E74" s="179"/>
      <c r="F74" s="179">
        <v>5</v>
      </c>
      <c r="G74" s="179"/>
      <c r="H74" s="179">
        <v>119</v>
      </c>
      <c r="I74" s="179"/>
      <c r="J74" s="179">
        <v>71</v>
      </c>
      <c r="K74" s="179">
        <v>94</v>
      </c>
      <c r="L74" s="179">
        <v>83</v>
      </c>
      <c r="M74" s="179"/>
      <c r="N74" s="179"/>
      <c r="O74" s="180">
        <v>130</v>
      </c>
    </row>
    <row r="75" spans="1:15" hidden="1" x14ac:dyDescent="0.2">
      <c r="A75" s="164">
        <v>42382</v>
      </c>
      <c r="B75" s="177"/>
      <c r="C75" s="177">
        <v>117</v>
      </c>
      <c r="D75" s="177">
        <v>126</v>
      </c>
      <c r="E75" s="177"/>
      <c r="F75" s="177">
        <v>7</v>
      </c>
      <c r="G75" s="177"/>
      <c r="H75" s="177">
        <v>116</v>
      </c>
      <c r="I75" s="177"/>
      <c r="J75" s="177">
        <v>113</v>
      </c>
      <c r="K75" s="177">
        <v>81</v>
      </c>
      <c r="L75" s="177">
        <v>85</v>
      </c>
      <c r="M75" s="177"/>
      <c r="N75" s="177"/>
      <c r="O75" s="178">
        <v>81</v>
      </c>
    </row>
    <row r="76" spans="1:15" hidden="1" x14ac:dyDescent="0.2">
      <c r="A76" s="165">
        <v>42383</v>
      </c>
      <c r="B76" s="179"/>
      <c r="C76" s="179">
        <v>98</v>
      </c>
      <c r="D76" s="179">
        <v>87</v>
      </c>
      <c r="E76" s="179"/>
      <c r="F76" s="179">
        <v>46</v>
      </c>
      <c r="G76" s="179"/>
      <c r="H76" s="179">
        <v>92</v>
      </c>
      <c r="I76" s="179"/>
      <c r="J76" s="179">
        <v>117</v>
      </c>
      <c r="K76" s="179">
        <v>85</v>
      </c>
      <c r="L76" s="179">
        <v>92</v>
      </c>
      <c r="M76" s="179"/>
      <c r="N76" s="179"/>
      <c r="O76" s="180">
        <v>163</v>
      </c>
    </row>
    <row r="77" spans="1:15" hidden="1" x14ac:dyDescent="0.2">
      <c r="A77" s="164">
        <v>42384</v>
      </c>
      <c r="B77" s="177"/>
      <c r="C77" s="177">
        <v>101</v>
      </c>
      <c r="D77" s="177">
        <v>81</v>
      </c>
      <c r="E77" s="177"/>
      <c r="F77" s="177">
        <v>22</v>
      </c>
      <c r="G77" s="177"/>
      <c r="H77" s="177">
        <v>122</v>
      </c>
      <c r="I77" s="177"/>
      <c r="J77" s="177">
        <v>97</v>
      </c>
      <c r="K77" s="177">
        <v>89</v>
      </c>
      <c r="L77" s="177">
        <v>54</v>
      </c>
      <c r="M77" s="177"/>
      <c r="N77" s="177"/>
      <c r="O77" s="178">
        <v>117</v>
      </c>
    </row>
    <row r="78" spans="1:15" hidden="1" x14ac:dyDescent="0.2">
      <c r="A78" s="165">
        <v>42385</v>
      </c>
      <c r="B78" s="179"/>
      <c r="C78" s="179"/>
      <c r="D78" s="179"/>
      <c r="E78" s="179"/>
      <c r="F78" s="179"/>
      <c r="G78" s="179"/>
      <c r="H78" s="179">
        <v>110</v>
      </c>
      <c r="I78" s="179"/>
      <c r="J78" s="179">
        <v>76</v>
      </c>
      <c r="K78" s="179">
        <v>56</v>
      </c>
      <c r="L78" s="179"/>
      <c r="M78" s="179"/>
      <c r="N78" s="179"/>
      <c r="O78" s="180">
        <v>42</v>
      </c>
    </row>
    <row r="79" spans="1:15" hidden="1" x14ac:dyDescent="0.2">
      <c r="A79" s="164">
        <v>42386</v>
      </c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8"/>
    </row>
    <row r="80" spans="1:15" hidden="1" x14ac:dyDescent="0.2">
      <c r="A80" s="165">
        <v>42387</v>
      </c>
      <c r="B80" s="179"/>
      <c r="C80" s="179">
        <v>136</v>
      </c>
      <c r="D80" s="179">
        <v>140</v>
      </c>
      <c r="E80" s="179"/>
      <c r="F80" s="179">
        <v>10</v>
      </c>
      <c r="G80" s="179"/>
      <c r="H80" s="179">
        <v>174</v>
      </c>
      <c r="I80" s="179"/>
      <c r="J80" s="179">
        <v>61</v>
      </c>
      <c r="K80" s="179">
        <v>72</v>
      </c>
      <c r="L80" s="179">
        <v>34</v>
      </c>
      <c r="M80" s="179"/>
      <c r="N80" s="179"/>
      <c r="O80" s="180"/>
    </row>
    <row r="81" spans="1:15" hidden="1" x14ac:dyDescent="0.2">
      <c r="A81" s="164">
        <v>42388</v>
      </c>
      <c r="B81" s="177"/>
      <c r="C81" s="177">
        <v>115</v>
      </c>
      <c r="D81" s="177">
        <v>78</v>
      </c>
      <c r="E81" s="177"/>
      <c r="F81" s="177"/>
      <c r="G81" s="177"/>
      <c r="H81" s="177">
        <v>96</v>
      </c>
      <c r="I81" s="177"/>
      <c r="J81" s="177">
        <v>70</v>
      </c>
      <c r="K81" s="177">
        <v>106</v>
      </c>
      <c r="L81" s="177">
        <v>42</v>
      </c>
      <c r="M81" s="177"/>
      <c r="N81" s="177"/>
      <c r="O81" s="178">
        <v>148</v>
      </c>
    </row>
    <row r="82" spans="1:15" hidden="1" x14ac:dyDescent="0.2">
      <c r="A82" s="165">
        <v>42389</v>
      </c>
      <c r="B82" s="179"/>
      <c r="C82" s="179">
        <v>92</v>
      </c>
      <c r="D82" s="179">
        <v>82</v>
      </c>
      <c r="E82" s="179"/>
      <c r="F82" s="179"/>
      <c r="G82" s="179"/>
      <c r="H82" s="179">
        <v>148</v>
      </c>
      <c r="I82" s="179"/>
      <c r="J82" s="179">
        <v>92</v>
      </c>
      <c r="K82" s="179">
        <v>69</v>
      </c>
      <c r="L82" s="179">
        <v>82</v>
      </c>
      <c r="M82" s="179"/>
      <c r="N82" s="179"/>
      <c r="O82" s="180">
        <v>68</v>
      </c>
    </row>
    <row r="83" spans="1:15" hidden="1" x14ac:dyDescent="0.2">
      <c r="A83" s="164">
        <v>42390</v>
      </c>
      <c r="B83" s="177">
        <v>21</v>
      </c>
      <c r="C83" s="177"/>
      <c r="D83" s="177">
        <v>119</v>
      </c>
      <c r="E83" s="177"/>
      <c r="F83" s="177"/>
      <c r="G83" s="177"/>
      <c r="H83" s="177">
        <v>114</v>
      </c>
      <c r="I83" s="177"/>
      <c r="J83" s="177">
        <v>85</v>
      </c>
      <c r="K83" s="177">
        <v>91</v>
      </c>
      <c r="L83" s="177">
        <v>39</v>
      </c>
      <c r="M83" s="177"/>
      <c r="N83" s="177"/>
      <c r="O83" s="178">
        <v>105</v>
      </c>
    </row>
    <row r="84" spans="1:15" hidden="1" x14ac:dyDescent="0.2">
      <c r="A84" s="165">
        <v>42391</v>
      </c>
      <c r="B84" s="179"/>
      <c r="C84" s="179">
        <v>146</v>
      </c>
      <c r="D84" s="179">
        <v>38</v>
      </c>
      <c r="E84" s="179">
        <v>89</v>
      </c>
      <c r="F84" s="179"/>
      <c r="G84" s="179"/>
      <c r="H84" s="179">
        <v>112</v>
      </c>
      <c r="I84" s="179"/>
      <c r="J84" s="179">
        <v>92</v>
      </c>
      <c r="K84" s="179">
        <v>65</v>
      </c>
      <c r="L84" s="179"/>
      <c r="M84" s="179"/>
      <c r="N84" s="179"/>
      <c r="O84" s="180">
        <v>86</v>
      </c>
    </row>
    <row r="85" spans="1:15" hidden="1" x14ac:dyDescent="0.2">
      <c r="A85" s="164">
        <v>42392</v>
      </c>
      <c r="B85" s="177"/>
      <c r="C85" s="177"/>
      <c r="D85" s="177"/>
      <c r="E85" s="177">
        <v>12</v>
      </c>
      <c r="F85" s="177"/>
      <c r="G85" s="177"/>
      <c r="H85" s="177">
        <v>102</v>
      </c>
      <c r="I85" s="177"/>
      <c r="J85" s="177">
        <v>64</v>
      </c>
      <c r="K85" s="177">
        <v>47</v>
      </c>
      <c r="L85" s="177"/>
      <c r="M85" s="177"/>
      <c r="N85" s="177"/>
      <c r="O85" s="178"/>
    </row>
    <row r="86" spans="1:15" hidden="1" x14ac:dyDescent="0.2">
      <c r="A86" s="165">
        <v>42393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0"/>
    </row>
    <row r="87" spans="1:15" hidden="1" x14ac:dyDescent="0.2">
      <c r="A87" s="164">
        <v>42394</v>
      </c>
      <c r="B87" s="177"/>
      <c r="C87" s="177">
        <v>153</v>
      </c>
      <c r="D87" s="177">
        <v>42</v>
      </c>
      <c r="E87" s="177">
        <v>104</v>
      </c>
      <c r="F87" s="177"/>
      <c r="G87" s="177"/>
      <c r="H87" s="177">
        <v>102</v>
      </c>
      <c r="I87" s="177"/>
      <c r="J87" s="177">
        <v>58</v>
      </c>
      <c r="K87" s="177">
        <v>80</v>
      </c>
      <c r="L87" s="177">
        <v>49</v>
      </c>
      <c r="M87" s="177"/>
      <c r="N87" s="177"/>
      <c r="O87" s="178">
        <v>111</v>
      </c>
    </row>
    <row r="88" spans="1:15" hidden="1" x14ac:dyDescent="0.2">
      <c r="A88" s="165">
        <v>42395</v>
      </c>
      <c r="B88" s="179"/>
      <c r="C88" s="179">
        <v>155</v>
      </c>
      <c r="D88" s="179">
        <v>152</v>
      </c>
      <c r="E88" s="179">
        <v>139</v>
      </c>
      <c r="F88" s="179"/>
      <c r="G88" s="179"/>
      <c r="H88" s="179">
        <v>68</v>
      </c>
      <c r="I88" s="179"/>
      <c r="J88" s="179">
        <v>97</v>
      </c>
      <c r="K88" s="179">
        <v>96</v>
      </c>
      <c r="L88" s="179">
        <v>45</v>
      </c>
      <c r="M88" s="179"/>
      <c r="N88" s="179"/>
      <c r="O88" s="180">
        <v>137</v>
      </c>
    </row>
    <row r="89" spans="1:15" hidden="1" x14ac:dyDescent="0.2">
      <c r="A89" s="164">
        <v>42396</v>
      </c>
      <c r="B89" s="177"/>
      <c r="C89" s="177">
        <v>54</v>
      </c>
      <c r="D89" s="177">
        <v>77</v>
      </c>
      <c r="E89" s="177">
        <v>51</v>
      </c>
      <c r="F89" s="177">
        <v>11</v>
      </c>
      <c r="G89" s="177"/>
      <c r="H89" s="177">
        <v>104</v>
      </c>
      <c r="I89" s="177"/>
      <c r="J89" s="177">
        <v>94</v>
      </c>
      <c r="K89" s="177">
        <v>65</v>
      </c>
      <c r="L89" s="177">
        <v>50</v>
      </c>
      <c r="M89" s="177"/>
      <c r="N89" s="177"/>
      <c r="O89" s="178"/>
    </row>
    <row r="90" spans="1:15" hidden="1" x14ac:dyDescent="0.2">
      <c r="A90" s="165">
        <v>42397</v>
      </c>
      <c r="B90" s="179"/>
      <c r="C90" s="179">
        <v>63</v>
      </c>
      <c r="D90" s="179">
        <v>53</v>
      </c>
      <c r="E90" s="179">
        <v>61</v>
      </c>
      <c r="F90" s="179">
        <v>14</v>
      </c>
      <c r="G90" s="179"/>
      <c r="H90" s="179">
        <v>115</v>
      </c>
      <c r="I90" s="179"/>
      <c r="J90" s="179">
        <v>64</v>
      </c>
      <c r="K90" s="179">
        <v>67</v>
      </c>
      <c r="L90" s="179">
        <v>63</v>
      </c>
      <c r="M90" s="179"/>
      <c r="N90" s="179"/>
      <c r="O90" s="180"/>
    </row>
    <row r="91" spans="1:15" hidden="1" x14ac:dyDescent="0.2">
      <c r="A91" s="164">
        <v>42398</v>
      </c>
      <c r="B91" s="177"/>
      <c r="C91" s="177">
        <v>114</v>
      </c>
      <c r="D91" s="177">
        <v>64</v>
      </c>
      <c r="E91" s="177"/>
      <c r="F91" s="177"/>
      <c r="G91" s="177"/>
      <c r="H91" s="177"/>
      <c r="I91" s="177"/>
      <c r="J91" s="177">
        <v>89</v>
      </c>
      <c r="K91" s="177">
        <v>98</v>
      </c>
      <c r="L91" s="177">
        <v>70</v>
      </c>
      <c r="M91" s="177"/>
      <c r="N91" s="177"/>
      <c r="O91" s="178">
        <v>153</v>
      </c>
    </row>
    <row r="92" spans="1:15" hidden="1" x14ac:dyDescent="0.2">
      <c r="A92" s="165">
        <v>42399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80"/>
    </row>
    <row r="93" spans="1:15" hidden="1" x14ac:dyDescent="0.2">
      <c r="A93" s="164">
        <v>42400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8"/>
    </row>
    <row r="94" spans="1:15" hidden="1" x14ac:dyDescent="0.2">
      <c r="A94" s="165">
        <v>42401</v>
      </c>
      <c r="B94" s="179">
        <v>24</v>
      </c>
      <c r="C94" s="179">
        <v>92</v>
      </c>
      <c r="D94" s="179">
        <v>96</v>
      </c>
      <c r="E94" s="179">
        <v>106</v>
      </c>
      <c r="F94" s="179"/>
      <c r="G94" s="179"/>
      <c r="H94" s="179">
        <v>82</v>
      </c>
      <c r="I94" s="179">
        <v>176</v>
      </c>
      <c r="J94" s="179">
        <v>63</v>
      </c>
      <c r="K94" s="179">
        <v>63</v>
      </c>
      <c r="L94" s="179">
        <v>47</v>
      </c>
      <c r="M94" s="179"/>
      <c r="N94" s="179"/>
      <c r="O94" s="180">
        <v>67</v>
      </c>
    </row>
    <row r="95" spans="1:15" hidden="1" x14ac:dyDescent="0.2">
      <c r="A95" s="164">
        <v>42402</v>
      </c>
      <c r="B95" s="177"/>
      <c r="C95" s="177">
        <v>109</v>
      </c>
      <c r="D95" s="177">
        <v>49</v>
      </c>
      <c r="E95" s="177">
        <v>94</v>
      </c>
      <c r="F95" s="177"/>
      <c r="G95" s="177"/>
      <c r="H95" s="177">
        <v>117</v>
      </c>
      <c r="I95" s="177">
        <v>120</v>
      </c>
      <c r="J95" s="177">
        <v>31</v>
      </c>
      <c r="K95" s="177">
        <v>78</v>
      </c>
      <c r="L95" s="177">
        <v>57</v>
      </c>
      <c r="M95" s="177"/>
      <c r="N95" s="177"/>
      <c r="O95" s="178">
        <v>15</v>
      </c>
    </row>
    <row r="96" spans="1:15" hidden="1" x14ac:dyDescent="0.2">
      <c r="A96" s="165">
        <v>42403</v>
      </c>
      <c r="B96" s="179"/>
      <c r="C96" s="179">
        <v>104</v>
      </c>
      <c r="D96" s="179">
        <v>121</v>
      </c>
      <c r="E96" s="179">
        <v>56</v>
      </c>
      <c r="F96" s="179"/>
      <c r="G96" s="179"/>
      <c r="H96" s="179">
        <v>117</v>
      </c>
      <c r="I96" s="179">
        <v>121</v>
      </c>
      <c r="J96" s="179">
        <v>61</v>
      </c>
      <c r="K96" s="179">
        <v>39</v>
      </c>
      <c r="L96" s="179"/>
      <c r="M96" s="179"/>
      <c r="N96" s="179"/>
      <c r="O96" s="180">
        <v>69</v>
      </c>
    </row>
    <row r="97" spans="1:15" hidden="1" x14ac:dyDescent="0.2">
      <c r="A97" s="164">
        <v>42404</v>
      </c>
      <c r="B97" s="177"/>
      <c r="C97" s="177">
        <v>109</v>
      </c>
      <c r="D97" s="177">
        <v>91</v>
      </c>
      <c r="E97" s="177">
        <v>65</v>
      </c>
      <c r="F97" s="177"/>
      <c r="G97" s="177"/>
      <c r="H97" s="177">
        <v>112</v>
      </c>
      <c r="I97" s="177">
        <v>125</v>
      </c>
      <c r="J97" s="177">
        <v>87</v>
      </c>
      <c r="K97" s="177">
        <v>80</v>
      </c>
      <c r="L97" s="177"/>
      <c r="M97" s="177"/>
      <c r="N97" s="177"/>
      <c r="O97" s="178">
        <v>209</v>
      </c>
    </row>
    <row r="98" spans="1:15" hidden="1" x14ac:dyDescent="0.2">
      <c r="A98" s="165">
        <v>42405</v>
      </c>
      <c r="B98" s="179"/>
      <c r="C98" s="179">
        <v>132</v>
      </c>
      <c r="D98" s="179">
        <v>96</v>
      </c>
      <c r="E98" s="179">
        <v>83</v>
      </c>
      <c r="F98" s="179"/>
      <c r="G98" s="179"/>
      <c r="H98" s="179"/>
      <c r="I98" s="179">
        <v>89</v>
      </c>
      <c r="J98" s="179">
        <v>92</v>
      </c>
      <c r="K98" s="179">
        <v>162</v>
      </c>
      <c r="L98" s="179"/>
      <c r="M98" s="179"/>
      <c r="N98" s="179"/>
      <c r="O98" s="180"/>
    </row>
    <row r="99" spans="1:15" hidden="1" x14ac:dyDescent="0.2">
      <c r="A99" s="164">
        <v>42406</v>
      </c>
      <c r="B99" s="177"/>
      <c r="C99" s="177"/>
      <c r="D99" s="177"/>
      <c r="E99" s="177"/>
      <c r="F99" s="177"/>
      <c r="G99" s="177"/>
      <c r="H99" s="177"/>
      <c r="I99" s="177"/>
      <c r="J99" s="177">
        <v>49</v>
      </c>
      <c r="K99" s="177">
        <v>45</v>
      </c>
      <c r="L99" s="177"/>
      <c r="M99" s="177"/>
      <c r="N99" s="177"/>
      <c r="O99" s="178"/>
    </row>
    <row r="100" spans="1:15" hidden="1" x14ac:dyDescent="0.2">
      <c r="A100" s="165">
        <v>42407</v>
      </c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80"/>
    </row>
    <row r="101" spans="1:15" hidden="1" x14ac:dyDescent="0.2">
      <c r="A101" s="164">
        <v>42408</v>
      </c>
      <c r="B101" s="177"/>
      <c r="C101" s="177"/>
      <c r="D101" s="177"/>
      <c r="E101" s="177"/>
      <c r="F101" s="177"/>
      <c r="G101" s="177"/>
      <c r="H101" s="177"/>
      <c r="I101" s="177"/>
      <c r="J101" s="177"/>
      <c r="K101" s="181">
        <v>22</v>
      </c>
      <c r="L101" s="177"/>
      <c r="M101" s="177"/>
      <c r="N101" s="177"/>
      <c r="O101" s="178"/>
    </row>
    <row r="102" spans="1:15" hidden="1" x14ac:dyDescent="0.2">
      <c r="A102" s="165">
        <v>42409</v>
      </c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80"/>
    </row>
    <row r="103" spans="1:15" hidden="1" x14ac:dyDescent="0.2">
      <c r="A103" s="164">
        <v>42410</v>
      </c>
      <c r="B103" s="177"/>
      <c r="C103" s="177">
        <v>76</v>
      </c>
      <c r="D103" s="177">
        <v>20</v>
      </c>
      <c r="E103" s="177">
        <v>94</v>
      </c>
      <c r="F103" s="177"/>
      <c r="G103" s="177">
        <v>30</v>
      </c>
      <c r="H103" s="177"/>
      <c r="I103" s="177">
        <v>39</v>
      </c>
      <c r="J103" s="177"/>
      <c r="K103" s="177">
        <v>56</v>
      </c>
      <c r="L103" s="177"/>
      <c r="M103" s="177"/>
      <c r="N103" s="177"/>
      <c r="O103" s="178">
        <v>60</v>
      </c>
    </row>
    <row r="104" spans="1:15" hidden="1" x14ac:dyDescent="0.2">
      <c r="A104" s="165">
        <v>42411</v>
      </c>
      <c r="B104" s="179"/>
      <c r="C104" s="179">
        <v>114</v>
      </c>
      <c r="D104" s="179">
        <v>84</v>
      </c>
      <c r="E104" s="179">
        <v>76</v>
      </c>
      <c r="F104" s="179"/>
      <c r="G104" s="179">
        <v>96</v>
      </c>
      <c r="H104" s="179"/>
      <c r="I104" s="179">
        <v>99</v>
      </c>
      <c r="J104" s="179">
        <v>68</v>
      </c>
      <c r="K104" s="179">
        <v>102</v>
      </c>
      <c r="L104" s="179"/>
      <c r="M104" s="179"/>
      <c r="N104" s="179"/>
      <c r="O104" s="180"/>
    </row>
    <row r="105" spans="1:15" hidden="1" x14ac:dyDescent="0.2">
      <c r="A105" s="164">
        <v>42412</v>
      </c>
      <c r="B105" s="177">
        <v>82</v>
      </c>
      <c r="C105" s="177">
        <v>97</v>
      </c>
      <c r="D105" s="177">
        <v>51</v>
      </c>
      <c r="E105" s="177">
        <v>47</v>
      </c>
      <c r="F105" s="177"/>
      <c r="G105" s="177">
        <v>104</v>
      </c>
      <c r="H105" s="177"/>
      <c r="I105" s="177">
        <v>171</v>
      </c>
      <c r="J105" s="177">
        <v>64</v>
      </c>
      <c r="K105" s="177"/>
      <c r="L105" s="177"/>
      <c r="M105" s="177"/>
      <c r="N105" s="177"/>
      <c r="O105" s="178">
        <v>130</v>
      </c>
    </row>
    <row r="106" spans="1:15" hidden="1" x14ac:dyDescent="0.2">
      <c r="A106" s="165">
        <v>42413</v>
      </c>
      <c r="B106" s="179">
        <v>61</v>
      </c>
      <c r="C106" s="179"/>
      <c r="D106" s="179"/>
      <c r="E106" s="179"/>
      <c r="F106" s="179"/>
      <c r="G106" s="179"/>
      <c r="H106" s="179"/>
      <c r="I106" s="179"/>
      <c r="J106" s="179">
        <v>68</v>
      </c>
      <c r="K106" s="179"/>
      <c r="L106" s="179"/>
      <c r="M106" s="179"/>
      <c r="N106" s="179"/>
      <c r="O106" s="180">
        <v>66</v>
      </c>
    </row>
    <row r="107" spans="1:15" hidden="1" x14ac:dyDescent="0.2">
      <c r="A107" s="164">
        <v>42414</v>
      </c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8"/>
    </row>
    <row r="108" spans="1:15" hidden="1" x14ac:dyDescent="0.2">
      <c r="A108" s="165">
        <v>42415</v>
      </c>
      <c r="B108" s="179"/>
      <c r="C108" s="179">
        <v>90</v>
      </c>
      <c r="D108" s="179">
        <v>100</v>
      </c>
      <c r="E108" s="179">
        <v>27</v>
      </c>
      <c r="F108" s="179"/>
      <c r="G108" s="179">
        <v>66</v>
      </c>
      <c r="H108" s="179">
        <v>142</v>
      </c>
      <c r="I108" s="179">
        <v>137</v>
      </c>
      <c r="J108" s="179">
        <v>60</v>
      </c>
      <c r="K108" s="179"/>
      <c r="L108" s="179"/>
      <c r="M108" s="179"/>
      <c r="N108" s="179"/>
      <c r="O108" s="180">
        <v>154</v>
      </c>
    </row>
    <row r="109" spans="1:15" hidden="1" x14ac:dyDescent="0.2">
      <c r="A109" s="164">
        <v>42416</v>
      </c>
      <c r="B109" s="177"/>
      <c r="C109" s="177">
        <v>86</v>
      </c>
      <c r="D109" s="177">
        <v>103</v>
      </c>
      <c r="E109" s="177">
        <v>116</v>
      </c>
      <c r="F109" s="177"/>
      <c r="G109" s="177">
        <v>57</v>
      </c>
      <c r="H109" s="177">
        <v>78</v>
      </c>
      <c r="I109" s="177">
        <v>70</v>
      </c>
      <c r="J109" s="177">
        <v>83</v>
      </c>
      <c r="K109" s="177"/>
      <c r="L109" s="177"/>
      <c r="M109" s="177"/>
      <c r="N109" s="177">
        <v>14</v>
      </c>
      <c r="O109" s="178">
        <v>121</v>
      </c>
    </row>
    <row r="110" spans="1:15" hidden="1" x14ac:dyDescent="0.2">
      <c r="A110" s="165">
        <v>42417</v>
      </c>
      <c r="B110" s="179"/>
      <c r="C110" s="179">
        <v>105</v>
      </c>
      <c r="D110" s="179">
        <v>89</v>
      </c>
      <c r="E110" s="179">
        <v>31</v>
      </c>
      <c r="F110" s="179"/>
      <c r="G110" s="179">
        <v>121</v>
      </c>
      <c r="H110" s="179">
        <v>120</v>
      </c>
      <c r="I110" s="179">
        <v>85</v>
      </c>
      <c r="J110" s="179">
        <v>95</v>
      </c>
      <c r="K110" s="179"/>
      <c r="L110" s="179"/>
      <c r="M110" s="179"/>
      <c r="N110" s="179">
        <v>132</v>
      </c>
      <c r="O110" s="180">
        <v>77</v>
      </c>
    </row>
    <row r="111" spans="1:15" hidden="1" x14ac:dyDescent="0.2">
      <c r="A111" s="164">
        <v>42418</v>
      </c>
      <c r="B111" s="177"/>
      <c r="C111" s="177">
        <v>24</v>
      </c>
      <c r="D111" s="177">
        <v>81</v>
      </c>
      <c r="E111" s="177">
        <v>103</v>
      </c>
      <c r="F111" s="177"/>
      <c r="G111" s="177">
        <v>116</v>
      </c>
      <c r="H111" s="177">
        <v>103</v>
      </c>
      <c r="I111" s="177">
        <v>127</v>
      </c>
      <c r="J111" s="177">
        <v>63</v>
      </c>
      <c r="K111" s="177"/>
      <c r="L111" s="177"/>
      <c r="M111" s="177"/>
      <c r="N111" s="177">
        <v>70</v>
      </c>
      <c r="O111" s="178">
        <v>34</v>
      </c>
    </row>
    <row r="112" spans="1:15" hidden="1" x14ac:dyDescent="0.2">
      <c r="A112" s="165">
        <v>42419</v>
      </c>
      <c r="B112" s="179">
        <v>11</v>
      </c>
      <c r="C112" s="179">
        <v>76</v>
      </c>
      <c r="D112" s="179">
        <v>74</v>
      </c>
      <c r="E112" s="179"/>
      <c r="F112" s="179"/>
      <c r="G112" s="179">
        <v>123</v>
      </c>
      <c r="H112" s="179">
        <v>67</v>
      </c>
      <c r="I112" s="179">
        <v>82</v>
      </c>
      <c r="J112" s="179">
        <v>76</v>
      </c>
      <c r="K112" s="179"/>
      <c r="L112" s="179"/>
      <c r="M112" s="179"/>
      <c r="N112" s="179"/>
      <c r="O112" s="180">
        <v>100</v>
      </c>
    </row>
    <row r="113" spans="1:15" hidden="1" x14ac:dyDescent="0.2">
      <c r="A113" s="164">
        <v>42420</v>
      </c>
      <c r="B113" s="177"/>
      <c r="C113" s="177"/>
      <c r="D113" s="177"/>
      <c r="E113" s="177"/>
      <c r="F113" s="177"/>
      <c r="G113" s="177"/>
      <c r="H113" s="177">
        <v>57</v>
      </c>
      <c r="I113" s="177"/>
      <c r="J113" s="177"/>
      <c r="K113" s="177">
        <v>37</v>
      </c>
      <c r="L113" s="177"/>
      <c r="M113" s="177"/>
      <c r="N113" s="177"/>
      <c r="O113" s="178">
        <v>25</v>
      </c>
    </row>
    <row r="114" spans="1:15" hidden="1" x14ac:dyDescent="0.2">
      <c r="A114" s="165">
        <v>42421</v>
      </c>
      <c r="B114" s="179"/>
      <c r="C114" s="179"/>
      <c r="D114" s="179"/>
      <c r="E114" s="179"/>
      <c r="F114" s="179"/>
      <c r="G114" s="179"/>
      <c r="H114" s="179"/>
      <c r="I114" s="179"/>
      <c r="J114" s="179"/>
      <c r="K114" s="179">
        <v>56</v>
      </c>
      <c r="L114" s="179"/>
      <c r="M114" s="179"/>
      <c r="N114" s="179"/>
      <c r="O114" s="180"/>
    </row>
    <row r="115" spans="1:15" hidden="1" x14ac:dyDescent="0.2">
      <c r="A115" s="164">
        <v>42422</v>
      </c>
      <c r="B115" s="177"/>
      <c r="C115" s="177">
        <v>17</v>
      </c>
      <c r="D115" s="177"/>
      <c r="E115" s="177">
        <v>76</v>
      </c>
      <c r="F115" s="177"/>
      <c r="G115" s="177">
        <v>116</v>
      </c>
      <c r="H115" s="177">
        <v>88</v>
      </c>
      <c r="I115" s="177">
        <v>104</v>
      </c>
      <c r="J115" s="177">
        <v>76</v>
      </c>
      <c r="K115" s="177">
        <v>68</v>
      </c>
      <c r="L115" s="177"/>
      <c r="M115" s="177"/>
      <c r="N115" s="177"/>
      <c r="O115" s="178"/>
    </row>
    <row r="116" spans="1:15" hidden="1" x14ac:dyDescent="0.2">
      <c r="A116" s="165">
        <v>42423</v>
      </c>
      <c r="B116" s="179"/>
      <c r="C116" s="179">
        <v>77</v>
      </c>
      <c r="D116" s="179">
        <v>76</v>
      </c>
      <c r="E116" s="179">
        <v>57</v>
      </c>
      <c r="F116" s="179"/>
      <c r="G116" s="179">
        <v>92</v>
      </c>
      <c r="H116" s="179">
        <v>79</v>
      </c>
      <c r="I116" s="179">
        <v>108</v>
      </c>
      <c r="J116" s="179">
        <v>64</v>
      </c>
      <c r="K116" s="179">
        <v>68</v>
      </c>
      <c r="L116" s="179"/>
      <c r="M116" s="179"/>
      <c r="N116" s="179"/>
      <c r="O116" s="180">
        <v>87</v>
      </c>
    </row>
    <row r="117" spans="1:15" hidden="1" x14ac:dyDescent="0.2">
      <c r="A117" s="164">
        <v>42424</v>
      </c>
      <c r="B117" s="177"/>
      <c r="C117" s="177">
        <v>78</v>
      </c>
      <c r="D117" s="177">
        <v>105</v>
      </c>
      <c r="E117" s="177">
        <v>71</v>
      </c>
      <c r="F117" s="177"/>
      <c r="G117" s="177">
        <v>106</v>
      </c>
      <c r="H117" s="177">
        <v>99</v>
      </c>
      <c r="I117" s="177">
        <v>85</v>
      </c>
      <c r="J117" s="177"/>
      <c r="K117" s="177">
        <v>97</v>
      </c>
      <c r="L117" s="177"/>
      <c r="M117" s="177"/>
      <c r="N117" s="177"/>
      <c r="O117" s="178">
        <v>105</v>
      </c>
    </row>
    <row r="118" spans="1:15" hidden="1" x14ac:dyDescent="0.2">
      <c r="A118" s="165">
        <v>42425</v>
      </c>
      <c r="B118" s="179"/>
      <c r="C118" s="179">
        <v>64</v>
      </c>
      <c r="D118" s="179">
        <v>129</v>
      </c>
      <c r="E118" s="179">
        <v>66</v>
      </c>
      <c r="F118" s="179"/>
      <c r="G118" s="179">
        <v>76</v>
      </c>
      <c r="H118" s="179">
        <v>80</v>
      </c>
      <c r="I118" s="179"/>
      <c r="J118" s="179">
        <v>56</v>
      </c>
      <c r="K118" s="179">
        <v>118</v>
      </c>
      <c r="L118" s="179"/>
      <c r="M118" s="179"/>
      <c r="N118" s="179"/>
      <c r="O118" s="180">
        <v>101</v>
      </c>
    </row>
    <row r="119" spans="1:15" hidden="1" x14ac:dyDescent="0.2">
      <c r="A119" s="164">
        <v>42426</v>
      </c>
      <c r="B119" s="177"/>
      <c r="C119" s="177">
        <v>110</v>
      </c>
      <c r="D119" s="177">
        <v>102</v>
      </c>
      <c r="E119" s="177">
        <v>66</v>
      </c>
      <c r="F119" s="177"/>
      <c r="G119" s="177">
        <v>130</v>
      </c>
      <c r="H119" s="177">
        <v>41</v>
      </c>
      <c r="I119" s="177"/>
      <c r="J119" s="177">
        <v>72</v>
      </c>
      <c r="K119" s="177"/>
      <c r="L119" s="177"/>
      <c r="M119" s="177"/>
      <c r="N119" s="177"/>
      <c r="O119" s="178">
        <v>78</v>
      </c>
    </row>
    <row r="120" spans="1:15" hidden="1" x14ac:dyDescent="0.2">
      <c r="A120" s="165">
        <v>42427</v>
      </c>
      <c r="B120" s="179"/>
      <c r="C120" s="179"/>
      <c r="D120" s="179"/>
      <c r="E120" s="179">
        <v>24</v>
      </c>
      <c r="F120" s="179"/>
      <c r="G120" s="179"/>
      <c r="H120" s="179">
        <v>109</v>
      </c>
      <c r="I120" s="179">
        <v>110</v>
      </c>
      <c r="J120" s="179">
        <v>41</v>
      </c>
      <c r="K120" s="179">
        <v>28</v>
      </c>
      <c r="L120" s="179"/>
      <c r="M120" s="179"/>
      <c r="N120" s="179"/>
      <c r="O120" s="180"/>
    </row>
    <row r="121" spans="1:15" hidden="1" x14ac:dyDescent="0.2">
      <c r="A121" s="164">
        <v>42428</v>
      </c>
      <c r="B121" s="177"/>
      <c r="C121" s="177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8"/>
    </row>
    <row r="122" spans="1:15" hidden="1" x14ac:dyDescent="0.2">
      <c r="A122" s="165">
        <v>42429</v>
      </c>
      <c r="B122" s="179"/>
      <c r="C122" s="179">
        <v>41</v>
      </c>
      <c r="D122" s="179">
        <v>77</v>
      </c>
      <c r="E122" s="179">
        <v>64</v>
      </c>
      <c r="F122" s="179"/>
      <c r="G122" s="179">
        <v>91</v>
      </c>
      <c r="H122" s="179">
        <v>195</v>
      </c>
      <c r="I122" s="179">
        <v>114</v>
      </c>
      <c r="J122" s="179">
        <v>74</v>
      </c>
      <c r="K122" s="179">
        <v>52</v>
      </c>
      <c r="L122" s="179"/>
      <c r="M122" s="179"/>
      <c r="N122" s="179"/>
      <c r="O122" s="180">
        <v>132</v>
      </c>
    </row>
    <row r="123" spans="1:15" hidden="1" x14ac:dyDescent="0.2">
      <c r="A123" s="164">
        <v>42430</v>
      </c>
      <c r="B123" s="177"/>
      <c r="C123" s="177">
        <v>97</v>
      </c>
      <c r="D123" s="177">
        <v>80</v>
      </c>
      <c r="E123" s="177">
        <v>80</v>
      </c>
      <c r="F123" s="177"/>
      <c r="G123" s="177">
        <v>69</v>
      </c>
      <c r="H123" s="177">
        <v>118</v>
      </c>
      <c r="I123" s="177">
        <v>179</v>
      </c>
      <c r="J123" s="177">
        <v>50</v>
      </c>
      <c r="K123" s="177">
        <v>90</v>
      </c>
      <c r="L123" s="177"/>
      <c r="M123" s="177"/>
      <c r="N123" s="177"/>
      <c r="O123" s="178">
        <v>111</v>
      </c>
    </row>
    <row r="124" spans="1:15" hidden="1" x14ac:dyDescent="0.2">
      <c r="A124" s="165">
        <v>42431</v>
      </c>
      <c r="B124" s="179"/>
      <c r="C124" s="179">
        <v>75</v>
      </c>
      <c r="D124" s="179">
        <v>132</v>
      </c>
      <c r="E124" s="179">
        <v>55</v>
      </c>
      <c r="F124" s="179"/>
      <c r="G124" s="179">
        <v>119</v>
      </c>
      <c r="H124" s="179">
        <v>116</v>
      </c>
      <c r="I124" s="179">
        <v>106</v>
      </c>
      <c r="J124" s="179">
        <v>79</v>
      </c>
      <c r="K124" s="179">
        <v>55</v>
      </c>
      <c r="L124" s="179"/>
      <c r="M124" s="179"/>
      <c r="N124" s="179"/>
      <c r="O124" s="180">
        <v>97</v>
      </c>
    </row>
    <row r="125" spans="1:15" hidden="1" x14ac:dyDescent="0.2">
      <c r="A125" s="164">
        <v>42432</v>
      </c>
      <c r="B125" s="177"/>
      <c r="C125" s="177">
        <v>69</v>
      </c>
      <c r="D125" s="177">
        <v>49</v>
      </c>
      <c r="E125" s="177">
        <v>9</v>
      </c>
      <c r="F125" s="177"/>
      <c r="G125" s="177"/>
      <c r="H125" s="177">
        <v>83</v>
      </c>
      <c r="I125" s="177">
        <v>68</v>
      </c>
      <c r="J125" s="177">
        <v>50</v>
      </c>
      <c r="K125" s="177">
        <v>67</v>
      </c>
      <c r="L125" s="177"/>
      <c r="M125" s="177"/>
      <c r="N125" s="177"/>
      <c r="O125" s="178"/>
    </row>
    <row r="126" spans="1:15" hidden="1" x14ac:dyDescent="0.2">
      <c r="A126" s="165">
        <v>42433</v>
      </c>
      <c r="B126" s="179"/>
      <c r="C126" s="179"/>
      <c r="D126" s="179">
        <v>78</v>
      </c>
      <c r="E126" s="179">
        <v>73</v>
      </c>
      <c r="F126" s="179"/>
      <c r="G126" s="179">
        <v>184</v>
      </c>
      <c r="H126" s="179"/>
      <c r="I126" s="179">
        <v>82</v>
      </c>
      <c r="J126" s="179">
        <v>72</v>
      </c>
      <c r="K126" s="179">
        <v>78</v>
      </c>
      <c r="L126" s="179"/>
      <c r="M126" s="179"/>
      <c r="N126" s="179"/>
      <c r="O126" s="180">
        <v>249</v>
      </c>
    </row>
    <row r="127" spans="1:15" hidden="1" x14ac:dyDescent="0.2">
      <c r="A127" s="166">
        <v>42434</v>
      </c>
      <c r="B127" s="182"/>
      <c r="C127" s="182"/>
      <c r="D127" s="182"/>
      <c r="E127" s="182">
        <v>26</v>
      </c>
      <c r="F127" s="182"/>
      <c r="G127" s="182"/>
      <c r="H127" s="182"/>
      <c r="I127" s="182"/>
      <c r="J127" s="182">
        <v>49</v>
      </c>
      <c r="K127" s="182">
        <v>51</v>
      </c>
      <c r="L127" s="182"/>
      <c r="M127" s="182"/>
      <c r="N127" s="182"/>
      <c r="O127" s="183"/>
    </row>
    <row r="128" spans="1:15" hidden="1" x14ac:dyDescent="0.2">
      <c r="A128" s="165">
        <v>42435</v>
      </c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80"/>
    </row>
    <row r="129" spans="1:15" hidden="1" x14ac:dyDescent="0.2">
      <c r="A129" s="166">
        <v>42436</v>
      </c>
      <c r="B129" s="182"/>
      <c r="C129" s="182"/>
      <c r="D129" s="182">
        <v>118</v>
      </c>
      <c r="E129" s="182">
        <v>118</v>
      </c>
      <c r="F129" s="182"/>
      <c r="G129" s="182">
        <v>137</v>
      </c>
      <c r="H129" s="182">
        <v>114</v>
      </c>
      <c r="I129" s="182">
        <v>127</v>
      </c>
      <c r="J129" s="182">
        <v>62</v>
      </c>
      <c r="K129" s="182">
        <v>53</v>
      </c>
      <c r="L129" s="182"/>
      <c r="M129" s="182"/>
      <c r="N129" s="182"/>
      <c r="O129" s="183"/>
    </row>
    <row r="130" spans="1:15" hidden="1" x14ac:dyDescent="0.2">
      <c r="A130" s="165">
        <v>42437</v>
      </c>
      <c r="B130" s="179"/>
      <c r="C130" s="179"/>
      <c r="D130" s="179">
        <v>85</v>
      </c>
      <c r="E130" s="179">
        <v>50</v>
      </c>
      <c r="F130" s="179"/>
      <c r="G130" s="179">
        <v>186</v>
      </c>
      <c r="H130" s="179">
        <v>97</v>
      </c>
      <c r="I130" s="179">
        <v>101</v>
      </c>
      <c r="J130" s="179">
        <v>70</v>
      </c>
      <c r="K130" s="179">
        <v>58</v>
      </c>
      <c r="L130" s="179"/>
      <c r="M130" s="179">
        <v>42</v>
      </c>
      <c r="N130" s="179"/>
      <c r="O130" s="180">
        <v>87</v>
      </c>
    </row>
    <row r="131" spans="1:15" hidden="1" x14ac:dyDescent="0.2">
      <c r="A131" s="166">
        <v>42438</v>
      </c>
      <c r="B131" s="182"/>
      <c r="C131" s="182">
        <v>153</v>
      </c>
      <c r="D131" s="182">
        <v>106</v>
      </c>
      <c r="E131" s="182">
        <v>69</v>
      </c>
      <c r="F131" s="182"/>
      <c r="G131" s="182">
        <v>172</v>
      </c>
      <c r="H131" s="182">
        <v>128</v>
      </c>
      <c r="I131" s="182">
        <v>123</v>
      </c>
      <c r="J131" s="182">
        <v>93</v>
      </c>
      <c r="K131" s="182">
        <v>112</v>
      </c>
      <c r="L131" s="182"/>
      <c r="M131" s="182">
        <v>106</v>
      </c>
      <c r="N131" s="182"/>
      <c r="O131" s="183">
        <v>92</v>
      </c>
    </row>
    <row r="132" spans="1:15" hidden="1" x14ac:dyDescent="0.2">
      <c r="A132" s="165">
        <v>42439</v>
      </c>
      <c r="B132" s="179"/>
      <c r="C132" s="179">
        <v>102</v>
      </c>
      <c r="D132" s="179">
        <v>111</v>
      </c>
      <c r="E132" s="179">
        <v>57</v>
      </c>
      <c r="F132" s="179"/>
      <c r="G132" s="179">
        <v>99</v>
      </c>
      <c r="H132" s="179">
        <v>72</v>
      </c>
      <c r="I132" s="184" t="s">
        <v>169</v>
      </c>
      <c r="J132" s="179">
        <v>47</v>
      </c>
      <c r="K132" s="179">
        <v>96</v>
      </c>
      <c r="L132" s="179"/>
      <c r="M132" s="179">
        <v>64</v>
      </c>
      <c r="N132" s="179"/>
      <c r="O132" s="180">
        <v>135</v>
      </c>
    </row>
    <row r="133" spans="1:15" hidden="1" x14ac:dyDescent="0.2">
      <c r="A133" s="166">
        <v>42440</v>
      </c>
      <c r="B133" s="182"/>
      <c r="C133" s="182">
        <v>104</v>
      </c>
      <c r="D133" s="182">
        <v>84</v>
      </c>
      <c r="E133" s="182"/>
      <c r="F133" s="182"/>
      <c r="G133" s="182">
        <v>101</v>
      </c>
      <c r="H133" s="182"/>
      <c r="I133" s="182">
        <v>139</v>
      </c>
      <c r="J133" s="185" t="s">
        <v>169</v>
      </c>
      <c r="K133" s="182">
        <v>73</v>
      </c>
      <c r="L133" s="182"/>
      <c r="M133" s="182"/>
      <c r="N133" s="182"/>
      <c r="O133" s="183">
        <v>65</v>
      </c>
    </row>
    <row r="134" spans="1:15" hidden="1" x14ac:dyDescent="0.2">
      <c r="A134" s="165">
        <v>42441</v>
      </c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80"/>
    </row>
    <row r="135" spans="1:15" hidden="1" x14ac:dyDescent="0.2">
      <c r="A135" s="166">
        <v>42442</v>
      </c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3"/>
    </row>
    <row r="136" spans="1:15" hidden="1" x14ac:dyDescent="0.2">
      <c r="A136" s="165">
        <v>42443</v>
      </c>
      <c r="B136" s="179"/>
      <c r="C136" s="179"/>
      <c r="D136" s="179">
        <v>101</v>
      </c>
      <c r="E136" s="179"/>
      <c r="F136" s="179"/>
      <c r="G136" s="179">
        <v>24</v>
      </c>
      <c r="H136" s="179">
        <v>68</v>
      </c>
      <c r="I136" s="179">
        <v>101</v>
      </c>
      <c r="J136" s="179">
        <v>67</v>
      </c>
      <c r="K136" s="179">
        <v>89</v>
      </c>
      <c r="L136" s="179">
        <v>65</v>
      </c>
      <c r="M136" s="179"/>
      <c r="N136" s="179"/>
      <c r="O136" s="180">
        <v>126</v>
      </c>
    </row>
    <row r="137" spans="1:15" hidden="1" x14ac:dyDescent="0.2">
      <c r="A137" s="166">
        <v>42444</v>
      </c>
      <c r="B137" s="182"/>
      <c r="C137" s="182">
        <v>63</v>
      </c>
      <c r="D137" s="182">
        <v>51</v>
      </c>
      <c r="E137" s="182"/>
      <c r="F137" s="182"/>
      <c r="G137" s="182"/>
      <c r="H137" s="182">
        <v>101</v>
      </c>
      <c r="I137" s="182">
        <v>178</v>
      </c>
      <c r="J137" s="182">
        <v>106</v>
      </c>
      <c r="K137" s="182">
        <v>60</v>
      </c>
      <c r="L137" s="182">
        <v>106</v>
      </c>
      <c r="M137" s="182"/>
      <c r="N137" s="182"/>
      <c r="O137" s="183">
        <v>112</v>
      </c>
    </row>
    <row r="138" spans="1:15" hidden="1" x14ac:dyDescent="0.2">
      <c r="A138" s="165">
        <v>42445</v>
      </c>
      <c r="B138" s="179"/>
      <c r="C138" s="179">
        <v>26</v>
      </c>
      <c r="D138" s="179">
        <v>114</v>
      </c>
      <c r="E138" s="179"/>
      <c r="F138" s="179"/>
      <c r="G138" s="179">
        <v>80</v>
      </c>
      <c r="H138" s="179">
        <v>92</v>
      </c>
      <c r="I138" s="179">
        <v>151</v>
      </c>
      <c r="J138" s="179">
        <v>71</v>
      </c>
      <c r="K138" s="179">
        <v>80</v>
      </c>
      <c r="L138" s="179">
        <v>62</v>
      </c>
      <c r="M138" s="179"/>
      <c r="N138" s="179"/>
      <c r="O138" s="180">
        <v>105</v>
      </c>
    </row>
    <row r="139" spans="1:15" hidden="1" x14ac:dyDescent="0.2">
      <c r="A139" s="166">
        <v>42446</v>
      </c>
      <c r="B139" s="182"/>
      <c r="C139" s="182">
        <v>37</v>
      </c>
      <c r="D139" s="182">
        <v>75</v>
      </c>
      <c r="E139" s="182"/>
      <c r="F139" s="182"/>
      <c r="G139" s="182"/>
      <c r="H139" s="182">
        <v>92</v>
      </c>
      <c r="I139" s="182">
        <v>120</v>
      </c>
      <c r="J139" s="182">
        <v>69</v>
      </c>
      <c r="K139" s="182">
        <v>65</v>
      </c>
      <c r="L139" s="182">
        <v>72</v>
      </c>
      <c r="M139" s="182"/>
      <c r="N139" s="182"/>
      <c r="O139" s="183">
        <v>136</v>
      </c>
    </row>
    <row r="140" spans="1:15" hidden="1" x14ac:dyDescent="0.2">
      <c r="A140" s="165">
        <v>42447</v>
      </c>
      <c r="B140" s="179">
        <v>63</v>
      </c>
      <c r="C140" s="184" t="s">
        <v>169</v>
      </c>
      <c r="D140" s="179">
        <v>88</v>
      </c>
      <c r="E140" s="179"/>
      <c r="F140" s="179"/>
      <c r="G140" s="179">
        <v>116</v>
      </c>
      <c r="H140" s="179">
        <v>89</v>
      </c>
      <c r="I140" s="179">
        <v>82</v>
      </c>
      <c r="J140" s="179">
        <v>82</v>
      </c>
      <c r="K140" s="179">
        <v>97</v>
      </c>
      <c r="L140" s="179">
        <v>100</v>
      </c>
      <c r="M140" s="179"/>
      <c r="N140" s="179"/>
      <c r="O140" s="180">
        <v>62</v>
      </c>
    </row>
    <row r="141" spans="1:15" hidden="1" x14ac:dyDescent="0.2">
      <c r="A141" s="166">
        <v>42448</v>
      </c>
      <c r="B141" s="182"/>
      <c r="C141" s="182"/>
      <c r="D141" s="182"/>
      <c r="E141" s="182"/>
      <c r="F141" s="182"/>
      <c r="G141" s="182"/>
      <c r="H141" s="182">
        <v>28</v>
      </c>
      <c r="I141" s="182"/>
      <c r="J141" s="182">
        <v>61</v>
      </c>
      <c r="K141" s="182">
        <v>71</v>
      </c>
      <c r="L141" s="182"/>
      <c r="M141" s="182"/>
      <c r="N141" s="182"/>
      <c r="O141" s="183"/>
    </row>
    <row r="142" spans="1:15" hidden="1" x14ac:dyDescent="0.2">
      <c r="A142" s="165">
        <v>42449</v>
      </c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80"/>
    </row>
    <row r="143" spans="1:15" hidden="1" x14ac:dyDescent="0.2">
      <c r="A143" s="166">
        <v>42450</v>
      </c>
      <c r="B143" s="182">
        <v>80</v>
      </c>
      <c r="C143" s="182">
        <v>86</v>
      </c>
      <c r="D143" s="182">
        <v>87</v>
      </c>
      <c r="E143" s="182"/>
      <c r="F143" s="182">
        <v>142</v>
      </c>
      <c r="G143" s="182">
        <v>33</v>
      </c>
      <c r="H143" s="182">
        <v>58</v>
      </c>
      <c r="I143" s="182">
        <v>148</v>
      </c>
      <c r="J143" s="182">
        <v>118</v>
      </c>
      <c r="K143" s="182">
        <v>65</v>
      </c>
      <c r="L143" s="182">
        <v>139</v>
      </c>
      <c r="M143" s="182"/>
      <c r="N143" s="182"/>
      <c r="O143" s="183"/>
    </row>
    <row r="144" spans="1:15" hidden="1" x14ac:dyDescent="0.2">
      <c r="A144" s="165">
        <v>42451</v>
      </c>
      <c r="B144" s="179"/>
      <c r="C144" s="179">
        <v>75</v>
      </c>
      <c r="D144" s="179">
        <v>115</v>
      </c>
      <c r="E144" s="179"/>
      <c r="F144" s="179"/>
      <c r="G144" s="179">
        <v>101</v>
      </c>
      <c r="H144" s="179"/>
      <c r="I144" s="179">
        <v>67</v>
      </c>
      <c r="J144" s="179">
        <v>66</v>
      </c>
      <c r="K144" s="179">
        <v>102</v>
      </c>
      <c r="L144" s="179"/>
      <c r="M144" s="179"/>
      <c r="N144" s="179"/>
      <c r="O144" s="180"/>
    </row>
    <row r="145" spans="1:15" hidden="1" x14ac:dyDescent="0.2">
      <c r="A145" s="166">
        <v>42452</v>
      </c>
      <c r="B145" s="182"/>
      <c r="C145" s="182"/>
      <c r="D145" s="182">
        <v>41</v>
      </c>
      <c r="E145" s="182"/>
      <c r="F145" s="182"/>
      <c r="G145" s="182">
        <v>76</v>
      </c>
      <c r="H145" s="182">
        <v>89</v>
      </c>
      <c r="I145" s="182">
        <v>84</v>
      </c>
      <c r="J145" s="182">
        <v>57</v>
      </c>
      <c r="K145" s="182">
        <v>97</v>
      </c>
      <c r="L145" s="182">
        <v>53</v>
      </c>
      <c r="M145" s="182"/>
      <c r="N145" s="182"/>
      <c r="O145" s="183">
        <v>117</v>
      </c>
    </row>
    <row r="146" spans="1:15" hidden="1" x14ac:dyDescent="0.2">
      <c r="A146" s="165">
        <v>42453</v>
      </c>
      <c r="B146" s="179"/>
      <c r="C146" s="179">
        <v>136</v>
      </c>
      <c r="D146" s="179"/>
      <c r="E146" s="179"/>
      <c r="F146" s="179"/>
      <c r="G146" s="179"/>
      <c r="H146" s="179">
        <v>116</v>
      </c>
      <c r="I146" s="179">
        <v>104</v>
      </c>
      <c r="J146" s="179"/>
      <c r="K146" s="179">
        <v>57</v>
      </c>
      <c r="L146" s="179">
        <v>67</v>
      </c>
      <c r="M146" s="179"/>
      <c r="N146" s="179"/>
      <c r="O146" s="180">
        <v>64</v>
      </c>
    </row>
    <row r="147" spans="1:15" hidden="1" x14ac:dyDescent="0.2">
      <c r="A147" s="166">
        <v>42454</v>
      </c>
      <c r="B147" s="182"/>
      <c r="C147" s="182">
        <v>83</v>
      </c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3"/>
    </row>
    <row r="148" spans="1:15" hidden="1" x14ac:dyDescent="0.2">
      <c r="A148" s="165">
        <v>42455</v>
      </c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80"/>
    </row>
    <row r="149" spans="1:15" hidden="1" x14ac:dyDescent="0.2">
      <c r="A149" s="166">
        <v>42456</v>
      </c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3"/>
    </row>
    <row r="150" spans="1:15" hidden="1" x14ac:dyDescent="0.2">
      <c r="A150" s="165">
        <v>42457</v>
      </c>
      <c r="B150" s="179"/>
      <c r="C150" s="179"/>
      <c r="D150" s="179">
        <v>114</v>
      </c>
      <c r="E150" s="179"/>
      <c r="F150" s="179"/>
      <c r="G150" s="179">
        <v>98</v>
      </c>
      <c r="H150" s="184" t="s">
        <v>169</v>
      </c>
      <c r="I150" s="179">
        <v>64</v>
      </c>
      <c r="J150" s="179">
        <v>64</v>
      </c>
      <c r="K150" s="179">
        <v>104</v>
      </c>
      <c r="L150" s="179">
        <v>81</v>
      </c>
      <c r="M150" s="179"/>
      <c r="N150" s="179"/>
      <c r="O150" s="180">
        <v>124</v>
      </c>
    </row>
    <row r="151" spans="1:15" hidden="1" x14ac:dyDescent="0.2">
      <c r="A151" s="166">
        <v>42458</v>
      </c>
      <c r="B151" s="182"/>
      <c r="C151" s="182">
        <v>111</v>
      </c>
      <c r="D151" s="182">
        <v>71</v>
      </c>
      <c r="E151" s="182"/>
      <c r="F151" s="182"/>
      <c r="G151" s="182">
        <v>106</v>
      </c>
      <c r="H151" s="182">
        <v>90</v>
      </c>
      <c r="I151" s="182">
        <v>79</v>
      </c>
      <c r="J151" s="182">
        <v>83</v>
      </c>
      <c r="K151" s="182">
        <v>59</v>
      </c>
      <c r="L151" s="182">
        <v>98</v>
      </c>
      <c r="M151" s="182"/>
      <c r="N151" s="182"/>
      <c r="O151" s="183">
        <v>113</v>
      </c>
    </row>
    <row r="152" spans="1:15" hidden="1" x14ac:dyDescent="0.2">
      <c r="A152" s="165">
        <v>42459</v>
      </c>
      <c r="B152" s="179"/>
      <c r="C152" s="179">
        <v>124</v>
      </c>
      <c r="D152" s="179">
        <v>84</v>
      </c>
      <c r="E152" s="179"/>
      <c r="F152" s="179"/>
      <c r="G152" s="179">
        <v>94</v>
      </c>
      <c r="H152" s="179">
        <v>100</v>
      </c>
      <c r="I152" s="179">
        <v>141</v>
      </c>
      <c r="J152" s="179">
        <v>75</v>
      </c>
      <c r="K152" s="179">
        <v>98</v>
      </c>
      <c r="L152" s="179">
        <v>80</v>
      </c>
      <c r="M152" s="179"/>
      <c r="N152" s="179"/>
      <c r="O152" s="180">
        <v>151</v>
      </c>
    </row>
    <row r="153" spans="1:15" hidden="1" x14ac:dyDescent="0.2">
      <c r="A153" s="166">
        <v>42460</v>
      </c>
      <c r="B153" s="182"/>
      <c r="C153" s="182">
        <v>91</v>
      </c>
      <c r="D153" s="182">
        <v>51</v>
      </c>
      <c r="E153" s="182"/>
      <c r="F153" s="182"/>
      <c r="G153" s="182">
        <v>103</v>
      </c>
      <c r="H153" s="182">
        <v>89</v>
      </c>
      <c r="I153" s="182">
        <v>98</v>
      </c>
      <c r="J153" s="182">
        <v>66</v>
      </c>
      <c r="K153" s="182">
        <v>67</v>
      </c>
      <c r="L153" s="182">
        <v>97</v>
      </c>
      <c r="M153" s="182"/>
      <c r="N153" s="182"/>
      <c r="O153" s="183"/>
    </row>
    <row r="154" spans="1:15" x14ac:dyDescent="0.2">
      <c r="A154" s="165">
        <v>42461</v>
      </c>
      <c r="B154" s="179"/>
      <c r="C154" s="179">
        <v>86</v>
      </c>
      <c r="D154" s="179">
        <v>182</v>
      </c>
      <c r="E154" s="179"/>
      <c r="F154" s="179"/>
      <c r="G154" s="179">
        <v>148</v>
      </c>
      <c r="H154" s="179">
        <v>127</v>
      </c>
      <c r="I154" s="179">
        <v>196</v>
      </c>
      <c r="J154" s="179">
        <v>83</v>
      </c>
      <c r="K154" s="179">
        <v>54</v>
      </c>
      <c r="L154" s="179">
        <v>54</v>
      </c>
      <c r="M154" s="179"/>
      <c r="N154" s="179"/>
      <c r="O154" s="180">
        <v>58</v>
      </c>
    </row>
    <row r="155" spans="1:15" x14ac:dyDescent="0.2">
      <c r="A155" s="166">
        <v>42462</v>
      </c>
      <c r="B155" s="182"/>
      <c r="C155" s="182"/>
      <c r="D155" s="182"/>
      <c r="E155" s="182"/>
      <c r="F155" s="182"/>
      <c r="G155" s="182"/>
      <c r="H155" s="182"/>
      <c r="I155" s="182"/>
      <c r="J155" s="182"/>
      <c r="K155" s="182">
        <v>23</v>
      </c>
      <c r="L155" s="182"/>
      <c r="M155" s="182"/>
      <c r="N155" s="182"/>
      <c r="O155" s="183"/>
    </row>
    <row r="156" spans="1:15" x14ac:dyDescent="0.2">
      <c r="A156" s="165">
        <v>42463</v>
      </c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80"/>
    </row>
    <row r="157" spans="1:15" x14ac:dyDescent="0.2">
      <c r="A157" s="166">
        <v>42464</v>
      </c>
      <c r="B157" s="182"/>
      <c r="C157" s="182">
        <v>150</v>
      </c>
      <c r="D157" s="182">
        <v>103</v>
      </c>
      <c r="E157" s="182">
        <v>71</v>
      </c>
      <c r="F157" s="182"/>
      <c r="G157" s="182">
        <v>114</v>
      </c>
      <c r="H157" s="182">
        <v>96</v>
      </c>
      <c r="I157" s="182">
        <v>147</v>
      </c>
      <c r="J157" s="182">
        <v>115</v>
      </c>
      <c r="K157" s="182">
        <v>81</v>
      </c>
      <c r="L157" s="182"/>
      <c r="M157" s="182"/>
      <c r="N157" s="182"/>
      <c r="O157" s="183">
        <v>93</v>
      </c>
    </row>
    <row r="158" spans="1:15" x14ac:dyDescent="0.2">
      <c r="A158" s="165">
        <v>42465</v>
      </c>
      <c r="B158" s="179"/>
      <c r="C158" s="179">
        <v>20</v>
      </c>
      <c r="D158" s="179">
        <v>91</v>
      </c>
      <c r="E158" s="179">
        <v>77</v>
      </c>
      <c r="F158" s="179"/>
      <c r="G158" s="179">
        <v>58</v>
      </c>
      <c r="H158" s="179">
        <v>104</v>
      </c>
      <c r="I158" s="179">
        <v>128</v>
      </c>
      <c r="J158" s="179">
        <v>102</v>
      </c>
      <c r="K158" s="179">
        <v>118</v>
      </c>
      <c r="L158" s="179">
        <v>61</v>
      </c>
      <c r="M158" s="179"/>
      <c r="N158" s="179"/>
      <c r="O158" s="180">
        <v>124</v>
      </c>
    </row>
    <row r="159" spans="1:15" x14ac:dyDescent="0.2">
      <c r="A159" s="166">
        <v>42466</v>
      </c>
      <c r="B159" s="182"/>
      <c r="C159" s="182">
        <v>39</v>
      </c>
      <c r="D159" s="182">
        <v>88</v>
      </c>
      <c r="E159" s="182"/>
      <c r="F159" s="182"/>
      <c r="G159" s="182">
        <v>122</v>
      </c>
      <c r="H159" s="182">
        <v>77</v>
      </c>
      <c r="I159" s="182">
        <v>92</v>
      </c>
      <c r="J159" s="182">
        <v>58</v>
      </c>
      <c r="K159" s="182">
        <v>99</v>
      </c>
      <c r="L159" s="182">
        <v>72</v>
      </c>
      <c r="M159" s="182"/>
      <c r="N159" s="182"/>
      <c r="O159" s="183">
        <v>141</v>
      </c>
    </row>
    <row r="160" spans="1:15" x14ac:dyDescent="0.2">
      <c r="A160" s="165">
        <v>42467</v>
      </c>
      <c r="B160" s="179"/>
      <c r="C160" s="179">
        <v>86</v>
      </c>
      <c r="D160" s="179">
        <v>72</v>
      </c>
      <c r="E160" s="179">
        <v>48</v>
      </c>
      <c r="F160" s="179"/>
      <c r="G160" s="179">
        <v>90</v>
      </c>
      <c r="H160" s="179">
        <v>93</v>
      </c>
      <c r="I160" s="179">
        <v>89</v>
      </c>
      <c r="J160" s="179">
        <v>56</v>
      </c>
      <c r="K160" s="179">
        <v>75</v>
      </c>
      <c r="L160" s="179">
        <v>45</v>
      </c>
      <c r="M160" s="179"/>
      <c r="N160" s="179"/>
      <c r="O160" s="180">
        <v>28</v>
      </c>
    </row>
    <row r="161" spans="1:15" x14ac:dyDescent="0.2">
      <c r="A161" s="166">
        <v>42468</v>
      </c>
      <c r="B161" s="182"/>
      <c r="C161" s="182">
        <v>27</v>
      </c>
      <c r="D161" s="182">
        <v>56</v>
      </c>
      <c r="E161" s="182">
        <v>65</v>
      </c>
      <c r="F161" s="182"/>
      <c r="G161" s="182">
        <v>56</v>
      </c>
      <c r="H161" s="182">
        <v>65</v>
      </c>
      <c r="I161" s="182">
        <v>138</v>
      </c>
      <c r="J161" s="182">
        <v>74</v>
      </c>
      <c r="K161" s="182">
        <v>108</v>
      </c>
      <c r="L161" s="182">
        <v>75</v>
      </c>
      <c r="M161" s="182"/>
      <c r="N161" s="182"/>
      <c r="O161" s="212">
        <v>28</v>
      </c>
    </row>
    <row r="162" spans="1:15" x14ac:dyDescent="0.2">
      <c r="A162" s="165">
        <v>42469</v>
      </c>
      <c r="B162" s="179"/>
      <c r="C162" s="179"/>
      <c r="D162" s="179"/>
      <c r="E162" s="179"/>
      <c r="F162" s="179"/>
      <c r="G162" s="179"/>
      <c r="H162" s="179">
        <v>35</v>
      </c>
      <c r="I162" s="179"/>
      <c r="J162" s="179">
        <v>41</v>
      </c>
      <c r="K162" s="179">
        <v>54</v>
      </c>
      <c r="L162" s="179"/>
      <c r="M162" s="179"/>
      <c r="N162" s="179"/>
      <c r="O162" s="180">
        <v>108</v>
      </c>
    </row>
    <row r="163" spans="1:15" x14ac:dyDescent="0.2">
      <c r="A163" s="166">
        <v>42470</v>
      </c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3"/>
    </row>
    <row r="164" spans="1:15" x14ac:dyDescent="0.2">
      <c r="A164" s="165">
        <v>42471</v>
      </c>
      <c r="B164" s="179"/>
      <c r="C164" s="179">
        <v>102</v>
      </c>
      <c r="D164" s="179">
        <v>88</v>
      </c>
      <c r="E164" s="179">
        <v>62</v>
      </c>
      <c r="F164" s="179"/>
      <c r="G164" s="179">
        <v>111</v>
      </c>
      <c r="H164" s="179">
        <v>102</v>
      </c>
      <c r="I164" s="179">
        <v>95</v>
      </c>
      <c r="J164" s="179">
        <v>99</v>
      </c>
      <c r="K164" s="179">
        <v>90</v>
      </c>
      <c r="L164" s="179">
        <v>113</v>
      </c>
      <c r="M164" s="179"/>
      <c r="N164" s="179"/>
      <c r="O164" s="180">
        <v>129</v>
      </c>
    </row>
    <row r="165" spans="1:15" x14ac:dyDescent="0.2">
      <c r="A165" s="166">
        <v>42472</v>
      </c>
      <c r="B165" s="182"/>
      <c r="C165" s="182">
        <v>28</v>
      </c>
      <c r="D165" s="182">
        <v>86</v>
      </c>
      <c r="E165" s="182"/>
      <c r="F165" s="182"/>
      <c r="G165" s="182">
        <v>127</v>
      </c>
      <c r="H165" s="182">
        <v>125</v>
      </c>
      <c r="I165" s="182">
        <v>131</v>
      </c>
      <c r="J165" s="182">
        <v>93</v>
      </c>
      <c r="K165" s="182"/>
      <c r="L165" s="182">
        <v>47</v>
      </c>
      <c r="M165" s="182"/>
      <c r="N165" s="182"/>
      <c r="O165" s="183"/>
    </row>
    <row r="166" spans="1:15" x14ac:dyDescent="0.2">
      <c r="A166" s="165">
        <v>42473</v>
      </c>
      <c r="B166" s="179"/>
      <c r="C166" s="179">
        <v>53</v>
      </c>
      <c r="D166" s="179">
        <v>86</v>
      </c>
      <c r="E166" s="179">
        <v>72</v>
      </c>
      <c r="F166" s="179">
        <v>84</v>
      </c>
      <c r="G166" s="179">
        <v>131</v>
      </c>
      <c r="H166" s="179">
        <v>126</v>
      </c>
      <c r="I166" s="179">
        <v>121</v>
      </c>
      <c r="J166" s="179">
        <v>78</v>
      </c>
      <c r="K166" s="179">
        <v>62</v>
      </c>
      <c r="L166" s="179">
        <v>35</v>
      </c>
      <c r="M166" s="179"/>
      <c r="N166" s="179"/>
      <c r="O166" s="180"/>
    </row>
    <row r="167" spans="1:15" x14ac:dyDescent="0.2">
      <c r="A167" s="166">
        <v>42474</v>
      </c>
      <c r="B167" s="182"/>
      <c r="C167" s="182">
        <v>111</v>
      </c>
      <c r="D167" s="182">
        <v>81</v>
      </c>
      <c r="E167" s="182">
        <v>75</v>
      </c>
      <c r="F167" s="182"/>
      <c r="G167" s="182">
        <v>152</v>
      </c>
      <c r="H167" s="182">
        <v>136</v>
      </c>
      <c r="I167" s="182">
        <v>112</v>
      </c>
      <c r="J167" s="182">
        <v>55</v>
      </c>
      <c r="K167" s="182">
        <v>80</v>
      </c>
      <c r="L167" s="182">
        <v>58</v>
      </c>
      <c r="M167" s="182"/>
      <c r="N167" s="182"/>
      <c r="O167" s="183">
        <v>121</v>
      </c>
    </row>
    <row r="168" spans="1:15" x14ac:dyDescent="0.2">
      <c r="A168" s="165">
        <v>42475</v>
      </c>
      <c r="B168" s="179"/>
      <c r="C168" s="179">
        <v>43</v>
      </c>
      <c r="D168" s="179">
        <v>103</v>
      </c>
      <c r="E168" s="179"/>
      <c r="F168" s="179">
        <v>71</v>
      </c>
      <c r="G168" s="179">
        <v>81</v>
      </c>
      <c r="H168" s="179">
        <v>83</v>
      </c>
      <c r="I168" s="179">
        <v>121</v>
      </c>
      <c r="J168" s="179">
        <v>87</v>
      </c>
      <c r="K168" s="184">
        <v>70</v>
      </c>
      <c r="L168" s="179">
        <v>99</v>
      </c>
      <c r="M168" s="179"/>
      <c r="N168" s="179"/>
      <c r="O168" s="180"/>
    </row>
    <row r="169" spans="1:15" x14ac:dyDescent="0.2">
      <c r="A169" s="166">
        <v>42476</v>
      </c>
      <c r="B169" s="182"/>
      <c r="C169" s="182"/>
      <c r="D169" s="182"/>
      <c r="E169" s="182"/>
      <c r="F169" s="185">
        <v>70</v>
      </c>
      <c r="G169" s="182"/>
      <c r="H169" s="182"/>
      <c r="I169" s="182"/>
      <c r="J169" s="182"/>
      <c r="K169" s="182">
        <v>71</v>
      </c>
      <c r="L169" s="182"/>
      <c r="M169" s="182"/>
      <c r="N169" s="182"/>
      <c r="O169" s="183"/>
    </row>
    <row r="170" spans="1:15" x14ac:dyDescent="0.2">
      <c r="A170" s="165">
        <v>42477</v>
      </c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80"/>
    </row>
    <row r="171" spans="1:15" x14ac:dyDescent="0.2">
      <c r="A171" s="166">
        <v>42478</v>
      </c>
      <c r="B171" s="182"/>
      <c r="C171" s="182">
        <v>67</v>
      </c>
      <c r="D171" s="182">
        <v>82</v>
      </c>
      <c r="E171" s="182">
        <v>80</v>
      </c>
      <c r="F171" s="185">
        <v>70</v>
      </c>
      <c r="G171" s="182">
        <v>81</v>
      </c>
      <c r="H171" s="182"/>
      <c r="I171" s="182">
        <v>136</v>
      </c>
      <c r="J171" s="182">
        <v>43</v>
      </c>
      <c r="K171" s="182">
        <v>63</v>
      </c>
      <c r="L171" s="182">
        <v>43</v>
      </c>
      <c r="M171" s="182"/>
      <c r="N171" s="182"/>
      <c r="O171" s="183"/>
    </row>
    <row r="172" spans="1:15" x14ac:dyDescent="0.2">
      <c r="A172" s="165">
        <v>42479</v>
      </c>
      <c r="B172" s="179"/>
      <c r="C172" s="179">
        <v>24</v>
      </c>
      <c r="D172" s="179">
        <v>133</v>
      </c>
      <c r="E172" s="179">
        <v>62</v>
      </c>
      <c r="F172" s="179">
        <v>123</v>
      </c>
      <c r="G172" s="179">
        <v>45</v>
      </c>
      <c r="H172" s="179"/>
      <c r="I172" s="179">
        <v>103</v>
      </c>
      <c r="J172" s="179">
        <v>105</v>
      </c>
      <c r="K172" s="179">
        <v>67</v>
      </c>
      <c r="L172" s="179">
        <v>54</v>
      </c>
      <c r="M172" s="179"/>
      <c r="N172" s="179"/>
      <c r="O172" s="180"/>
    </row>
    <row r="173" spans="1:15" x14ac:dyDescent="0.2">
      <c r="A173" s="166">
        <v>42480</v>
      </c>
      <c r="B173" s="182"/>
      <c r="C173" s="182">
        <v>24</v>
      </c>
      <c r="D173" s="182">
        <v>54</v>
      </c>
      <c r="E173" s="182">
        <v>55</v>
      </c>
      <c r="F173" s="182">
        <v>96</v>
      </c>
      <c r="G173" s="182">
        <v>140</v>
      </c>
      <c r="H173" s="182"/>
      <c r="I173" s="182">
        <v>13</v>
      </c>
      <c r="J173" s="182">
        <v>116</v>
      </c>
      <c r="K173" s="182">
        <v>66</v>
      </c>
      <c r="L173" s="182">
        <v>94</v>
      </c>
      <c r="M173" s="182"/>
      <c r="N173" s="182"/>
      <c r="O173" s="183"/>
    </row>
    <row r="174" spans="1:15" x14ac:dyDescent="0.2">
      <c r="A174" s="165">
        <v>42481</v>
      </c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80"/>
    </row>
    <row r="175" spans="1:15" x14ac:dyDescent="0.2">
      <c r="A175" s="166">
        <v>42482</v>
      </c>
      <c r="B175" s="182"/>
      <c r="C175" s="182"/>
      <c r="D175" s="182"/>
      <c r="E175" s="182"/>
      <c r="F175" s="182"/>
      <c r="G175" s="182">
        <v>121</v>
      </c>
      <c r="H175" s="182">
        <v>15</v>
      </c>
      <c r="I175" s="182">
        <v>134</v>
      </c>
      <c r="J175" s="182"/>
      <c r="K175" s="182">
        <v>64</v>
      </c>
      <c r="L175" s="182">
        <v>55</v>
      </c>
      <c r="M175" s="182"/>
      <c r="N175" s="182"/>
      <c r="O175" s="183"/>
    </row>
    <row r="176" spans="1:15" x14ac:dyDescent="0.2">
      <c r="A176" s="165">
        <v>42483</v>
      </c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80"/>
    </row>
    <row r="177" spans="1:15" x14ac:dyDescent="0.2">
      <c r="A177" s="166">
        <v>42484</v>
      </c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3"/>
    </row>
    <row r="178" spans="1:15" x14ac:dyDescent="0.2">
      <c r="A178" s="165">
        <v>42485</v>
      </c>
      <c r="B178" s="179">
        <v>15</v>
      </c>
      <c r="C178" s="179">
        <v>87</v>
      </c>
      <c r="D178" s="179">
        <v>97</v>
      </c>
      <c r="E178" s="179">
        <v>90</v>
      </c>
      <c r="F178" s="179"/>
      <c r="G178" s="179">
        <v>87</v>
      </c>
      <c r="H178" s="179">
        <v>64</v>
      </c>
      <c r="I178" s="179"/>
      <c r="J178" s="179">
        <v>34</v>
      </c>
      <c r="K178" s="179">
        <v>76</v>
      </c>
      <c r="L178" s="179">
        <v>64</v>
      </c>
      <c r="M178" s="179"/>
      <c r="N178" s="179"/>
      <c r="O178" s="180"/>
    </row>
    <row r="179" spans="1:15" x14ac:dyDescent="0.2">
      <c r="A179" s="166">
        <v>42486</v>
      </c>
      <c r="B179" s="182"/>
      <c r="C179" s="182">
        <v>61</v>
      </c>
      <c r="D179" s="182">
        <v>65</v>
      </c>
      <c r="E179" s="182">
        <v>23</v>
      </c>
      <c r="F179" s="182"/>
      <c r="G179" s="182">
        <v>50</v>
      </c>
      <c r="H179" s="182">
        <v>56</v>
      </c>
      <c r="I179" s="182">
        <v>166</v>
      </c>
      <c r="J179" s="182">
        <v>58</v>
      </c>
      <c r="K179" s="182">
        <v>108</v>
      </c>
      <c r="L179" s="182">
        <v>61</v>
      </c>
      <c r="M179" s="182"/>
      <c r="N179" s="182"/>
      <c r="O179" s="183">
        <v>91</v>
      </c>
    </row>
    <row r="180" spans="1:15" x14ac:dyDescent="0.2">
      <c r="A180" s="165">
        <v>42487</v>
      </c>
      <c r="B180" s="179"/>
      <c r="C180" s="179">
        <v>79</v>
      </c>
      <c r="D180" s="179">
        <v>84</v>
      </c>
      <c r="E180" s="179"/>
      <c r="F180" s="179"/>
      <c r="G180" s="179">
        <v>115</v>
      </c>
      <c r="H180" s="179"/>
      <c r="I180" s="179">
        <v>113</v>
      </c>
      <c r="J180" s="179">
        <v>79</v>
      </c>
      <c r="K180" s="179">
        <v>96</v>
      </c>
      <c r="L180" s="179">
        <v>53</v>
      </c>
      <c r="M180" s="179"/>
      <c r="N180" s="179"/>
      <c r="O180" s="180">
        <v>24</v>
      </c>
    </row>
    <row r="181" spans="1:15" x14ac:dyDescent="0.2">
      <c r="A181" s="166">
        <v>42488</v>
      </c>
      <c r="B181" s="182"/>
      <c r="C181" s="182">
        <v>28</v>
      </c>
      <c r="D181" s="182">
        <v>115</v>
      </c>
      <c r="E181" s="182"/>
      <c r="F181" s="185">
        <v>70</v>
      </c>
      <c r="G181" s="182">
        <v>132</v>
      </c>
      <c r="H181" s="182"/>
      <c r="I181" s="182">
        <v>185</v>
      </c>
      <c r="J181" s="182">
        <v>48</v>
      </c>
      <c r="K181" s="182">
        <v>87</v>
      </c>
      <c r="L181" s="182">
        <v>73</v>
      </c>
      <c r="M181" s="182"/>
      <c r="N181" s="182"/>
      <c r="O181" s="183">
        <v>41</v>
      </c>
    </row>
    <row r="182" spans="1:15" x14ac:dyDescent="0.2">
      <c r="A182" s="165">
        <v>42489</v>
      </c>
      <c r="B182" s="179"/>
      <c r="C182" s="179">
        <v>91</v>
      </c>
      <c r="D182" s="179">
        <v>74</v>
      </c>
      <c r="E182" s="179"/>
      <c r="F182" s="179">
        <v>72</v>
      </c>
      <c r="G182" s="179">
        <v>165</v>
      </c>
      <c r="H182" s="179"/>
      <c r="I182" s="179">
        <v>102</v>
      </c>
      <c r="J182" s="179">
        <v>83</v>
      </c>
      <c r="K182" s="179">
        <v>112</v>
      </c>
      <c r="L182" s="179"/>
      <c r="M182" s="179"/>
      <c r="N182" s="179"/>
      <c r="O182" s="180">
        <v>80</v>
      </c>
    </row>
    <row r="183" spans="1:15" x14ac:dyDescent="0.2">
      <c r="A183" s="166">
        <v>42490</v>
      </c>
      <c r="B183" s="182"/>
      <c r="C183" s="182"/>
      <c r="D183" s="182"/>
      <c r="E183" s="182"/>
      <c r="F183" s="182">
        <v>89</v>
      </c>
      <c r="G183" s="182">
        <v>32</v>
      </c>
      <c r="H183" s="182"/>
      <c r="I183" s="182"/>
      <c r="J183" s="182">
        <v>45</v>
      </c>
      <c r="K183" s="182"/>
      <c r="L183" s="182"/>
      <c r="M183" s="182"/>
      <c r="N183" s="182"/>
      <c r="O183" s="183"/>
    </row>
    <row r="184" spans="1:15" hidden="1" x14ac:dyDescent="0.2">
      <c r="A184" s="165">
        <v>42491</v>
      </c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80"/>
    </row>
    <row r="185" spans="1:15" hidden="1" x14ac:dyDescent="0.2">
      <c r="A185" s="166">
        <v>42492</v>
      </c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3"/>
    </row>
    <row r="186" spans="1:15" hidden="1" x14ac:dyDescent="0.2">
      <c r="A186" s="165">
        <v>42493</v>
      </c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80"/>
    </row>
    <row r="187" spans="1:15" hidden="1" x14ac:dyDescent="0.2">
      <c r="A187" s="166">
        <v>42494</v>
      </c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3"/>
    </row>
    <row r="188" spans="1:15" hidden="1" x14ac:dyDescent="0.2">
      <c r="A188" s="165">
        <v>42495</v>
      </c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80"/>
    </row>
    <row r="189" spans="1:15" hidden="1" x14ac:dyDescent="0.2">
      <c r="A189" s="166">
        <v>42496</v>
      </c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3"/>
    </row>
    <row r="190" spans="1:15" hidden="1" x14ac:dyDescent="0.2">
      <c r="A190" s="165">
        <v>42497</v>
      </c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80"/>
    </row>
    <row r="191" spans="1:15" hidden="1" x14ac:dyDescent="0.2">
      <c r="A191" s="166">
        <v>42498</v>
      </c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3"/>
    </row>
    <row r="192" spans="1:15" hidden="1" x14ac:dyDescent="0.2">
      <c r="A192" s="165">
        <v>42499</v>
      </c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80"/>
    </row>
    <row r="193" spans="1:15" hidden="1" x14ac:dyDescent="0.2">
      <c r="A193" s="166">
        <v>42500</v>
      </c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3"/>
    </row>
    <row r="194" spans="1:15" hidden="1" x14ac:dyDescent="0.2">
      <c r="A194" s="165">
        <v>42501</v>
      </c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80"/>
    </row>
    <row r="195" spans="1:15" hidden="1" x14ac:dyDescent="0.2">
      <c r="A195" s="166">
        <v>42502</v>
      </c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3"/>
    </row>
    <row r="196" spans="1:15" hidden="1" x14ac:dyDescent="0.2">
      <c r="A196" s="165">
        <v>42503</v>
      </c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80"/>
    </row>
    <row r="197" spans="1:15" hidden="1" x14ac:dyDescent="0.2">
      <c r="A197" s="166">
        <v>42504</v>
      </c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3"/>
    </row>
    <row r="198" spans="1:15" hidden="1" x14ac:dyDescent="0.2">
      <c r="A198" s="165">
        <v>42505</v>
      </c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80"/>
    </row>
    <row r="199" spans="1:15" hidden="1" x14ac:dyDescent="0.2">
      <c r="A199" s="166">
        <v>42506</v>
      </c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3"/>
    </row>
    <row r="200" spans="1:15" hidden="1" x14ac:dyDescent="0.2">
      <c r="A200" s="165">
        <v>42507</v>
      </c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80"/>
    </row>
    <row r="201" spans="1:15" hidden="1" x14ac:dyDescent="0.2">
      <c r="A201" s="166">
        <v>42508</v>
      </c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3"/>
    </row>
    <row r="202" spans="1:15" hidden="1" x14ac:dyDescent="0.2">
      <c r="A202" s="165">
        <v>42509</v>
      </c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80"/>
    </row>
    <row r="203" spans="1:15" hidden="1" x14ac:dyDescent="0.2">
      <c r="A203" s="166">
        <v>42510</v>
      </c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3"/>
    </row>
    <row r="204" spans="1:15" hidden="1" x14ac:dyDescent="0.2">
      <c r="A204" s="165">
        <v>42511</v>
      </c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80"/>
    </row>
    <row r="205" spans="1:15" hidden="1" x14ac:dyDescent="0.2">
      <c r="A205" s="166">
        <v>42512</v>
      </c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3"/>
    </row>
    <row r="206" spans="1:15" hidden="1" x14ac:dyDescent="0.2">
      <c r="A206" s="165">
        <v>42513</v>
      </c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80"/>
    </row>
    <row r="207" spans="1:15" hidden="1" x14ac:dyDescent="0.2">
      <c r="A207" s="166">
        <v>42514</v>
      </c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3"/>
    </row>
    <row r="208" spans="1:15" hidden="1" x14ac:dyDescent="0.2">
      <c r="A208" s="165">
        <v>42515</v>
      </c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80"/>
    </row>
    <row r="209" spans="1:15" hidden="1" x14ac:dyDescent="0.2">
      <c r="A209" s="166">
        <v>42516</v>
      </c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3"/>
    </row>
    <row r="210" spans="1:15" hidden="1" x14ac:dyDescent="0.2">
      <c r="A210" s="165">
        <v>42517</v>
      </c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80"/>
    </row>
    <row r="211" spans="1:15" hidden="1" x14ac:dyDescent="0.2">
      <c r="A211" s="166">
        <v>42518</v>
      </c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3"/>
    </row>
    <row r="212" spans="1:15" hidden="1" x14ac:dyDescent="0.2">
      <c r="A212" s="165">
        <v>42519</v>
      </c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80"/>
    </row>
    <row r="213" spans="1:15" hidden="1" x14ac:dyDescent="0.2">
      <c r="A213" s="166">
        <v>42520</v>
      </c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3"/>
    </row>
    <row r="214" spans="1:15" hidden="1" x14ac:dyDescent="0.2">
      <c r="A214" s="165">
        <v>42521</v>
      </c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80"/>
    </row>
    <row r="215" spans="1:15" hidden="1" x14ac:dyDescent="0.2">
      <c r="A215" s="166">
        <v>42522</v>
      </c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3"/>
    </row>
    <row r="216" spans="1:15" hidden="1" x14ac:dyDescent="0.2">
      <c r="A216" s="165">
        <v>42523</v>
      </c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80"/>
    </row>
    <row r="217" spans="1:15" hidden="1" x14ac:dyDescent="0.2">
      <c r="A217" s="166">
        <v>42524</v>
      </c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3"/>
    </row>
    <row r="218" spans="1:15" hidden="1" x14ac:dyDescent="0.2">
      <c r="A218" s="165">
        <v>42525</v>
      </c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80"/>
    </row>
    <row r="219" spans="1:15" hidden="1" x14ac:dyDescent="0.2">
      <c r="A219" s="166">
        <v>42526</v>
      </c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3"/>
    </row>
    <row r="220" spans="1:15" hidden="1" x14ac:dyDescent="0.2">
      <c r="A220" s="165">
        <v>42527</v>
      </c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80"/>
    </row>
    <row r="221" spans="1:15" hidden="1" x14ac:dyDescent="0.2">
      <c r="A221" s="166">
        <v>42528</v>
      </c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3"/>
    </row>
    <row r="222" spans="1:15" hidden="1" x14ac:dyDescent="0.2">
      <c r="A222" s="165">
        <v>42529</v>
      </c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80"/>
    </row>
    <row r="223" spans="1:15" hidden="1" x14ac:dyDescent="0.2">
      <c r="A223" s="166">
        <v>42530</v>
      </c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3"/>
    </row>
    <row r="224" spans="1:15" hidden="1" x14ac:dyDescent="0.2">
      <c r="A224" s="165">
        <v>42531</v>
      </c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80"/>
    </row>
    <row r="225" spans="1:15" hidden="1" x14ac:dyDescent="0.2">
      <c r="A225" s="166">
        <v>42532</v>
      </c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3"/>
    </row>
    <row r="226" spans="1:15" hidden="1" x14ac:dyDescent="0.2">
      <c r="A226" s="165">
        <v>42533</v>
      </c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80"/>
    </row>
    <row r="227" spans="1:15" hidden="1" x14ac:dyDescent="0.2">
      <c r="A227" s="166">
        <v>42534</v>
      </c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3"/>
    </row>
    <row r="228" spans="1:15" hidden="1" x14ac:dyDescent="0.2">
      <c r="A228" s="165">
        <v>42535</v>
      </c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80"/>
    </row>
    <row r="229" spans="1:15" hidden="1" x14ac:dyDescent="0.2">
      <c r="A229" s="166">
        <v>42536</v>
      </c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3"/>
    </row>
    <row r="230" spans="1:15" hidden="1" x14ac:dyDescent="0.2">
      <c r="A230" s="165">
        <v>42537</v>
      </c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80"/>
    </row>
    <row r="231" spans="1:15" hidden="1" x14ac:dyDescent="0.2">
      <c r="A231" s="166">
        <v>42538</v>
      </c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3"/>
    </row>
    <row r="232" spans="1:15" hidden="1" x14ac:dyDescent="0.2">
      <c r="A232" s="165">
        <v>42539</v>
      </c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80"/>
    </row>
    <row r="233" spans="1:15" hidden="1" x14ac:dyDescent="0.2">
      <c r="A233" s="166">
        <v>42540</v>
      </c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3"/>
    </row>
    <row r="234" spans="1:15" hidden="1" x14ac:dyDescent="0.2">
      <c r="A234" s="165">
        <v>42541</v>
      </c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80"/>
    </row>
    <row r="235" spans="1:15" hidden="1" x14ac:dyDescent="0.2">
      <c r="A235" s="166">
        <v>42542</v>
      </c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3"/>
    </row>
    <row r="236" spans="1:15" hidden="1" x14ac:dyDescent="0.2">
      <c r="A236" s="165">
        <v>42543</v>
      </c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80"/>
    </row>
    <row r="237" spans="1:15" hidden="1" x14ac:dyDescent="0.2">
      <c r="A237" s="166">
        <v>42544</v>
      </c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3"/>
    </row>
    <row r="238" spans="1:15" hidden="1" x14ac:dyDescent="0.2">
      <c r="A238" s="165">
        <v>42545</v>
      </c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80"/>
    </row>
    <row r="239" spans="1:15" hidden="1" x14ac:dyDescent="0.2">
      <c r="A239" s="166">
        <v>42546</v>
      </c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3"/>
    </row>
    <row r="240" spans="1:15" hidden="1" x14ac:dyDescent="0.2">
      <c r="A240" s="165">
        <v>42547</v>
      </c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80"/>
    </row>
    <row r="241" spans="1:15" hidden="1" x14ac:dyDescent="0.2">
      <c r="A241" s="166">
        <v>42548</v>
      </c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3"/>
    </row>
    <row r="242" spans="1:15" hidden="1" x14ac:dyDescent="0.2">
      <c r="A242" s="165">
        <v>42549</v>
      </c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80"/>
    </row>
    <row r="243" spans="1:15" hidden="1" x14ac:dyDescent="0.2">
      <c r="A243" s="166">
        <v>42550</v>
      </c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3"/>
    </row>
    <row r="244" spans="1:15" hidden="1" x14ac:dyDescent="0.2">
      <c r="A244" s="165">
        <v>42551</v>
      </c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80"/>
    </row>
    <row r="245" spans="1:15" hidden="1" x14ac:dyDescent="0.2">
      <c r="A245" s="166">
        <v>42552</v>
      </c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3"/>
    </row>
    <row r="246" spans="1:15" hidden="1" x14ac:dyDescent="0.2">
      <c r="A246" s="165">
        <v>42553</v>
      </c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80"/>
    </row>
    <row r="247" spans="1:15" hidden="1" x14ac:dyDescent="0.2">
      <c r="A247" s="166">
        <v>42554</v>
      </c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3"/>
    </row>
    <row r="248" spans="1:15" hidden="1" x14ac:dyDescent="0.2">
      <c r="A248" s="165">
        <v>42555</v>
      </c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80"/>
    </row>
    <row r="249" spans="1:15" hidden="1" x14ac:dyDescent="0.2">
      <c r="A249" s="166">
        <v>42556</v>
      </c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3"/>
    </row>
    <row r="250" spans="1:15" hidden="1" x14ac:dyDescent="0.2">
      <c r="A250" s="165">
        <v>42557</v>
      </c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80"/>
    </row>
    <row r="251" spans="1:15" hidden="1" x14ac:dyDescent="0.2">
      <c r="A251" s="166">
        <v>42558</v>
      </c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3"/>
    </row>
    <row r="252" spans="1:15" hidden="1" x14ac:dyDescent="0.2">
      <c r="A252" s="165">
        <v>42559</v>
      </c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80"/>
    </row>
    <row r="253" spans="1:15" hidden="1" x14ac:dyDescent="0.2">
      <c r="A253" s="166">
        <v>42560</v>
      </c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3"/>
    </row>
    <row r="254" spans="1:15" hidden="1" x14ac:dyDescent="0.2">
      <c r="A254" s="165">
        <v>42561</v>
      </c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80"/>
    </row>
    <row r="255" spans="1:15" hidden="1" x14ac:dyDescent="0.2">
      <c r="A255" s="166">
        <v>42562</v>
      </c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3"/>
    </row>
    <row r="256" spans="1:15" hidden="1" x14ac:dyDescent="0.2">
      <c r="A256" s="165">
        <v>42563</v>
      </c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80"/>
    </row>
    <row r="257" spans="1:15" hidden="1" x14ac:dyDescent="0.2">
      <c r="A257" s="166">
        <v>42564</v>
      </c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3"/>
    </row>
    <row r="258" spans="1:15" hidden="1" x14ac:dyDescent="0.2">
      <c r="A258" s="165">
        <v>42565</v>
      </c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80"/>
    </row>
    <row r="259" spans="1:15" hidden="1" x14ac:dyDescent="0.2">
      <c r="A259" s="166">
        <v>42566</v>
      </c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3"/>
    </row>
    <row r="260" spans="1:15" hidden="1" x14ac:dyDescent="0.2">
      <c r="A260" s="165">
        <v>42567</v>
      </c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80"/>
    </row>
    <row r="261" spans="1:15" hidden="1" x14ac:dyDescent="0.2">
      <c r="A261" s="166">
        <v>42568</v>
      </c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3"/>
    </row>
    <row r="262" spans="1:15" hidden="1" x14ac:dyDescent="0.2">
      <c r="A262" s="165">
        <v>42569</v>
      </c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80"/>
    </row>
    <row r="263" spans="1:15" hidden="1" x14ac:dyDescent="0.2">
      <c r="A263" s="166">
        <v>42570</v>
      </c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3"/>
    </row>
    <row r="264" spans="1:15" hidden="1" x14ac:dyDescent="0.2">
      <c r="A264" s="165">
        <v>42571</v>
      </c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80"/>
    </row>
    <row r="265" spans="1:15" hidden="1" x14ac:dyDescent="0.2">
      <c r="A265" s="166">
        <v>42572</v>
      </c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3"/>
    </row>
    <row r="266" spans="1:15" hidden="1" x14ac:dyDescent="0.2">
      <c r="A266" s="165">
        <v>42573</v>
      </c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80"/>
    </row>
    <row r="267" spans="1:15" hidden="1" x14ac:dyDescent="0.2">
      <c r="A267" s="166">
        <v>42574</v>
      </c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3"/>
    </row>
    <row r="268" spans="1:15" hidden="1" x14ac:dyDescent="0.2">
      <c r="A268" s="165">
        <v>42575</v>
      </c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80"/>
    </row>
    <row r="269" spans="1:15" hidden="1" x14ac:dyDescent="0.2">
      <c r="A269" s="166">
        <v>42576</v>
      </c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3"/>
    </row>
    <row r="270" spans="1:15" hidden="1" x14ac:dyDescent="0.2">
      <c r="A270" s="165">
        <v>42577</v>
      </c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80"/>
    </row>
    <row r="271" spans="1:15" hidden="1" x14ac:dyDescent="0.2">
      <c r="A271" s="166">
        <v>42578</v>
      </c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3"/>
    </row>
    <row r="272" spans="1:15" hidden="1" x14ac:dyDescent="0.2">
      <c r="A272" s="165">
        <v>42579</v>
      </c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80"/>
    </row>
    <row r="273" spans="1:15" hidden="1" x14ac:dyDescent="0.2">
      <c r="A273" s="166">
        <v>42580</v>
      </c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3"/>
    </row>
    <row r="274" spans="1:15" hidden="1" x14ac:dyDescent="0.2">
      <c r="A274" s="165">
        <v>42581</v>
      </c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80"/>
    </row>
    <row r="275" spans="1:15" hidden="1" x14ac:dyDescent="0.2">
      <c r="A275" s="166">
        <v>42582</v>
      </c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3"/>
    </row>
    <row r="276" spans="1:15" hidden="1" x14ac:dyDescent="0.2">
      <c r="A276" s="165">
        <v>42583</v>
      </c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80"/>
    </row>
    <row r="277" spans="1:15" hidden="1" x14ac:dyDescent="0.2">
      <c r="A277" s="166">
        <v>42584</v>
      </c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3"/>
    </row>
    <row r="278" spans="1:15" hidden="1" x14ac:dyDescent="0.2">
      <c r="A278" s="165">
        <v>42585</v>
      </c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80"/>
    </row>
    <row r="279" spans="1:15" hidden="1" x14ac:dyDescent="0.2">
      <c r="A279" s="166">
        <v>42586</v>
      </c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3"/>
    </row>
    <row r="280" spans="1:15" hidden="1" x14ac:dyDescent="0.2">
      <c r="A280" s="165">
        <v>42587</v>
      </c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80"/>
    </row>
    <row r="281" spans="1:15" hidden="1" x14ac:dyDescent="0.2">
      <c r="A281" s="166">
        <v>42588</v>
      </c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3"/>
    </row>
    <row r="282" spans="1:15" hidden="1" x14ac:dyDescent="0.2">
      <c r="A282" s="165">
        <v>42589</v>
      </c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80"/>
    </row>
    <row r="283" spans="1:15" hidden="1" x14ac:dyDescent="0.2">
      <c r="A283" s="166">
        <v>42590</v>
      </c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3"/>
    </row>
    <row r="284" spans="1:15" hidden="1" x14ac:dyDescent="0.2">
      <c r="A284" s="165">
        <v>42591</v>
      </c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80"/>
    </row>
    <row r="285" spans="1:15" hidden="1" x14ac:dyDescent="0.2">
      <c r="A285" s="166">
        <v>42592</v>
      </c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3"/>
    </row>
    <row r="286" spans="1:15" hidden="1" x14ac:dyDescent="0.2">
      <c r="A286" s="165">
        <v>42593</v>
      </c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80"/>
    </row>
    <row r="287" spans="1:15" hidden="1" x14ac:dyDescent="0.2">
      <c r="A287" s="166">
        <v>42594</v>
      </c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3"/>
    </row>
    <row r="288" spans="1:15" hidden="1" x14ac:dyDescent="0.2">
      <c r="A288" s="165">
        <v>42595</v>
      </c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80"/>
    </row>
    <row r="289" spans="1:15" hidden="1" x14ac:dyDescent="0.2">
      <c r="A289" s="166">
        <v>42596</v>
      </c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3"/>
    </row>
    <row r="290" spans="1:15" hidden="1" x14ac:dyDescent="0.2">
      <c r="A290" s="165">
        <v>42597</v>
      </c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80"/>
    </row>
    <row r="291" spans="1:15" hidden="1" x14ac:dyDescent="0.2">
      <c r="A291" s="166">
        <v>42598</v>
      </c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3"/>
    </row>
    <row r="292" spans="1:15" hidden="1" x14ac:dyDescent="0.2">
      <c r="A292" s="165">
        <v>42599</v>
      </c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80"/>
    </row>
    <row r="293" spans="1:15" hidden="1" x14ac:dyDescent="0.2">
      <c r="A293" s="166">
        <v>42600</v>
      </c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3"/>
    </row>
    <row r="294" spans="1:15" hidden="1" x14ac:dyDescent="0.2">
      <c r="A294" s="165">
        <v>42601</v>
      </c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80"/>
    </row>
    <row r="295" spans="1:15" hidden="1" x14ac:dyDescent="0.2">
      <c r="A295" s="166">
        <v>42602</v>
      </c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3"/>
    </row>
    <row r="296" spans="1:15" hidden="1" x14ac:dyDescent="0.2">
      <c r="A296" s="165">
        <v>42603</v>
      </c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80"/>
    </row>
    <row r="297" spans="1:15" hidden="1" x14ac:dyDescent="0.2">
      <c r="A297" s="166">
        <v>42604</v>
      </c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3"/>
    </row>
    <row r="298" spans="1:15" hidden="1" x14ac:dyDescent="0.2">
      <c r="A298" s="165">
        <v>42605</v>
      </c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80"/>
    </row>
    <row r="299" spans="1:15" hidden="1" x14ac:dyDescent="0.2">
      <c r="A299" s="166">
        <v>42606</v>
      </c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3"/>
    </row>
    <row r="300" spans="1:15" hidden="1" x14ac:dyDescent="0.2">
      <c r="A300" s="165">
        <v>42607</v>
      </c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80"/>
    </row>
    <row r="301" spans="1:15" hidden="1" x14ac:dyDescent="0.2">
      <c r="A301" s="166">
        <v>42608</v>
      </c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3"/>
    </row>
    <row r="302" spans="1:15" hidden="1" x14ac:dyDescent="0.2">
      <c r="A302" s="165">
        <v>42609</v>
      </c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80"/>
    </row>
    <row r="303" spans="1:15" hidden="1" x14ac:dyDescent="0.2">
      <c r="A303" s="166">
        <v>42610</v>
      </c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3"/>
    </row>
    <row r="304" spans="1:15" hidden="1" x14ac:dyDescent="0.2">
      <c r="A304" s="165">
        <v>42611</v>
      </c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80"/>
    </row>
    <row r="305" spans="1:15" hidden="1" x14ac:dyDescent="0.2">
      <c r="A305" s="166">
        <v>42612</v>
      </c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3"/>
    </row>
    <row r="306" spans="1:15" hidden="1" x14ac:dyDescent="0.2">
      <c r="A306" s="165">
        <v>42613</v>
      </c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80"/>
    </row>
    <row r="307" spans="1:15" hidden="1" x14ac:dyDescent="0.2">
      <c r="A307" s="166">
        <v>42614</v>
      </c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3"/>
    </row>
    <row r="308" spans="1:15" hidden="1" x14ac:dyDescent="0.2">
      <c r="A308" s="165">
        <v>42615</v>
      </c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80"/>
    </row>
    <row r="309" spans="1:15" hidden="1" x14ac:dyDescent="0.2">
      <c r="A309" s="166">
        <v>42616</v>
      </c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3"/>
    </row>
    <row r="310" spans="1:15" hidden="1" x14ac:dyDescent="0.2">
      <c r="A310" s="165">
        <v>42617</v>
      </c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80"/>
    </row>
    <row r="311" spans="1:15" hidden="1" x14ac:dyDescent="0.2">
      <c r="A311" s="166">
        <v>42618</v>
      </c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3"/>
    </row>
    <row r="312" spans="1:15" hidden="1" x14ac:dyDescent="0.2">
      <c r="A312" s="165">
        <v>42619</v>
      </c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80"/>
    </row>
    <row r="313" spans="1:15" hidden="1" x14ac:dyDescent="0.2">
      <c r="A313" s="166">
        <v>42620</v>
      </c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3"/>
    </row>
    <row r="314" spans="1:15" hidden="1" x14ac:dyDescent="0.2">
      <c r="A314" s="165">
        <v>42621</v>
      </c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80"/>
    </row>
    <row r="315" spans="1:15" hidden="1" x14ac:dyDescent="0.2">
      <c r="A315" s="166">
        <v>42622</v>
      </c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3"/>
    </row>
    <row r="316" spans="1:15" hidden="1" x14ac:dyDescent="0.2">
      <c r="A316" s="165">
        <v>42623</v>
      </c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80"/>
    </row>
    <row r="317" spans="1:15" hidden="1" x14ac:dyDescent="0.2">
      <c r="A317" s="166">
        <v>42624</v>
      </c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3"/>
    </row>
    <row r="318" spans="1:15" hidden="1" x14ac:dyDescent="0.2">
      <c r="A318" s="165">
        <v>42625</v>
      </c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80"/>
    </row>
    <row r="319" spans="1:15" hidden="1" x14ac:dyDescent="0.2">
      <c r="A319" s="166">
        <v>42626</v>
      </c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3"/>
    </row>
    <row r="320" spans="1:15" hidden="1" x14ac:dyDescent="0.2">
      <c r="A320" s="165">
        <v>42627</v>
      </c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80"/>
    </row>
    <row r="321" spans="1:15" hidden="1" x14ac:dyDescent="0.2">
      <c r="A321" s="166">
        <v>42628</v>
      </c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3"/>
    </row>
    <row r="322" spans="1:15" hidden="1" x14ac:dyDescent="0.2">
      <c r="A322" s="165">
        <v>42629</v>
      </c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80"/>
    </row>
    <row r="323" spans="1:15" hidden="1" x14ac:dyDescent="0.2">
      <c r="A323" s="166">
        <v>42630</v>
      </c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3"/>
    </row>
    <row r="324" spans="1:15" hidden="1" x14ac:dyDescent="0.2">
      <c r="A324" s="165">
        <v>42631</v>
      </c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80"/>
    </row>
    <row r="325" spans="1:15" hidden="1" x14ac:dyDescent="0.2">
      <c r="A325" s="166">
        <v>42632</v>
      </c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3"/>
    </row>
    <row r="326" spans="1:15" hidden="1" x14ac:dyDescent="0.2">
      <c r="A326" s="165">
        <v>42633</v>
      </c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80"/>
    </row>
    <row r="327" spans="1:15" hidden="1" x14ac:dyDescent="0.2">
      <c r="A327" s="166">
        <v>42634</v>
      </c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3"/>
    </row>
    <row r="328" spans="1:15" hidden="1" x14ac:dyDescent="0.2">
      <c r="A328" s="165">
        <v>42635</v>
      </c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80"/>
    </row>
    <row r="329" spans="1:15" hidden="1" x14ac:dyDescent="0.2">
      <c r="A329" s="166">
        <v>42636</v>
      </c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3"/>
    </row>
    <row r="330" spans="1:15" hidden="1" x14ac:dyDescent="0.2">
      <c r="A330" s="165">
        <v>42637</v>
      </c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80"/>
    </row>
    <row r="331" spans="1:15" hidden="1" x14ac:dyDescent="0.2">
      <c r="A331" s="166">
        <v>42638</v>
      </c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3"/>
    </row>
    <row r="332" spans="1:15" hidden="1" x14ac:dyDescent="0.2">
      <c r="A332" s="165">
        <v>42639</v>
      </c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80"/>
    </row>
    <row r="333" spans="1:15" hidden="1" x14ac:dyDescent="0.2">
      <c r="A333" s="166">
        <v>42640</v>
      </c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3"/>
    </row>
    <row r="334" spans="1:15" hidden="1" x14ac:dyDescent="0.2">
      <c r="A334" s="165">
        <v>42641</v>
      </c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80"/>
    </row>
    <row r="335" spans="1:15" hidden="1" x14ac:dyDescent="0.2">
      <c r="A335" s="166">
        <v>42642</v>
      </c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3"/>
    </row>
    <row r="336" spans="1:15" hidden="1" x14ac:dyDescent="0.2">
      <c r="A336" s="165">
        <v>42643</v>
      </c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80"/>
    </row>
    <row r="337" spans="1:15" hidden="1" x14ac:dyDescent="0.2">
      <c r="A337" s="166">
        <v>42644</v>
      </c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3"/>
    </row>
    <row r="338" spans="1:15" hidden="1" x14ac:dyDescent="0.2">
      <c r="A338" s="165">
        <v>42645</v>
      </c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80"/>
    </row>
    <row r="339" spans="1:15" hidden="1" x14ac:dyDescent="0.2">
      <c r="A339" s="166">
        <v>42646</v>
      </c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3"/>
    </row>
    <row r="340" spans="1:15" hidden="1" x14ac:dyDescent="0.2">
      <c r="A340" s="165">
        <v>42647</v>
      </c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80"/>
    </row>
    <row r="341" spans="1:15" hidden="1" x14ac:dyDescent="0.2">
      <c r="A341" s="166">
        <v>42648</v>
      </c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3"/>
    </row>
    <row r="342" spans="1:15" hidden="1" x14ac:dyDescent="0.2">
      <c r="A342" s="165">
        <v>42649</v>
      </c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80"/>
    </row>
    <row r="343" spans="1:15" hidden="1" x14ac:dyDescent="0.2">
      <c r="A343" s="166">
        <v>42650</v>
      </c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3"/>
    </row>
    <row r="344" spans="1:15" hidden="1" x14ac:dyDescent="0.2">
      <c r="A344" s="165">
        <v>42651</v>
      </c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80"/>
    </row>
    <row r="345" spans="1:15" hidden="1" x14ac:dyDescent="0.2">
      <c r="A345" s="166">
        <v>42652</v>
      </c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3"/>
    </row>
    <row r="346" spans="1:15" hidden="1" x14ac:dyDescent="0.2">
      <c r="A346" s="165">
        <v>42653</v>
      </c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80"/>
    </row>
    <row r="347" spans="1:15" hidden="1" x14ac:dyDescent="0.2">
      <c r="A347" s="166">
        <v>42654</v>
      </c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3"/>
    </row>
    <row r="348" spans="1:15" hidden="1" x14ac:dyDescent="0.2">
      <c r="A348" s="165">
        <v>42655</v>
      </c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80"/>
    </row>
    <row r="349" spans="1:15" hidden="1" x14ac:dyDescent="0.2">
      <c r="A349" s="166">
        <v>42656</v>
      </c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3"/>
    </row>
    <row r="350" spans="1:15" hidden="1" x14ac:dyDescent="0.2">
      <c r="A350" s="165">
        <v>42657</v>
      </c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80"/>
    </row>
    <row r="351" spans="1:15" hidden="1" x14ac:dyDescent="0.2">
      <c r="A351" s="166">
        <v>42658</v>
      </c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3"/>
    </row>
    <row r="352" spans="1:15" hidden="1" x14ac:dyDescent="0.2">
      <c r="A352" s="165">
        <v>42659</v>
      </c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80"/>
    </row>
    <row r="353" spans="1:15" hidden="1" x14ac:dyDescent="0.2">
      <c r="A353" s="166">
        <v>42660</v>
      </c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3"/>
    </row>
    <row r="354" spans="1:15" hidden="1" x14ac:dyDescent="0.2">
      <c r="A354" s="165">
        <v>42661</v>
      </c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80"/>
    </row>
    <row r="355" spans="1:15" hidden="1" x14ac:dyDescent="0.2">
      <c r="A355" s="166">
        <v>42662</v>
      </c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3"/>
    </row>
    <row r="356" spans="1:15" hidden="1" x14ac:dyDescent="0.2">
      <c r="A356" s="165">
        <v>42663</v>
      </c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80"/>
    </row>
    <row r="357" spans="1:15" hidden="1" x14ac:dyDescent="0.2">
      <c r="A357" s="166">
        <v>42664</v>
      </c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3"/>
    </row>
    <row r="358" spans="1:15" hidden="1" x14ac:dyDescent="0.2">
      <c r="A358" s="165">
        <v>42665</v>
      </c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80"/>
    </row>
    <row r="359" spans="1:15" hidden="1" x14ac:dyDescent="0.2">
      <c r="A359" s="166">
        <v>42666</v>
      </c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3"/>
    </row>
    <row r="360" spans="1:15" hidden="1" x14ac:dyDescent="0.2">
      <c r="A360" s="165">
        <v>42667</v>
      </c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80"/>
    </row>
    <row r="361" spans="1:15" hidden="1" x14ac:dyDescent="0.2">
      <c r="A361" s="166">
        <v>42668</v>
      </c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3"/>
    </row>
    <row r="362" spans="1:15" hidden="1" x14ac:dyDescent="0.2">
      <c r="A362" s="165">
        <v>42669</v>
      </c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80"/>
    </row>
    <row r="363" spans="1:15" hidden="1" x14ac:dyDescent="0.2">
      <c r="A363" s="166">
        <v>42670</v>
      </c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3"/>
    </row>
    <row r="364" spans="1:15" hidden="1" x14ac:dyDescent="0.2">
      <c r="A364" s="165">
        <v>42671</v>
      </c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80"/>
    </row>
    <row r="365" spans="1:15" hidden="1" x14ac:dyDescent="0.2">
      <c r="A365" s="166">
        <v>42672</v>
      </c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3"/>
    </row>
    <row r="366" spans="1:15" hidden="1" x14ac:dyDescent="0.2">
      <c r="A366" s="165">
        <v>42673</v>
      </c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80"/>
    </row>
    <row r="367" spans="1:15" hidden="1" x14ac:dyDescent="0.2">
      <c r="A367" s="166">
        <v>42674</v>
      </c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3"/>
    </row>
    <row r="368" spans="1:15" hidden="1" x14ac:dyDescent="0.2">
      <c r="A368" s="165">
        <v>42675</v>
      </c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80"/>
    </row>
    <row r="369" spans="1:15" hidden="1" x14ac:dyDescent="0.2">
      <c r="A369" s="166">
        <v>42676</v>
      </c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3"/>
    </row>
    <row r="370" spans="1:15" hidden="1" x14ac:dyDescent="0.2">
      <c r="A370" s="165">
        <v>42677</v>
      </c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80"/>
    </row>
    <row r="371" spans="1:15" hidden="1" x14ac:dyDescent="0.2">
      <c r="A371" s="166">
        <v>42678</v>
      </c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3"/>
    </row>
    <row r="372" spans="1:15" hidden="1" x14ac:dyDescent="0.2">
      <c r="A372" s="165">
        <v>42679</v>
      </c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80"/>
    </row>
    <row r="373" spans="1:15" hidden="1" x14ac:dyDescent="0.2">
      <c r="A373" s="166">
        <v>42680</v>
      </c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3"/>
    </row>
    <row r="374" spans="1:15" hidden="1" x14ac:dyDescent="0.2">
      <c r="A374" s="165">
        <v>42681</v>
      </c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80"/>
    </row>
    <row r="375" spans="1:15" hidden="1" x14ac:dyDescent="0.2">
      <c r="A375" s="166">
        <v>42682</v>
      </c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3"/>
    </row>
    <row r="376" spans="1:15" hidden="1" x14ac:dyDescent="0.2">
      <c r="A376" s="165">
        <v>42683</v>
      </c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80"/>
    </row>
    <row r="377" spans="1:15" hidden="1" x14ac:dyDescent="0.2">
      <c r="A377" s="166">
        <v>42684</v>
      </c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3"/>
    </row>
    <row r="378" spans="1:15" hidden="1" x14ac:dyDescent="0.2">
      <c r="A378" s="165">
        <v>42685</v>
      </c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80"/>
    </row>
    <row r="379" spans="1:15" hidden="1" x14ac:dyDescent="0.2">
      <c r="A379" s="166">
        <v>42686</v>
      </c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3"/>
    </row>
    <row r="380" spans="1:15" hidden="1" x14ac:dyDescent="0.2">
      <c r="A380" s="165">
        <v>42687</v>
      </c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80"/>
    </row>
    <row r="381" spans="1:15" hidden="1" x14ac:dyDescent="0.2">
      <c r="A381" s="166">
        <v>42688</v>
      </c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3"/>
    </row>
    <row r="382" spans="1:15" hidden="1" x14ac:dyDescent="0.2">
      <c r="A382" s="165">
        <v>42689</v>
      </c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80"/>
    </row>
    <row r="383" spans="1:15" hidden="1" x14ac:dyDescent="0.2">
      <c r="A383" s="166">
        <v>42690</v>
      </c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3"/>
    </row>
    <row r="384" spans="1:15" hidden="1" x14ac:dyDescent="0.2">
      <c r="A384" s="165">
        <v>42691</v>
      </c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80"/>
    </row>
    <row r="385" spans="1:15" hidden="1" x14ac:dyDescent="0.2">
      <c r="A385" s="166">
        <v>42692</v>
      </c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3"/>
    </row>
    <row r="386" spans="1:15" hidden="1" x14ac:dyDescent="0.2">
      <c r="A386" s="165">
        <v>42693</v>
      </c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80"/>
    </row>
    <row r="387" spans="1:15" hidden="1" x14ac:dyDescent="0.2">
      <c r="A387" s="166">
        <v>42694</v>
      </c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3"/>
    </row>
    <row r="388" spans="1:15" hidden="1" x14ac:dyDescent="0.2">
      <c r="A388" s="165">
        <v>42695</v>
      </c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80"/>
    </row>
    <row r="389" spans="1:15" hidden="1" x14ac:dyDescent="0.2">
      <c r="A389" s="166">
        <v>42696</v>
      </c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3"/>
    </row>
    <row r="390" spans="1:15" hidden="1" x14ac:dyDescent="0.2">
      <c r="A390" s="165">
        <v>42697</v>
      </c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80"/>
    </row>
    <row r="391" spans="1:15" hidden="1" x14ac:dyDescent="0.2">
      <c r="A391" s="166">
        <v>42698</v>
      </c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3"/>
    </row>
    <row r="392" spans="1:15" hidden="1" x14ac:dyDescent="0.2">
      <c r="A392" s="165">
        <v>42699</v>
      </c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80"/>
    </row>
    <row r="393" spans="1:15" hidden="1" x14ac:dyDescent="0.2">
      <c r="A393" s="166">
        <v>42700</v>
      </c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3"/>
    </row>
    <row r="394" spans="1:15" hidden="1" x14ac:dyDescent="0.2">
      <c r="A394" s="165">
        <v>42701</v>
      </c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80"/>
    </row>
    <row r="395" spans="1:15" hidden="1" x14ac:dyDescent="0.2">
      <c r="A395" s="166">
        <v>42702</v>
      </c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3"/>
    </row>
    <row r="396" spans="1:15" hidden="1" x14ac:dyDescent="0.2">
      <c r="A396" s="165">
        <v>42703</v>
      </c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80"/>
    </row>
    <row r="397" spans="1:15" hidden="1" x14ac:dyDescent="0.2">
      <c r="A397" s="166">
        <v>42704</v>
      </c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3"/>
    </row>
    <row r="398" spans="1:15" hidden="1" x14ac:dyDescent="0.2">
      <c r="A398" s="165">
        <v>42705</v>
      </c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80"/>
    </row>
    <row r="399" spans="1:15" hidden="1" x14ac:dyDescent="0.2">
      <c r="A399" s="166">
        <v>42706</v>
      </c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3"/>
    </row>
    <row r="400" spans="1:15" hidden="1" x14ac:dyDescent="0.2">
      <c r="A400" s="165">
        <v>42707</v>
      </c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80"/>
    </row>
    <row r="401" spans="1:15" hidden="1" x14ac:dyDescent="0.2">
      <c r="A401" s="166">
        <v>42708</v>
      </c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3"/>
    </row>
    <row r="402" spans="1:15" hidden="1" x14ac:dyDescent="0.2">
      <c r="A402" s="165">
        <v>42709</v>
      </c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80"/>
    </row>
    <row r="403" spans="1:15" hidden="1" x14ac:dyDescent="0.2">
      <c r="A403" s="166">
        <v>42710</v>
      </c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3"/>
    </row>
    <row r="404" spans="1:15" hidden="1" x14ac:dyDescent="0.2">
      <c r="A404" s="165">
        <v>42711</v>
      </c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80"/>
    </row>
    <row r="405" spans="1:15" hidden="1" x14ac:dyDescent="0.2">
      <c r="A405" s="166">
        <v>42712</v>
      </c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3"/>
    </row>
    <row r="406" spans="1:15" hidden="1" x14ac:dyDescent="0.2">
      <c r="A406" s="165">
        <v>42713</v>
      </c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80"/>
    </row>
    <row r="407" spans="1:15" hidden="1" x14ac:dyDescent="0.2">
      <c r="A407" s="166">
        <v>42714</v>
      </c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3"/>
    </row>
    <row r="408" spans="1:15" hidden="1" x14ac:dyDescent="0.2">
      <c r="A408" s="165">
        <v>42715</v>
      </c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80"/>
    </row>
    <row r="409" spans="1:15" hidden="1" x14ac:dyDescent="0.2">
      <c r="A409" s="166">
        <v>42716</v>
      </c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3"/>
    </row>
    <row r="410" spans="1:15" hidden="1" x14ac:dyDescent="0.2">
      <c r="A410" s="165">
        <v>42717</v>
      </c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80"/>
    </row>
    <row r="411" spans="1:15" hidden="1" x14ac:dyDescent="0.2">
      <c r="A411" s="166">
        <v>42718</v>
      </c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3"/>
    </row>
    <row r="412" spans="1:15" hidden="1" x14ac:dyDescent="0.2">
      <c r="A412" s="165">
        <v>42719</v>
      </c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80"/>
    </row>
    <row r="413" spans="1:15" hidden="1" x14ac:dyDescent="0.2">
      <c r="A413" s="166">
        <v>42720</v>
      </c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3"/>
    </row>
    <row r="414" spans="1:15" hidden="1" x14ac:dyDescent="0.2">
      <c r="A414" s="165">
        <v>42721</v>
      </c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80"/>
    </row>
    <row r="415" spans="1:15" hidden="1" x14ac:dyDescent="0.2">
      <c r="A415" s="166">
        <v>42722</v>
      </c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3"/>
    </row>
    <row r="416" spans="1:15" hidden="1" x14ac:dyDescent="0.2">
      <c r="A416" s="165">
        <v>42723</v>
      </c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80"/>
    </row>
    <row r="417" spans="1:15" hidden="1" x14ac:dyDescent="0.2">
      <c r="A417" s="166">
        <v>42724</v>
      </c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3"/>
    </row>
    <row r="418" spans="1:15" hidden="1" x14ac:dyDescent="0.2">
      <c r="A418" s="165">
        <v>42725</v>
      </c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80"/>
    </row>
    <row r="419" spans="1:15" hidden="1" x14ac:dyDescent="0.2">
      <c r="A419" s="166">
        <v>42726</v>
      </c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3"/>
    </row>
    <row r="420" spans="1:15" hidden="1" x14ac:dyDescent="0.2">
      <c r="A420" s="165">
        <v>42727</v>
      </c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80"/>
    </row>
    <row r="421" spans="1:15" hidden="1" x14ac:dyDescent="0.2">
      <c r="A421" s="166">
        <v>42728</v>
      </c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3"/>
    </row>
    <row r="422" spans="1:15" hidden="1" x14ac:dyDescent="0.2">
      <c r="A422" s="165">
        <v>42729</v>
      </c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80"/>
    </row>
    <row r="423" spans="1:15" hidden="1" x14ac:dyDescent="0.2">
      <c r="A423" s="166">
        <v>42730</v>
      </c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3"/>
    </row>
    <row r="424" spans="1:15" hidden="1" x14ac:dyDescent="0.2">
      <c r="A424" s="165">
        <v>42731</v>
      </c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80"/>
    </row>
    <row r="425" spans="1:15" hidden="1" x14ac:dyDescent="0.2">
      <c r="A425" s="166">
        <v>42732</v>
      </c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3"/>
    </row>
    <row r="426" spans="1:15" hidden="1" x14ac:dyDescent="0.2">
      <c r="A426" s="165">
        <v>42733</v>
      </c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80"/>
    </row>
    <row r="427" spans="1:15" hidden="1" x14ac:dyDescent="0.2">
      <c r="A427" s="166">
        <v>42734</v>
      </c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3"/>
    </row>
    <row r="428" spans="1:15" hidden="1" x14ac:dyDescent="0.2">
      <c r="A428" s="165">
        <v>42735</v>
      </c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80"/>
    </row>
  </sheetData>
  <autoFilter ref="A1:O428" xr:uid="{00000000-0009-0000-0000-00000B000000}">
    <filterColumn colId="0">
      <filters>
        <dateGroupItem year="2016" month="4" dateTimeGrouping="month"/>
      </filters>
    </filterColumn>
  </autoFilter>
  <customSheetViews>
    <customSheetView guid="{FC643F0B-3E44-4304-9C6C-EBD35A45B8FD}" filter="1" showAutoFilter="1" topLeftCell="C1">
      <pane ySplit="92" topLeftCell="A97" activePane="bottomLeft" state="frozen"/>
      <selection pane="bottomLeft" activeCell="Q119" sqref="Q119"/>
      <pageMargins left="0" right="0" top="0" bottom="0" header="0" footer="0"/>
      <pageSetup paperSize="9" orientation="portrait" r:id="rId1"/>
      <autoFilter ref="A1:O428" xr:uid="{8ABEE152-7C7D-425F-AEAC-C2D92C1AD2FD}">
        <filterColumn colId="0">
          <filters>
            <dateGroupItem year="2016" month="2" dateTimeGrouping="month"/>
          </filters>
        </filterColumn>
      </autoFilter>
    </customSheetView>
    <customSheetView guid="{ECC56881-4CE2-4FBF-815D-85F544F885E8}" filter="1" showAutoFilter="1">
      <pane ySplit="92" topLeftCell="A94" activePane="bottomLeft" state="frozen"/>
      <selection pane="bottomLeft" activeCell="K433" sqref="K433"/>
      <pageMargins left="0" right="0" top="0" bottom="0" header="0" footer="0"/>
      <pageSetup paperSize="9" orientation="portrait" r:id="rId2"/>
      <autoFilter ref="A1:O428" xr:uid="{8E1DA507-7E8E-4D9F-B4F4-352D1DD245C7}">
        <filterColumn colId="0">
          <filters>
            <dateGroupItem year="2016" month="2" dateTimeGrouping="month"/>
          </filters>
        </filterColumn>
      </autoFilter>
    </customSheetView>
    <customSheetView guid="{40F11FFD-627B-4157-AFFE-E57E44CED524}" filter="1" showAutoFilter="1" topLeftCell="C1">
      <pane ySplit="92" topLeftCell="A97" activePane="bottomLeft" state="frozen"/>
      <selection pane="bottomLeft" activeCell="Q119" sqref="Q119"/>
      <pageMargins left="0" right="0" top="0" bottom="0" header="0" footer="0"/>
      <pageSetup paperSize="9" orientation="portrait" r:id="rId3"/>
      <autoFilter ref="A1:O428" xr:uid="{F4877B1A-D656-4494-B0A9-3FFABC6C5C17}">
        <filterColumn colId="0">
          <filters>
            <dateGroupItem year="2016" month="2" dateTimeGrouping="month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3" filterMode="1">
    <tabColor theme="9" tint="0.59999389629810485"/>
  </sheetPr>
  <dimension ref="A1:BW701"/>
  <sheetViews>
    <sheetView showGridLines="0" zoomScale="85" zoomScaleNormal="85" workbookViewId="0">
      <pane ySplit="1" topLeftCell="A2" activePane="bottomLeft" state="frozen"/>
      <selection pane="bottomLeft" activeCell="V399" sqref="V399"/>
    </sheetView>
  </sheetViews>
  <sheetFormatPr defaultRowHeight="12.75" x14ac:dyDescent="0.2"/>
  <cols>
    <col min="1" max="1" width="10.7109375" style="108" bestFit="1" customWidth="1"/>
    <col min="2" max="2" width="10.7109375" customWidth="1"/>
    <col min="3" max="19" width="7.140625" customWidth="1"/>
    <col min="20" max="20" width="7.140625" style="111" customWidth="1"/>
    <col min="21" max="22" width="7.140625" customWidth="1"/>
    <col min="23" max="24" width="4.28515625" customWidth="1"/>
    <col min="25" max="25" width="5.7109375" customWidth="1"/>
    <col min="26" max="26" width="7.7109375" customWidth="1"/>
    <col min="27" max="27" width="5.7109375" customWidth="1"/>
    <col min="28" max="28" width="6.7109375" customWidth="1"/>
    <col min="29" max="32" width="5.7109375" customWidth="1"/>
    <col min="33" max="40" width="10.5703125" customWidth="1"/>
    <col min="41" max="45" width="3.85546875" customWidth="1"/>
    <col min="48" max="48" width="10.5703125" bestFit="1" customWidth="1"/>
    <col min="50" max="51" width="10.7109375" customWidth="1"/>
    <col min="52" max="69" width="7.140625" customWidth="1"/>
    <col min="70" max="71" width="9.140625" customWidth="1"/>
  </cols>
  <sheetData>
    <row r="1" spans="1:75" ht="81.75" customHeight="1" x14ac:dyDescent="0.2">
      <c r="A1" s="10" t="s">
        <v>170</v>
      </c>
      <c r="B1" s="11" t="s">
        <v>171</v>
      </c>
      <c r="C1" s="109">
        <v>1</v>
      </c>
      <c r="D1" s="109">
        <v>2</v>
      </c>
      <c r="E1" s="109">
        <v>3</v>
      </c>
      <c r="F1" s="109">
        <v>4</v>
      </c>
      <c r="G1" s="109">
        <v>5</v>
      </c>
      <c r="H1" s="109">
        <v>6</v>
      </c>
      <c r="I1" s="109">
        <v>7</v>
      </c>
      <c r="J1" s="109">
        <v>8</v>
      </c>
      <c r="K1" s="109">
        <v>9</v>
      </c>
      <c r="L1" s="109">
        <v>10</v>
      </c>
      <c r="M1" s="109">
        <v>11</v>
      </c>
      <c r="N1" s="109">
        <v>12</v>
      </c>
      <c r="O1" s="109">
        <v>13</v>
      </c>
      <c r="P1" s="109">
        <v>14</v>
      </c>
      <c r="Q1" s="109">
        <v>15</v>
      </c>
      <c r="R1" s="109">
        <v>16</v>
      </c>
      <c r="S1" s="109">
        <v>17</v>
      </c>
      <c r="T1" s="131" t="s">
        <v>303</v>
      </c>
      <c r="U1" s="153">
        <v>18</v>
      </c>
      <c r="V1" s="153">
        <v>19</v>
      </c>
      <c r="W1" s="309" t="s">
        <v>176</v>
      </c>
      <c r="X1" s="310"/>
      <c r="Y1" s="29" t="s">
        <v>58</v>
      </c>
      <c r="Z1" s="30" t="s">
        <v>79</v>
      </c>
      <c r="AA1" s="31" t="s">
        <v>177</v>
      </c>
      <c r="AB1" s="32" t="s">
        <v>178</v>
      </c>
      <c r="AC1" s="29" t="s">
        <v>179</v>
      </c>
      <c r="AD1" s="30" t="s">
        <v>180</v>
      </c>
      <c r="AE1" s="31" t="s">
        <v>181</v>
      </c>
      <c r="AF1" s="32" t="s">
        <v>182</v>
      </c>
      <c r="AG1" s="41" t="s">
        <v>183</v>
      </c>
      <c r="AH1" s="42" t="s">
        <v>184</v>
      </c>
      <c r="AI1" s="43" t="s">
        <v>185</v>
      </c>
      <c r="AJ1" s="44" t="s">
        <v>186</v>
      </c>
      <c r="AK1" s="45" t="s">
        <v>18</v>
      </c>
      <c r="AL1" s="46" t="s">
        <v>22</v>
      </c>
      <c r="AM1" s="47" t="s">
        <v>26</v>
      </c>
      <c r="AN1" s="48" t="s">
        <v>29</v>
      </c>
      <c r="AO1" s="39" t="s">
        <v>187</v>
      </c>
      <c r="AP1" s="39" t="s">
        <v>188</v>
      </c>
      <c r="AQ1" s="39" t="s">
        <v>189</v>
      </c>
      <c r="AR1" s="39" t="s">
        <v>190</v>
      </c>
      <c r="AS1" s="39"/>
      <c r="AX1" s="10" t="s">
        <v>170</v>
      </c>
      <c r="AY1" s="11" t="s">
        <v>171</v>
      </c>
      <c r="AZ1" s="40" t="s">
        <v>106</v>
      </c>
      <c r="BA1" s="40" t="s">
        <v>110</v>
      </c>
      <c r="BB1" s="40" t="s">
        <v>172</v>
      </c>
      <c r="BC1" s="40" t="s">
        <v>112</v>
      </c>
      <c r="BD1" s="40" t="s">
        <v>94</v>
      </c>
      <c r="BE1" s="40" t="s">
        <v>98</v>
      </c>
      <c r="BF1" s="40" t="s">
        <v>113</v>
      </c>
      <c r="BG1" s="40" t="s">
        <v>100</v>
      </c>
      <c r="BH1" s="40" t="s">
        <v>107</v>
      </c>
      <c r="BI1" s="40" t="s">
        <v>99</v>
      </c>
      <c r="BJ1" s="40" t="s">
        <v>173</v>
      </c>
      <c r="BK1" s="40" t="s">
        <v>103</v>
      </c>
      <c r="BL1" s="40" t="s">
        <v>102</v>
      </c>
      <c r="BM1" s="40" t="s">
        <v>101</v>
      </c>
      <c r="BN1" s="40" t="s">
        <v>111</v>
      </c>
      <c r="BO1" s="40" t="s">
        <v>174</v>
      </c>
      <c r="BP1" s="109" t="s">
        <v>108</v>
      </c>
      <c r="BQ1" s="110" t="s">
        <v>175</v>
      </c>
      <c r="BR1" s="112" t="s">
        <v>191</v>
      </c>
      <c r="BS1" s="133" t="s">
        <v>192</v>
      </c>
      <c r="BU1" s="102" t="s">
        <v>104</v>
      </c>
      <c r="BV1" s="102" t="s">
        <v>105</v>
      </c>
      <c r="BW1" s="102" t="s">
        <v>97</v>
      </c>
    </row>
    <row r="2" spans="1:75" ht="15" hidden="1" x14ac:dyDescent="0.2">
      <c r="A2" s="95">
        <v>42125</v>
      </c>
      <c r="B2" s="128" t="str">
        <f t="shared" ref="B2:B65" si="0">TEXT(A2,"ddd")</f>
        <v>sex</v>
      </c>
      <c r="C2" s="132">
        <v>17</v>
      </c>
      <c r="D2" s="132">
        <v>17</v>
      </c>
      <c r="E2" s="132">
        <v>17</v>
      </c>
      <c r="F2" s="132">
        <v>17</v>
      </c>
      <c r="G2" s="132">
        <v>17</v>
      </c>
      <c r="H2" s="132">
        <v>17</v>
      </c>
      <c r="I2" s="132">
        <v>17</v>
      </c>
      <c r="J2" s="132">
        <v>17</v>
      </c>
      <c r="K2" s="132">
        <v>17</v>
      </c>
      <c r="L2" s="132">
        <v>17</v>
      </c>
      <c r="M2" s="132">
        <v>17</v>
      </c>
      <c r="N2" s="132">
        <v>17</v>
      </c>
      <c r="O2" s="132">
        <v>17</v>
      </c>
      <c r="P2" s="132">
        <v>17</v>
      </c>
      <c r="Q2" s="132">
        <v>17</v>
      </c>
      <c r="R2" s="132">
        <v>17</v>
      </c>
      <c r="S2" s="132">
        <v>17</v>
      </c>
      <c r="T2" s="132">
        <v>17</v>
      </c>
      <c r="U2" s="132">
        <v>17</v>
      </c>
      <c r="V2" s="151">
        <v>17</v>
      </c>
      <c r="W2" s="307" t="s">
        <v>193</v>
      </c>
      <c r="X2" s="308"/>
      <c r="Y2" s="38">
        <f t="shared" ref="Y2:Y65" si="1">(COUNTIF(C2:S2,4)+COUNTIF(C2:S2,8)+COUNTIF(C2:S2,"8P")/2+COUNTIF(C2:S2,9)+COUNTIF(C2:S2,"9P")/2+COUNTIF(C2:S2,14))*8</f>
        <v>0</v>
      </c>
      <c r="Z2" s="38">
        <f t="shared" ref="Z2:Z65" si="2">(COUNTIF(C2:S2,1)+COUNTIF(C2:S2,2)+COUNTIF(C2:S2,3)+COUNTIF(C2:S2,5)+COUNTIF(C2:S2,10)+COUNTIF(C2:S2,13)+COUNTIF(C2:S2,"13P")/2+COUNTIF(C2:S2,15)+COUNTIF(C2:S2,18)+COUNTIF(C2:S2,20)+COUNTIF(C2:S2,22)+COUNTIF(C2:S2,23)+COUNTIF(C2:S2,24)+COUNTIF(C2:S2,25)+COUNTIF(C2:S2,26)+COUNTIF(C2:S2,99))*8</f>
        <v>0</v>
      </c>
      <c r="AA2" s="38">
        <f t="shared" ref="AA2:AA65" si="3">(COUNTIF(C2:S2,28)+COUNTIF(C2:S2,"28P")/2+COUNTIF(C2:S2,29))*8</f>
        <v>0</v>
      </c>
      <c r="AB2" s="38">
        <f>(COUNTIF(C2:S2,6)+COUNTIF(C2:S2,"6P")/2+COUNTIF(C2:S2,7)+COUNTIF(C2:S2,11)+COUNTIF(C2:S2,12)+COUNTIF(C2:S2,19))*8</f>
        <v>0</v>
      </c>
      <c r="AC2" s="38">
        <f>(COUNTIF(T2,4)+COUNTIF(T2,8)+COUNTIF(T2,"8P")+COUNTIF(T2,9)+COUNTIF(T2,"9P")+COUNTIF(T2,14))*6</f>
        <v>0</v>
      </c>
      <c r="AD2" s="38">
        <f>(COUNTIF(T2,1)+COUNTIF(T2,2)+COUNTIF(T2,3)+COUNTIF(T2,5)+COUNTIF(T2,10)+COUNTIF(T2,13)+COUNTIF(T2,"13P")+COUNTIF(T2,15)+COUNTIF(T2,16)+COUNTIF(T2,18)+COUNTIF(T2,20)+COUNTIF(T2,21)+COUNTIF(T2,22)+COUNTIF(T2,23)+COUNTIF(T2,24)+COUNTIF(T2,25)+COUNTIF(T2,26)+COUNTIF(T2,99))*6</f>
        <v>0</v>
      </c>
      <c r="AE2" s="38">
        <f>(COUNTIF(T2,28)+COUNTIF(T2,"28P")+COUNTIF(T2,29))*6</f>
        <v>0</v>
      </c>
      <c r="AF2" s="38">
        <f>(COUNTIF(T2,6)+COUNTIF(T2,"6P")+COUNTIF(T2,7)+COUNTIF(T2,11)+COUNTIF(T2,12))*6</f>
        <v>0</v>
      </c>
      <c r="AG2" s="33">
        <f>IF(OR(B2="SÁB",B2="DOM"),0,Y2+AC2)</f>
        <v>0</v>
      </c>
      <c r="AH2" s="33">
        <f>IF(OR(B2="SÁB",B2="DOM"),0,Z2+AD2)</f>
        <v>0</v>
      </c>
      <c r="AI2" s="33">
        <f>IF(OR(B2="SÁB",B2="DOM"),0,AA2+AE2)</f>
        <v>0</v>
      </c>
      <c r="AJ2" s="33">
        <f>IF(OR(B2="SÁB",B2="DOM"),0,AB2+AF2)</f>
        <v>0</v>
      </c>
      <c r="AK2" s="34">
        <f>AG2/(COUNTA($C$1:$S$1)*8+6)</f>
        <v>0</v>
      </c>
      <c r="AL2" s="35">
        <f>AH2/(COUNTA($C$1:$S$1)*8+6)</f>
        <v>0</v>
      </c>
      <c r="AM2" s="34">
        <f>AI2/(COUNTA($C$1:$S$1)*8+6)</f>
        <v>0</v>
      </c>
      <c r="AN2" s="36">
        <f>AJ2/(COUNTA($C$1:$S$1)*8+6)</f>
        <v>0</v>
      </c>
      <c r="AO2" s="6">
        <f t="shared" ref="AO2:AO65" si="4">COUNTIF(C2:S2,100)*8</f>
        <v>0</v>
      </c>
      <c r="AP2">
        <f t="shared" ref="AP2:AP65" si="5">COUNTIF(C2:S2,101)*8</f>
        <v>0</v>
      </c>
      <c r="AQ2" s="6">
        <f t="shared" ref="AQ2:AQ65" si="6">COUNTIF(T2:T2,101)*6</f>
        <v>0</v>
      </c>
      <c r="AR2" s="6">
        <f t="shared" ref="AR2:AR65" si="7">COUNTIF(T2:T2,100)*6</f>
        <v>0</v>
      </c>
      <c r="AS2" s="6"/>
      <c r="AX2" s="95">
        <f t="shared" ref="AX2:AX65" si="8">A2</f>
        <v>42125</v>
      </c>
      <c r="AY2" s="96" t="str">
        <f t="shared" ref="AY2:AY65" si="9">B2</f>
        <v>sex</v>
      </c>
      <c r="AZ2" s="97">
        <f>IF(OR(AY2="SÁB",AY2="DOM"),0,IFERROR(8-VLOOKUP(C2,'Dados de consulta'!$A$2:$C$38,3,0),8))</f>
        <v>0</v>
      </c>
      <c r="BA2" s="97">
        <f>IF(OR(AY2="SÁB",AY2="DOM"),0,IFERROR(8-VLOOKUP(D2,'Dados de consulta'!$A$2:$C$38,3,0),8))</f>
        <v>0</v>
      </c>
      <c r="BB2" s="97">
        <f>IF(OR(AY2="SÁB",AY2="DOM"),0,IFERROR(8-VLOOKUP(E2,'Dados de consulta'!$A$2:$C$38,3,0),8))</f>
        <v>0</v>
      </c>
      <c r="BC2" s="97">
        <f>IF(OR(AY2="SÁB",AY2="DOM"),0,IFERROR(8-VLOOKUP(F2,'Dados de consulta'!$A$2:$C$38,3,0),8))</f>
        <v>0</v>
      </c>
      <c r="BD2" s="97">
        <f>IF(OR(AY2="SÁB",AY2="DOM"),0,IFERROR(8-VLOOKUP(G2,'Dados de consulta'!$A$2:$C$38,3,0),8))</f>
        <v>0</v>
      </c>
      <c r="BE2" s="97">
        <f>IF(OR(AY2="SÁB",AY2="DOM"),0,IFERROR(8-VLOOKUP(H2,'Dados de consulta'!$A$2:$C$38,3,0),8))</f>
        <v>0</v>
      </c>
      <c r="BF2" s="97">
        <f>IF(OR(AY2="SÁB",AY2="DOM"),0,IFERROR(8-VLOOKUP(I2,'Dados de consulta'!$A$2:$C$38,3,0),8))</f>
        <v>0</v>
      </c>
      <c r="BG2" s="97">
        <f>IF(OR(AY2="SÁB",AY2="DOM"),0,IFERROR(8-VLOOKUP(J2,'Dados de consulta'!$A$2:$C$38,3,0),8))</f>
        <v>0</v>
      </c>
      <c r="BH2" s="97">
        <f>IF(OR(AY2="SÁB",AY2="DOM"),0,IFERROR(8-VLOOKUP(K2,'Dados de consulta'!$A$2:$C$38,3,0),8))</f>
        <v>0</v>
      </c>
      <c r="BI2" s="97">
        <f>IF(OR(AY2="SÁB",AY2="DOM"),0,IFERROR(8-VLOOKUP(L2,'Dados de consulta'!$A$2:$C$38,3,0),8))</f>
        <v>0</v>
      </c>
      <c r="BJ2" s="97">
        <f>IF(OR(AY2="SÁB",AY2="DOM"),0,IFERROR(8-VLOOKUP(M2,'Dados de consulta'!$A$2:$C$38,3,0),8))</f>
        <v>0</v>
      </c>
      <c r="BK2" s="97">
        <f>IF(OR(AY2="SÁB",AY2="DOM"),0,IFERROR(8-VLOOKUP(N2,'Dados de consulta'!$A$2:$C$38,3,0),8))</f>
        <v>0</v>
      </c>
      <c r="BL2" s="97">
        <f>IF(OR(AY2="SÁB",AY2="DOM"),0,IFERROR(8-VLOOKUP(O2,'Dados de consulta'!$A$2:$C$38,3,0),8))</f>
        <v>0</v>
      </c>
      <c r="BM2" s="97">
        <f>IF(OR(AY2="SÁB",AY2="DOM"),0,IFERROR(8-VLOOKUP(P2,'Dados de consulta'!$A$2:$C$38,3,0),8))</f>
        <v>0</v>
      </c>
      <c r="BN2" s="97">
        <f>IF(OR(AY2="SÁB",AY2="DOM"),0,IFERROR(8-VLOOKUP(Q2,'Dados de consulta'!$A$2:$C$38,3,0),8))</f>
        <v>0</v>
      </c>
      <c r="BO2" s="97">
        <f>IF(OR(AY2="SÁB",AY2="DOM"),0,IFERROR(8-VLOOKUP(R2,'Dados de consulta'!$A$2:$C$38,3,0),8))</f>
        <v>0</v>
      </c>
      <c r="BP2" s="97">
        <f>IF(OR(AY2="SÁB",AY2="DOM"),0,IFERROR(8-VLOOKUP(S2,'Dados de consulta'!$A$2:$C$38,3,0),8))</f>
        <v>0</v>
      </c>
      <c r="BQ2" s="113">
        <f>IFERROR(6-VLOOKUP(T2,'Dados de consulta'!$A$2:$C$38,3,0)+2,6)</f>
        <v>0</v>
      </c>
      <c r="BR2" s="114">
        <f>IF(OR(AY2="SÁB",AY2="DOM"),0,SUM(AZ2:BQ2))</f>
        <v>0</v>
      </c>
      <c r="BS2">
        <f t="shared" ref="BS2:BS59" si="10">IF(R2=17,0,IF(OR(AY2="SÁB",AY2="DOM"),0,((COUNT(AZ2:BQ2)-1)*8+6)-SUM(AO2:AR2)))</f>
        <v>0</v>
      </c>
      <c r="BU2">
        <f>IFERROR(8-VLOOKUP(U2,'Dados de consulta'!$A:$D,3,0),8)</f>
        <v>0</v>
      </c>
      <c r="BV2">
        <f>IFERROR(8-VLOOKUP(V2,'Dados de consulta'!$A:$D,3,0),8)</f>
        <v>0</v>
      </c>
      <c r="BW2">
        <f>BU2+BV2</f>
        <v>0</v>
      </c>
    </row>
    <row r="3" spans="1:75" ht="15" hidden="1" x14ac:dyDescent="0.2">
      <c r="A3" s="98">
        <v>42126</v>
      </c>
      <c r="B3" s="129" t="str">
        <f t="shared" si="0"/>
        <v>sáb</v>
      </c>
      <c r="C3" s="132"/>
      <c r="D3" s="132"/>
      <c r="E3" s="132"/>
      <c r="F3" s="132">
        <v>101</v>
      </c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51"/>
      <c r="W3" s="307" t="s">
        <v>193</v>
      </c>
      <c r="X3" s="308"/>
      <c r="Y3" s="38">
        <f t="shared" si="1"/>
        <v>0</v>
      </c>
      <c r="Z3" s="38">
        <f t="shared" si="2"/>
        <v>0</v>
      </c>
      <c r="AA3" s="38">
        <f t="shared" si="3"/>
        <v>0</v>
      </c>
      <c r="AB3" s="38">
        <f t="shared" ref="AB3:AB66" si="11">(COUNTIF(C3:S3,6)+COUNTIF(C3:S3,"6P")/2+COUNTIF(C3:S3,7)+COUNTIF(C3:S3,11)+COUNTIF(C3:S3,12)+COUNTIF(C3:S3,19))*8</f>
        <v>0</v>
      </c>
      <c r="AC3" s="38">
        <f t="shared" ref="AC3:AC66" si="12">(COUNTIF(T3,4)+COUNTIF(T3,8)+COUNTIF(T3,"8P")+COUNTIF(T3,9)+COUNTIF(T3,"9P")+COUNTIF(T3,14))*6</f>
        <v>0</v>
      </c>
      <c r="AD3" s="38">
        <f t="shared" ref="AD3:AD66" si="13">(COUNTIF(T3,1)+COUNTIF(T3,2)+COUNTIF(T3,3)+COUNTIF(T3,5)+COUNTIF(T3,10)+COUNTIF(T3,13)+COUNTIF(T3,"13P")+COUNTIF(T3,15)+COUNTIF(T3,16)+COUNTIF(T3,18)+COUNTIF(T3,20)+COUNTIF(T3,21)+COUNTIF(T3,22)+COUNTIF(T3,23)+COUNTIF(T3,24)+COUNTIF(T3,25)+COUNTIF(T3,26)+COUNTIF(T3,99))*6</f>
        <v>0</v>
      </c>
      <c r="AE3" s="38">
        <f t="shared" ref="AE3:AE66" si="14">(COUNTIF(T3,28)+COUNTIF(T3,"28P")+COUNTIF(T3,29))*6</f>
        <v>0</v>
      </c>
      <c r="AF3" s="38">
        <f t="shared" ref="AF3:AF66" si="15">(COUNTIF(T3,6)+COUNTIF(T3,"6P")+COUNTIF(T3,7)+COUNTIF(T3,11)+COUNTIF(T3,12))*6</f>
        <v>0</v>
      </c>
      <c r="AG3" s="33">
        <f t="shared" ref="AG3:AG66" si="16">IF(OR(B3="SÁB",B3="DOM"),0,Y3+AC3)</f>
        <v>0</v>
      </c>
      <c r="AH3" s="33">
        <f t="shared" ref="AH3:AH66" si="17">IF(OR(B3="SÁB",B3="DOM"),0,Z3+AD3)</f>
        <v>0</v>
      </c>
      <c r="AI3" s="33">
        <f t="shared" ref="AI3:AI66" si="18">IF(OR(B3="SÁB",B3="DOM"),0,AA3+AE3)</f>
        <v>0</v>
      </c>
      <c r="AJ3" s="33">
        <f t="shared" ref="AJ3:AJ66" si="19">IF(OR(B3="SÁB",B3="DOM"),0,AB3+AF3)</f>
        <v>0</v>
      </c>
      <c r="AK3" s="34">
        <f t="shared" ref="AK3:AK66" si="20">AG3/(COUNTA($C$1:$S$1)*8+6)</f>
        <v>0</v>
      </c>
      <c r="AL3" s="35">
        <f t="shared" ref="AL3:AL66" si="21">AH3/(COUNTA($C$1:$S$1)*8+6)</f>
        <v>0</v>
      </c>
      <c r="AM3" s="34">
        <f t="shared" ref="AM3:AM65" si="22">(AA3+AE3)/(COUNTA($C$1:$S$1)*8+COUNTA($T$1:$T$1)*6)</f>
        <v>0</v>
      </c>
      <c r="AN3" s="36">
        <f t="shared" ref="AN3:AN66" si="23">AJ3/(COUNTA($C$1:$S$1)*8+6)</f>
        <v>0</v>
      </c>
      <c r="AO3" s="6">
        <f t="shared" si="4"/>
        <v>0</v>
      </c>
      <c r="AP3">
        <f t="shared" si="5"/>
        <v>8</v>
      </c>
      <c r="AQ3" s="6">
        <f t="shared" si="6"/>
        <v>0</v>
      </c>
      <c r="AR3" s="6">
        <f t="shared" si="7"/>
        <v>0</v>
      </c>
      <c r="AS3" s="6"/>
      <c r="AX3" s="95">
        <f t="shared" si="8"/>
        <v>42126</v>
      </c>
      <c r="AY3" s="96" t="str">
        <f t="shared" si="9"/>
        <v>sáb</v>
      </c>
      <c r="AZ3" s="97">
        <f>IF(OR(AY3="SÁB",AY3="DOM"),0,IFERROR(8-VLOOKUP(C3,'Dados de consulta'!$A$2:$C$38,3,0),8))</f>
        <v>0</v>
      </c>
      <c r="BA3" s="97">
        <f>IF(OR(AY3="SÁB",AY3="DOM"),0,IFERROR(8-VLOOKUP(D3,'Dados de consulta'!$A$2:$C$38,3,0),8))</f>
        <v>0</v>
      </c>
      <c r="BB3" s="97">
        <f>IF(OR(AY3="SÁB",AY3="DOM"),0,IFERROR(8-VLOOKUP(E3,'Dados de consulta'!$A$2:$C$38,3,0),8))</f>
        <v>0</v>
      </c>
      <c r="BC3" s="97">
        <f>IF(OR(AY3="SÁB",AY3="DOM"),0,IFERROR(8-VLOOKUP(F3,'Dados de consulta'!$A$2:$C$38,3,0),8))</f>
        <v>0</v>
      </c>
      <c r="BD3" s="97">
        <f>IF(OR(AY3="SÁB",AY3="DOM"),0,IFERROR(8-VLOOKUP(G3,'Dados de consulta'!$A$2:$C$38,3,0),8))</f>
        <v>0</v>
      </c>
      <c r="BE3" s="97">
        <f>IF(OR(AY3="SÁB",AY3="DOM"),0,IFERROR(8-VLOOKUP(H3,'Dados de consulta'!$A$2:$C$38,3,0),8))</f>
        <v>0</v>
      </c>
      <c r="BF3" s="97">
        <f>IF(OR(AY3="SÁB",AY3="DOM"),0,IFERROR(8-VLOOKUP(I3,'Dados de consulta'!$A$2:$C$38,3,0),8))</f>
        <v>0</v>
      </c>
      <c r="BG3" s="97">
        <f>IF(OR(AY3="SÁB",AY3="DOM"),0,IFERROR(8-VLOOKUP(J3,'Dados de consulta'!$A$2:$C$38,3,0),8))</f>
        <v>0</v>
      </c>
      <c r="BH3" s="97">
        <f>IF(OR(AY3="SÁB",AY3="DOM"),0,IFERROR(8-VLOOKUP(K3,'Dados de consulta'!$A$2:$C$38,3,0),8))</f>
        <v>0</v>
      </c>
      <c r="BI3" s="97">
        <f>IF(OR(AY3="SÁB",AY3="DOM"),0,IFERROR(8-VLOOKUP(L3,'Dados de consulta'!$A$2:$C$38,3,0),8))</f>
        <v>0</v>
      </c>
      <c r="BJ3" s="97">
        <f>IF(OR(AY3="SÁB",AY3="DOM"),0,IFERROR(8-VLOOKUP(M3,'Dados de consulta'!$A$2:$C$38,3,0),8))</f>
        <v>0</v>
      </c>
      <c r="BK3" s="97">
        <f>IF(OR(AY3="SÁB",AY3="DOM"),0,IFERROR(8-VLOOKUP(N3,'Dados de consulta'!$A$2:$C$38,3,0),8))</f>
        <v>0</v>
      </c>
      <c r="BL3" s="97">
        <f>IF(OR(AY3="SÁB",AY3="DOM"),0,IFERROR(8-VLOOKUP(O3,'Dados de consulta'!$A$2:$C$38,3,0),8))</f>
        <v>0</v>
      </c>
      <c r="BM3" s="97">
        <f>IF(OR(AY3="SÁB",AY3="DOM"),0,IFERROR(8-VLOOKUP(P3,'Dados de consulta'!$A$2:$C$38,3,0),8))</f>
        <v>0</v>
      </c>
      <c r="BN3" s="97">
        <f>IF(OR(AY3="SÁB",AY3="DOM"),0,IFERROR(8-VLOOKUP(Q3,'Dados de consulta'!$A$2:$C$38,3,0),8))</f>
        <v>0</v>
      </c>
      <c r="BO3" s="97">
        <f>IF(OR(AY3="SÁB",AY3="DOM"),0,IFERROR(8-VLOOKUP(R3,'Dados de consulta'!$A$2:$C$38,3,0),8))</f>
        <v>0</v>
      </c>
      <c r="BP3" s="97">
        <f>IF(OR(AY3="SÁB",AY3="DOM"),0,IFERROR(8-VLOOKUP(S3,'Dados de consulta'!$A$2:$C$38,3,0),8))</f>
        <v>0</v>
      </c>
      <c r="BQ3" s="113">
        <f>IFERROR(6-VLOOKUP(T3,'Dados de consulta'!$A$2:$C$38,3,0)+2,6)</f>
        <v>6</v>
      </c>
      <c r="BR3" s="114">
        <f t="shared" ref="BR3:BR66" si="24">IF(OR(AY3="SÁB",AY3="DOM"),0,SUM(AZ3:BQ3))</f>
        <v>0</v>
      </c>
      <c r="BS3">
        <f t="shared" si="10"/>
        <v>0</v>
      </c>
      <c r="BU3">
        <f>IFERROR(8-VLOOKUP(U3,'Dados de consulta'!$A:$D,3,0),8)</f>
        <v>8</v>
      </c>
      <c r="BV3">
        <f>IFERROR(8-VLOOKUP(V3,'Dados de consulta'!$A:$D,3,0),8)</f>
        <v>8</v>
      </c>
      <c r="BW3">
        <f t="shared" ref="BW3:BW66" si="25">BU3+BV3</f>
        <v>16</v>
      </c>
    </row>
    <row r="4" spans="1:75" ht="15" hidden="1" x14ac:dyDescent="0.2">
      <c r="A4" s="98">
        <v>42127</v>
      </c>
      <c r="B4" s="129" t="str">
        <f t="shared" si="0"/>
        <v>dom</v>
      </c>
      <c r="C4" s="132"/>
      <c r="D4" s="132"/>
      <c r="E4" s="132"/>
      <c r="F4" s="132">
        <v>101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51"/>
      <c r="W4" s="307" t="s">
        <v>193</v>
      </c>
      <c r="X4" s="308"/>
      <c r="Y4" s="38">
        <f t="shared" si="1"/>
        <v>0</v>
      </c>
      <c r="Z4" s="38">
        <f t="shared" si="2"/>
        <v>0</v>
      </c>
      <c r="AA4" s="38">
        <f t="shared" si="3"/>
        <v>0</v>
      </c>
      <c r="AB4" s="38">
        <f t="shared" si="11"/>
        <v>0</v>
      </c>
      <c r="AC4" s="38">
        <f t="shared" si="12"/>
        <v>0</v>
      </c>
      <c r="AD4" s="38">
        <f t="shared" si="13"/>
        <v>0</v>
      </c>
      <c r="AE4" s="38">
        <f t="shared" si="14"/>
        <v>0</v>
      </c>
      <c r="AF4" s="38">
        <f t="shared" si="15"/>
        <v>0</v>
      </c>
      <c r="AG4" s="33">
        <f t="shared" si="16"/>
        <v>0</v>
      </c>
      <c r="AH4" s="33">
        <f t="shared" si="17"/>
        <v>0</v>
      </c>
      <c r="AI4" s="33">
        <f t="shared" si="18"/>
        <v>0</v>
      </c>
      <c r="AJ4" s="33">
        <f t="shared" si="19"/>
        <v>0</v>
      </c>
      <c r="AK4" s="34">
        <f t="shared" si="20"/>
        <v>0</v>
      </c>
      <c r="AL4" s="35">
        <f t="shared" si="21"/>
        <v>0</v>
      </c>
      <c r="AM4" s="34">
        <f t="shared" si="22"/>
        <v>0</v>
      </c>
      <c r="AN4" s="36">
        <f t="shared" si="23"/>
        <v>0</v>
      </c>
      <c r="AO4" s="6">
        <f t="shared" si="4"/>
        <v>0</v>
      </c>
      <c r="AP4">
        <f t="shared" si="5"/>
        <v>8</v>
      </c>
      <c r="AQ4" s="6">
        <f t="shared" si="6"/>
        <v>0</v>
      </c>
      <c r="AR4" s="6">
        <f t="shared" si="7"/>
        <v>0</v>
      </c>
      <c r="AS4" s="6"/>
      <c r="AX4" s="95">
        <f t="shared" si="8"/>
        <v>42127</v>
      </c>
      <c r="AY4" s="96" t="str">
        <f t="shared" si="9"/>
        <v>dom</v>
      </c>
      <c r="AZ4" s="97">
        <f>IF(OR(AY4="SÁB",AY4="DOM"),0,IFERROR(8-VLOOKUP(C4,'Dados de consulta'!$A$2:$C$38,3,0),8))</f>
        <v>0</v>
      </c>
      <c r="BA4" s="97">
        <f>IF(OR(AY4="SÁB",AY4="DOM"),0,IFERROR(8-VLOOKUP(D4,'Dados de consulta'!$A$2:$C$38,3,0),8))</f>
        <v>0</v>
      </c>
      <c r="BB4" s="97">
        <f>IF(OR(AY4="SÁB",AY4="DOM"),0,IFERROR(8-VLOOKUP(E4,'Dados de consulta'!$A$2:$C$38,3,0),8))</f>
        <v>0</v>
      </c>
      <c r="BC4" s="97">
        <f>IF(OR(AY4="SÁB",AY4="DOM"),0,IFERROR(8-VLOOKUP(F4,'Dados de consulta'!$A$2:$C$38,3,0),8))</f>
        <v>0</v>
      </c>
      <c r="BD4" s="97">
        <f>IF(OR(AY4="SÁB",AY4="DOM"),0,IFERROR(8-VLOOKUP(G4,'Dados de consulta'!$A$2:$C$38,3,0),8))</f>
        <v>0</v>
      </c>
      <c r="BE4" s="97">
        <f>IF(OR(AY4="SÁB",AY4="DOM"),0,IFERROR(8-VLOOKUP(H4,'Dados de consulta'!$A$2:$C$38,3,0),8))</f>
        <v>0</v>
      </c>
      <c r="BF4" s="97">
        <f>IF(OR(AY4="SÁB",AY4="DOM"),0,IFERROR(8-VLOOKUP(I4,'Dados de consulta'!$A$2:$C$38,3,0),8))</f>
        <v>0</v>
      </c>
      <c r="BG4" s="97">
        <f>IF(OR(AY4="SÁB",AY4="DOM"),0,IFERROR(8-VLOOKUP(J4,'Dados de consulta'!$A$2:$C$38,3,0),8))</f>
        <v>0</v>
      </c>
      <c r="BH4" s="97">
        <f>IF(OR(AY4="SÁB",AY4="DOM"),0,IFERROR(8-VLOOKUP(K4,'Dados de consulta'!$A$2:$C$38,3,0),8))</f>
        <v>0</v>
      </c>
      <c r="BI4" s="97">
        <f>IF(OR(AY4="SÁB",AY4="DOM"),0,IFERROR(8-VLOOKUP(L4,'Dados de consulta'!$A$2:$C$38,3,0),8))</f>
        <v>0</v>
      </c>
      <c r="BJ4" s="97">
        <f>IF(OR(AY4="SÁB",AY4="DOM"),0,IFERROR(8-VLOOKUP(M4,'Dados de consulta'!$A$2:$C$38,3,0),8))</f>
        <v>0</v>
      </c>
      <c r="BK4" s="97">
        <f>IF(OR(AY4="SÁB",AY4="DOM"),0,IFERROR(8-VLOOKUP(N4,'Dados de consulta'!$A$2:$C$38,3,0),8))</f>
        <v>0</v>
      </c>
      <c r="BL4" s="97">
        <f>IF(OR(AY4="SÁB",AY4="DOM"),0,IFERROR(8-VLOOKUP(O4,'Dados de consulta'!$A$2:$C$38,3,0),8))</f>
        <v>0</v>
      </c>
      <c r="BM4" s="97">
        <f>IF(OR(AY4="SÁB",AY4="DOM"),0,IFERROR(8-VLOOKUP(P4,'Dados de consulta'!$A$2:$C$38,3,0),8))</f>
        <v>0</v>
      </c>
      <c r="BN4" s="97">
        <f>IF(OR(AY4="SÁB",AY4="DOM"),0,IFERROR(8-VLOOKUP(Q4,'Dados de consulta'!$A$2:$C$38,3,0),8))</f>
        <v>0</v>
      </c>
      <c r="BO4" s="97">
        <f>IF(OR(AY4="SÁB",AY4="DOM"),0,IFERROR(8-VLOOKUP(R4,'Dados de consulta'!$A$2:$C$38,3,0),8))</f>
        <v>0</v>
      </c>
      <c r="BP4" s="97">
        <f>IF(OR(AY4="SÁB",AY4="DOM"),0,IFERROR(8-VLOOKUP(S4,'Dados de consulta'!$A$2:$C$38,3,0),8))</f>
        <v>0</v>
      </c>
      <c r="BQ4" s="113">
        <f>IFERROR(6-VLOOKUP(T4,'Dados de consulta'!$A$2:$C$38,3,0)+2,6)</f>
        <v>6</v>
      </c>
      <c r="BR4" s="114">
        <f t="shared" si="24"/>
        <v>0</v>
      </c>
      <c r="BS4">
        <f t="shared" si="10"/>
        <v>0</v>
      </c>
      <c r="BU4">
        <f>IFERROR(8-VLOOKUP(U4,'Dados de consulta'!$A:$D,3,0),8)</f>
        <v>8</v>
      </c>
      <c r="BV4">
        <f>IFERROR(8-VLOOKUP(V4,'Dados de consulta'!$A:$D,3,0),8)</f>
        <v>8</v>
      </c>
      <c r="BW4">
        <f t="shared" si="25"/>
        <v>16</v>
      </c>
    </row>
    <row r="5" spans="1:75" ht="15" hidden="1" x14ac:dyDescent="0.2">
      <c r="A5" s="98">
        <v>42128</v>
      </c>
      <c r="B5" s="129" t="str">
        <f t="shared" si="0"/>
        <v>seg</v>
      </c>
      <c r="C5" s="132"/>
      <c r="D5" s="132"/>
      <c r="E5" s="132"/>
      <c r="F5" s="132">
        <v>101</v>
      </c>
      <c r="G5" s="132"/>
      <c r="H5" s="132"/>
      <c r="I5" s="132"/>
      <c r="J5" s="132">
        <v>1</v>
      </c>
      <c r="K5" s="132">
        <v>8</v>
      </c>
      <c r="L5" s="132">
        <v>18</v>
      </c>
      <c r="M5" s="132"/>
      <c r="N5" s="132"/>
      <c r="O5" s="132"/>
      <c r="P5" s="132"/>
      <c r="Q5" s="132"/>
      <c r="R5" s="132"/>
      <c r="S5" s="132"/>
      <c r="T5" s="132"/>
      <c r="U5" s="132">
        <v>1</v>
      </c>
      <c r="V5" s="151"/>
      <c r="W5" s="307" t="s">
        <v>193</v>
      </c>
      <c r="X5" s="308"/>
      <c r="Y5" s="38">
        <f t="shared" si="1"/>
        <v>8</v>
      </c>
      <c r="Z5" s="38">
        <f t="shared" si="2"/>
        <v>16</v>
      </c>
      <c r="AA5" s="38">
        <f t="shared" si="3"/>
        <v>0</v>
      </c>
      <c r="AB5" s="38">
        <f t="shared" si="11"/>
        <v>0</v>
      </c>
      <c r="AC5" s="38">
        <f t="shared" si="12"/>
        <v>0</v>
      </c>
      <c r="AD5" s="38">
        <f t="shared" si="13"/>
        <v>0</v>
      </c>
      <c r="AE5" s="38">
        <f t="shared" si="14"/>
        <v>0</v>
      </c>
      <c r="AF5" s="38">
        <f t="shared" si="15"/>
        <v>0</v>
      </c>
      <c r="AG5" s="33">
        <f t="shared" si="16"/>
        <v>8</v>
      </c>
      <c r="AH5" s="33">
        <f t="shared" si="17"/>
        <v>16</v>
      </c>
      <c r="AI5" s="33">
        <f t="shared" si="18"/>
        <v>0</v>
      </c>
      <c r="AJ5" s="33">
        <f t="shared" si="19"/>
        <v>0</v>
      </c>
      <c r="AK5" s="34">
        <f t="shared" si="20"/>
        <v>5.6338028169014086E-2</v>
      </c>
      <c r="AL5" s="35">
        <f t="shared" si="21"/>
        <v>0.11267605633802817</v>
      </c>
      <c r="AM5" s="34">
        <f t="shared" si="22"/>
        <v>0</v>
      </c>
      <c r="AN5" s="36">
        <f t="shared" si="23"/>
        <v>0</v>
      </c>
      <c r="AO5" s="6">
        <f t="shared" si="4"/>
        <v>0</v>
      </c>
      <c r="AP5">
        <f t="shared" si="5"/>
        <v>8</v>
      </c>
      <c r="AQ5" s="6">
        <f t="shared" si="6"/>
        <v>0</v>
      </c>
      <c r="AR5" s="6">
        <f t="shared" si="7"/>
        <v>0</v>
      </c>
      <c r="AS5" s="6"/>
      <c r="AX5" s="95">
        <f t="shared" si="8"/>
        <v>42128</v>
      </c>
      <c r="AY5" s="96" t="str">
        <f t="shared" si="9"/>
        <v>seg</v>
      </c>
      <c r="AZ5" s="97">
        <f>IF(OR(AY5="SÁB",AY5="DOM"),0,IFERROR(8-VLOOKUP(C5,'Dados de consulta'!$A$2:$C$38,3,0),8))</f>
        <v>8</v>
      </c>
      <c r="BA5" s="97">
        <f>IF(OR(AY5="SÁB",AY5="DOM"),0,IFERROR(8-VLOOKUP(D5,'Dados de consulta'!$A$2:$C$38,3,0),8))</f>
        <v>8</v>
      </c>
      <c r="BB5" s="97">
        <f>IF(OR(AY5="SÁB",AY5="DOM"),0,IFERROR(8-VLOOKUP(E5,'Dados de consulta'!$A$2:$C$38,3,0),8))</f>
        <v>8</v>
      </c>
      <c r="BC5" s="97">
        <f>IF(OR(AY5="SÁB",AY5="DOM"),0,IFERROR(8-VLOOKUP(F5,'Dados de consulta'!$A$2:$C$38,3,0),8))</f>
        <v>0</v>
      </c>
      <c r="BD5" s="97">
        <f>IF(OR(AY5="SÁB",AY5="DOM"),0,IFERROR(8-VLOOKUP(G5,'Dados de consulta'!$A$2:$C$38,3,0),8))</f>
        <v>8</v>
      </c>
      <c r="BE5" s="97">
        <f>IF(OR(AY5="SÁB",AY5="DOM"),0,IFERROR(8-VLOOKUP(H5,'Dados de consulta'!$A$2:$C$38,3,0),8))</f>
        <v>8</v>
      </c>
      <c r="BF5" s="97">
        <f>IF(OR(AY5="SÁB",AY5="DOM"),0,IFERROR(8-VLOOKUP(I5,'Dados de consulta'!$A$2:$C$38,3,0),8))</f>
        <v>8</v>
      </c>
      <c r="BG5" s="97">
        <f>IF(OR(AY5="SÁB",AY5="DOM"),0,IFERROR(8-VLOOKUP(J5,'Dados de consulta'!$A$2:$C$38,3,0),8))</f>
        <v>0</v>
      </c>
      <c r="BH5" s="97">
        <f>IF(OR(AY5="SÁB",AY5="DOM"),0,IFERROR(8-VLOOKUP(K5,'Dados de consulta'!$A$2:$C$38,3,0),8))</f>
        <v>0</v>
      </c>
      <c r="BI5" s="97">
        <f>IF(OR(AY5="SÁB",AY5="DOM"),0,IFERROR(8-VLOOKUP(L5,'Dados de consulta'!$A$2:$C$38,3,0),8))</f>
        <v>0</v>
      </c>
      <c r="BJ5" s="97">
        <f>IF(OR(AY5="SÁB",AY5="DOM"),0,IFERROR(8-VLOOKUP(M5,'Dados de consulta'!$A$2:$C$38,3,0),8))</f>
        <v>8</v>
      </c>
      <c r="BK5" s="97">
        <f>IF(OR(AY5="SÁB",AY5="DOM"),0,IFERROR(8-VLOOKUP(N5,'Dados de consulta'!$A$2:$C$38,3,0),8))</f>
        <v>8</v>
      </c>
      <c r="BL5" s="97">
        <f>IF(OR(AY5="SÁB",AY5="DOM"),0,IFERROR(8-VLOOKUP(O5,'Dados de consulta'!$A$2:$C$38,3,0),8))</f>
        <v>8</v>
      </c>
      <c r="BM5" s="97">
        <f>IF(OR(AY5="SÁB",AY5="DOM"),0,IFERROR(8-VLOOKUP(P5,'Dados de consulta'!$A$2:$C$38,3,0),8))</f>
        <v>8</v>
      </c>
      <c r="BN5" s="97">
        <f>IF(OR(AY5="SÁB",AY5="DOM"),0,IFERROR(8-VLOOKUP(Q5,'Dados de consulta'!$A$2:$C$38,3,0),8))</f>
        <v>8</v>
      </c>
      <c r="BO5" s="97">
        <f>IF(OR(AY5="SÁB",AY5="DOM"),0,IFERROR(8-VLOOKUP(R5,'Dados de consulta'!$A$2:$C$38,3,0),8))</f>
        <v>8</v>
      </c>
      <c r="BP5" s="97">
        <f>IF(OR(AY5="SÁB",AY5="DOM"),0,IFERROR(8-VLOOKUP(S5,'Dados de consulta'!$A$2:$C$38,3,0),8))</f>
        <v>8</v>
      </c>
      <c r="BQ5" s="113">
        <f>IFERROR(6-VLOOKUP(T5,'Dados de consulta'!$A$2:$C$38,3,0)+2,6)</f>
        <v>6</v>
      </c>
      <c r="BR5" s="114">
        <f t="shared" si="24"/>
        <v>110</v>
      </c>
      <c r="BS5">
        <f t="shared" si="10"/>
        <v>134</v>
      </c>
      <c r="BU5">
        <f>IFERROR(8-VLOOKUP(U5,'Dados de consulta'!$A:$D,3,0),8)</f>
        <v>0</v>
      </c>
      <c r="BV5">
        <f>IFERROR(8-VLOOKUP(V5,'Dados de consulta'!$A:$D,3,0),8)</f>
        <v>8</v>
      </c>
      <c r="BW5">
        <f t="shared" si="25"/>
        <v>8</v>
      </c>
    </row>
    <row r="6" spans="1:75" ht="15" hidden="1" x14ac:dyDescent="0.2">
      <c r="A6" s="98">
        <v>42129</v>
      </c>
      <c r="B6" s="129" t="str">
        <f t="shared" si="0"/>
        <v>ter</v>
      </c>
      <c r="C6" s="132"/>
      <c r="D6" s="132"/>
      <c r="E6" s="132"/>
      <c r="F6" s="132">
        <v>101</v>
      </c>
      <c r="G6" s="132"/>
      <c r="H6" s="132"/>
      <c r="I6" s="132"/>
      <c r="J6" s="132">
        <v>18</v>
      </c>
      <c r="K6" s="132">
        <v>8</v>
      </c>
      <c r="L6" s="132">
        <v>18</v>
      </c>
      <c r="M6" s="132"/>
      <c r="N6" s="132"/>
      <c r="O6" s="132"/>
      <c r="P6" s="132"/>
      <c r="Q6" s="132"/>
      <c r="R6" s="132"/>
      <c r="S6" s="132"/>
      <c r="T6" s="132"/>
      <c r="U6" s="132"/>
      <c r="V6" s="151"/>
      <c r="W6" s="307" t="s">
        <v>193</v>
      </c>
      <c r="X6" s="308"/>
      <c r="Y6" s="38">
        <f t="shared" si="1"/>
        <v>8</v>
      </c>
      <c r="Z6" s="38">
        <f t="shared" si="2"/>
        <v>16</v>
      </c>
      <c r="AA6" s="38">
        <f t="shared" si="3"/>
        <v>0</v>
      </c>
      <c r="AB6" s="38">
        <f t="shared" si="11"/>
        <v>0</v>
      </c>
      <c r="AC6" s="38">
        <f t="shared" si="12"/>
        <v>0</v>
      </c>
      <c r="AD6" s="38">
        <f t="shared" si="13"/>
        <v>0</v>
      </c>
      <c r="AE6" s="38">
        <f t="shared" si="14"/>
        <v>0</v>
      </c>
      <c r="AF6" s="38">
        <f t="shared" si="15"/>
        <v>0</v>
      </c>
      <c r="AG6" s="33">
        <f t="shared" si="16"/>
        <v>8</v>
      </c>
      <c r="AH6" s="33">
        <f t="shared" si="17"/>
        <v>16</v>
      </c>
      <c r="AI6" s="33">
        <f t="shared" si="18"/>
        <v>0</v>
      </c>
      <c r="AJ6" s="33">
        <f t="shared" si="19"/>
        <v>0</v>
      </c>
      <c r="AK6" s="34">
        <f t="shared" si="20"/>
        <v>5.6338028169014086E-2</v>
      </c>
      <c r="AL6" s="35">
        <f t="shared" si="21"/>
        <v>0.11267605633802817</v>
      </c>
      <c r="AM6" s="34">
        <f t="shared" si="22"/>
        <v>0</v>
      </c>
      <c r="AN6" s="36">
        <f t="shared" si="23"/>
        <v>0</v>
      </c>
      <c r="AO6" s="6">
        <f t="shared" si="4"/>
        <v>0</v>
      </c>
      <c r="AP6">
        <f t="shared" si="5"/>
        <v>8</v>
      </c>
      <c r="AQ6" s="6">
        <f t="shared" si="6"/>
        <v>0</v>
      </c>
      <c r="AR6" s="6">
        <f t="shared" si="7"/>
        <v>0</v>
      </c>
      <c r="AS6" s="6"/>
      <c r="AX6" s="95">
        <f t="shared" si="8"/>
        <v>42129</v>
      </c>
      <c r="AY6" s="96" t="str">
        <f t="shared" si="9"/>
        <v>ter</v>
      </c>
      <c r="AZ6" s="97">
        <f>IF(OR(AY6="SÁB",AY6="DOM"),0,IFERROR(8-VLOOKUP(C6,'Dados de consulta'!$A$2:$C$38,3,0),8))</f>
        <v>8</v>
      </c>
      <c r="BA6" s="97">
        <f>IF(OR(AY6="SÁB",AY6="DOM"),0,IFERROR(8-VLOOKUP(D6,'Dados de consulta'!$A$2:$C$38,3,0),8))</f>
        <v>8</v>
      </c>
      <c r="BB6" s="97">
        <f>IF(OR(AY6="SÁB",AY6="DOM"),0,IFERROR(8-VLOOKUP(E6,'Dados de consulta'!$A$2:$C$38,3,0),8))</f>
        <v>8</v>
      </c>
      <c r="BC6" s="97">
        <f>IF(OR(AY6="SÁB",AY6="DOM"),0,IFERROR(8-VLOOKUP(F6,'Dados de consulta'!$A$2:$C$38,3,0),8))</f>
        <v>0</v>
      </c>
      <c r="BD6" s="97">
        <f>IF(OR(AY6="SÁB",AY6="DOM"),0,IFERROR(8-VLOOKUP(G6,'Dados de consulta'!$A$2:$C$38,3,0),8))</f>
        <v>8</v>
      </c>
      <c r="BE6" s="97">
        <f>IF(OR(AY6="SÁB",AY6="DOM"),0,IFERROR(8-VLOOKUP(H6,'Dados de consulta'!$A$2:$C$38,3,0),8))</f>
        <v>8</v>
      </c>
      <c r="BF6" s="97">
        <f>IF(OR(AY6="SÁB",AY6="DOM"),0,IFERROR(8-VLOOKUP(I6,'Dados de consulta'!$A$2:$C$38,3,0),8))</f>
        <v>8</v>
      </c>
      <c r="BG6" s="97">
        <f>IF(OR(AY6="SÁB",AY6="DOM"),0,IFERROR(8-VLOOKUP(J6,'Dados de consulta'!$A$2:$C$38,3,0),8))</f>
        <v>0</v>
      </c>
      <c r="BH6" s="97">
        <f>IF(OR(AY6="SÁB",AY6="DOM"),0,IFERROR(8-VLOOKUP(K6,'Dados de consulta'!$A$2:$C$38,3,0),8))</f>
        <v>0</v>
      </c>
      <c r="BI6" s="97">
        <f>IF(OR(AY6="SÁB",AY6="DOM"),0,IFERROR(8-VLOOKUP(L6,'Dados de consulta'!$A$2:$C$38,3,0),8))</f>
        <v>0</v>
      </c>
      <c r="BJ6" s="97">
        <f>IF(OR(AY6="SÁB",AY6="DOM"),0,IFERROR(8-VLOOKUP(M6,'Dados de consulta'!$A$2:$C$38,3,0),8))</f>
        <v>8</v>
      </c>
      <c r="BK6" s="97">
        <f>IF(OR(AY6="SÁB",AY6="DOM"),0,IFERROR(8-VLOOKUP(N6,'Dados de consulta'!$A$2:$C$38,3,0),8))</f>
        <v>8</v>
      </c>
      <c r="BL6" s="97">
        <f>IF(OR(AY6="SÁB",AY6="DOM"),0,IFERROR(8-VLOOKUP(O6,'Dados de consulta'!$A$2:$C$38,3,0),8))</f>
        <v>8</v>
      </c>
      <c r="BM6" s="97">
        <f>IF(OR(AY6="SÁB",AY6="DOM"),0,IFERROR(8-VLOOKUP(P6,'Dados de consulta'!$A$2:$C$38,3,0),8))</f>
        <v>8</v>
      </c>
      <c r="BN6" s="97">
        <f>IF(OR(AY6="SÁB",AY6="DOM"),0,IFERROR(8-VLOOKUP(Q6,'Dados de consulta'!$A$2:$C$38,3,0),8))</f>
        <v>8</v>
      </c>
      <c r="BO6" s="97">
        <f>IF(OR(AY6="SÁB",AY6="DOM"),0,IFERROR(8-VLOOKUP(R6,'Dados de consulta'!$A$2:$C$38,3,0),8))</f>
        <v>8</v>
      </c>
      <c r="BP6" s="97">
        <f>IF(OR(AY6="SÁB",AY6="DOM"),0,IFERROR(8-VLOOKUP(S6,'Dados de consulta'!$A$2:$C$38,3,0),8))</f>
        <v>8</v>
      </c>
      <c r="BQ6" s="113">
        <f>IFERROR(6-VLOOKUP(T6,'Dados de consulta'!$A$2:$C$38,3,0)+2,6)</f>
        <v>6</v>
      </c>
      <c r="BR6" s="114">
        <f t="shared" si="24"/>
        <v>110</v>
      </c>
      <c r="BS6">
        <f t="shared" si="10"/>
        <v>134</v>
      </c>
      <c r="BU6">
        <f>IFERROR(8-VLOOKUP(U6,'Dados de consulta'!$A:$D,3,0),8)</f>
        <v>8</v>
      </c>
      <c r="BV6">
        <f>IFERROR(8-VLOOKUP(V6,'Dados de consulta'!$A:$D,3,0),8)</f>
        <v>8</v>
      </c>
      <c r="BW6">
        <f t="shared" si="25"/>
        <v>16</v>
      </c>
    </row>
    <row r="7" spans="1:75" ht="15" hidden="1" x14ac:dyDescent="0.2">
      <c r="A7" s="98">
        <v>42130</v>
      </c>
      <c r="B7" s="129" t="str">
        <f t="shared" si="0"/>
        <v>qua</v>
      </c>
      <c r="C7" s="132"/>
      <c r="D7" s="132"/>
      <c r="E7" s="132"/>
      <c r="F7" s="132">
        <v>101</v>
      </c>
      <c r="G7" s="132"/>
      <c r="H7" s="132"/>
      <c r="I7" s="132"/>
      <c r="J7" s="132">
        <v>18</v>
      </c>
      <c r="K7" s="132">
        <v>8</v>
      </c>
      <c r="L7" s="132">
        <v>18</v>
      </c>
      <c r="M7" s="132"/>
      <c r="N7" s="132"/>
      <c r="O7" s="132"/>
      <c r="P7" s="132"/>
      <c r="Q7" s="132"/>
      <c r="R7" s="132"/>
      <c r="S7" s="132"/>
      <c r="T7" s="132"/>
      <c r="U7" s="132"/>
      <c r="V7" s="151"/>
      <c r="W7" s="307" t="s">
        <v>193</v>
      </c>
      <c r="X7" s="308"/>
      <c r="Y7" s="38">
        <f t="shared" si="1"/>
        <v>8</v>
      </c>
      <c r="Z7" s="38">
        <f t="shared" si="2"/>
        <v>16</v>
      </c>
      <c r="AA7" s="38">
        <f t="shared" si="3"/>
        <v>0</v>
      </c>
      <c r="AB7" s="38">
        <f t="shared" si="11"/>
        <v>0</v>
      </c>
      <c r="AC7" s="38">
        <f t="shared" si="12"/>
        <v>0</v>
      </c>
      <c r="AD7" s="38">
        <f t="shared" si="13"/>
        <v>0</v>
      </c>
      <c r="AE7" s="38">
        <f t="shared" si="14"/>
        <v>0</v>
      </c>
      <c r="AF7" s="38">
        <f t="shared" si="15"/>
        <v>0</v>
      </c>
      <c r="AG7" s="33">
        <f t="shared" si="16"/>
        <v>8</v>
      </c>
      <c r="AH7" s="33">
        <f t="shared" si="17"/>
        <v>16</v>
      </c>
      <c r="AI7" s="33">
        <f t="shared" si="18"/>
        <v>0</v>
      </c>
      <c r="AJ7" s="33">
        <f t="shared" si="19"/>
        <v>0</v>
      </c>
      <c r="AK7" s="34">
        <f t="shared" si="20"/>
        <v>5.6338028169014086E-2</v>
      </c>
      <c r="AL7" s="35">
        <f t="shared" si="21"/>
        <v>0.11267605633802817</v>
      </c>
      <c r="AM7" s="34">
        <f t="shared" si="22"/>
        <v>0</v>
      </c>
      <c r="AN7" s="36">
        <f t="shared" si="23"/>
        <v>0</v>
      </c>
      <c r="AO7" s="6">
        <f t="shared" si="4"/>
        <v>0</v>
      </c>
      <c r="AP7">
        <f t="shared" si="5"/>
        <v>8</v>
      </c>
      <c r="AQ7" s="6">
        <f t="shared" si="6"/>
        <v>0</v>
      </c>
      <c r="AR7" s="6">
        <f t="shared" si="7"/>
        <v>0</v>
      </c>
      <c r="AS7" s="6"/>
      <c r="AX7" s="95">
        <f t="shared" si="8"/>
        <v>42130</v>
      </c>
      <c r="AY7" s="96" t="str">
        <f t="shared" si="9"/>
        <v>qua</v>
      </c>
      <c r="AZ7" s="97">
        <f>IF(OR(AY7="SÁB",AY7="DOM"),0,IFERROR(8-VLOOKUP(C7,'Dados de consulta'!$A$2:$C$38,3,0),8))</f>
        <v>8</v>
      </c>
      <c r="BA7" s="97">
        <f>IF(OR(AY7="SÁB",AY7="DOM"),0,IFERROR(8-VLOOKUP(D7,'Dados de consulta'!$A$2:$C$38,3,0),8))</f>
        <v>8</v>
      </c>
      <c r="BB7" s="97">
        <f>IF(OR(AY7="SÁB",AY7="DOM"),0,IFERROR(8-VLOOKUP(E7,'Dados de consulta'!$A$2:$C$38,3,0),8))</f>
        <v>8</v>
      </c>
      <c r="BC7" s="97">
        <f>IF(OR(AY7="SÁB",AY7="DOM"),0,IFERROR(8-VLOOKUP(F7,'Dados de consulta'!$A$2:$C$38,3,0),8))</f>
        <v>0</v>
      </c>
      <c r="BD7" s="97">
        <f>IF(OR(AY7="SÁB",AY7="DOM"),0,IFERROR(8-VLOOKUP(G7,'Dados de consulta'!$A$2:$C$38,3,0),8))</f>
        <v>8</v>
      </c>
      <c r="BE7" s="97">
        <f>IF(OR(AY7="SÁB",AY7="DOM"),0,IFERROR(8-VLOOKUP(H7,'Dados de consulta'!$A$2:$C$38,3,0),8))</f>
        <v>8</v>
      </c>
      <c r="BF7" s="97">
        <f>IF(OR(AY7="SÁB",AY7="DOM"),0,IFERROR(8-VLOOKUP(I7,'Dados de consulta'!$A$2:$C$38,3,0),8))</f>
        <v>8</v>
      </c>
      <c r="BG7" s="97">
        <f>IF(OR(AY7="SÁB",AY7="DOM"),0,IFERROR(8-VLOOKUP(J7,'Dados de consulta'!$A$2:$C$38,3,0),8))</f>
        <v>0</v>
      </c>
      <c r="BH7" s="97">
        <f>IF(OR(AY7="SÁB",AY7="DOM"),0,IFERROR(8-VLOOKUP(K7,'Dados de consulta'!$A$2:$C$38,3,0),8))</f>
        <v>0</v>
      </c>
      <c r="BI7" s="97">
        <f>IF(OR(AY7="SÁB",AY7="DOM"),0,IFERROR(8-VLOOKUP(L7,'Dados de consulta'!$A$2:$C$38,3,0),8))</f>
        <v>0</v>
      </c>
      <c r="BJ7" s="97">
        <f>IF(OR(AY7="SÁB",AY7="DOM"),0,IFERROR(8-VLOOKUP(M7,'Dados de consulta'!$A$2:$C$38,3,0),8))</f>
        <v>8</v>
      </c>
      <c r="BK7" s="97">
        <f>IF(OR(AY7="SÁB",AY7="DOM"),0,IFERROR(8-VLOOKUP(N7,'Dados de consulta'!$A$2:$C$38,3,0),8))</f>
        <v>8</v>
      </c>
      <c r="BL7" s="97">
        <f>IF(OR(AY7="SÁB",AY7="DOM"),0,IFERROR(8-VLOOKUP(O7,'Dados de consulta'!$A$2:$C$38,3,0),8))</f>
        <v>8</v>
      </c>
      <c r="BM7" s="97">
        <f>IF(OR(AY7="SÁB",AY7="DOM"),0,IFERROR(8-VLOOKUP(P7,'Dados de consulta'!$A$2:$C$38,3,0),8))</f>
        <v>8</v>
      </c>
      <c r="BN7" s="97">
        <f>IF(OR(AY7="SÁB",AY7="DOM"),0,IFERROR(8-VLOOKUP(Q7,'Dados de consulta'!$A$2:$C$38,3,0),8))</f>
        <v>8</v>
      </c>
      <c r="BO7" s="97">
        <f>IF(OR(AY7="SÁB",AY7="DOM"),0,IFERROR(8-VLOOKUP(R7,'Dados de consulta'!$A$2:$C$38,3,0),8))</f>
        <v>8</v>
      </c>
      <c r="BP7" s="97">
        <f>IF(OR(AY7="SÁB",AY7="DOM"),0,IFERROR(8-VLOOKUP(S7,'Dados de consulta'!$A$2:$C$38,3,0),8))</f>
        <v>8</v>
      </c>
      <c r="BQ7" s="113">
        <f>IFERROR(6-VLOOKUP(T7,'Dados de consulta'!$A$2:$C$38,3,0)+2,6)</f>
        <v>6</v>
      </c>
      <c r="BR7" s="114">
        <f t="shared" si="24"/>
        <v>110</v>
      </c>
      <c r="BS7">
        <f t="shared" si="10"/>
        <v>134</v>
      </c>
      <c r="BU7">
        <f>IFERROR(8-VLOOKUP(U7,'Dados de consulta'!$A:$D,3,0),8)</f>
        <v>8</v>
      </c>
      <c r="BV7">
        <f>IFERROR(8-VLOOKUP(V7,'Dados de consulta'!$A:$D,3,0),8)</f>
        <v>8</v>
      </c>
      <c r="BW7">
        <f t="shared" si="25"/>
        <v>16</v>
      </c>
    </row>
    <row r="8" spans="1:75" ht="15" hidden="1" x14ac:dyDescent="0.2">
      <c r="A8" s="98">
        <v>42131</v>
      </c>
      <c r="B8" s="129" t="str">
        <f t="shared" si="0"/>
        <v>qui</v>
      </c>
      <c r="C8" s="132"/>
      <c r="D8" s="132"/>
      <c r="E8" s="132"/>
      <c r="F8" s="132">
        <v>101</v>
      </c>
      <c r="G8" s="132"/>
      <c r="H8" s="132"/>
      <c r="I8" s="132"/>
      <c r="J8" s="132">
        <v>18</v>
      </c>
      <c r="K8" s="132">
        <v>8</v>
      </c>
      <c r="L8" s="132">
        <v>18</v>
      </c>
      <c r="M8" s="132"/>
      <c r="N8" s="132"/>
      <c r="O8" s="132"/>
      <c r="P8" s="132"/>
      <c r="Q8" s="132"/>
      <c r="R8" s="132"/>
      <c r="S8" s="132">
        <v>8</v>
      </c>
      <c r="T8" s="132"/>
      <c r="U8" s="132"/>
      <c r="V8" s="151"/>
      <c r="W8" s="307" t="s">
        <v>193</v>
      </c>
      <c r="X8" s="308"/>
      <c r="Y8" s="38">
        <f t="shared" si="1"/>
        <v>16</v>
      </c>
      <c r="Z8" s="38">
        <f t="shared" si="2"/>
        <v>16</v>
      </c>
      <c r="AA8" s="38">
        <f t="shared" si="3"/>
        <v>0</v>
      </c>
      <c r="AB8" s="38">
        <f t="shared" si="11"/>
        <v>0</v>
      </c>
      <c r="AC8" s="38">
        <f t="shared" si="12"/>
        <v>0</v>
      </c>
      <c r="AD8" s="38">
        <f t="shared" si="13"/>
        <v>0</v>
      </c>
      <c r="AE8" s="38">
        <f t="shared" si="14"/>
        <v>0</v>
      </c>
      <c r="AF8" s="38">
        <f t="shared" si="15"/>
        <v>0</v>
      </c>
      <c r="AG8" s="33">
        <f t="shared" si="16"/>
        <v>16</v>
      </c>
      <c r="AH8" s="33">
        <f t="shared" si="17"/>
        <v>16</v>
      </c>
      <c r="AI8" s="33">
        <f t="shared" si="18"/>
        <v>0</v>
      </c>
      <c r="AJ8" s="33">
        <f t="shared" si="19"/>
        <v>0</v>
      </c>
      <c r="AK8" s="34">
        <f t="shared" si="20"/>
        <v>0.11267605633802817</v>
      </c>
      <c r="AL8" s="35">
        <f t="shared" si="21"/>
        <v>0.11267605633802817</v>
      </c>
      <c r="AM8" s="34">
        <f t="shared" si="22"/>
        <v>0</v>
      </c>
      <c r="AN8" s="36">
        <f t="shared" si="23"/>
        <v>0</v>
      </c>
      <c r="AO8" s="6">
        <f t="shared" si="4"/>
        <v>0</v>
      </c>
      <c r="AP8">
        <f t="shared" si="5"/>
        <v>8</v>
      </c>
      <c r="AQ8" s="6">
        <f t="shared" si="6"/>
        <v>0</v>
      </c>
      <c r="AR8" s="6">
        <f t="shared" si="7"/>
        <v>0</v>
      </c>
      <c r="AS8" s="6"/>
      <c r="AX8" s="95">
        <f t="shared" si="8"/>
        <v>42131</v>
      </c>
      <c r="AY8" s="96" t="str">
        <f t="shared" si="9"/>
        <v>qui</v>
      </c>
      <c r="AZ8" s="97">
        <f>IF(OR(AY8="SÁB",AY8="DOM"),0,IFERROR(8-VLOOKUP(C8,'Dados de consulta'!$A$2:$C$38,3,0),8))</f>
        <v>8</v>
      </c>
      <c r="BA8" s="97">
        <f>IF(OR(AY8="SÁB",AY8="DOM"),0,IFERROR(8-VLOOKUP(D8,'Dados de consulta'!$A$2:$C$38,3,0),8))</f>
        <v>8</v>
      </c>
      <c r="BB8" s="97">
        <f>IF(OR(AY8="SÁB",AY8="DOM"),0,IFERROR(8-VLOOKUP(E8,'Dados de consulta'!$A$2:$C$38,3,0),8))</f>
        <v>8</v>
      </c>
      <c r="BC8" s="97">
        <f>IF(OR(AY8="SÁB",AY8="DOM"),0,IFERROR(8-VLOOKUP(F8,'Dados de consulta'!$A$2:$C$38,3,0),8))</f>
        <v>0</v>
      </c>
      <c r="BD8" s="97">
        <f>IF(OR(AY8="SÁB",AY8="DOM"),0,IFERROR(8-VLOOKUP(G8,'Dados de consulta'!$A$2:$C$38,3,0),8))</f>
        <v>8</v>
      </c>
      <c r="BE8" s="97">
        <f>IF(OR(AY8="SÁB",AY8="DOM"),0,IFERROR(8-VLOOKUP(H8,'Dados de consulta'!$A$2:$C$38,3,0),8))</f>
        <v>8</v>
      </c>
      <c r="BF8" s="97">
        <f>IF(OR(AY8="SÁB",AY8="DOM"),0,IFERROR(8-VLOOKUP(I8,'Dados de consulta'!$A$2:$C$38,3,0),8))</f>
        <v>8</v>
      </c>
      <c r="BG8" s="97">
        <f>IF(OR(AY8="SÁB",AY8="DOM"),0,IFERROR(8-VLOOKUP(J8,'Dados de consulta'!$A$2:$C$38,3,0),8))</f>
        <v>0</v>
      </c>
      <c r="BH8" s="97">
        <f>IF(OR(AY8="SÁB",AY8="DOM"),0,IFERROR(8-VLOOKUP(K8,'Dados de consulta'!$A$2:$C$38,3,0),8))</f>
        <v>0</v>
      </c>
      <c r="BI8" s="97">
        <f>IF(OR(AY8="SÁB",AY8="DOM"),0,IFERROR(8-VLOOKUP(L8,'Dados de consulta'!$A$2:$C$38,3,0),8))</f>
        <v>0</v>
      </c>
      <c r="BJ8" s="97">
        <f>IF(OR(AY8="SÁB",AY8="DOM"),0,IFERROR(8-VLOOKUP(M8,'Dados de consulta'!$A$2:$C$38,3,0),8))</f>
        <v>8</v>
      </c>
      <c r="BK8" s="97">
        <f>IF(OR(AY8="SÁB",AY8="DOM"),0,IFERROR(8-VLOOKUP(N8,'Dados de consulta'!$A$2:$C$38,3,0),8))</f>
        <v>8</v>
      </c>
      <c r="BL8" s="97">
        <f>IF(OR(AY8="SÁB",AY8="DOM"),0,IFERROR(8-VLOOKUP(O8,'Dados de consulta'!$A$2:$C$38,3,0),8))</f>
        <v>8</v>
      </c>
      <c r="BM8" s="97">
        <f>IF(OR(AY8="SÁB",AY8="DOM"),0,IFERROR(8-VLOOKUP(P8,'Dados de consulta'!$A$2:$C$38,3,0),8))</f>
        <v>8</v>
      </c>
      <c r="BN8" s="97">
        <f>IF(OR(AY8="SÁB",AY8="DOM"),0,IFERROR(8-VLOOKUP(Q8,'Dados de consulta'!$A$2:$C$38,3,0),8))</f>
        <v>8</v>
      </c>
      <c r="BO8" s="97">
        <f>IF(OR(AY8="SÁB",AY8="DOM"),0,IFERROR(8-VLOOKUP(R8,'Dados de consulta'!$A$2:$C$38,3,0),8))</f>
        <v>8</v>
      </c>
      <c r="BP8" s="97">
        <f>IF(OR(AY8="SÁB",AY8="DOM"),0,IFERROR(8-VLOOKUP(S8,'Dados de consulta'!$A$2:$C$38,3,0),8))</f>
        <v>0</v>
      </c>
      <c r="BQ8" s="113">
        <f>IFERROR(6-VLOOKUP(T8,'Dados de consulta'!$A$2:$C$38,3,0)+2,6)</f>
        <v>6</v>
      </c>
      <c r="BR8" s="114">
        <f t="shared" si="24"/>
        <v>102</v>
      </c>
      <c r="BS8">
        <f t="shared" si="10"/>
        <v>134</v>
      </c>
      <c r="BU8">
        <f>IFERROR(8-VLOOKUP(U8,'Dados de consulta'!$A:$D,3,0),8)</f>
        <v>8</v>
      </c>
      <c r="BV8">
        <f>IFERROR(8-VLOOKUP(V8,'Dados de consulta'!$A:$D,3,0),8)</f>
        <v>8</v>
      </c>
      <c r="BW8">
        <f t="shared" si="25"/>
        <v>16</v>
      </c>
    </row>
    <row r="9" spans="1:75" ht="15" hidden="1" x14ac:dyDescent="0.2">
      <c r="A9" s="98">
        <v>42132</v>
      </c>
      <c r="B9" s="129" t="str">
        <f t="shared" si="0"/>
        <v>sex</v>
      </c>
      <c r="C9" s="132"/>
      <c r="D9" s="132"/>
      <c r="E9" s="132"/>
      <c r="F9" s="132">
        <v>101</v>
      </c>
      <c r="G9" s="132"/>
      <c r="H9" s="132"/>
      <c r="I9" s="132"/>
      <c r="J9" s="132">
        <v>18</v>
      </c>
      <c r="K9" s="132">
        <v>8</v>
      </c>
      <c r="L9" s="132">
        <v>18</v>
      </c>
      <c r="M9" s="132"/>
      <c r="N9" s="132"/>
      <c r="O9" s="132"/>
      <c r="P9" s="132"/>
      <c r="Q9" s="132"/>
      <c r="R9" s="132"/>
      <c r="S9" s="132">
        <v>8</v>
      </c>
      <c r="T9" s="132"/>
      <c r="U9" s="132"/>
      <c r="V9" s="151"/>
      <c r="W9" s="307" t="s">
        <v>193</v>
      </c>
      <c r="X9" s="308"/>
      <c r="Y9" s="38">
        <f t="shared" si="1"/>
        <v>16</v>
      </c>
      <c r="Z9" s="38">
        <f t="shared" si="2"/>
        <v>16</v>
      </c>
      <c r="AA9" s="38">
        <f t="shared" si="3"/>
        <v>0</v>
      </c>
      <c r="AB9" s="38">
        <f t="shared" si="11"/>
        <v>0</v>
      </c>
      <c r="AC9" s="38">
        <f t="shared" si="12"/>
        <v>0</v>
      </c>
      <c r="AD9" s="38">
        <f t="shared" si="13"/>
        <v>0</v>
      </c>
      <c r="AE9" s="38">
        <f t="shared" si="14"/>
        <v>0</v>
      </c>
      <c r="AF9" s="38">
        <f t="shared" si="15"/>
        <v>0</v>
      </c>
      <c r="AG9" s="33">
        <f t="shared" si="16"/>
        <v>16</v>
      </c>
      <c r="AH9" s="33">
        <f t="shared" si="17"/>
        <v>16</v>
      </c>
      <c r="AI9" s="33">
        <f t="shared" si="18"/>
        <v>0</v>
      </c>
      <c r="AJ9" s="33">
        <f t="shared" si="19"/>
        <v>0</v>
      </c>
      <c r="AK9" s="34">
        <f t="shared" si="20"/>
        <v>0.11267605633802817</v>
      </c>
      <c r="AL9" s="35">
        <f t="shared" si="21"/>
        <v>0.11267605633802817</v>
      </c>
      <c r="AM9" s="34">
        <f t="shared" si="22"/>
        <v>0</v>
      </c>
      <c r="AN9" s="36">
        <f t="shared" si="23"/>
        <v>0</v>
      </c>
      <c r="AO9" s="6">
        <f t="shared" si="4"/>
        <v>0</v>
      </c>
      <c r="AP9">
        <f t="shared" si="5"/>
        <v>8</v>
      </c>
      <c r="AQ9" s="6">
        <f t="shared" si="6"/>
        <v>0</v>
      </c>
      <c r="AR9" s="6">
        <f t="shared" si="7"/>
        <v>0</v>
      </c>
      <c r="AS9" s="6"/>
      <c r="AX9" s="95">
        <f t="shared" si="8"/>
        <v>42132</v>
      </c>
      <c r="AY9" s="96" t="str">
        <f t="shared" si="9"/>
        <v>sex</v>
      </c>
      <c r="AZ9" s="97">
        <f>IF(OR(AY9="SÁB",AY9="DOM"),0,IFERROR(8-VLOOKUP(C9,'Dados de consulta'!$A$2:$C$38,3,0),8))</f>
        <v>8</v>
      </c>
      <c r="BA9" s="97">
        <f>IF(OR(AY9="SÁB",AY9="DOM"),0,IFERROR(8-VLOOKUP(D9,'Dados de consulta'!$A$2:$C$38,3,0),8))</f>
        <v>8</v>
      </c>
      <c r="BB9" s="97">
        <f>IF(OR(AY9="SÁB",AY9="DOM"),0,IFERROR(8-VLOOKUP(E9,'Dados de consulta'!$A$2:$C$38,3,0),8))</f>
        <v>8</v>
      </c>
      <c r="BC9" s="97">
        <f>IF(OR(AY9="SÁB",AY9="DOM"),0,IFERROR(8-VLOOKUP(F9,'Dados de consulta'!$A$2:$C$38,3,0),8))</f>
        <v>0</v>
      </c>
      <c r="BD9" s="97">
        <f>IF(OR(AY9="SÁB",AY9="DOM"),0,IFERROR(8-VLOOKUP(G9,'Dados de consulta'!$A$2:$C$38,3,0),8))</f>
        <v>8</v>
      </c>
      <c r="BE9" s="97">
        <f>IF(OR(AY9="SÁB",AY9="DOM"),0,IFERROR(8-VLOOKUP(H9,'Dados de consulta'!$A$2:$C$38,3,0),8))</f>
        <v>8</v>
      </c>
      <c r="BF9" s="97">
        <f>IF(OR(AY9="SÁB",AY9="DOM"),0,IFERROR(8-VLOOKUP(I9,'Dados de consulta'!$A$2:$C$38,3,0),8))</f>
        <v>8</v>
      </c>
      <c r="BG9" s="97">
        <f>IF(OR(AY9="SÁB",AY9="DOM"),0,IFERROR(8-VLOOKUP(J9,'Dados de consulta'!$A$2:$C$38,3,0),8))</f>
        <v>0</v>
      </c>
      <c r="BH9" s="97">
        <f>IF(OR(AY9="SÁB",AY9="DOM"),0,IFERROR(8-VLOOKUP(K9,'Dados de consulta'!$A$2:$C$38,3,0),8))</f>
        <v>0</v>
      </c>
      <c r="BI9" s="97">
        <f>IF(OR(AY9="SÁB",AY9="DOM"),0,IFERROR(8-VLOOKUP(L9,'Dados de consulta'!$A$2:$C$38,3,0),8))</f>
        <v>0</v>
      </c>
      <c r="BJ9" s="97">
        <f>IF(OR(AY9="SÁB",AY9="DOM"),0,IFERROR(8-VLOOKUP(M9,'Dados de consulta'!$A$2:$C$38,3,0),8))</f>
        <v>8</v>
      </c>
      <c r="BK9" s="97">
        <f>IF(OR(AY9="SÁB",AY9="DOM"),0,IFERROR(8-VLOOKUP(N9,'Dados de consulta'!$A$2:$C$38,3,0),8))</f>
        <v>8</v>
      </c>
      <c r="BL9" s="97">
        <f>IF(OR(AY9="SÁB",AY9="DOM"),0,IFERROR(8-VLOOKUP(O9,'Dados de consulta'!$A$2:$C$38,3,0),8))</f>
        <v>8</v>
      </c>
      <c r="BM9" s="97">
        <f>IF(OR(AY9="SÁB",AY9="DOM"),0,IFERROR(8-VLOOKUP(P9,'Dados de consulta'!$A$2:$C$38,3,0),8))</f>
        <v>8</v>
      </c>
      <c r="BN9" s="97">
        <f>IF(OR(AY9="SÁB",AY9="DOM"),0,IFERROR(8-VLOOKUP(Q9,'Dados de consulta'!$A$2:$C$38,3,0),8))</f>
        <v>8</v>
      </c>
      <c r="BO9" s="97">
        <f>IF(OR(AY9="SÁB",AY9="DOM"),0,IFERROR(8-VLOOKUP(R9,'Dados de consulta'!$A$2:$C$38,3,0),8))</f>
        <v>8</v>
      </c>
      <c r="BP9" s="97">
        <f>IF(OR(AY9="SÁB",AY9="DOM"),0,IFERROR(8-VLOOKUP(S9,'Dados de consulta'!$A$2:$C$38,3,0),8))</f>
        <v>0</v>
      </c>
      <c r="BQ9" s="113">
        <f>IFERROR(6-VLOOKUP(T9,'Dados de consulta'!$A$2:$C$38,3,0)+2,6)</f>
        <v>6</v>
      </c>
      <c r="BR9" s="114">
        <f t="shared" si="24"/>
        <v>102</v>
      </c>
      <c r="BS9">
        <f t="shared" si="10"/>
        <v>134</v>
      </c>
      <c r="BU9">
        <f>IFERROR(8-VLOOKUP(U9,'Dados de consulta'!$A:$D,3,0),8)</f>
        <v>8</v>
      </c>
      <c r="BV9">
        <f>IFERROR(8-VLOOKUP(V9,'Dados de consulta'!$A:$D,3,0),8)</f>
        <v>8</v>
      </c>
      <c r="BW9">
        <f t="shared" si="25"/>
        <v>16</v>
      </c>
    </row>
    <row r="10" spans="1:75" ht="15" hidden="1" x14ac:dyDescent="0.2">
      <c r="A10" s="98">
        <v>42133</v>
      </c>
      <c r="B10" s="129" t="str">
        <f t="shared" si="0"/>
        <v>sáb</v>
      </c>
      <c r="C10" s="132"/>
      <c r="D10" s="132"/>
      <c r="E10" s="132"/>
      <c r="F10" s="132">
        <v>101</v>
      </c>
      <c r="G10" s="132"/>
      <c r="H10" s="132"/>
      <c r="I10" s="132"/>
      <c r="J10" s="132">
        <v>18</v>
      </c>
      <c r="K10" s="132">
        <v>8</v>
      </c>
      <c r="L10" s="132">
        <v>18</v>
      </c>
      <c r="M10" s="132"/>
      <c r="N10" s="132"/>
      <c r="O10" s="132"/>
      <c r="P10" s="132"/>
      <c r="Q10" s="132"/>
      <c r="R10" s="132"/>
      <c r="S10" s="132"/>
      <c r="T10" s="132"/>
      <c r="U10" s="132"/>
      <c r="V10" s="151"/>
      <c r="W10" s="307" t="s">
        <v>193</v>
      </c>
      <c r="X10" s="308"/>
      <c r="Y10" s="38">
        <f t="shared" si="1"/>
        <v>8</v>
      </c>
      <c r="Z10" s="38">
        <f t="shared" si="2"/>
        <v>16</v>
      </c>
      <c r="AA10" s="38">
        <f t="shared" si="3"/>
        <v>0</v>
      </c>
      <c r="AB10" s="38">
        <f t="shared" si="11"/>
        <v>0</v>
      </c>
      <c r="AC10" s="38">
        <f t="shared" si="12"/>
        <v>0</v>
      </c>
      <c r="AD10" s="38">
        <f t="shared" si="13"/>
        <v>0</v>
      </c>
      <c r="AE10" s="38">
        <f t="shared" si="14"/>
        <v>0</v>
      </c>
      <c r="AF10" s="38">
        <f t="shared" si="15"/>
        <v>0</v>
      </c>
      <c r="AG10" s="33">
        <f t="shared" si="16"/>
        <v>0</v>
      </c>
      <c r="AH10" s="33">
        <f t="shared" si="17"/>
        <v>0</v>
      </c>
      <c r="AI10" s="33">
        <f t="shared" si="18"/>
        <v>0</v>
      </c>
      <c r="AJ10" s="33">
        <f t="shared" si="19"/>
        <v>0</v>
      </c>
      <c r="AK10" s="34">
        <f t="shared" si="20"/>
        <v>0</v>
      </c>
      <c r="AL10" s="35">
        <f t="shared" si="21"/>
        <v>0</v>
      </c>
      <c r="AM10" s="34">
        <f t="shared" si="22"/>
        <v>0</v>
      </c>
      <c r="AN10" s="36">
        <f t="shared" si="23"/>
        <v>0</v>
      </c>
      <c r="AO10" s="6">
        <f t="shared" si="4"/>
        <v>0</v>
      </c>
      <c r="AP10">
        <f t="shared" si="5"/>
        <v>8</v>
      </c>
      <c r="AQ10" s="6">
        <f t="shared" si="6"/>
        <v>0</v>
      </c>
      <c r="AR10" s="6">
        <f t="shared" si="7"/>
        <v>0</v>
      </c>
      <c r="AS10" s="6"/>
      <c r="AX10" s="95">
        <f t="shared" si="8"/>
        <v>42133</v>
      </c>
      <c r="AY10" s="96" t="str">
        <f t="shared" si="9"/>
        <v>sáb</v>
      </c>
      <c r="AZ10" s="97">
        <f>IF(OR(AY10="SÁB",AY10="DOM"),0,IFERROR(8-VLOOKUP(C10,'Dados de consulta'!$A$2:$C$38,3,0),8))</f>
        <v>0</v>
      </c>
      <c r="BA10" s="97">
        <f>IF(OR(AY10="SÁB",AY10="DOM"),0,IFERROR(8-VLOOKUP(D10,'Dados de consulta'!$A$2:$C$38,3,0),8))</f>
        <v>0</v>
      </c>
      <c r="BB10" s="97">
        <f>IF(OR(AY10="SÁB",AY10="DOM"),0,IFERROR(8-VLOOKUP(E10,'Dados de consulta'!$A$2:$C$38,3,0),8))</f>
        <v>0</v>
      </c>
      <c r="BC10" s="97">
        <f>IF(OR(AY10="SÁB",AY10="DOM"),0,IFERROR(8-VLOOKUP(F10,'Dados de consulta'!$A$2:$C$38,3,0),8))</f>
        <v>0</v>
      </c>
      <c r="BD10" s="97">
        <f>IF(OR(AY10="SÁB",AY10="DOM"),0,IFERROR(8-VLOOKUP(G10,'Dados de consulta'!$A$2:$C$38,3,0),8))</f>
        <v>0</v>
      </c>
      <c r="BE10" s="97">
        <f>IF(OR(AY10="SÁB",AY10="DOM"),0,IFERROR(8-VLOOKUP(H10,'Dados de consulta'!$A$2:$C$38,3,0),8))</f>
        <v>0</v>
      </c>
      <c r="BF10" s="97">
        <f>IF(OR(AY10="SÁB",AY10="DOM"),0,IFERROR(8-VLOOKUP(I10,'Dados de consulta'!$A$2:$C$38,3,0),8))</f>
        <v>0</v>
      </c>
      <c r="BG10" s="97">
        <f>IF(OR(AY10="SÁB",AY10="DOM"),0,IFERROR(8-VLOOKUP(J10,'Dados de consulta'!$A$2:$C$38,3,0),8))</f>
        <v>0</v>
      </c>
      <c r="BH10" s="97">
        <f>IF(OR(AY10="SÁB",AY10="DOM"),0,IFERROR(8-VLOOKUP(K10,'Dados de consulta'!$A$2:$C$38,3,0),8))</f>
        <v>0</v>
      </c>
      <c r="BI10" s="97">
        <f>IF(OR(AY10="SÁB",AY10="DOM"),0,IFERROR(8-VLOOKUP(L10,'Dados de consulta'!$A$2:$C$38,3,0),8))</f>
        <v>0</v>
      </c>
      <c r="BJ10" s="97">
        <f>IF(OR(AY10="SÁB",AY10="DOM"),0,IFERROR(8-VLOOKUP(M10,'Dados de consulta'!$A$2:$C$38,3,0),8))</f>
        <v>0</v>
      </c>
      <c r="BK10" s="97">
        <f>IF(OR(AY10="SÁB",AY10="DOM"),0,IFERROR(8-VLOOKUP(N10,'Dados de consulta'!$A$2:$C$38,3,0),8))</f>
        <v>0</v>
      </c>
      <c r="BL10" s="97">
        <f>IF(OR(AY10="SÁB",AY10="DOM"),0,IFERROR(8-VLOOKUP(O10,'Dados de consulta'!$A$2:$C$38,3,0),8))</f>
        <v>0</v>
      </c>
      <c r="BM10" s="97">
        <f>IF(OR(AY10="SÁB",AY10="DOM"),0,IFERROR(8-VLOOKUP(P10,'Dados de consulta'!$A$2:$C$38,3,0),8))</f>
        <v>0</v>
      </c>
      <c r="BN10" s="97">
        <f>IF(OR(AY10="SÁB",AY10="DOM"),0,IFERROR(8-VLOOKUP(Q10,'Dados de consulta'!$A$2:$C$38,3,0),8))</f>
        <v>0</v>
      </c>
      <c r="BO10" s="97">
        <f>IF(OR(AY10="SÁB",AY10="DOM"),0,IFERROR(8-VLOOKUP(R10,'Dados de consulta'!$A$2:$C$38,3,0),8))</f>
        <v>0</v>
      </c>
      <c r="BP10" s="97">
        <f>IF(OR(AY10="SÁB",AY10="DOM"),0,IFERROR(8-VLOOKUP(S10,'Dados de consulta'!$A$2:$C$38,3,0),8))</f>
        <v>0</v>
      </c>
      <c r="BQ10" s="113">
        <f>IFERROR(6-VLOOKUP(T10,'Dados de consulta'!$A$2:$C$38,3,0)+2,6)</f>
        <v>6</v>
      </c>
      <c r="BR10" s="114">
        <f t="shared" si="24"/>
        <v>0</v>
      </c>
      <c r="BS10">
        <f t="shared" si="10"/>
        <v>0</v>
      </c>
      <c r="BU10">
        <f>IFERROR(8-VLOOKUP(U10,'Dados de consulta'!$A:$D,3,0),8)</f>
        <v>8</v>
      </c>
      <c r="BV10">
        <f>IFERROR(8-VLOOKUP(V10,'Dados de consulta'!$A:$D,3,0),8)</f>
        <v>8</v>
      </c>
      <c r="BW10">
        <f t="shared" si="25"/>
        <v>16</v>
      </c>
    </row>
    <row r="11" spans="1:75" ht="15" hidden="1" x14ac:dyDescent="0.2">
      <c r="A11" s="98">
        <v>42134</v>
      </c>
      <c r="B11" s="129" t="str">
        <f t="shared" si="0"/>
        <v>dom</v>
      </c>
      <c r="C11" s="132"/>
      <c r="D11" s="132"/>
      <c r="E11" s="132"/>
      <c r="F11" s="132">
        <v>101</v>
      </c>
      <c r="G11" s="132"/>
      <c r="H11" s="132"/>
      <c r="I11" s="132"/>
      <c r="J11" s="132">
        <v>18</v>
      </c>
      <c r="K11" s="132">
        <v>8</v>
      </c>
      <c r="L11" s="132">
        <v>18</v>
      </c>
      <c r="M11" s="132"/>
      <c r="N11" s="132"/>
      <c r="O11" s="132"/>
      <c r="P11" s="132"/>
      <c r="Q11" s="132"/>
      <c r="R11" s="132"/>
      <c r="S11" s="132"/>
      <c r="T11" s="132"/>
      <c r="U11" s="132"/>
      <c r="V11" s="151"/>
      <c r="W11" s="307" t="s">
        <v>193</v>
      </c>
      <c r="X11" s="308"/>
      <c r="Y11" s="38">
        <f t="shared" si="1"/>
        <v>8</v>
      </c>
      <c r="Z11" s="38">
        <f t="shared" si="2"/>
        <v>16</v>
      </c>
      <c r="AA11" s="38">
        <f t="shared" si="3"/>
        <v>0</v>
      </c>
      <c r="AB11" s="38">
        <f t="shared" si="11"/>
        <v>0</v>
      </c>
      <c r="AC11" s="38">
        <f t="shared" si="12"/>
        <v>0</v>
      </c>
      <c r="AD11" s="38">
        <f t="shared" si="13"/>
        <v>0</v>
      </c>
      <c r="AE11" s="38">
        <f t="shared" si="14"/>
        <v>0</v>
      </c>
      <c r="AF11" s="38">
        <f t="shared" si="15"/>
        <v>0</v>
      </c>
      <c r="AG11" s="33">
        <f t="shared" si="16"/>
        <v>0</v>
      </c>
      <c r="AH11" s="33">
        <f t="shared" si="17"/>
        <v>0</v>
      </c>
      <c r="AI11" s="33">
        <f t="shared" si="18"/>
        <v>0</v>
      </c>
      <c r="AJ11" s="33">
        <f t="shared" si="19"/>
        <v>0</v>
      </c>
      <c r="AK11" s="34">
        <f t="shared" si="20"/>
        <v>0</v>
      </c>
      <c r="AL11" s="35">
        <f t="shared" si="21"/>
        <v>0</v>
      </c>
      <c r="AM11" s="34">
        <f t="shared" si="22"/>
        <v>0</v>
      </c>
      <c r="AN11" s="36">
        <f t="shared" si="23"/>
        <v>0</v>
      </c>
      <c r="AO11" s="6">
        <f t="shared" si="4"/>
        <v>0</v>
      </c>
      <c r="AP11">
        <f t="shared" si="5"/>
        <v>8</v>
      </c>
      <c r="AQ11" s="6">
        <f t="shared" si="6"/>
        <v>0</v>
      </c>
      <c r="AR11" s="6">
        <f t="shared" si="7"/>
        <v>0</v>
      </c>
      <c r="AS11" s="6"/>
      <c r="AX11" s="95">
        <f t="shared" si="8"/>
        <v>42134</v>
      </c>
      <c r="AY11" s="96" t="str">
        <f t="shared" si="9"/>
        <v>dom</v>
      </c>
      <c r="AZ11" s="97">
        <f>IF(OR(AY11="SÁB",AY11="DOM"),0,IFERROR(8-VLOOKUP(C11,'Dados de consulta'!$A$2:$C$38,3,0),8))</f>
        <v>0</v>
      </c>
      <c r="BA11" s="97">
        <f>IF(OR(AY11="SÁB",AY11="DOM"),0,IFERROR(8-VLOOKUP(D11,'Dados de consulta'!$A$2:$C$38,3,0),8))</f>
        <v>0</v>
      </c>
      <c r="BB11" s="97">
        <f>IF(OR(AY11="SÁB",AY11="DOM"),0,IFERROR(8-VLOOKUP(E11,'Dados de consulta'!$A$2:$C$38,3,0),8))</f>
        <v>0</v>
      </c>
      <c r="BC11" s="97">
        <f>IF(OR(AY11="SÁB",AY11="DOM"),0,IFERROR(8-VLOOKUP(F11,'Dados de consulta'!$A$2:$C$38,3,0),8))</f>
        <v>0</v>
      </c>
      <c r="BD11" s="97">
        <f>IF(OR(AY11="SÁB",AY11="DOM"),0,IFERROR(8-VLOOKUP(G11,'Dados de consulta'!$A$2:$C$38,3,0),8))</f>
        <v>0</v>
      </c>
      <c r="BE11" s="97">
        <f>IF(OR(AY11="SÁB",AY11="DOM"),0,IFERROR(8-VLOOKUP(H11,'Dados de consulta'!$A$2:$C$38,3,0),8))</f>
        <v>0</v>
      </c>
      <c r="BF11" s="97">
        <f>IF(OR(AY11="SÁB",AY11="DOM"),0,IFERROR(8-VLOOKUP(I11,'Dados de consulta'!$A$2:$C$38,3,0),8))</f>
        <v>0</v>
      </c>
      <c r="BG11" s="97">
        <f>IF(OR(AY11="SÁB",AY11="DOM"),0,IFERROR(8-VLOOKUP(J11,'Dados de consulta'!$A$2:$C$38,3,0),8))</f>
        <v>0</v>
      </c>
      <c r="BH11" s="97">
        <f>IF(OR(AY11="SÁB",AY11="DOM"),0,IFERROR(8-VLOOKUP(K11,'Dados de consulta'!$A$2:$C$38,3,0),8))</f>
        <v>0</v>
      </c>
      <c r="BI11" s="97">
        <f>IF(OR(AY11="SÁB",AY11="DOM"),0,IFERROR(8-VLOOKUP(L11,'Dados de consulta'!$A$2:$C$38,3,0),8))</f>
        <v>0</v>
      </c>
      <c r="BJ11" s="97">
        <f>IF(OR(AY11="SÁB",AY11="DOM"),0,IFERROR(8-VLOOKUP(M11,'Dados de consulta'!$A$2:$C$38,3,0),8))</f>
        <v>0</v>
      </c>
      <c r="BK11" s="97">
        <f>IF(OR(AY11="SÁB",AY11="DOM"),0,IFERROR(8-VLOOKUP(N11,'Dados de consulta'!$A$2:$C$38,3,0),8))</f>
        <v>0</v>
      </c>
      <c r="BL11" s="97">
        <f>IF(OR(AY11="SÁB",AY11="DOM"),0,IFERROR(8-VLOOKUP(O11,'Dados de consulta'!$A$2:$C$38,3,0),8))</f>
        <v>0</v>
      </c>
      <c r="BM11" s="97">
        <f>IF(OR(AY11="SÁB",AY11="DOM"),0,IFERROR(8-VLOOKUP(P11,'Dados de consulta'!$A$2:$C$38,3,0),8))</f>
        <v>0</v>
      </c>
      <c r="BN11" s="97">
        <f>IF(OR(AY11="SÁB",AY11="DOM"),0,IFERROR(8-VLOOKUP(Q11,'Dados de consulta'!$A$2:$C$38,3,0),8))</f>
        <v>0</v>
      </c>
      <c r="BO11" s="97">
        <f>IF(OR(AY11="SÁB",AY11="DOM"),0,IFERROR(8-VLOOKUP(R11,'Dados de consulta'!$A$2:$C$38,3,0),8))</f>
        <v>0</v>
      </c>
      <c r="BP11" s="97">
        <f>IF(OR(AY11="SÁB",AY11="DOM"),0,IFERROR(8-VLOOKUP(S11,'Dados de consulta'!$A$2:$C$38,3,0),8))</f>
        <v>0</v>
      </c>
      <c r="BQ11" s="113">
        <f>IFERROR(6-VLOOKUP(T11,'Dados de consulta'!$A$2:$C$38,3,0)+2,6)</f>
        <v>6</v>
      </c>
      <c r="BR11" s="114">
        <f t="shared" si="24"/>
        <v>0</v>
      </c>
      <c r="BS11">
        <f t="shared" si="10"/>
        <v>0</v>
      </c>
      <c r="BU11">
        <f>IFERROR(8-VLOOKUP(U11,'Dados de consulta'!$A:$D,3,0),8)</f>
        <v>8</v>
      </c>
      <c r="BV11">
        <f>IFERROR(8-VLOOKUP(V11,'Dados de consulta'!$A:$D,3,0),8)</f>
        <v>8</v>
      </c>
      <c r="BW11">
        <f t="shared" si="25"/>
        <v>16</v>
      </c>
    </row>
    <row r="12" spans="1:75" ht="15" hidden="1" x14ac:dyDescent="0.2">
      <c r="A12" s="98">
        <v>42135</v>
      </c>
      <c r="B12" s="129" t="str">
        <f t="shared" si="0"/>
        <v>seg</v>
      </c>
      <c r="C12" s="132"/>
      <c r="D12" s="132"/>
      <c r="E12" s="132"/>
      <c r="F12" s="132">
        <v>101</v>
      </c>
      <c r="G12" s="132"/>
      <c r="H12" s="132"/>
      <c r="I12" s="132"/>
      <c r="J12" s="132">
        <v>18</v>
      </c>
      <c r="K12" s="132">
        <v>8</v>
      </c>
      <c r="L12" s="132">
        <v>18</v>
      </c>
      <c r="M12" s="132"/>
      <c r="N12" s="132"/>
      <c r="O12" s="132"/>
      <c r="P12" s="132"/>
      <c r="Q12" s="132"/>
      <c r="R12" s="132"/>
      <c r="S12" s="132"/>
      <c r="T12" s="132"/>
      <c r="U12" s="132"/>
      <c r="V12" s="151"/>
      <c r="W12" s="307" t="s">
        <v>193</v>
      </c>
      <c r="X12" s="308"/>
      <c r="Y12" s="38">
        <f t="shared" si="1"/>
        <v>8</v>
      </c>
      <c r="Z12" s="38">
        <f t="shared" si="2"/>
        <v>16</v>
      </c>
      <c r="AA12" s="38">
        <f t="shared" si="3"/>
        <v>0</v>
      </c>
      <c r="AB12" s="38">
        <f t="shared" si="11"/>
        <v>0</v>
      </c>
      <c r="AC12" s="38">
        <f t="shared" si="12"/>
        <v>0</v>
      </c>
      <c r="AD12" s="38">
        <f t="shared" si="13"/>
        <v>0</v>
      </c>
      <c r="AE12" s="38">
        <f t="shared" si="14"/>
        <v>0</v>
      </c>
      <c r="AF12" s="38">
        <f t="shared" si="15"/>
        <v>0</v>
      </c>
      <c r="AG12" s="33">
        <f t="shared" si="16"/>
        <v>8</v>
      </c>
      <c r="AH12" s="33">
        <f t="shared" si="17"/>
        <v>16</v>
      </c>
      <c r="AI12" s="33">
        <f t="shared" si="18"/>
        <v>0</v>
      </c>
      <c r="AJ12" s="33">
        <f t="shared" si="19"/>
        <v>0</v>
      </c>
      <c r="AK12" s="34">
        <f t="shared" si="20"/>
        <v>5.6338028169014086E-2</v>
      </c>
      <c r="AL12" s="35">
        <f t="shared" si="21"/>
        <v>0.11267605633802817</v>
      </c>
      <c r="AM12" s="34">
        <f t="shared" si="22"/>
        <v>0</v>
      </c>
      <c r="AN12" s="36">
        <f t="shared" si="23"/>
        <v>0</v>
      </c>
      <c r="AO12" s="6">
        <f t="shared" si="4"/>
        <v>0</v>
      </c>
      <c r="AP12">
        <f t="shared" si="5"/>
        <v>8</v>
      </c>
      <c r="AQ12" s="6">
        <f t="shared" si="6"/>
        <v>0</v>
      </c>
      <c r="AR12" s="6">
        <f t="shared" si="7"/>
        <v>0</v>
      </c>
      <c r="AS12" s="6"/>
      <c r="AX12" s="95">
        <f t="shared" si="8"/>
        <v>42135</v>
      </c>
      <c r="AY12" s="96" t="str">
        <f t="shared" si="9"/>
        <v>seg</v>
      </c>
      <c r="AZ12" s="97">
        <f>IF(OR(AY12="SÁB",AY12="DOM"),0,IFERROR(8-VLOOKUP(C12,'Dados de consulta'!$A$2:$C$38,3,0),8))</f>
        <v>8</v>
      </c>
      <c r="BA12" s="97">
        <f>IF(OR(AY12="SÁB",AY12="DOM"),0,IFERROR(8-VLOOKUP(D12,'Dados de consulta'!$A$2:$C$38,3,0),8))</f>
        <v>8</v>
      </c>
      <c r="BB12" s="97">
        <f>IF(OR(AY12="SÁB",AY12="DOM"),0,IFERROR(8-VLOOKUP(E12,'Dados de consulta'!$A$2:$C$38,3,0),8))</f>
        <v>8</v>
      </c>
      <c r="BC12" s="97">
        <f>IF(OR(AY12="SÁB",AY12="DOM"),0,IFERROR(8-VLOOKUP(F12,'Dados de consulta'!$A$2:$C$38,3,0),8))</f>
        <v>0</v>
      </c>
      <c r="BD12" s="97">
        <f>IF(OR(AY12="SÁB",AY12="DOM"),0,IFERROR(8-VLOOKUP(G12,'Dados de consulta'!$A$2:$C$38,3,0),8))</f>
        <v>8</v>
      </c>
      <c r="BE12" s="97">
        <f>IF(OR(AY12="SÁB",AY12="DOM"),0,IFERROR(8-VLOOKUP(H12,'Dados de consulta'!$A$2:$C$38,3,0),8))</f>
        <v>8</v>
      </c>
      <c r="BF12" s="97">
        <f>IF(OR(AY12="SÁB",AY12="DOM"),0,IFERROR(8-VLOOKUP(I12,'Dados de consulta'!$A$2:$C$38,3,0),8))</f>
        <v>8</v>
      </c>
      <c r="BG12" s="97">
        <f>IF(OR(AY12="SÁB",AY12="DOM"),0,IFERROR(8-VLOOKUP(J12,'Dados de consulta'!$A$2:$C$38,3,0),8))</f>
        <v>0</v>
      </c>
      <c r="BH12" s="97">
        <f>IF(OR(AY12="SÁB",AY12="DOM"),0,IFERROR(8-VLOOKUP(K12,'Dados de consulta'!$A$2:$C$38,3,0),8))</f>
        <v>0</v>
      </c>
      <c r="BI12" s="97">
        <f>IF(OR(AY12="SÁB",AY12="DOM"),0,IFERROR(8-VLOOKUP(L12,'Dados de consulta'!$A$2:$C$38,3,0),8))</f>
        <v>0</v>
      </c>
      <c r="BJ12" s="97">
        <f>IF(OR(AY12="SÁB",AY12="DOM"),0,IFERROR(8-VLOOKUP(M12,'Dados de consulta'!$A$2:$C$38,3,0),8))</f>
        <v>8</v>
      </c>
      <c r="BK12" s="97">
        <f>IF(OR(AY12="SÁB",AY12="DOM"),0,IFERROR(8-VLOOKUP(N12,'Dados de consulta'!$A$2:$C$38,3,0),8))</f>
        <v>8</v>
      </c>
      <c r="BL12" s="97">
        <f>IF(OR(AY12="SÁB",AY12="DOM"),0,IFERROR(8-VLOOKUP(O12,'Dados de consulta'!$A$2:$C$38,3,0),8))</f>
        <v>8</v>
      </c>
      <c r="BM12" s="97">
        <f>IF(OR(AY12="SÁB",AY12="DOM"),0,IFERROR(8-VLOOKUP(P12,'Dados de consulta'!$A$2:$C$38,3,0),8))</f>
        <v>8</v>
      </c>
      <c r="BN12" s="97">
        <f>IF(OR(AY12="SÁB",AY12="DOM"),0,IFERROR(8-VLOOKUP(Q12,'Dados de consulta'!$A$2:$C$38,3,0),8))</f>
        <v>8</v>
      </c>
      <c r="BO12" s="97">
        <f>IF(OR(AY12="SÁB",AY12="DOM"),0,IFERROR(8-VLOOKUP(R12,'Dados de consulta'!$A$2:$C$38,3,0),8))</f>
        <v>8</v>
      </c>
      <c r="BP12" s="97">
        <f>IF(OR(AY12="SÁB",AY12="DOM"),0,IFERROR(8-VLOOKUP(S12,'Dados de consulta'!$A$2:$C$38,3,0),8))</f>
        <v>8</v>
      </c>
      <c r="BQ12" s="113">
        <f>IFERROR(6-VLOOKUP(T12,'Dados de consulta'!$A$2:$C$38,3,0)+2,6)</f>
        <v>6</v>
      </c>
      <c r="BR12" s="114">
        <f t="shared" si="24"/>
        <v>110</v>
      </c>
      <c r="BS12">
        <f t="shared" si="10"/>
        <v>134</v>
      </c>
      <c r="BU12">
        <f>IFERROR(8-VLOOKUP(U12,'Dados de consulta'!$A:$D,3,0),8)</f>
        <v>8</v>
      </c>
      <c r="BV12">
        <f>IFERROR(8-VLOOKUP(V12,'Dados de consulta'!$A:$D,3,0),8)</f>
        <v>8</v>
      </c>
      <c r="BW12">
        <f t="shared" si="25"/>
        <v>16</v>
      </c>
    </row>
    <row r="13" spans="1:75" ht="15" hidden="1" x14ac:dyDescent="0.2">
      <c r="A13" s="98">
        <v>42136</v>
      </c>
      <c r="B13" s="129" t="str">
        <f t="shared" si="0"/>
        <v>ter</v>
      </c>
      <c r="C13" s="132"/>
      <c r="D13" s="132"/>
      <c r="E13" s="132"/>
      <c r="F13" s="132">
        <v>101</v>
      </c>
      <c r="G13" s="132"/>
      <c r="H13" s="132"/>
      <c r="I13" s="132"/>
      <c r="J13" s="132">
        <v>18</v>
      </c>
      <c r="K13" s="132">
        <v>8</v>
      </c>
      <c r="L13" s="132">
        <v>18</v>
      </c>
      <c r="M13" s="132"/>
      <c r="N13" s="132"/>
      <c r="O13" s="132"/>
      <c r="P13" s="132"/>
      <c r="Q13" s="132"/>
      <c r="R13" s="132"/>
      <c r="S13" s="132"/>
      <c r="T13" s="132"/>
      <c r="U13" s="132"/>
      <c r="V13" s="151"/>
      <c r="W13" s="307" t="s">
        <v>193</v>
      </c>
      <c r="X13" s="308"/>
      <c r="Y13" s="38">
        <f t="shared" si="1"/>
        <v>8</v>
      </c>
      <c r="Z13" s="38">
        <f t="shared" si="2"/>
        <v>16</v>
      </c>
      <c r="AA13" s="38">
        <f t="shared" si="3"/>
        <v>0</v>
      </c>
      <c r="AB13" s="38">
        <f t="shared" si="11"/>
        <v>0</v>
      </c>
      <c r="AC13" s="38">
        <f t="shared" si="12"/>
        <v>0</v>
      </c>
      <c r="AD13" s="38">
        <f t="shared" si="13"/>
        <v>0</v>
      </c>
      <c r="AE13" s="38">
        <f t="shared" si="14"/>
        <v>0</v>
      </c>
      <c r="AF13" s="38">
        <f t="shared" si="15"/>
        <v>0</v>
      </c>
      <c r="AG13" s="33">
        <f t="shared" si="16"/>
        <v>8</v>
      </c>
      <c r="AH13" s="33">
        <f t="shared" si="17"/>
        <v>16</v>
      </c>
      <c r="AI13" s="33">
        <f t="shared" si="18"/>
        <v>0</v>
      </c>
      <c r="AJ13" s="33">
        <f t="shared" si="19"/>
        <v>0</v>
      </c>
      <c r="AK13" s="34">
        <f t="shared" si="20"/>
        <v>5.6338028169014086E-2</v>
      </c>
      <c r="AL13" s="35">
        <f t="shared" si="21"/>
        <v>0.11267605633802817</v>
      </c>
      <c r="AM13" s="34">
        <f t="shared" si="22"/>
        <v>0</v>
      </c>
      <c r="AN13" s="36">
        <f t="shared" si="23"/>
        <v>0</v>
      </c>
      <c r="AO13" s="6">
        <f t="shared" si="4"/>
        <v>0</v>
      </c>
      <c r="AP13">
        <f t="shared" si="5"/>
        <v>8</v>
      </c>
      <c r="AQ13" s="6">
        <f t="shared" si="6"/>
        <v>0</v>
      </c>
      <c r="AR13" s="6">
        <f t="shared" si="7"/>
        <v>0</v>
      </c>
      <c r="AS13" s="6"/>
      <c r="AX13" s="95">
        <f t="shared" si="8"/>
        <v>42136</v>
      </c>
      <c r="AY13" s="96" t="str">
        <f t="shared" si="9"/>
        <v>ter</v>
      </c>
      <c r="AZ13" s="97">
        <f>IF(OR(AY13="SÁB",AY13="DOM"),0,IFERROR(8-VLOOKUP(C13,'Dados de consulta'!$A$2:$C$38,3,0),8))</f>
        <v>8</v>
      </c>
      <c r="BA13" s="97">
        <f>IF(OR(AY13="SÁB",AY13="DOM"),0,IFERROR(8-VLOOKUP(D13,'Dados de consulta'!$A$2:$C$38,3,0),8))</f>
        <v>8</v>
      </c>
      <c r="BB13" s="97">
        <f>IF(OR(AY13="SÁB",AY13="DOM"),0,IFERROR(8-VLOOKUP(E13,'Dados de consulta'!$A$2:$C$38,3,0),8))</f>
        <v>8</v>
      </c>
      <c r="BC13" s="97">
        <f>IF(OR(AY13="SÁB",AY13="DOM"),0,IFERROR(8-VLOOKUP(F13,'Dados de consulta'!$A$2:$C$38,3,0),8))</f>
        <v>0</v>
      </c>
      <c r="BD13" s="97">
        <f>IF(OR(AY13="SÁB",AY13="DOM"),0,IFERROR(8-VLOOKUP(G13,'Dados de consulta'!$A$2:$C$38,3,0),8))</f>
        <v>8</v>
      </c>
      <c r="BE13" s="97">
        <f>IF(OR(AY13="SÁB",AY13="DOM"),0,IFERROR(8-VLOOKUP(H13,'Dados de consulta'!$A$2:$C$38,3,0),8))</f>
        <v>8</v>
      </c>
      <c r="BF13" s="97">
        <f>IF(OR(AY13="SÁB",AY13="DOM"),0,IFERROR(8-VLOOKUP(I13,'Dados de consulta'!$A$2:$C$38,3,0),8))</f>
        <v>8</v>
      </c>
      <c r="BG13" s="97">
        <f>IF(OR(AY13="SÁB",AY13="DOM"),0,IFERROR(8-VLOOKUP(J13,'Dados de consulta'!$A$2:$C$38,3,0),8))</f>
        <v>0</v>
      </c>
      <c r="BH13" s="97">
        <f>IF(OR(AY13="SÁB",AY13="DOM"),0,IFERROR(8-VLOOKUP(K13,'Dados de consulta'!$A$2:$C$38,3,0),8))</f>
        <v>0</v>
      </c>
      <c r="BI13" s="97">
        <f>IF(OR(AY13="SÁB",AY13="DOM"),0,IFERROR(8-VLOOKUP(L13,'Dados de consulta'!$A$2:$C$38,3,0),8))</f>
        <v>0</v>
      </c>
      <c r="BJ13" s="97">
        <f>IF(OR(AY13="SÁB",AY13="DOM"),0,IFERROR(8-VLOOKUP(M13,'Dados de consulta'!$A$2:$C$38,3,0),8))</f>
        <v>8</v>
      </c>
      <c r="BK13" s="97">
        <f>IF(OR(AY13="SÁB",AY13="DOM"),0,IFERROR(8-VLOOKUP(N13,'Dados de consulta'!$A$2:$C$38,3,0),8))</f>
        <v>8</v>
      </c>
      <c r="BL13" s="97">
        <f>IF(OR(AY13="SÁB",AY13="DOM"),0,IFERROR(8-VLOOKUP(O13,'Dados de consulta'!$A$2:$C$38,3,0),8))</f>
        <v>8</v>
      </c>
      <c r="BM13" s="97">
        <f>IF(OR(AY13="SÁB",AY13="DOM"),0,IFERROR(8-VLOOKUP(P13,'Dados de consulta'!$A$2:$C$38,3,0),8))</f>
        <v>8</v>
      </c>
      <c r="BN13" s="97">
        <f>IF(OR(AY13="SÁB",AY13="DOM"),0,IFERROR(8-VLOOKUP(Q13,'Dados de consulta'!$A$2:$C$38,3,0),8))</f>
        <v>8</v>
      </c>
      <c r="BO13" s="97">
        <f>IF(OR(AY13="SÁB",AY13="DOM"),0,IFERROR(8-VLOOKUP(R13,'Dados de consulta'!$A$2:$C$38,3,0),8))</f>
        <v>8</v>
      </c>
      <c r="BP13" s="97">
        <f>IF(OR(AY13="SÁB",AY13="DOM"),0,IFERROR(8-VLOOKUP(S13,'Dados de consulta'!$A$2:$C$38,3,0),8))</f>
        <v>8</v>
      </c>
      <c r="BQ13" s="113">
        <f>IFERROR(6-VLOOKUP(T13,'Dados de consulta'!$A$2:$C$38,3,0)+2,6)</f>
        <v>6</v>
      </c>
      <c r="BR13" s="114">
        <f t="shared" si="24"/>
        <v>110</v>
      </c>
      <c r="BS13">
        <f t="shared" si="10"/>
        <v>134</v>
      </c>
      <c r="BU13">
        <f>IFERROR(8-VLOOKUP(U13,'Dados de consulta'!$A:$D,3,0),8)</f>
        <v>8</v>
      </c>
      <c r="BV13">
        <f>IFERROR(8-VLOOKUP(V13,'Dados de consulta'!$A:$D,3,0),8)</f>
        <v>8</v>
      </c>
      <c r="BW13">
        <f t="shared" si="25"/>
        <v>16</v>
      </c>
    </row>
    <row r="14" spans="1:75" ht="15" hidden="1" x14ac:dyDescent="0.2">
      <c r="A14" s="98">
        <v>42137</v>
      </c>
      <c r="B14" s="129" t="str">
        <f t="shared" si="0"/>
        <v>qua</v>
      </c>
      <c r="C14" s="132"/>
      <c r="D14" s="132"/>
      <c r="E14" s="132"/>
      <c r="F14" s="132">
        <v>101</v>
      </c>
      <c r="G14" s="132"/>
      <c r="H14" s="132"/>
      <c r="I14" s="132"/>
      <c r="J14" s="132">
        <v>18</v>
      </c>
      <c r="K14" s="132">
        <v>8</v>
      </c>
      <c r="L14" s="132">
        <v>18</v>
      </c>
      <c r="M14" s="132"/>
      <c r="N14" s="132"/>
      <c r="O14" s="132"/>
      <c r="P14" s="132"/>
      <c r="Q14" s="132"/>
      <c r="R14" s="132"/>
      <c r="S14" s="132"/>
      <c r="T14" s="132"/>
      <c r="U14" s="132"/>
      <c r="V14" s="151"/>
      <c r="W14" s="307" t="s">
        <v>193</v>
      </c>
      <c r="X14" s="308"/>
      <c r="Y14" s="38">
        <f t="shared" si="1"/>
        <v>8</v>
      </c>
      <c r="Z14" s="38">
        <f t="shared" si="2"/>
        <v>16</v>
      </c>
      <c r="AA14" s="38">
        <f t="shared" si="3"/>
        <v>0</v>
      </c>
      <c r="AB14" s="38">
        <f t="shared" si="11"/>
        <v>0</v>
      </c>
      <c r="AC14" s="38">
        <f t="shared" si="12"/>
        <v>0</v>
      </c>
      <c r="AD14" s="38">
        <f t="shared" si="13"/>
        <v>0</v>
      </c>
      <c r="AE14" s="38">
        <f t="shared" si="14"/>
        <v>0</v>
      </c>
      <c r="AF14" s="38">
        <f t="shared" si="15"/>
        <v>0</v>
      </c>
      <c r="AG14" s="33">
        <f t="shared" si="16"/>
        <v>8</v>
      </c>
      <c r="AH14" s="33">
        <f t="shared" si="17"/>
        <v>16</v>
      </c>
      <c r="AI14" s="33">
        <f t="shared" si="18"/>
        <v>0</v>
      </c>
      <c r="AJ14" s="33">
        <f t="shared" si="19"/>
        <v>0</v>
      </c>
      <c r="AK14" s="34">
        <f t="shared" si="20"/>
        <v>5.6338028169014086E-2</v>
      </c>
      <c r="AL14" s="35">
        <f t="shared" si="21"/>
        <v>0.11267605633802817</v>
      </c>
      <c r="AM14" s="34">
        <f t="shared" si="22"/>
        <v>0</v>
      </c>
      <c r="AN14" s="36">
        <f t="shared" si="23"/>
        <v>0</v>
      </c>
      <c r="AO14" s="6">
        <f t="shared" si="4"/>
        <v>0</v>
      </c>
      <c r="AP14">
        <f t="shared" si="5"/>
        <v>8</v>
      </c>
      <c r="AQ14" s="6">
        <f t="shared" si="6"/>
        <v>0</v>
      </c>
      <c r="AR14" s="6">
        <f t="shared" si="7"/>
        <v>0</v>
      </c>
      <c r="AS14" s="6"/>
      <c r="AX14" s="95">
        <f t="shared" si="8"/>
        <v>42137</v>
      </c>
      <c r="AY14" s="96" t="str">
        <f t="shared" si="9"/>
        <v>qua</v>
      </c>
      <c r="AZ14" s="97">
        <f>IF(OR(AY14="SÁB",AY14="DOM"),0,IFERROR(8-VLOOKUP(C14,'Dados de consulta'!$A$2:$C$38,3,0),8))</f>
        <v>8</v>
      </c>
      <c r="BA14" s="97">
        <f>IF(OR(AY14="SÁB",AY14="DOM"),0,IFERROR(8-VLOOKUP(D14,'Dados de consulta'!$A$2:$C$38,3,0),8))</f>
        <v>8</v>
      </c>
      <c r="BB14" s="97">
        <f>IF(OR(AY14="SÁB",AY14="DOM"),0,IFERROR(8-VLOOKUP(E14,'Dados de consulta'!$A$2:$C$38,3,0),8))</f>
        <v>8</v>
      </c>
      <c r="BC14" s="97">
        <f>IF(OR(AY14="SÁB",AY14="DOM"),0,IFERROR(8-VLOOKUP(F14,'Dados de consulta'!$A$2:$C$38,3,0),8))</f>
        <v>0</v>
      </c>
      <c r="BD14" s="97">
        <f>IF(OR(AY14="SÁB",AY14="DOM"),0,IFERROR(8-VLOOKUP(G14,'Dados de consulta'!$A$2:$C$38,3,0),8))</f>
        <v>8</v>
      </c>
      <c r="BE14" s="97">
        <f>IF(OR(AY14="SÁB",AY14="DOM"),0,IFERROR(8-VLOOKUP(H14,'Dados de consulta'!$A$2:$C$38,3,0),8))</f>
        <v>8</v>
      </c>
      <c r="BF14" s="97">
        <f>IF(OR(AY14="SÁB",AY14="DOM"),0,IFERROR(8-VLOOKUP(I14,'Dados de consulta'!$A$2:$C$38,3,0),8))</f>
        <v>8</v>
      </c>
      <c r="BG14" s="97">
        <f>IF(OR(AY14="SÁB",AY14="DOM"),0,IFERROR(8-VLOOKUP(J14,'Dados de consulta'!$A$2:$C$38,3,0),8))</f>
        <v>0</v>
      </c>
      <c r="BH14" s="97">
        <f>IF(OR(AY14="SÁB",AY14="DOM"),0,IFERROR(8-VLOOKUP(K14,'Dados de consulta'!$A$2:$C$38,3,0),8))</f>
        <v>0</v>
      </c>
      <c r="BI14" s="97">
        <f>IF(OR(AY14="SÁB",AY14="DOM"),0,IFERROR(8-VLOOKUP(L14,'Dados de consulta'!$A$2:$C$38,3,0),8))</f>
        <v>0</v>
      </c>
      <c r="BJ14" s="97">
        <f>IF(OR(AY14="SÁB",AY14="DOM"),0,IFERROR(8-VLOOKUP(M14,'Dados de consulta'!$A$2:$C$38,3,0),8))</f>
        <v>8</v>
      </c>
      <c r="BK14" s="97">
        <f>IF(OR(AY14="SÁB",AY14="DOM"),0,IFERROR(8-VLOOKUP(N14,'Dados de consulta'!$A$2:$C$38,3,0),8))</f>
        <v>8</v>
      </c>
      <c r="BL14" s="97">
        <f>IF(OR(AY14="SÁB",AY14="DOM"),0,IFERROR(8-VLOOKUP(O14,'Dados de consulta'!$A$2:$C$38,3,0),8))</f>
        <v>8</v>
      </c>
      <c r="BM14" s="97">
        <f>IF(OR(AY14="SÁB",AY14="DOM"),0,IFERROR(8-VLOOKUP(P14,'Dados de consulta'!$A$2:$C$38,3,0),8))</f>
        <v>8</v>
      </c>
      <c r="BN14" s="97">
        <f>IF(OR(AY14="SÁB",AY14="DOM"),0,IFERROR(8-VLOOKUP(Q14,'Dados de consulta'!$A$2:$C$38,3,0),8))</f>
        <v>8</v>
      </c>
      <c r="BO14" s="97">
        <f>IF(OR(AY14="SÁB",AY14="DOM"),0,IFERROR(8-VLOOKUP(R14,'Dados de consulta'!$A$2:$C$38,3,0),8))</f>
        <v>8</v>
      </c>
      <c r="BP14" s="97">
        <f>IF(OR(AY14="SÁB",AY14="DOM"),0,IFERROR(8-VLOOKUP(S14,'Dados de consulta'!$A$2:$C$38,3,0),8))</f>
        <v>8</v>
      </c>
      <c r="BQ14" s="113">
        <f>IFERROR(6-VLOOKUP(T14,'Dados de consulta'!$A$2:$C$38,3,0)+2,6)</f>
        <v>6</v>
      </c>
      <c r="BR14" s="114">
        <f t="shared" si="24"/>
        <v>110</v>
      </c>
      <c r="BS14">
        <f t="shared" si="10"/>
        <v>134</v>
      </c>
      <c r="BU14">
        <f>IFERROR(8-VLOOKUP(U14,'Dados de consulta'!$A:$D,3,0),8)</f>
        <v>8</v>
      </c>
      <c r="BV14">
        <f>IFERROR(8-VLOOKUP(V14,'Dados de consulta'!$A:$D,3,0),8)</f>
        <v>8</v>
      </c>
      <c r="BW14">
        <f t="shared" si="25"/>
        <v>16</v>
      </c>
    </row>
    <row r="15" spans="1:75" ht="15" hidden="1" x14ac:dyDescent="0.2">
      <c r="A15" s="98">
        <v>42138</v>
      </c>
      <c r="B15" s="129" t="str">
        <f t="shared" si="0"/>
        <v>qui</v>
      </c>
      <c r="C15" s="132"/>
      <c r="D15" s="132"/>
      <c r="E15" s="132"/>
      <c r="F15" s="132">
        <v>101</v>
      </c>
      <c r="G15" s="132"/>
      <c r="H15" s="132"/>
      <c r="I15" s="132"/>
      <c r="J15" s="132">
        <v>18</v>
      </c>
      <c r="K15" s="132">
        <v>8</v>
      </c>
      <c r="L15" s="132">
        <v>18</v>
      </c>
      <c r="M15" s="132"/>
      <c r="N15" s="132"/>
      <c r="O15" s="132"/>
      <c r="P15" s="132"/>
      <c r="Q15" s="132"/>
      <c r="R15" s="132"/>
      <c r="S15" s="132"/>
      <c r="T15" s="132"/>
      <c r="U15" s="132"/>
      <c r="V15" s="151"/>
      <c r="W15" s="307" t="s">
        <v>193</v>
      </c>
      <c r="X15" s="308"/>
      <c r="Y15" s="38">
        <f t="shared" si="1"/>
        <v>8</v>
      </c>
      <c r="Z15" s="38">
        <f t="shared" si="2"/>
        <v>16</v>
      </c>
      <c r="AA15" s="38">
        <f t="shared" si="3"/>
        <v>0</v>
      </c>
      <c r="AB15" s="38">
        <f t="shared" si="11"/>
        <v>0</v>
      </c>
      <c r="AC15" s="38">
        <f t="shared" si="12"/>
        <v>0</v>
      </c>
      <c r="AD15" s="38">
        <f t="shared" si="13"/>
        <v>0</v>
      </c>
      <c r="AE15" s="38">
        <f t="shared" si="14"/>
        <v>0</v>
      </c>
      <c r="AF15" s="38">
        <f t="shared" si="15"/>
        <v>0</v>
      </c>
      <c r="AG15" s="33">
        <f t="shared" si="16"/>
        <v>8</v>
      </c>
      <c r="AH15" s="33">
        <f t="shared" si="17"/>
        <v>16</v>
      </c>
      <c r="AI15" s="33">
        <f t="shared" si="18"/>
        <v>0</v>
      </c>
      <c r="AJ15" s="33">
        <f t="shared" si="19"/>
        <v>0</v>
      </c>
      <c r="AK15" s="34">
        <f t="shared" si="20"/>
        <v>5.6338028169014086E-2</v>
      </c>
      <c r="AL15" s="35">
        <f t="shared" si="21"/>
        <v>0.11267605633802817</v>
      </c>
      <c r="AM15" s="34">
        <f t="shared" si="22"/>
        <v>0</v>
      </c>
      <c r="AN15" s="36">
        <f t="shared" si="23"/>
        <v>0</v>
      </c>
      <c r="AO15" s="6">
        <f t="shared" si="4"/>
        <v>0</v>
      </c>
      <c r="AP15">
        <f t="shared" si="5"/>
        <v>8</v>
      </c>
      <c r="AQ15" s="6">
        <f t="shared" si="6"/>
        <v>0</v>
      </c>
      <c r="AR15" s="6">
        <f t="shared" si="7"/>
        <v>0</v>
      </c>
      <c r="AS15" s="6"/>
      <c r="AX15" s="95">
        <f t="shared" si="8"/>
        <v>42138</v>
      </c>
      <c r="AY15" s="96" t="str">
        <f t="shared" si="9"/>
        <v>qui</v>
      </c>
      <c r="AZ15" s="97">
        <f>IF(OR(AY15="SÁB",AY15="DOM"),0,IFERROR(8-VLOOKUP(C15,'Dados de consulta'!$A$2:$C$38,3,0),8))</f>
        <v>8</v>
      </c>
      <c r="BA15" s="97">
        <f>IF(OR(AY15="SÁB",AY15="DOM"),0,IFERROR(8-VLOOKUP(D15,'Dados de consulta'!$A$2:$C$38,3,0),8))</f>
        <v>8</v>
      </c>
      <c r="BB15" s="97">
        <f>IF(OR(AY15="SÁB",AY15="DOM"),0,IFERROR(8-VLOOKUP(E15,'Dados de consulta'!$A$2:$C$38,3,0),8))</f>
        <v>8</v>
      </c>
      <c r="BC15" s="97">
        <f>IF(OR(AY15="SÁB",AY15="DOM"),0,IFERROR(8-VLOOKUP(F15,'Dados de consulta'!$A$2:$C$38,3,0),8))</f>
        <v>0</v>
      </c>
      <c r="BD15" s="97">
        <f>IF(OR(AY15="SÁB",AY15="DOM"),0,IFERROR(8-VLOOKUP(G15,'Dados de consulta'!$A$2:$C$38,3,0),8))</f>
        <v>8</v>
      </c>
      <c r="BE15" s="97">
        <f>IF(OR(AY15="SÁB",AY15="DOM"),0,IFERROR(8-VLOOKUP(H15,'Dados de consulta'!$A$2:$C$38,3,0),8))</f>
        <v>8</v>
      </c>
      <c r="BF15" s="97">
        <f>IF(OR(AY15="SÁB",AY15="DOM"),0,IFERROR(8-VLOOKUP(I15,'Dados de consulta'!$A$2:$C$38,3,0),8))</f>
        <v>8</v>
      </c>
      <c r="BG15" s="97">
        <f>IF(OR(AY15="SÁB",AY15="DOM"),0,IFERROR(8-VLOOKUP(J15,'Dados de consulta'!$A$2:$C$38,3,0),8))</f>
        <v>0</v>
      </c>
      <c r="BH15" s="97">
        <f>IF(OR(AY15="SÁB",AY15="DOM"),0,IFERROR(8-VLOOKUP(K15,'Dados de consulta'!$A$2:$C$38,3,0),8))</f>
        <v>0</v>
      </c>
      <c r="BI15" s="97">
        <f>IF(OR(AY15="SÁB",AY15="DOM"),0,IFERROR(8-VLOOKUP(L15,'Dados de consulta'!$A$2:$C$38,3,0),8))</f>
        <v>0</v>
      </c>
      <c r="BJ15" s="97">
        <f>IF(OR(AY15="SÁB",AY15="DOM"),0,IFERROR(8-VLOOKUP(M15,'Dados de consulta'!$A$2:$C$38,3,0),8))</f>
        <v>8</v>
      </c>
      <c r="BK15" s="97">
        <f>IF(OR(AY15="SÁB",AY15="DOM"),0,IFERROR(8-VLOOKUP(N15,'Dados de consulta'!$A$2:$C$38,3,0),8))</f>
        <v>8</v>
      </c>
      <c r="BL15" s="97">
        <f>IF(OR(AY15="SÁB",AY15="DOM"),0,IFERROR(8-VLOOKUP(O15,'Dados de consulta'!$A$2:$C$38,3,0),8))</f>
        <v>8</v>
      </c>
      <c r="BM15" s="97">
        <f>IF(OR(AY15="SÁB",AY15="DOM"),0,IFERROR(8-VLOOKUP(P15,'Dados de consulta'!$A$2:$C$38,3,0),8))</f>
        <v>8</v>
      </c>
      <c r="BN15" s="97">
        <f>IF(OR(AY15="SÁB",AY15="DOM"),0,IFERROR(8-VLOOKUP(Q15,'Dados de consulta'!$A$2:$C$38,3,0),8))</f>
        <v>8</v>
      </c>
      <c r="BO15" s="97">
        <f>IF(OR(AY15="SÁB",AY15="DOM"),0,IFERROR(8-VLOOKUP(R15,'Dados de consulta'!$A$2:$C$38,3,0),8))</f>
        <v>8</v>
      </c>
      <c r="BP15" s="97">
        <f>IF(OR(AY15="SÁB",AY15="DOM"),0,IFERROR(8-VLOOKUP(S15,'Dados de consulta'!$A$2:$C$38,3,0),8))</f>
        <v>8</v>
      </c>
      <c r="BQ15" s="113">
        <f>IFERROR(6-VLOOKUP(T15,'Dados de consulta'!$A$2:$C$38,3,0)+2,6)</f>
        <v>6</v>
      </c>
      <c r="BR15" s="114">
        <f t="shared" si="24"/>
        <v>110</v>
      </c>
      <c r="BS15">
        <f t="shared" si="10"/>
        <v>134</v>
      </c>
      <c r="BU15">
        <f>IFERROR(8-VLOOKUP(U15,'Dados de consulta'!$A:$D,3,0),8)</f>
        <v>8</v>
      </c>
      <c r="BV15">
        <f>IFERROR(8-VLOOKUP(V15,'Dados de consulta'!$A:$D,3,0),8)</f>
        <v>8</v>
      </c>
      <c r="BW15">
        <f t="shared" si="25"/>
        <v>16</v>
      </c>
    </row>
    <row r="16" spans="1:75" ht="15" hidden="1" x14ac:dyDescent="0.2">
      <c r="A16" s="98">
        <v>42139</v>
      </c>
      <c r="B16" s="129" t="str">
        <f t="shared" si="0"/>
        <v>sex</v>
      </c>
      <c r="C16" s="132"/>
      <c r="D16" s="132"/>
      <c r="E16" s="132"/>
      <c r="F16" s="132">
        <v>101</v>
      </c>
      <c r="G16" s="132"/>
      <c r="H16" s="132"/>
      <c r="I16" s="132"/>
      <c r="J16" s="132">
        <v>18</v>
      </c>
      <c r="K16" s="132">
        <v>8</v>
      </c>
      <c r="L16" s="132">
        <v>18</v>
      </c>
      <c r="M16" s="132"/>
      <c r="N16" s="132"/>
      <c r="O16" s="132"/>
      <c r="P16" s="132"/>
      <c r="Q16" s="132"/>
      <c r="R16" s="132"/>
      <c r="S16" s="132"/>
      <c r="T16" s="132"/>
      <c r="U16" s="132"/>
      <c r="V16" s="151"/>
      <c r="W16" s="307" t="s">
        <v>193</v>
      </c>
      <c r="X16" s="308"/>
      <c r="Y16" s="38">
        <f t="shared" si="1"/>
        <v>8</v>
      </c>
      <c r="Z16" s="38">
        <f t="shared" si="2"/>
        <v>16</v>
      </c>
      <c r="AA16" s="38">
        <f t="shared" si="3"/>
        <v>0</v>
      </c>
      <c r="AB16" s="38">
        <f t="shared" si="11"/>
        <v>0</v>
      </c>
      <c r="AC16" s="38">
        <f t="shared" si="12"/>
        <v>0</v>
      </c>
      <c r="AD16" s="38">
        <f t="shared" si="13"/>
        <v>0</v>
      </c>
      <c r="AE16" s="38">
        <f t="shared" si="14"/>
        <v>0</v>
      </c>
      <c r="AF16" s="38">
        <f t="shared" si="15"/>
        <v>0</v>
      </c>
      <c r="AG16" s="33">
        <f t="shared" si="16"/>
        <v>8</v>
      </c>
      <c r="AH16" s="33">
        <f t="shared" si="17"/>
        <v>16</v>
      </c>
      <c r="AI16" s="33">
        <f t="shared" si="18"/>
        <v>0</v>
      </c>
      <c r="AJ16" s="33">
        <f t="shared" si="19"/>
        <v>0</v>
      </c>
      <c r="AK16" s="34">
        <f t="shared" si="20"/>
        <v>5.6338028169014086E-2</v>
      </c>
      <c r="AL16" s="35">
        <f t="shared" si="21"/>
        <v>0.11267605633802817</v>
      </c>
      <c r="AM16" s="34">
        <f t="shared" si="22"/>
        <v>0</v>
      </c>
      <c r="AN16" s="36">
        <f t="shared" si="23"/>
        <v>0</v>
      </c>
      <c r="AO16" s="6">
        <f t="shared" si="4"/>
        <v>0</v>
      </c>
      <c r="AP16">
        <f t="shared" si="5"/>
        <v>8</v>
      </c>
      <c r="AQ16" s="6">
        <f t="shared" si="6"/>
        <v>0</v>
      </c>
      <c r="AR16" s="6">
        <f t="shared" si="7"/>
        <v>0</v>
      </c>
      <c r="AS16" s="6"/>
      <c r="AX16" s="95">
        <f t="shared" si="8"/>
        <v>42139</v>
      </c>
      <c r="AY16" s="96" t="str">
        <f t="shared" si="9"/>
        <v>sex</v>
      </c>
      <c r="AZ16" s="97">
        <f>IF(OR(AY16="SÁB",AY16="DOM"),0,IFERROR(8-VLOOKUP(C16,'Dados de consulta'!$A$2:$C$38,3,0),8))</f>
        <v>8</v>
      </c>
      <c r="BA16" s="97">
        <f>IF(OR(AY16="SÁB",AY16="DOM"),0,IFERROR(8-VLOOKUP(D16,'Dados de consulta'!$A$2:$C$38,3,0),8))</f>
        <v>8</v>
      </c>
      <c r="BB16" s="97">
        <f>IF(OR(AY16="SÁB",AY16="DOM"),0,IFERROR(8-VLOOKUP(E16,'Dados de consulta'!$A$2:$C$38,3,0),8))</f>
        <v>8</v>
      </c>
      <c r="BC16" s="97">
        <f>IF(OR(AY16="SÁB",AY16="DOM"),0,IFERROR(8-VLOOKUP(F16,'Dados de consulta'!$A$2:$C$38,3,0),8))</f>
        <v>0</v>
      </c>
      <c r="BD16" s="97">
        <f>IF(OR(AY16="SÁB",AY16="DOM"),0,IFERROR(8-VLOOKUP(G16,'Dados de consulta'!$A$2:$C$38,3,0),8))</f>
        <v>8</v>
      </c>
      <c r="BE16" s="97">
        <f>IF(OR(AY16="SÁB",AY16="DOM"),0,IFERROR(8-VLOOKUP(H16,'Dados de consulta'!$A$2:$C$38,3,0),8))</f>
        <v>8</v>
      </c>
      <c r="BF16" s="97">
        <f>IF(OR(AY16="SÁB",AY16="DOM"),0,IFERROR(8-VLOOKUP(I16,'Dados de consulta'!$A$2:$C$38,3,0),8))</f>
        <v>8</v>
      </c>
      <c r="BG16" s="97">
        <f>IF(OR(AY16="SÁB",AY16="DOM"),0,IFERROR(8-VLOOKUP(J16,'Dados de consulta'!$A$2:$C$38,3,0),8))</f>
        <v>0</v>
      </c>
      <c r="BH16" s="97">
        <f>IF(OR(AY16="SÁB",AY16="DOM"),0,IFERROR(8-VLOOKUP(K16,'Dados de consulta'!$A$2:$C$38,3,0),8))</f>
        <v>0</v>
      </c>
      <c r="BI16" s="97">
        <f>IF(OR(AY16="SÁB",AY16="DOM"),0,IFERROR(8-VLOOKUP(L16,'Dados de consulta'!$A$2:$C$38,3,0),8))</f>
        <v>0</v>
      </c>
      <c r="BJ16" s="97">
        <f>IF(OR(AY16="SÁB",AY16="DOM"),0,IFERROR(8-VLOOKUP(M16,'Dados de consulta'!$A$2:$C$38,3,0),8))</f>
        <v>8</v>
      </c>
      <c r="BK16" s="97">
        <f>IF(OR(AY16="SÁB",AY16="DOM"),0,IFERROR(8-VLOOKUP(N16,'Dados de consulta'!$A$2:$C$38,3,0),8))</f>
        <v>8</v>
      </c>
      <c r="BL16" s="97">
        <f>IF(OR(AY16="SÁB",AY16="DOM"),0,IFERROR(8-VLOOKUP(O16,'Dados de consulta'!$A$2:$C$38,3,0),8))</f>
        <v>8</v>
      </c>
      <c r="BM16" s="97">
        <f>IF(OR(AY16="SÁB",AY16="DOM"),0,IFERROR(8-VLOOKUP(P16,'Dados de consulta'!$A$2:$C$38,3,0),8))</f>
        <v>8</v>
      </c>
      <c r="BN16" s="97">
        <f>IF(OR(AY16="SÁB",AY16="DOM"),0,IFERROR(8-VLOOKUP(Q16,'Dados de consulta'!$A$2:$C$38,3,0),8))</f>
        <v>8</v>
      </c>
      <c r="BO16" s="97">
        <f>IF(OR(AY16="SÁB",AY16="DOM"),0,IFERROR(8-VLOOKUP(R16,'Dados de consulta'!$A$2:$C$38,3,0),8))</f>
        <v>8</v>
      </c>
      <c r="BP16" s="97">
        <f>IF(OR(AY16="SÁB",AY16="DOM"),0,IFERROR(8-VLOOKUP(S16,'Dados de consulta'!$A$2:$C$38,3,0),8))</f>
        <v>8</v>
      </c>
      <c r="BQ16" s="113">
        <f>IFERROR(6-VLOOKUP(T16,'Dados de consulta'!$A$2:$C$38,3,0)+2,6)</f>
        <v>6</v>
      </c>
      <c r="BR16" s="114">
        <f t="shared" si="24"/>
        <v>110</v>
      </c>
      <c r="BS16">
        <f t="shared" si="10"/>
        <v>134</v>
      </c>
      <c r="BU16">
        <f>IFERROR(8-VLOOKUP(U16,'Dados de consulta'!$A:$D,3,0),8)</f>
        <v>8</v>
      </c>
      <c r="BV16">
        <f>IFERROR(8-VLOOKUP(V16,'Dados de consulta'!$A:$D,3,0),8)</f>
        <v>8</v>
      </c>
      <c r="BW16">
        <f t="shared" si="25"/>
        <v>16</v>
      </c>
    </row>
    <row r="17" spans="1:75" ht="15" hidden="1" x14ac:dyDescent="0.2">
      <c r="A17" s="98">
        <v>42140</v>
      </c>
      <c r="B17" s="129" t="str">
        <f t="shared" si="0"/>
        <v>sáb</v>
      </c>
      <c r="C17" s="132"/>
      <c r="D17" s="132"/>
      <c r="E17" s="132"/>
      <c r="F17" s="132">
        <v>101</v>
      </c>
      <c r="G17" s="132"/>
      <c r="H17" s="132"/>
      <c r="I17" s="132"/>
      <c r="J17" s="132">
        <v>18</v>
      </c>
      <c r="K17" s="132">
        <v>8</v>
      </c>
      <c r="L17" s="132">
        <v>18</v>
      </c>
      <c r="M17" s="132"/>
      <c r="N17" s="132"/>
      <c r="O17" s="132"/>
      <c r="P17" s="132"/>
      <c r="Q17" s="132"/>
      <c r="R17" s="132"/>
      <c r="S17" s="132"/>
      <c r="T17" s="132"/>
      <c r="U17" s="132"/>
      <c r="V17" s="151"/>
      <c r="W17" s="307" t="s">
        <v>193</v>
      </c>
      <c r="X17" s="308"/>
      <c r="Y17" s="38">
        <f t="shared" si="1"/>
        <v>8</v>
      </c>
      <c r="Z17" s="38">
        <f t="shared" si="2"/>
        <v>16</v>
      </c>
      <c r="AA17" s="38">
        <f t="shared" si="3"/>
        <v>0</v>
      </c>
      <c r="AB17" s="38">
        <f t="shared" si="11"/>
        <v>0</v>
      </c>
      <c r="AC17" s="38">
        <f t="shared" si="12"/>
        <v>0</v>
      </c>
      <c r="AD17" s="38">
        <f t="shared" si="13"/>
        <v>0</v>
      </c>
      <c r="AE17" s="38">
        <f t="shared" si="14"/>
        <v>0</v>
      </c>
      <c r="AF17" s="38">
        <f t="shared" si="15"/>
        <v>0</v>
      </c>
      <c r="AG17" s="33">
        <f t="shared" si="16"/>
        <v>0</v>
      </c>
      <c r="AH17" s="33">
        <f t="shared" si="17"/>
        <v>0</v>
      </c>
      <c r="AI17" s="33">
        <f t="shared" si="18"/>
        <v>0</v>
      </c>
      <c r="AJ17" s="33">
        <f t="shared" si="19"/>
        <v>0</v>
      </c>
      <c r="AK17" s="34">
        <f t="shared" si="20"/>
        <v>0</v>
      </c>
      <c r="AL17" s="35">
        <f t="shared" si="21"/>
        <v>0</v>
      </c>
      <c r="AM17" s="34">
        <f t="shared" si="22"/>
        <v>0</v>
      </c>
      <c r="AN17" s="36">
        <f t="shared" si="23"/>
        <v>0</v>
      </c>
      <c r="AO17" s="6">
        <f t="shared" si="4"/>
        <v>0</v>
      </c>
      <c r="AP17">
        <f t="shared" si="5"/>
        <v>8</v>
      </c>
      <c r="AQ17" s="6">
        <f t="shared" si="6"/>
        <v>0</v>
      </c>
      <c r="AR17" s="6">
        <f t="shared" si="7"/>
        <v>0</v>
      </c>
      <c r="AS17" s="6"/>
      <c r="AX17" s="95">
        <f t="shared" si="8"/>
        <v>42140</v>
      </c>
      <c r="AY17" s="96" t="str">
        <f t="shared" si="9"/>
        <v>sáb</v>
      </c>
      <c r="AZ17" s="97">
        <f>IF(OR(AY17="SÁB",AY17="DOM"),0,IFERROR(8-VLOOKUP(C17,'Dados de consulta'!$A$2:$C$38,3,0),8))</f>
        <v>0</v>
      </c>
      <c r="BA17" s="97">
        <f>IF(OR(AY17="SÁB",AY17="DOM"),0,IFERROR(8-VLOOKUP(D17,'Dados de consulta'!$A$2:$C$38,3,0),8))</f>
        <v>0</v>
      </c>
      <c r="BB17" s="97">
        <f>IF(OR(AY17="SÁB",AY17="DOM"),0,IFERROR(8-VLOOKUP(E17,'Dados de consulta'!$A$2:$C$38,3,0),8))</f>
        <v>0</v>
      </c>
      <c r="BC17" s="97">
        <f>IF(OR(AY17="SÁB",AY17="DOM"),0,IFERROR(8-VLOOKUP(F17,'Dados de consulta'!$A$2:$C$38,3,0),8))</f>
        <v>0</v>
      </c>
      <c r="BD17" s="97">
        <f>IF(OR(AY17="SÁB",AY17="DOM"),0,IFERROR(8-VLOOKUP(G17,'Dados de consulta'!$A$2:$C$38,3,0),8))</f>
        <v>0</v>
      </c>
      <c r="BE17" s="97">
        <f>IF(OR(AY17="SÁB",AY17="DOM"),0,IFERROR(8-VLOOKUP(H17,'Dados de consulta'!$A$2:$C$38,3,0),8))</f>
        <v>0</v>
      </c>
      <c r="BF17" s="97">
        <f>IF(OR(AY17="SÁB",AY17="DOM"),0,IFERROR(8-VLOOKUP(I17,'Dados de consulta'!$A$2:$C$38,3,0),8))</f>
        <v>0</v>
      </c>
      <c r="BG17" s="97">
        <f>IF(OR(AY17="SÁB",AY17="DOM"),0,IFERROR(8-VLOOKUP(J17,'Dados de consulta'!$A$2:$C$38,3,0),8))</f>
        <v>0</v>
      </c>
      <c r="BH17" s="97">
        <f>IF(OR(AY17="SÁB",AY17="DOM"),0,IFERROR(8-VLOOKUP(K17,'Dados de consulta'!$A$2:$C$38,3,0),8))</f>
        <v>0</v>
      </c>
      <c r="BI17" s="97">
        <f>IF(OR(AY17="SÁB",AY17="DOM"),0,IFERROR(8-VLOOKUP(L17,'Dados de consulta'!$A$2:$C$38,3,0),8))</f>
        <v>0</v>
      </c>
      <c r="BJ17" s="97">
        <f>IF(OR(AY17="SÁB",AY17="DOM"),0,IFERROR(8-VLOOKUP(M17,'Dados de consulta'!$A$2:$C$38,3,0),8))</f>
        <v>0</v>
      </c>
      <c r="BK17" s="97">
        <f>IF(OR(AY17="SÁB",AY17="DOM"),0,IFERROR(8-VLOOKUP(N17,'Dados de consulta'!$A$2:$C$38,3,0),8))</f>
        <v>0</v>
      </c>
      <c r="BL17" s="97">
        <f>IF(OR(AY17="SÁB",AY17="DOM"),0,IFERROR(8-VLOOKUP(O17,'Dados de consulta'!$A$2:$C$38,3,0),8))</f>
        <v>0</v>
      </c>
      <c r="BM17" s="97">
        <f>IF(OR(AY17="SÁB",AY17="DOM"),0,IFERROR(8-VLOOKUP(P17,'Dados de consulta'!$A$2:$C$38,3,0),8))</f>
        <v>0</v>
      </c>
      <c r="BN17" s="97">
        <f>IF(OR(AY17="SÁB",AY17="DOM"),0,IFERROR(8-VLOOKUP(Q17,'Dados de consulta'!$A$2:$C$38,3,0),8))</f>
        <v>0</v>
      </c>
      <c r="BO17" s="97">
        <f>IF(OR(AY17="SÁB",AY17="DOM"),0,IFERROR(8-VLOOKUP(R17,'Dados de consulta'!$A$2:$C$38,3,0),8))</f>
        <v>0</v>
      </c>
      <c r="BP17" s="97">
        <f>IF(OR(AY17="SÁB",AY17="DOM"),0,IFERROR(8-VLOOKUP(S17,'Dados de consulta'!$A$2:$C$38,3,0),8))</f>
        <v>0</v>
      </c>
      <c r="BQ17" s="113">
        <f>IFERROR(6-VLOOKUP(T17,'Dados de consulta'!$A$2:$C$38,3,0)+2,6)</f>
        <v>6</v>
      </c>
      <c r="BR17" s="114">
        <f t="shared" si="24"/>
        <v>0</v>
      </c>
      <c r="BS17">
        <f t="shared" si="10"/>
        <v>0</v>
      </c>
      <c r="BU17">
        <f>IFERROR(8-VLOOKUP(U17,'Dados de consulta'!$A:$D,3,0),8)</f>
        <v>8</v>
      </c>
      <c r="BV17">
        <f>IFERROR(8-VLOOKUP(V17,'Dados de consulta'!$A:$D,3,0),8)</f>
        <v>8</v>
      </c>
      <c r="BW17">
        <f t="shared" si="25"/>
        <v>16</v>
      </c>
    </row>
    <row r="18" spans="1:75" ht="15" hidden="1" x14ac:dyDescent="0.2">
      <c r="A18" s="98">
        <v>42141</v>
      </c>
      <c r="B18" s="129" t="str">
        <f t="shared" si="0"/>
        <v>dom</v>
      </c>
      <c r="C18" s="132"/>
      <c r="D18" s="132"/>
      <c r="E18" s="132"/>
      <c r="F18" s="132">
        <v>101</v>
      </c>
      <c r="G18" s="132"/>
      <c r="H18" s="132"/>
      <c r="I18" s="132"/>
      <c r="J18" s="132">
        <v>18</v>
      </c>
      <c r="K18" s="132">
        <v>8</v>
      </c>
      <c r="L18" s="132">
        <v>18</v>
      </c>
      <c r="M18" s="132"/>
      <c r="N18" s="132"/>
      <c r="O18" s="132"/>
      <c r="P18" s="132"/>
      <c r="Q18" s="132"/>
      <c r="R18" s="132"/>
      <c r="S18" s="132"/>
      <c r="T18" s="132"/>
      <c r="U18" s="132"/>
      <c r="V18" s="151"/>
      <c r="W18" s="307" t="s">
        <v>193</v>
      </c>
      <c r="X18" s="308"/>
      <c r="Y18" s="38">
        <f t="shared" si="1"/>
        <v>8</v>
      </c>
      <c r="Z18" s="38">
        <f t="shared" si="2"/>
        <v>16</v>
      </c>
      <c r="AA18" s="38">
        <f t="shared" si="3"/>
        <v>0</v>
      </c>
      <c r="AB18" s="38">
        <f t="shared" si="11"/>
        <v>0</v>
      </c>
      <c r="AC18" s="38">
        <f t="shared" si="12"/>
        <v>0</v>
      </c>
      <c r="AD18" s="38">
        <f t="shared" si="13"/>
        <v>0</v>
      </c>
      <c r="AE18" s="38">
        <f t="shared" si="14"/>
        <v>0</v>
      </c>
      <c r="AF18" s="38">
        <f t="shared" si="15"/>
        <v>0</v>
      </c>
      <c r="AG18" s="33">
        <f t="shared" si="16"/>
        <v>0</v>
      </c>
      <c r="AH18" s="33">
        <f t="shared" si="17"/>
        <v>0</v>
      </c>
      <c r="AI18" s="33">
        <f t="shared" si="18"/>
        <v>0</v>
      </c>
      <c r="AJ18" s="33">
        <f t="shared" si="19"/>
        <v>0</v>
      </c>
      <c r="AK18" s="34">
        <f t="shared" si="20"/>
        <v>0</v>
      </c>
      <c r="AL18" s="35">
        <f t="shared" si="21"/>
        <v>0</v>
      </c>
      <c r="AM18" s="34">
        <f t="shared" si="22"/>
        <v>0</v>
      </c>
      <c r="AN18" s="36">
        <f t="shared" si="23"/>
        <v>0</v>
      </c>
      <c r="AO18" s="6">
        <f t="shared" si="4"/>
        <v>0</v>
      </c>
      <c r="AP18">
        <f t="shared" si="5"/>
        <v>8</v>
      </c>
      <c r="AQ18" s="6">
        <f t="shared" si="6"/>
        <v>0</v>
      </c>
      <c r="AR18" s="6">
        <f t="shared" si="7"/>
        <v>0</v>
      </c>
      <c r="AS18" s="6"/>
      <c r="AX18" s="95">
        <f t="shared" si="8"/>
        <v>42141</v>
      </c>
      <c r="AY18" s="96" t="str">
        <f t="shared" si="9"/>
        <v>dom</v>
      </c>
      <c r="AZ18" s="97">
        <f>IF(OR(AY18="SÁB",AY18="DOM"),0,IFERROR(8-VLOOKUP(C18,'Dados de consulta'!$A$2:$C$38,3,0),8))</f>
        <v>0</v>
      </c>
      <c r="BA18" s="97">
        <f>IF(OR(AY18="SÁB",AY18="DOM"),0,IFERROR(8-VLOOKUP(D18,'Dados de consulta'!$A$2:$C$38,3,0),8))</f>
        <v>0</v>
      </c>
      <c r="BB18" s="97">
        <f>IF(OR(AY18="SÁB",AY18="DOM"),0,IFERROR(8-VLOOKUP(E18,'Dados de consulta'!$A$2:$C$38,3,0),8))</f>
        <v>0</v>
      </c>
      <c r="BC18" s="97">
        <f>IF(OR(AY18="SÁB",AY18="DOM"),0,IFERROR(8-VLOOKUP(F18,'Dados de consulta'!$A$2:$C$38,3,0),8))</f>
        <v>0</v>
      </c>
      <c r="BD18" s="97">
        <f>IF(OR(AY18="SÁB",AY18="DOM"),0,IFERROR(8-VLOOKUP(G18,'Dados de consulta'!$A$2:$C$38,3,0),8))</f>
        <v>0</v>
      </c>
      <c r="BE18" s="97">
        <f>IF(OR(AY18="SÁB",AY18="DOM"),0,IFERROR(8-VLOOKUP(H18,'Dados de consulta'!$A$2:$C$38,3,0),8))</f>
        <v>0</v>
      </c>
      <c r="BF18" s="97">
        <f>IF(OR(AY18="SÁB",AY18="DOM"),0,IFERROR(8-VLOOKUP(I18,'Dados de consulta'!$A$2:$C$38,3,0),8))</f>
        <v>0</v>
      </c>
      <c r="BG18" s="97">
        <f>IF(OR(AY18="SÁB",AY18="DOM"),0,IFERROR(8-VLOOKUP(J18,'Dados de consulta'!$A$2:$C$38,3,0),8))</f>
        <v>0</v>
      </c>
      <c r="BH18" s="97">
        <f>IF(OR(AY18="SÁB",AY18="DOM"),0,IFERROR(8-VLOOKUP(K18,'Dados de consulta'!$A$2:$C$38,3,0),8))</f>
        <v>0</v>
      </c>
      <c r="BI18" s="97">
        <f>IF(OR(AY18="SÁB",AY18="DOM"),0,IFERROR(8-VLOOKUP(L18,'Dados de consulta'!$A$2:$C$38,3,0),8))</f>
        <v>0</v>
      </c>
      <c r="BJ18" s="97">
        <f>IF(OR(AY18="SÁB",AY18="DOM"),0,IFERROR(8-VLOOKUP(M18,'Dados de consulta'!$A$2:$C$38,3,0),8))</f>
        <v>0</v>
      </c>
      <c r="BK18" s="97">
        <f>IF(OR(AY18="SÁB",AY18="DOM"),0,IFERROR(8-VLOOKUP(N18,'Dados de consulta'!$A$2:$C$38,3,0),8))</f>
        <v>0</v>
      </c>
      <c r="BL18" s="97">
        <f>IF(OR(AY18="SÁB",AY18="DOM"),0,IFERROR(8-VLOOKUP(O18,'Dados de consulta'!$A$2:$C$38,3,0),8))</f>
        <v>0</v>
      </c>
      <c r="BM18" s="97">
        <f>IF(OR(AY18="SÁB",AY18="DOM"),0,IFERROR(8-VLOOKUP(P18,'Dados de consulta'!$A$2:$C$38,3,0),8))</f>
        <v>0</v>
      </c>
      <c r="BN18" s="97">
        <f>IF(OR(AY18="SÁB",AY18="DOM"),0,IFERROR(8-VLOOKUP(Q18,'Dados de consulta'!$A$2:$C$38,3,0),8))</f>
        <v>0</v>
      </c>
      <c r="BO18" s="97">
        <f>IF(OR(AY18="SÁB",AY18="DOM"),0,IFERROR(8-VLOOKUP(R18,'Dados de consulta'!$A$2:$C$38,3,0),8))</f>
        <v>0</v>
      </c>
      <c r="BP18" s="97">
        <f>IF(OR(AY18="SÁB",AY18="DOM"),0,IFERROR(8-VLOOKUP(S18,'Dados de consulta'!$A$2:$C$38,3,0),8))</f>
        <v>0</v>
      </c>
      <c r="BQ18" s="113">
        <f>IFERROR(6-VLOOKUP(T18,'Dados de consulta'!$A$2:$C$38,3,0)+2,6)</f>
        <v>6</v>
      </c>
      <c r="BR18" s="114">
        <f t="shared" si="24"/>
        <v>0</v>
      </c>
      <c r="BS18">
        <f t="shared" si="10"/>
        <v>0</v>
      </c>
      <c r="BU18">
        <f>IFERROR(8-VLOOKUP(U18,'Dados de consulta'!$A:$D,3,0),8)</f>
        <v>8</v>
      </c>
      <c r="BV18">
        <f>IFERROR(8-VLOOKUP(V18,'Dados de consulta'!$A:$D,3,0),8)</f>
        <v>8</v>
      </c>
      <c r="BW18">
        <f t="shared" si="25"/>
        <v>16</v>
      </c>
    </row>
    <row r="19" spans="1:75" ht="15" hidden="1" x14ac:dyDescent="0.2">
      <c r="A19" s="98">
        <v>42142</v>
      </c>
      <c r="B19" s="129" t="str">
        <f t="shared" si="0"/>
        <v>seg</v>
      </c>
      <c r="C19" s="132"/>
      <c r="D19" s="132"/>
      <c r="E19" s="132"/>
      <c r="F19" s="132">
        <v>101</v>
      </c>
      <c r="G19" s="132"/>
      <c r="H19" s="132"/>
      <c r="I19" s="132"/>
      <c r="J19" s="132">
        <v>18</v>
      </c>
      <c r="K19" s="132"/>
      <c r="L19" s="132">
        <v>18</v>
      </c>
      <c r="M19" s="132"/>
      <c r="N19" s="132"/>
      <c r="O19" s="132"/>
      <c r="P19" s="132"/>
      <c r="Q19" s="132"/>
      <c r="R19" s="132"/>
      <c r="S19" s="132"/>
      <c r="T19" s="132"/>
      <c r="U19" s="132"/>
      <c r="V19" s="151"/>
      <c r="W19" s="307" t="s">
        <v>193</v>
      </c>
      <c r="X19" s="308"/>
      <c r="Y19" s="38">
        <f t="shared" si="1"/>
        <v>0</v>
      </c>
      <c r="Z19" s="38">
        <f t="shared" si="2"/>
        <v>16</v>
      </c>
      <c r="AA19" s="38">
        <f t="shared" si="3"/>
        <v>0</v>
      </c>
      <c r="AB19" s="38">
        <f t="shared" si="11"/>
        <v>0</v>
      </c>
      <c r="AC19" s="38">
        <f t="shared" si="12"/>
        <v>0</v>
      </c>
      <c r="AD19" s="38">
        <f t="shared" si="13"/>
        <v>0</v>
      </c>
      <c r="AE19" s="38">
        <f t="shared" si="14"/>
        <v>0</v>
      </c>
      <c r="AF19" s="38">
        <f t="shared" si="15"/>
        <v>0</v>
      </c>
      <c r="AG19" s="33">
        <f t="shared" si="16"/>
        <v>0</v>
      </c>
      <c r="AH19" s="33">
        <f t="shared" si="17"/>
        <v>16</v>
      </c>
      <c r="AI19" s="33">
        <f t="shared" si="18"/>
        <v>0</v>
      </c>
      <c r="AJ19" s="33">
        <f t="shared" si="19"/>
        <v>0</v>
      </c>
      <c r="AK19" s="34">
        <f t="shared" si="20"/>
        <v>0</v>
      </c>
      <c r="AL19" s="35">
        <f t="shared" si="21"/>
        <v>0.11267605633802817</v>
      </c>
      <c r="AM19" s="34">
        <f t="shared" si="22"/>
        <v>0</v>
      </c>
      <c r="AN19" s="36">
        <f t="shared" si="23"/>
        <v>0</v>
      </c>
      <c r="AO19" s="6">
        <f t="shared" si="4"/>
        <v>0</v>
      </c>
      <c r="AP19">
        <f t="shared" si="5"/>
        <v>8</v>
      </c>
      <c r="AQ19" s="6">
        <f t="shared" si="6"/>
        <v>0</v>
      </c>
      <c r="AR19" s="6">
        <f t="shared" si="7"/>
        <v>0</v>
      </c>
      <c r="AS19" s="6"/>
      <c r="AX19" s="95">
        <f t="shared" si="8"/>
        <v>42142</v>
      </c>
      <c r="AY19" s="96" t="str">
        <f t="shared" si="9"/>
        <v>seg</v>
      </c>
      <c r="AZ19" s="97">
        <f>IF(OR(AY19="SÁB",AY19="DOM"),0,IFERROR(8-VLOOKUP(C19,'Dados de consulta'!$A$2:$C$38,3,0),8))</f>
        <v>8</v>
      </c>
      <c r="BA19" s="97">
        <f>IF(OR(AY19="SÁB",AY19="DOM"),0,IFERROR(8-VLOOKUP(D19,'Dados de consulta'!$A$2:$C$38,3,0),8))</f>
        <v>8</v>
      </c>
      <c r="BB19" s="97">
        <f>IF(OR(AY19="SÁB",AY19="DOM"),0,IFERROR(8-VLOOKUP(E19,'Dados de consulta'!$A$2:$C$38,3,0),8))</f>
        <v>8</v>
      </c>
      <c r="BC19" s="97">
        <f>IF(OR(AY19="SÁB",AY19="DOM"),0,IFERROR(8-VLOOKUP(F19,'Dados de consulta'!$A$2:$C$38,3,0),8))</f>
        <v>0</v>
      </c>
      <c r="BD19" s="97">
        <f>IF(OR(AY19="SÁB",AY19="DOM"),0,IFERROR(8-VLOOKUP(G19,'Dados de consulta'!$A$2:$C$38,3,0),8))</f>
        <v>8</v>
      </c>
      <c r="BE19" s="97">
        <f>IF(OR(AY19="SÁB",AY19="DOM"),0,IFERROR(8-VLOOKUP(H19,'Dados de consulta'!$A$2:$C$38,3,0),8))</f>
        <v>8</v>
      </c>
      <c r="BF19" s="97">
        <f>IF(OR(AY19="SÁB",AY19="DOM"),0,IFERROR(8-VLOOKUP(I19,'Dados de consulta'!$A$2:$C$38,3,0),8))</f>
        <v>8</v>
      </c>
      <c r="BG19" s="97">
        <f>IF(OR(AY19="SÁB",AY19="DOM"),0,IFERROR(8-VLOOKUP(J19,'Dados de consulta'!$A$2:$C$38,3,0),8))</f>
        <v>0</v>
      </c>
      <c r="BH19" s="97">
        <f>IF(OR(AY19="SÁB",AY19="DOM"),0,IFERROR(8-VLOOKUP(K19,'Dados de consulta'!$A$2:$C$38,3,0),8))</f>
        <v>8</v>
      </c>
      <c r="BI19" s="97">
        <f>IF(OR(AY19="SÁB",AY19="DOM"),0,IFERROR(8-VLOOKUP(L19,'Dados de consulta'!$A$2:$C$38,3,0),8))</f>
        <v>0</v>
      </c>
      <c r="BJ19" s="97">
        <f>IF(OR(AY19="SÁB",AY19="DOM"),0,IFERROR(8-VLOOKUP(M19,'Dados de consulta'!$A$2:$C$38,3,0),8))</f>
        <v>8</v>
      </c>
      <c r="BK19" s="97">
        <f>IF(OR(AY19="SÁB",AY19="DOM"),0,IFERROR(8-VLOOKUP(N19,'Dados de consulta'!$A$2:$C$38,3,0),8))</f>
        <v>8</v>
      </c>
      <c r="BL19" s="97">
        <f>IF(OR(AY19="SÁB",AY19="DOM"),0,IFERROR(8-VLOOKUP(O19,'Dados de consulta'!$A$2:$C$38,3,0),8))</f>
        <v>8</v>
      </c>
      <c r="BM19" s="97">
        <f>IF(OR(AY19="SÁB",AY19="DOM"),0,IFERROR(8-VLOOKUP(P19,'Dados de consulta'!$A$2:$C$38,3,0),8))</f>
        <v>8</v>
      </c>
      <c r="BN19" s="97">
        <f>IF(OR(AY19="SÁB",AY19="DOM"),0,IFERROR(8-VLOOKUP(Q19,'Dados de consulta'!$A$2:$C$38,3,0),8))</f>
        <v>8</v>
      </c>
      <c r="BO19" s="97">
        <f>IF(OR(AY19="SÁB",AY19="DOM"),0,IFERROR(8-VLOOKUP(R19,'Dados de consulta'!$A$2:$C$38,3,0),8))</f>
        <v>8</v>
      </c>
      <c r="BP19" s="97">
        <f>IF(OR(AY19="SÁB",AY19="DOM"),0,IFERROR(8-VLOOKUP(S19,'Dados de consulta'!$A$2:$C$38,3,0),8))</f>
        <v>8</v>
      </c>
      <c r="BQ19" s="113">
        <f>IFERROR(6-VLOOKUP(T19,'Dados de consulta'!$A$2:$C$38,3,0)+2,6)</f>
        <v>6</v>
      </c>
      <c r="BR19" s="114">
        <f t="shared" si="24"/>
        <v>118</v>
      </c>
      <c r="BS19">
        <f t="shared" si="10"/>
        <v>134</v>
      </c>
      <c r="BU19">
        <f>IFERROR(8-VLOOKUP(U19,'Dados de consulta'!$A:$D,3,0),8)</f>
        <v>8</v>
      </c>
      <c r="BV19">
        <f>IFERROR(8-VLOOKUP(V19,'Dados de consulta'!$A:$D,3,0),8)</f>
        <v>8</v>
      </c>
      <c r="BW19">
        <f t="shared" si="25"/>
        <v>16</v>
      </c>
    </row>
    <row r="20" spans="1:75" ht="15" hidden="1" x14ac:dyDescent="0.2">
      <c r="A20" s="98">
        <v>42143</v>
      </c>
      <c r="B20" s="129" t="str">
        <f t="shared" si="0"/>
        <v>ter</v>
      </c>
      <c r="C20" s="132"/>
      <c r="D20" s="132"/>
      <c r="E20" s="132"/>
      <c r="F20" s="132">
        <v>101</v>
      </c>
      <c r="G20" s="132"/>
      <c r="H20" s="132"/>
      <c r="I20" s="132"/>
      <c r="J20" s="132">
        <v>18</v>
      </c>
      <c r="K20" s="132"/>
      <c r="L20" s="132">
        <v>18</v>
      </c>
      <c r="M20" s="132"/>
      <c r="N20" s="132"/>
      <c r="O20" s="132"/>
      <c r="P20" s="132"/>
      <c r="Q20" s="132"/>
      <c r="R20" s="132"/>
      <c r="S20" s="132"/>
      <c r="T20" s="132"/>
      <c r="U20" s="132"/>
      <c r="V20" s="151"/>
      <c r="W20" s="307" t="s">
        <v>193</v>
      </c>
      <c r="X20" s="308"/>
      <c r="Y20" s="38">
        <f t="shared" si="1"/>
        <v>0</v>
      </c>
      <c r="Z20" s="38">
        <f t="shared" si="2"/>
        <v>16</v>
      </c>
      <c r="AA20" s="38">
        <f t="shared" si="3"/>
        <v>0</v>
      </c>
      <c r="AB20" s="38">
        <f t="shared" si="11"/>
        <v>0</v>
      </c>
      <c r="AC20" s="38">
        <f t="shared" si="12"/>
        <v>0</v>
      </c>
      <c r="AD20" s="38">
        <f t="shared" si="13"/>
        <v>0</v>
      </c>
      <c r="AE20" s="38">
        <f t="shared" si="14"/>
        <v>0</v>
      </c>
      <c r="AF20" s="38">
        <f t="shared" si="15"/>
        <v>0</v>
      </c>
      <c r="AG20" s="33">
        <f t="shared" si="16"/>
        <v>0</v>
      </c>
      <c r="AH20" s="33">
        <f t="shared" si="17"/>
        <v>16</v>
      </c>
      <c r="AI20" s="33">
        <f t="shared" si="18"/>
        <v>0</v>
      </c>
      <c r="AJ20" s="33">
        <f t="shared" si="19"/>
        <v>0</v>
      </c>
      <c r="AK20" s="34">
        <f t="shared" si="20"/>
        <v>0</v>
      </c>
      <c r="AL20" s="35">
        <f t="shared" si="21"/>
        <v>0.11267605633802817</v>
      </c>
      <c r="AM20" s="34">
        <f t="shared" si="22"/>
        <v>0</v>
      </c>
      <c r="AN20" s="36">
        <f t="shared" si="23"/>
        <v>0</v>
      </c>
      <c r="AO20" s="6">
        <f t="shared" si="4"/>
        <v>0</v>
      </c>
      <c r="AP20">
        <f t="shared" si="5"/>
        <v>8</v>
      </c>
      <c r="AQ20" s="6">
        <f t="shared" si="6"/>
        <v>0</v>
      </c>
      <c r="AR20" s="6">
        <f t="shared" si="7"/>
        <v>0</v>
      </c>
      <c r="AS20" s="6"/>
      <c r="AX20" s="95">
        <f t="shared" si="8"/>
        <v>42143</v>
      </c>
      <c r="AY20" s="96" t="str">
        <f t="shared" si="9"/>
        <v>ter</v>
      </c>
      <c r="AZ20" s="97">
        <f>IF(OR(AY20="SÁB",AY20="DOM"),0,IFERROR(8-VLOOKUP(C20,'Dados de consulta'!$A$2:$C$38,3,0),8))</f>
        <v>8</v>
      </c>
      <c r="BA20" s="97">
        <f>IF(OR(AY20="SÁB",AY20="DOM"),0,IFERROR(8-VLOOKUP(D20,'Dados de consulta'!$A$2:$C$38,3,0),8))</f>
        <v>8</v>
      </c>
      <c r="BB20" s="97">
        <f>IF(OR(AY20="SÁB",AY20="DOM"),0,IFERROR(8-VLOOKUP(E20,'Dados de consulta'!$A$2:$C$38,3,0),8))</f>
        <v>8</v>
      </c>
      <c r="BC20" s="97">
        <f>IF(OR(AY20="SÁB",AY20="DOM"),0,IFERROR(8-VLOOKUP(F20,'Dados de consulta'!$A$2:$C$38,3,0),8))</f>
        <v>0</v>
      </c>
      <c r="BD20" s="97">
        <f>IF(OR(AY20="SÁB",AY20="DOM"),0,IFERROR(8-VLOOKUP(G20,'Dados de consulta'!$A$2:$C$38,3,0),8))</f>
        <v>8</v>
      </c>
      <c r="BE20" s="97">
        <f>IF(OR(AY20="SÁB",AY20="DOM"),0,IFERROR(8-VLOOKUP(H20,'Dados de consulta'!$A$2:$C$38,3,0),8))</f>
        <v>8</v>
      </c>
      <c r="BF20" s="97">
        <f>IF(OR(AY20="SÁB",AY20="DOM"),0,IFERROR(8-VLOOKUP(I20,'Dados de consulta'!$A$2:$C$38,3,0),8))</f>
        <v>8</v>
      </c>
      <c r="BG20" s="97">
        <f>IF(OR(AY20="SÁB",AY20="DOM"),0,IFERROR(8-VLOOKUP(J20,'Dados de consulta'!$A$2:$C$38,3,0),8))</f>
        <v>0</v>
      </c>
      <c r="BH20" s="97">
        <f>IF(OR(AY20="SÁB",AY20="DOM"),0,IFERROR(8-VLOOKUP(K20,'Dados de consulta'!$A$2:$C$38,3,0),8))</f>
        <v>8</v>
      </c>
      <c r="BI20" s="97">
        <f>IF(OR(AY20="SÁB",AY20="DOM"),0,IFERROR(8-VLOOKUP(L20,'Dados de consulta'!$A$2:$C$38,3,0),8))</f>
        <v>0</v>
      </c>
      <c r="BJ20" s="97">
        <f>IF(OR(AY20="SÁB",AY20="DOM"),0,IFERROR(8-VLOOKUP(M20,'Dados de consulta'!$A$2:$C$38,3,0),8))</f>
        <v>8</v>
      </c>
      <c r="BK20" s="97">
        <f>IF(OR(AY20="SÁB",AY20="DOM"),0,IFERROR(8-VLOOKUP(N20,'Dados de consulta'!$A$2:$C$38,3,0),8))</f>
        <v>8</v>
      </c>
      <c r="BL20" s="97">
        <f>IF(OR(AY20="SÁB",AY20="DOM"),0,IFERROR(8-VLOOKUP(O20,'Dados de consulta'!$A$2:$C$38,3,0),8))</f>
        <v>8</v>
      </c>
      <c r="BM20" s="97">
        <f>IF(OR(AY20="SÁB",AY20="DOM"),0,IFERROR(8-VLOOKUP(P20,'Dados de consulta'!$A$2:$C$38,3,0),8))</f>
        <v>8</v>
      </c>
      <c r="BN20" s="97">
        <f>IF(OR(AY20="SÁB",AY20="DOM"),0,IFERROR(8-VLOOKUP(Q20,'Dados de consulta'!$A$2:$C$38,3,0),8))</f>
        <v>8</v>
      </c>
      <c r="BO20" s="97">
        <f>IF(OR(AY20="SÁB",AY20="DOM"),0,IFERROR(8-VLOOKUP(R20,'Dados de consulta'!$A$2:$C$38,3,0),8))</f>
        <v>8</v>
      </c>
      <c r="BP20" s="97">
        <f>IF(OR(AY20="SÁB",AY20="DOM"),0,IFERROR(8-VLOOKUP(S20,'Dados de consulta'!$A$2:$C$38,3,0),8))</f>
        <v>8</v>
      </c>
      <c r="BQ20" s="113">
        <f>IFERROR(6-VLOOKUP(T20,'Dados de consulta'!$A$2:$C$38,3,0)+2,6)</f>
        <v>6</v>
      </c>
      <c r="BR20" s="114">
        <f t="shared" si="24"/>
        <v>118</v>
      </c>
      <c r="BS20">
        <f t="shared" si="10"/>
        <v>134</v>
      </c>
      <c r="BU20">
        <f>IFERROR(8-VLOOKUP(U20,'Dados de consulta'!$A:$D,3,0),8)</f>
        <v>8</v>
      </c>
      <c r="BV20">
        <f>IFERROR(8-VLOOKUP(V20,'Dados de consulta'!$A:$D,3,0),8)</f>
        <v>8</v>
      </c>
      <c r="BW20">
        <f t="shared" si="25"/>
        <v>16</v>
      </c>
    </row>
    <row r="21" spans="1:75" ht="15" hidden="1" x14ac:dyDescent="0.2">
      <c r="A21" s="98">
        <v>42144</v>
      </c>
      <c r="B21" s="129" t="str">
        <f t="shared" si="0"/>
        <v>qua</v>
      </c>
      <c r="C21" s="132"/>
      <c r="D21" s="132"/>
      <c r="E21" s="132"/>
      <c r="F21" s="132">
        <v>101</v>
      </c>
      <c r="G21" s="132"/>
      <c r="H21" s="132"/>
      <c r="I21" s="132"/>
      <c r="J21" s="132">
        <v>18</v>
      </c>
      <c r="K21" s="132">
        <v>8</v>
      </c>
      <c r="L21" s="132">
        <v>18</v>
      </c>
      <c r="M21" s="132"/>
      <c r="N21" s="132"/>
      <c r="O21" s="132"/>
      <c r="P21" s="132"/>
      <c r="Q21" s="132"/>
      <c r="R21" s="132"/>
      <c r="S21" s="132"/>
      <c r="T21" s="132"/>
      <c r="U21" s="132"/>
      <c r="V21" s="151"/>
      <c r="W21" s="307" t="s">
        <v>193</v>
      </c>
      <c r="X21" s="308"/>
      <c r="Y21" s="38">
        <f t="shared" si="1"/>
        <v>8</v>
      </c>
      <c r="Z21" s="38">
        <f t="shared" si="2"/>
        <v>16</v>
      </c>
      <c r="AA21" s="38">
        <f t="shared" si="3"/>
        <v>0</v>
      </c>
      <c r="AB21" s="38">
        <f t="shared" si="11"/>
        <v>0</v>
      </c>
      <c r="AC21" s="38">
        <f t="shared" si="12"/>
        <v>0</v>
      </c>
      <c r="AD21" s="38">
        <f t="shared" si="13"/>
        <v>0</v>
      </c>
      <c r="AE21" s="38">
        <f t="shared" si="14"/>
        <v>0</v>
      </c>
      <c r="AF21" s="38">
        <f t="shared" si="15"/>
        <v>0</v>
      </c>
      <c r="AG21" s="33">
        <f t="shared" si="16"/>
        <v>8</v>
      </c>
      <c r="AH21" s="33">
        <f t="shared" si="17"/>
        <v>16</v>
      </c>
      <c r="AI21" s="33">
        <f t="shared" si="18"/>
        <v>0</v>
      </c>
      <c r="AJ21" s="33">
        <f t="shared" si="19"/>
        <v>0</v>
      </c>
      <c r="AK21" s="34">
        <f t="shared" si="20"/>
        <v>5.6338028169014086E-2</v>
      </c>
      <c r="AL21" s="35">
        <f t="shared" si="21"/>
        <v>0.11267605633802817</v>
      </c>
      <c r="AM21" s="34">
        <f t="shared" si="22"/>
        <v>0</v>
      </c>
      <c r="AN21" s="36">
        <f t="shared" si="23"/>
        <v>0</v>
      </c>
      <c r="AO21" s="6">
        <f t="shared" si="4"/>
        <v>0</v>
      </c>
      <c r="AP21">
        <f t="shared" si="5"/>
        <v>8</v>
      </c>
      <c r="AQ21" s="6">
        <f t="shared" si="6"/>
        <v>0</v>
      </c>
      <c r="AR21" s="6">
        <f t="shared" si="7"/>
        <v>0</v>
      </c>
      <c r="AS21" s="6"/>
      <c r="AX21" s="95">
        <f t="shared" si="8"/>
        <v>42144</v>
      </c>
      <c r="AY21" s="96" t="str">
        <f t="shared" si="9"/>
        <v>qua</v>
      </c>
      <c r="AZ21" s="97">
        <f>IF(OR(AY21="SÁB",AY21="DOM"),0,IFERROR(8-VLOOKUP(C21,'Dados de consulta'!$A$2:$C$38,3,0),8))</f>
        <v>8</v>
      </c>
      <c r="BA21" s="97">
        <f>IF(OR(AY21="SÁB",AY21="DOM"),0,IFERROR(8-VLOOKUP(D21,'Dados de consulta'!$A$2:$C$38,3,0),8))</f>
        <v>8</v>
      </c>
      <c r="BB21" s="97">
        <f>IF(OR(AY21="SÁB",AY21="DOM"),0,IFERROR(8-VLOOKUP(E21,'Dados de consulta'!$A$2:$C$38,3,0),8))</f>
        <v>8</v>
      </c>
      <c r="BC21" s="97">
        <f>IF(OR(AY21="SÁB",AY21="DOM"),0,IFERROR(8-VLOOKUP(F21,'Dados de consulta'!$A$2:$C$38,3,0),8))</f>
        <v>0</v>
      </c>
      <c r="BD21" s="97">
        <f>IF(OR(AY21="SÁB",AY21="DOM"),0,IFERROR(8-VLOOKUP(G21,'Dados de consulta'!$A$2:$C$38,3,0),8))</f>
        <v>8</v>
      </c>
      <c r="BE21" s="97">
        <f>IF(OR(AY21="SÁB",AY21="DOM"),0,IFERROR(8-VLOOKUP(H21,'Dados de consulta'!$A$2:$C$38,3,0),8))</f>
        <v>8</v>
      </c>
      <c r="BF21" s="97">
        <f>IF(OR(AY21="SÁB",AY21="DOM"),0,IFERROR(8-VLOOKUP(I21,'Dados de consulta'!$A$2:$C$38,3,0),8))</f>
        <v>8</v>
      </c>
      <c r="BG21" s="97">
        <f>IF(OR(AY21="SÁB",AY21="DOM"),0,IFERROR(8-VLOOKUP(J21,'Dados de consulta'!$A$2:$C$38,3,0),8))</f>
        <v>0</v>
      </c>
      <c r="BH21" s="97">
        <f>IF(OR(AY21="SÁB",AY21="DOM"),0,IFERROR(8-VLOOKUP(K21,'Dados de consulta'!$A$2:$C$38,3,0),8))</f>
        <v>0</v>
      </c>
      <c r="BI21" s="97">
        <f>IF(OR(AY21="SÁB",AY21="DOM"),0,IFERROR(8-VLOOKUP(L21,'Dados de consulta'!$A$2:$C$38,3,0),8))</f>
        <v>0</v>
      </c>
      <c r="BJ21" s="97">
        <f>IF(OR(AY21="SÁB",AY21="DOM"),0,IFERROR(8-VLOOKUP(M21,'Dados de consulta'!$A$2:$C$38,3,0),8))</f>
        <v>8</v>
      </c>
      <c r="BK21" s="97">
        <f>IF(OR(AY21="SÁB",AY21="DOM"),0,IFERROR(8-VLOOKUP(N21,'Dados de consulta'!$A$2:$C$38,3,0),8))</f>
        <v>8</v>
      </c>
      <c r="BL21" s="97">
        <f>IF(OR(AY21="SÁB",AY21="DOM"),0,IFERROR(8-VLOOKUP(O21,'Dados de consulta'!$A$2:$C$38,3,0),8))</f>
        <v>8</v>
      </c>
      <c r="BM21" s="97">
        <f>IF(OR(AY21="SÁB",AY21="DOM"),0,IFERROR(8-VLOOKUP(P21,'Dados de consulta'!$A$2:$C$38,3,0),8))</f>
        <v>8</v>
      </c>
      <c r="BN21" s="97">
        <f>IF(OR(AY21="SÁB",AY21="DOM"),0,IFERROR(8-VLOOKUP(Q21,'Dados de consulta'!$A$2:$C$38,3,0),8))</f>
        <v>8</v>
      </c>
      <c r="BO21" s="97">
        <f>IF(OR(AY21="SÁB",AY21="DOM"),0,IFERROR(8-VLOOKUP(R21,'Dados de consulta'!$A$2:$C$38,3,0),8))</f>
        <v>8</v>
      </c>
      <c r="BP21" s="97">
        <f>IF(OR(AY21="SÁB",AY21="DOM"),0,IFERROR(8-VLOOKUP(S21,'Dados de consulta'!$A$2:$C$38,3,0),8))</f>
        <v>8</v>
      </c>
      <c r="BQ21" s="113">
        <f>IFERROR(6-VLOOKUP(T21,'Dados de consulta'!$A$2:$C$38,3,0)+2,6)</f>
        <v>6</v>
      </c>
      <c r="BR21" s="114">
        <f t="shared" si="24"/>
        <v>110</v>
      </c>
      <c r="BS21">
        <f t="shared" si="10"/>
        <v>134</v>
      </c>
      <c r="BU21">
        <f>IFERROR(8-VLOOKUP(U21,'Dados de consulta'!$A:$D,3,0),8)</f>
        <v>8</v>
      </c>
      <c r="BV21">
        <f>IFERROR(8-VLOOKUP(V21,'Dados de consulta'!$A:$D,3,0),8)</f>
        <v>8</v>
      </c>
      <c r="BW21">
        <f t="shared" si="25"/>
        <v>16</v>
      </c>
    </row>
    <row r="22" spans="1:75" ht="15" hidden="1" x14ac:dyDescent="0.2">
      <c r="A22" s="98">
        <v>42145</v>
      </c>
      <c r="B22" s="129" t="str">
        <f t="shared" si="0"/>
        <v>qui</v>
      </c>
      <c r="C22" s="132"/>
      <c r="D22" s="132"/>
      <c r="E22" s="132"/>
      <c r="F22" s="132">
        <v>101</v>
      </c>
      <c r="G22" s="132"/>
      <c r="H22" s="132"/>
      <c r="I22" s="132"/>
      <c r="J22" s="132">
        <v>18</v>
      </c>
      <c r="K22" s="132">
        <v>8</v>
      </c>
      <c r="L22" s="132">
        <v>18</v>
      </c>
      <c r="M22" s="132"/>
      <c r="N22" s="132"/>
      <c r="O22" s="132"/>
      <c r="P22" s="132"/>
      <c r="Q22" s="132"/>
      <c r="R22" s="132"/>
      <c r="S22" s="132"/>
      <c r="T22" s="132"/>
      <c r="U22" s="132">
        <v>1</v>
      </c>
      <c r="V22" s="151"/>
      <c r="W22" s="307" t="s">
        <v>193</v>
      </c>
      <c r="X22" s="308"/>
      <c r="Y22" s="38">
        <f t="shared" si="1"/>
        <v>8</v>
      </c>
      <c r="Z22" s="38">
        <f t="shared" si="2"/>
        <v>16</v>
      </c>
      <c r="AA22" s="38">
        <f t="shared" si="3"/>
        <v>0</v>
      </c>
      <c r="AB22" s="38">
        <f t="shared" si="11"/>
        <v>0</v>
      </c>
      <c r="AC22" s="38">
        <f t="shared" si="12"/>
        <v>0</v>
      </c>
      <c r="AD22" s="38">
        <f t="shared" si="13"/>
        <v>0</v>
      </c>
      <c r="AE22" s="38">
        <f t="shared" si="14"/>
        <v>0</v>
      </c>
      <c r="AF22" s="38">
        <f t="shared" si="15"/>
        <v>0</v>
      </c>
      <c r="AG22" s="33">
        <f t="shared" si="16"/>
        <v>8</v>
      </c>
      <c r="AH22" s="33">
        <f t="shared" si="17"/>
        <v>16</v>
      </c>
      <c r="AI22" s="33">
        <f t="shared" si="18"/>
        <v>0</v>
      </c>
      <c r="AJ22" s="33">
        <f t="shared" si="19"/>
        <v>0</v>
      </c>
      <c r="AK22" s="34">
        <f t="shared" si="20"/>
        <v>5.6338028169014086E-2</v>
      </c>
      <c r="AL22" s="35">
        <f t="shared" si="21"/>
        <v>0.11267605633802817</v>
      </c>
      <c r="AM22" s="34">
        <f t="shared" si="22"/>
        <v>0</v>
      </c>
      <c r="AN22" s="36">
        <f t="shared" si="23"/>
        <v>0</v>
      </c>
      <c r="AO22" s="6">
        <f t="shared" si="4"/>
        <v>0</v>
      </c>
      <c r="AP22">
        <f t="shared" si="5"/>
        <v>8</v>
      </c>
      <c r="AQ22" s="6">
        <f t="shared" si="6"/>
        <v>0</v>
      </c>
      <c r="AR22" s="6">
        <f t="shared" si="7"/>
        <v>0</v>
      </c>
      <c r="AS22" s="6"/>
      <c r="AX22" s="95">
        <f t="shared" si="8"/>
        <v>42145</v>
      </c>
      <c r="AY22" s="96" t="str">
        <f t="shared" si="9"/>
        <v>qui</v>
      </c>
      <c r="AZ22" s="97">
        <f>IF(OR(AY22="SÁB",AY22="DOM"),0,IFERROR(8-VLOOKUP(C22,'Dados de consulta'!$A$2:$C$38,3,0),8))</f>
        <v>8</v>
      </c>
      <c r="BA22" s="97">
        <f>IF(OR(AY22="SÁB",AY22="DOM"),0,IFERROR(8-VLOOKUP(D22,'Dados de consulta'!$A$2:$C$38,3,0),8))</f>
        <v>8</v>
      </c>
      <c r="BB22" s="97">
        <f>IF(OR(AY22="SÁB",AY22="DOM"),0,IFERROR(8-VLOOKUP(E22,'Dados de consulta'!$A$2:$C$38,3,0),8))</f>
        <v>8</v>
      </c>
      <c r="BC22" s="97">
        <f>IF(OR(AY22="SÁB",AY22="DOM"),0,IFERROR(8-VLOOKUP(F22,'Dados de consulta'!$A$2:$C$38,3,0),8))</f>
        <v>0</v>
      </c>
      <c r="BD22" s="97">
        <f>IF(OR(AY22="SÁB",AY22="DOM"),0,IFERROR(8-VLOOKUP(G22,'Dados de consulta'!$A$2:$C$38,3,0),8))</f>
        <v>8</v>
      </c>
      <c r="BE22" s="97">
        <f>IF(OR(AY22="SÁB",AY22="DOM"),0,IFERROR(8-VLOOKUP(H22,'Dados de consulta'!$A$2:$C$38,3,0),8))</f>
        <v>8</v>
      </c>
      <c r="BF22" s="97">
        <f>IF(OR(AY22="SÁB",AY22="DOM"),0,IFERROR(8-VLOOKUP(I22,'Dados de consulta'!$A$2:$C$38,3,0),8))</f>
        <v>8</v>
      </c>
      <c r="BG22" s="97">
        <f>IF(OR(AY22="SÁB",AY22="DOM"),0,IFERROR(8-VLOOKUP(J22,'Dados de consulta'!$A$2:$C$38,3,0),8))</f>
        <v>0</v>
      </c>
      <c r="BH22" s="97">
        <f>IF(OR(AY22="SÁB",AY22="DOM"),0,IFERROR(8-VLOOKUP(K22,'Dados de consulta'!$A$2:$C$38,3,0),8))</f>
        <v>0</v>
      </c>
      <c r="BI22" s="97">
        <f>IF(OR(AY22="SÁB",AY22="DOM"),0,IFERROR(8-VLOOKUP(L22,'Dados de consulta'!$A$2:$C$38,3,0),8))</f>
        <v>0</v>
      </c>
      <c r="BJ22" s="97">
        <f>IF(OR(AY22="SÁB",AY22="DOM"),0,IFERROR(8-VLOOKUP(M22,'Dados de consulta'!$A$2:$C$38,3,0),8))</f>
        <v>8</v>
      </c>
      <c r="BK22" s="97">
        <f>IF(OR(AY22="SÁB",AY22="DOM"),0,IFERROR(8-VLOOKUP(N22,'Dados de consulta'!$A$2:$C$38,3,0),8))</f>
        <v>8</v>
      </c>
      <c r="BL22" s="97">
        <f>IF(OR(AY22="SÁB",AY22="DOM"),0,IFERROR(8-VLOOKUP(O22,'Dados de consulta'!$A$2:$C$38,3,0),8))</f>
        <v>8</v>
      </c>
      <c r="BM22" s="97">
        <f>IF(OR(AY22="SÁB",AY22="DOM"),0,IFERROR(8-VLOOKUP(P22,'Dados de consulta'!$A$2:$C$38,3,0),8))</f>
        <v>8</v>
      </c>
      <c r="BN22" s="97">
        <f>IF(OR(AY22="SÁB",AY22="DOM"),0,IFERROR(8-VLOOKUP(Q22,'Dados de consulta'!$A$2:$C$38,3,0),8))</f>
        <v>8</v>
      </c>
      <c r="BO22" s="97">
        <f>IF(OR(AY22="SÁB",AY22="DOM"),0,IFERROR(8-VLOOKUP(R22,'Dados de consulta'!$A$2:$C$38,3,0),8))</f>
        <v>8</v>
      </c>
      <c r="BP22" s="97">
        <f>IF(OR(AY22="SÁB",AY22="DOM"),0,IFERROR(8-VLOOKUP(S22,'Dados de consulta'!$A$2:$C$38,3,0),8))</f>
        <v>8</v>
      </c>
      <c r="BQ22" s="113">
        <f>IFERROR(6-VLOOKUP(T22,'Dados de consulta'!$A$2:$C$38,3,0)+2,6)</f>
        <v>6</v>
      </c>
      <c r="BR22" s="114">
        <f t="shared" si="24"/>
        <v>110</v>
      </c>
      <c r="BS22">
        <f t="shared" si="10"/>
        <v>134</v>
      </c>
      <c r="BU22">
        <f>IFERROR(8-VLOOKUP(U22,'Dados de consulta'!$A:$D,3,0),8)</f>
        <v>0</v>
      </c>
      <c r="BV22">
        <f>IFERROR(8-VLOOKUP(V22,'Dados de consulta'!$A:$D,3,0),8)</f>
        <v>8</v>
      </c>
      <c r="BW22">
        <f t="shared" si="25"/>
        <v>8</v>
      </c>
    </row>
    <row r="23" spans="1:75" ht="15" hidden="1" x14ac:dyDescent="0.2">
      <c r="A23" s="98">
        <v>42146</v>
      </c>
      <c r="B23" s="129" t="str">
        <f t="shared" si="0"/>
        <v>sex</v>
      </c>
      <c r="C23" s="132"/>
      <c r="D23" s="132"/>
      <c r="E23" s="132"/>
      <c r="F23" s="132">
        <v>101</v>
      </c>
      <c r="G23" s="132"/>
      <c r="H23" s="132"/>
      <c r="I23" s="132"/>
      <c r="J23" s="132">
        <v>18</v>
      </c>
      <c r="K23" s="132">
        <v>8</v>
      </c>
      <c r="L23" s="132">
        <v>18</v>
      </c>
      <c r="M23" s="132"/>
      <c r="N23" s="132"/>
      <c r="O23" s="132"/>
      <c r="P23" s="132"/>
      <c r="Q23" s="132"/>
      <c r="R23" s="132"/>
      <c r="S23" s="132"/>
      <c r="T23" s="132"/>
      <c r="U23" s="132"/>
      <c r="V23" s="151"/>
      <c r="W23" s="307" t="s">
        <v>193</v>
      </c>
      <c r="X23" s="308"/>
      <c r="Y23" s="38">
        <f t="shared" si="1"/>
        <v>8</v>
      </c>
      <c r="Z23" s="38">
        <f t="shared" si="2"/>
        <v>16</v>
      </c>
      <c r="AA23" s="38">
        <f t="shared" si="3"/>
        <v>0</v>
      </c>
      <c r="AB23" s="38">
        <f t="shared" si="11"/>
        <v>0</v>
      </c>
      <c r="AC23" s="38">
        <f t="shared" si="12"/>
        <v>0</v>
      </c>
      <c r="AD23" s="38">
        <f t="shared" si="13"/>
        <v>0</v>
      </c>
      <c r="AE23" s="38">
        <f t="shared" si="14"/>
        <v>0</v>
      </c>
      <c r="AF23" s="38">
        <f t="shared" si="15"/>
        <v>0</v>
      </c>
      <c r="AG23" s="33">
        <f t="shared" si="16"/>
        <v>8</v>
      </c>
      <c r="AH23" s="33">
        <f t="shared" si="17"/>
        <v>16</v>
      </c>
      <c r="AI23" s="33">
        <f t="shared" si="18"/>
        <v>0</v>
      </c>
      <c r="AJ23" s="33">
        <f t="shared" si="19"/>
        <v>0</v>
      </c>
      <c r="AK23" s="34">
        <f t="shared" si="20"/>
        <v>5.6338028169014086E-2</v>
      </c>
      <c r="AL23" s="35">
        <f t="shared" si="21"/>
        <v>0.11267605633802817</v>
      </c>
      <c r="AM23" s="34">
        <f t="shared" si="22"/>
        <v>0</v>
      </c>
      <c r="AN23" s="36">
        <f t="shared" si="23"/>
        <v>0</v>
      </c>
      <c r="AO23" s="6">
        <f t="shared" si="4"/>
        <v>0</v>
      </c>
      <c r="AP23">
        <f t="shared" si="5"/>
        <v>8</v>
      </c>
      <c r="AQ23" s="6">
        <f t="shared" si="6"/>
        <v>0</v>
      </c>
      <c r="AR23" s="6">
        <f t="shared" si="7"/>
        <v>0</v>
      </c>
      <c r="AS23" s="6"/>
      <c r="AX23" s="95">
        <f t="shared" si="8"/>
        <v>42146</v>
      </c>
      <c r="AY23" s="96" t="str">
        <f t="shared" si="9"/>
        <v>sex</v>
      </c>
      <c r="AZ23" s="97">
        <f>IF(OR(AY23="SÁB",AY23="DOM"),0,IFERROR(8-VLOOKUP(C23,'Dados de consulta'!$A$2:$C$38,3,0),8))</f>
        <v>8</v>
      </c>
      <c r="BA23" s="97">
        <f>IF(OR(AY23="SÁB",AY23="DOM"),0,IFERROR(8-VLOOKUP(D23,'Dados de consulta'!$A$2:$C$38,3,0),8))</f>
        <v>8</v>
      </c>
      <c r="BB23" s="97">
        <f>IF(OR(AY23="SÁB",AY23="DOM"),0,IFERROR(8-VLOOKUP(E23,'Dados de consulta'!$A$2:$C$38,3,0),8))</f>
        <v>8</v>
      </c>
      <c r="BC23" s="97">
        <f>IF(OR(AY23="SÁB",AY23="DOM"),0,IFERROR(8-VLOOKUP(F23,'Dados de consulta'!$A$2:$C$38,3,0),8))</f>
        <v>0</v>
      </c>
      <c r="BD23" s="97">
        <f>IF(OR(AY23="SÁB",AY23="DOM"),0,IFERROR(8-VLOOKUP(G23,'Dados de consulta'!$A$2:$C$38,3,0),8))</f>
        <v>8</v>
      </c>
      <c r="BE23" s="97">
        <f>IF(OR(AY23="SÁB",AY23="DOM"),0,IFERROR(8-VLOOKUP(H23,'Dados de consulta'!$A$2:$C$38,3,0),8))</f>
        <v>8</v>
      </c>
      <c r="BF23" s="97">
        <f>IF(OR(AY23="SÁB",AY23="DOM"),0,IFERROR(8-VLOOKUP(I23,'Dados de consulta'!$A$2:$C$38,3,0),8))</f>
        <v>8</v>
      </c>
      <c r="BG23" s="97">
        <f>IF(OR(AY23="SÁB",AY23="DOM"),0,IFERROR(8-VLOOKUP(J23,'Dados de consulta'!$A$2:$C$38,3,0),8))</f>
        <v>0</v>
      </c>
      <c r="BH23" s="97">
        <f>IF(OR(AY23="SÁB",AY23="DOM"),0,IFERROR(8-VLOOKUP(K23,'Dados de consulta'!$A$2:$C$38,3,0),8))</f>
        <v>0</v>
      </c>
      <c r="BI23" s="97">
        <f>IF(OR(AY23="SÁB",AY23="DOM"),0,IFERROR(8-VLOOKUP(L23,'Dados de consulta'!$A$2:$C$38,3,0),8))</f>
        <v>0</v>
      </c>
      <c r="BJ23" s="97">
        <f>IF(OR(AY23="SÁB",AY23="DOM"),0,IFERROR(8-VLOOKUP(M23,'Dados de consulta'!$A$2:$C$38,3,0),8))</f>
        <v>8</v>
      </c>
      <c r="BK23" s="97">
        <f>IF(OR(AY23="SÁB",AY23="DOM"),0,IFERROR(8-VLOOKUP(N23,'Dados de consulta'!$A$2:$C$38,3,0),8))</f>
        <v>8</v>
      </c>
      <c r="BL23" s="97">
        <f>IF(OR(AY23="SÁB",AY23="DOM"),0,IFERROR(8-VLOOKUP(O23,'Dados de consulta'!$A$2:$C$38,3,0),8))</f>
        <v>8</v>
      </c>
      <c r="BM23" s="97">
        <f>IF(OR(AY23="SÁB",AY23="DOM"),0,IFERROR(8-VLOOKUP(P23,'Dados de consulta'!$A$2:$C$38,3,0),8))</f>
        <v>8</v>
      </c>
      <c r="BN23" s="97">
        <f>IF(OR(AY23="SÁB",AY23="DOM"),0,IFERROR(8-VLOOKUP(Q23,'Dados de consulta'!$A$2:$C$38,3,0),8))</f>
        <v>8</v>
      </c>
      <c r="BO23" s="97">
        <f>IF(OR(AY23="SÁB",AY23="DOM"),0,IFERROR(8-VLOOKUP(R23,'Dados de consulta'!$A$2:$C$38,3,0),8))</f>
        <v>8</v>
      </c>
      <c r="BP23" s="97">
        <f>IF(OR(AY23="SÁB",AY23="DOM"),0,IFERROR(8-VLOOKUP(S23,'Dados de consulta'!$A$2:$C$38,3,0),8))</f>
        <v>8</v>
      </c>
      <c r="BQ23" s="113">
        <f>IFERROR(6-VLOOKUP(T23,'Dados de consulta'!$A$2:$C$38,3,0)+2,6)</f>
        <v>6</v>
      </c>
      <c r="BR23" s="114">
        <f t="shared" si="24"/>
        <v>110</v>
      </c>
      <c r="BS23">
        <f t="shared" si="10"/>
        <v>134</v>
      </c>
      <c r="BU23">
        <f>IFERROR(8-VLOOKUP(U23,'Dados de consulta'!$A:$D,3,0),8)</f>
        <v>8</v>
      </c>
      <c r="BV23">
        <f>IFERROR(8-VLOOKUP(V23,'Dados de consulta'!$A:$D,3,0),8)</f>
        <v>8</v>
      </c>
      <c r="BW23">
        <f t="shared" si="25"/>
        <v>16</v>
      </c>
    </row>
    <row r="24" spans="1:75" ht="15" hidden="1" x14ac:dyDescent="0.2">
      <c r="A24" s="98">
        <v>42147</v>
      </c>
      <c r="B24" s="129" t="str">
        <f t="shared" si="0"/>
        <v>sáb</v>
      </c>
      <c r="C24" s="132"/>
      <c r="D24" s="132"/>
      <c r="E24" s="132"/>
      <c r="F24" s="132">
        <v>101</v>
      </c>
      <c r="G24" s="132"/>
      <c r="H24" s="132"/>
      <c r="I24" s="132"/>
      <c r="J24" s="132">
        <v>18</v>
      </c>
      <c r="K24" s="132">
        <v>8</v>
      </c>
      <c r="L24" s="132">
        <v>18</v>
      </c>
      <c r="M24" s="132"/>
      <c r="N24" s="132"/>
      <c r="O24" s="132"/>
      <c r="P24" s="132"/>
      <c r="Q24" s="132"/>
      <c r="R24" s="132"/>
      <c r="S24" s="132"/>
      <c r="T24" s="132"/>
      <c r="U24" s="132"/>
      <c r="V24" s="151"/>
      <c r="W24" s="307" t="s">
        <v>193</v>
      </c>
      <c r="X24" s="308"/>
      <c r="Y24" s="38">
        <f t="shared" si="1"/>
        <v>8</v>
      </c>
      <c r="Z24" s="38">
        <f t="shared" si="2"/>
        <v>16</v>
      </c>
      <c r="AA24" s="38">
        <f t="shared" si="3"/>
        <v>0</v>
      </c>
      <c r="AB24" s="38">
        <f t="shared" si="11"/>
        <v>0</v>
      </c>
      <c r="AC24" s="38">
        <f t="shared" si="12"/>
        <v>0</v>
      </c>
      <c r="AD24" s="38">
        <f t="shared" si="13"/>
        <v>0</v>
      </c>
      <c r="AE24" s="38">
        <f t="shared" si="14"/>
        <v>0</v>
      </c>
      <c r="AF24" s="38">
        <f t="shared" si="15"/>
        <v>0</v>
      </c>
      <c r="AG24" s="33">
        <f t="shared" si="16"/>
        <v>0</v>
      </c>
      <c r="AH24" s="33">
        <f t="shared" si="17"/>
        <v>0</v>
      </c>
      <c r="AI24" s="33">
        <f t="shared" si="18"/>
        <v>0</v>
      </c>
      <c r="AJ24" s="33">
        <f t="shared" si="19"/>
        <v>0</v>
      </c>
      <c r="AK24" s="34">
        <f t="shared" si="20"/>
        <v>0</v>
      </c>
      <c r="AL24" s="35">
        <f t="shared" si="21"/>
        <v>0</v>
      </c>
      <c r="AM24" s="34">
        <f t="shared" si="22"/>
        <v>0</v>
      </c>
      <c r="AN24" s="36">
        <f t="shared" si="23"/>
        <v>0</v>
      </c>
      <c r="AO24" s="6">
        <f t="shared" si="4"/>
        <v>0</v>
      </c>
      <c r="AP24">
        <f t="shared" si="5"/>
        <v>8</v>
      </c>
      <c r="AQ24" s="6">
        <f t="shared" si="6"/>
        <v>0</v>
      </c>
      <c r="AR24" s="6">
        <f t="shared" si="7"/>
        <v>0</v>
      </c>
      <c r="AS24" s="6"/>
      <c r="AX24" s="95">
        <f t="shared" si="8"/>
        <v>42147</v>
      </c>
      <c r="AY24" s="96" t="str">
        <f t="shared" si="9"/>
        <v>sáb</v>
      </c>
      <c r="AZ24" s="97">
        <f>IF(OR(AY24="SÁB",AY24="DOM"),0,IFERROR(8-VLOOKUP(C24,'Dados de consulta'!$A$2:$C$38,3,0),8))</f>
        <v>0</v>
      </c>
      <c r="BA24" s="97">
        <f>IF(OR(AY24="SÁB",AY24="DOM"),0,IFERROR(8-VLOOKUP(D24,'Dados de consulta'!$A$2:$C$38,3,0),8))</f>
        <v>0</v>
      </c>
      <c r="BB24" s="97">
        <f>IF(OR(AY24="SÁB",AY24="DOM"),0,IFERROR(8-VLOOKUP(E24,'Dados de consulta'!$A$2:$C$38,3,0),8))</f>
        <v>0</v>
      </c>
      <c r="BC24" s="97">
        <f>IF(OR(AY24="SÁB",AY24="DOM"),0,IFERROR(8-VLOOKUP(F24,'Dados de consulta'!$A$2:$C$38,3,0),8))</f>
        <v>0</v>
      </c>
      <c r="BD24" s="97">
        <f>IF(OR(AY24="SÁB",AY24="DOM"),0,IFERROR(8-VLOOKUP(G24,'Dados de consulta'!$A$2:$C$38,3,0),8))</f>
        <v>0</v>
      </c>
      <c r="BE24" s="97">
        <f>IF(OR(AY24="SÁB",AY24="DOM"),0,IFERROR(8-VLOOKUP(H24,'Dados de consulta'!$A$2:$C$38,3,0),8))</f>
        <v>0</v>
      </c>
      <c r="BF24" s="97">
        <f>IF(OR(AY24="SÁB",AY24="DOM"),0,IFERROR(8-VLOOKUP(I24,'Dados de consulta'!$A$2:$C$38,3,0),8))</f>
        <v>0</v>
      </c>
      <c r="BG24" s="97">
        <f>IF(OR(AY24="SÁB",AY24="DOM"),0,IFERROR(8-VLOOKUP(J24,'Dados de consulta'!$A$2:$C$38,3,0),8))</f>
        <v>0</v>
      </c>
      <c r="BH24" s="97">
        <f>IF(OR(AY24="SÁB",AY24="DOM"),0,IFERROR(8-VLOOKUP(K24,'Dados de consulta'!$A$2:$C$38,3,0),8))</f>
        <v>0</v>
      </c>
      <c r="BI24" s="97">
        <f>IF(OR(AY24="SÁB",AY24="DOM"),0,IFERROR(8-VLOOKUP(L24,'Dados de consulta'!$A$2:$C$38,3,0),8))</f>
        <v>0</v>
      </c>
      <c r="BJ24" s="97">
        <f>IF(OR(AY24="SÁB",AY24="DOM"),0,IFERROR(8-VLOOKUP(M24,'Dados de consulta'!$A$2:$C$38,3,0),8))</f>
        <v>0</v>
      </c>
      <c r="BK24" s="97">
        <f>IF(OR(AY24="SÁB",AY24="DOM"),0,IFERROR(8-VLOOKUP(N24,'Dados de consulta'!$A$2:$C$38,3,0),8))</f>
        <v>0</v>
      </c>
      <c r="BL24" s="97">
        <f>IF(OR(AY24="SÁB",AY24="DOM"),0,IFERROR(8-VLOOKUP(O24,'Dados de consulta'!$A$2:$C$38,3,0),8))</f>
        <v>0</v>
      </c>
      <c r="BM24" s="97">
        <f>IF(OR(AY24="SÁB",AY24="DOM"),0,IFERROR(8-VLOOKUP(P24,'Dados de consulta'!$A$2:$C$38,3,0),8))</f>
        <v>0</v>
      </c>
      <c r="BN24" s="97">
        <f>IF(OR(AY24="SÁB",AY24="DOM"),0,IFERROR(8-VLOOKUP(Q24,'Dados de consulta'!$A$2:$C$38,3,0),8))</f>
        <v>0</v>
      </c>
      <c r="BO24" s="97">
        <f>IF(OR(AY24="SÁB",AY24="DOM"),0,IFERROR(8-VLOOKUP(R24,'Dados de consulta'!$A$2:$C$38,3,0),8))</f>
        <v>0</v>
      </c>
      <c r="BP24" s="97">
        <f>IF(OR(AY24="SÁB",AY24="DOM"),0,IFERROR(8-VLOOKUP(S24,'Dados de consulta'!$A$2:$C$38,3,0),8))</f>
        <v>0</v>
      </c>
      <c r="BQ24" s="113">
        <f>IFERROR(6-VLOOKUP(T24,'Dados de consulta'!$A$2:$C$38,3,0)+2,6)</f>
        <v>6</v>
      </c>
      <c r="BR24" s="114">
        <f t="shared" si="24"/>
        <v>0</v>
      </c>
      <c r="BS24">
        <f t="shared" si="10"/>
        <v>0</v>
      </c>
      <c r="BU24">
        <f>IFERROR(8-VLOOKUP(U24,'Dados de consulta'!$A:$D,3,0),8)</f>
        <v>8</v>
      </c>
      <c r="BV24">
        <f>IFERROR(8-VLOOKUP(V24,'Dados de consulta'!$A:$D,3,0),8)</f>
        <v>8</v>
      </c>
      <c r="BW24">
        <f t="shared" si="25"/>
        <v>16</v>
      </c>
    </row>
    <row r="25" spans="1:75" ht="15" hidden="1" x14ac:dyDescent="0.2">
      <c r="A25" s="98">
        <v>42148</v>
      </c>
      <c r="B25" s="129" t="str">
        <f t="shared" si="0"/>
        <v>dom</v>
      </c>
      <c r="C25" s="132"/>
      <c r="D25" s="132"/>
      <c r="E25" s="132"/>
      <c r="F25" s="132">
        <v>101</v>
      </c>
      <c r="G25" s="132"/>
      <c r="H25" s="132"/>
      <c r="I25" s="132"/>
      <c r="J25" s="132">
        <v>18</v>
      </c>
      <c r="K25" s="132">
        <v>8</v>
      </c>
      <c r="L25" s="132">
        <v>18</v>
      </c>
      <c r="M25" s="132"/>
      <c r="N25" s="132"/>
      <c r="O25" s="132"/>
      <c r="P25" s="132"/>
      <c r="Q25" s="132"/>
      <c r="R25" s="132"/>
      <c r="S25" s="132"/>
      <c r="T25" s="132"/>
      <c r="U25" s="132"/>
      <c r="V25" s="151"/>
      <c r="W25" s="307" t="s">
        <v>193</v>
      </c>
      <c r="X25" s="308"/>
      <c r="Y25" s="38">
        <f t="shared" si="1"/>
        <v>8</v>
      </c>
      <c r="Z25" s="38">
        <f t="shared" si="2"/>
        <v>16</v>
      </c>
      <c r="AA25" s="38">
        <f t="shared" si="3"/>
        <v>0</v>
      </c>
      <c r="AB25" s="38">
        <f t="shared" si="11"/>
        <v>0</v>
      </c>
      <c r="AC25" s="38">
        <f t="shared" si="12"/>
        <v>0</v>
      </c>
      <c r="AD25" s="38">
        <f t="shared" si="13"/>
        <v>0</v>
      </c>
      <c r="AE25" s="38">
        <f t="shared" si="14"/>
        <v>0</v>
      </c>
      <c r="AF25" s="38">
        <f t="shared" si="15"/>
        <v>0</v>
      </c>
      <c r="AG25" s="33">
        <f t="shared" si="16"/>
        <v>0</v>
      </c>
      <c r="AH25" s="33">
        <f t="shared" si="17"/>
        <v>0</v>
      </c>
      <c r="AI25" s="33">
        <f t="shared" si="18"/>
        <v>0</v>
      </c>
      <c r="AJ25" s="33">
        <f t="shared" si="19"/>
        <v>0</v>
      </c>
      <c r="AK25" s="34">
        <f t="shared" si="20"/>
        <v>0</v>
      </c>
      <c r="AL25" s="35">
        <f t="shared" si="21"/>
        <v>0</v>
      </c>
      <c r="AM25" s="34">
        <f t="shared" si="22"/>
        <v>0</v>
      </c>
      <c r="AN25" s="36">
        <f t="shared" si="23"/>
        <v>0</v>
      </c>
      <c r="AO25" s="6">
        <f t="shared" si="4"/>
        <v>0</v>
      </c>
      <c r="AP25">
        <f t="shared" si="5"/>
        <v>8</v>
      </c>
      <c r="AQ25" s="6">
        <f t="shared" si="6"/>
        <v>0</v>
      </c>
      <c r="AR25" s="6">
        <f t="shared" si="7"/>
        <v>0</v>
      </c>
      <c r="AS25" s="6"/>
      <c r="AX25" s="95">
        <f t="shared" si="8"/>
        <v>42148</v>
      </c>
      <c r="AY25" s="96" t="str">
        <f t="shared" si="9"/>
        <v>dom</v>
      </c>
      <c r="AZ25" s="97">
        <f>IF(OR(AY25="SÁB",AY25="DOM"),0,IFERROR(8-VLOOKUP(C25,'Dados de consulta'!$A$2:$C$38,3,0),8))</f>
        <v>0</v>
      </c>
      <c r="BA25" s="97">
        <f>IF(OR(AY25="SÁB",AY25="DOM"),0,IFERROR(8-VLOOKUP(D25,'Dados de consulta'!$A$2:$C$38,3,0),8))</f>
        <v>0</v>
      </c>
      <c r="BB25" s="97">
        <f>IF(OR(AY25="SÁB",AY25="DOM"),0,IFERROR(8-VLOOKUP(E25,'Dados de consulta'!$A$2:$C$38,3,0),8))</f>
        <v>0</v>
      </c>
      <c r="BC25" s="97">
        <f>IF(OR(AY25="SÁB",AY25="DOM"),0,IFERROR(8-VLOOKUP(F25,'Dados de consulta'!$A$2:$C$38,3,0),8))</f>
        <v>0</v>
      </c>
      <c r="BD25" s="97">
        <f>IF(OR(AY25="SÁB",AY25="DOM"),0,IFERROR(8-VLOOKUP(G25,'Dados de consulta'!$A$2:$C$38,3,0),8))</f>
        <v>0</v>
      </c>
      <c r="BE25" s="97">
        <f>IF(OR(AY25="SÁB",AY25="DOM"),0,IFERROR(8-VLOOKUP(H25,'Dados de consulta'!$A$2:$C$38,3,0),8))</f>
        <v>0</v>
      </c>
      <c r="BF25" s="97">
        <f>IF(OR(AY25="SÁB",AY25="DOM"),0,IFERROR(8-VLOOKUP(I25,'Dados de consulta'!$A$2:$C$38,3,0),8))</f>
        <v>0</v>
      </c>
      <c r="BG25" s="97">
        <f>IF(OR(AY25="SÁB",AY25="DOM"),0,IFERROR(8-VLOOKUP(J25,'Dados de consulta'!$A$2:$C$38,3,0),8))</f>
        <v>0</v>
      </c>
      <c r="BH25" s="97">
        <f>IF(OR(AY25="SÁB",AY25="DOM"),0,IFERROR(8-VLOOKUP(K25,'Dados de consulta'!$A$2:$C$38,3,0),8))</f>
        <v>0</v>
      </c>
      <c r="BI25" s="97">
        <f>IF(OR(AY25="SÁB",AY25="DOM"),0,IFERROR(8-VLOOKUP(L25,'Dados de consulta'!$A$2:$C$38,3,0),8))</f>
        <v>0</v>
      </c>
      <c r="BJ25" s="97">
        <f>IF(OR(AY25="SÁB",AY25="DOM"),0,IFERROR(8-VLOOKUP(M25,'Dados de consulta'!$A$2:$C$38,3,0),8))</f>
        <v>0</v>
      </c>
      <c r="BK25" s="97">
        <f>IF(OR(AY25="SÁB",AY25="DOM"),0,IFERROR(8-VLOOKUP(N25,'Dados de consulta'!$A$2:$C$38,3,0),8))</f>
        <v>0</v>
      </c>
      <c r="BL25" s="97">
        <f>IF(OR(AY25="SÁB",AY25="DOM"),0,IFERROR(8-VLOOKUP(O25,'Dados de consulta'!$A$2:$C$38,3,0),8))</f>
        <v>0</v>
      </c>
      <c r="BM25" s="97">
        <f>IF(OR(AY25="SÁB",AY25="DOM"),0,IFERROR(8-VLOOKUP(P25,'Dados de consulta'!$A$2:$C$38,3,0),8))</f>
        <v>0</v>
      </c>
      <c r="BN25" s="97">
        <f>IF(OR(AY25="SÁB",AY25="DOM"),0,IFERROR(8-VLOOKUP(Q25,'Dados de consulta'!$A$2:$C$38,3,0),8))</f>
        <v>0</v>
      </c>
      <c r="BO25" s="97">
        <f>IF(OR(AY25="SÁB",AY25="DOM"),0,IFERROR(8-VLOOKUP(R25,'Dados de consulta'!$A$2:$C$38,3,0),8))</f>
        <v>0</v>
      </c>
      <c r="BP25" s="97">
        <f>IF(OR(AY25="SÁB",AY25="DOM"),0,IFERROR(8-VLOOKUP(S25,'Dados de consulta'!$A$2:$C$38,3,0),8))</f>
        <v>0</v>
      </c>
      <c r="BQ25" s="113">
        <f>IFERROR(6-VLOOKUP(T25,'Dados de consulta'!$A$2:$C$38,3,0)+2,6)</f>
        <v>6</v>
      </c>
      <c r="BR25" s="114">
        <f t="shared" si="24"/>
        <v>0</v>
      </c>
      <c r="BS25">
        <f t="shared" si="10"/>
        <v>0</v>
      </c>
      <c r="BU25">
        <f>IFERROR(8-VLOOKUP(U25,'Dados de consulta'!$A:$D,3,0),8)</f>
        <v>8</v>
      </c>
      <c r="BV25">
        <f>IFERROR(8-VLOOKUP(V25,'Dados de consulta'!$A:$D,3,0),8)</f>
        <v>8</v>
      </c>
      <c r="BW25">
        <f t="shared" si="25"/>
        <v>16</v>
      </c>
    </row>
    <row r="26" spans="1:75" ht="15" hidden="1" x14ac:dyDescent="0.2">
      <c r="A26" s="98">
        <v>42149</v>
      </c>
      <c r="B26" s="129" t="str">
        <f t="shared" si="0"/>
        <v>seg</v>
      </c>
      <c r="C26" s="132"/>
      <c r="D26" s="132"/>
      <c r="E26" s="132"/>
      <c r="F26" s="132">
        <v>101</v>
      </c>
      <c r="G26" s="132"/>
      <c r="H26" s="132"/>
      <c r="I26" s="132"/>
      <c r="J26" s="132">
        <v>1</v>
      </c>
      <c r="K26" s="132">
        <v>8</v>
      </c>
      <c r="L26" s="132">
        <v>18</v>
      </c>
      <c r="M26" s="132"/>
      <c r="N26" s="132"/>
      <c r="O26" s="132"/>
      <c r="P26" s="132"/>
      <c r="Q26" s="132"/>
      <c r="R26" s="132"/>
      <c r="S26" s="132"/>
      <c r="T26" s="132"/>
      <c r="U26" s="132"/>
      <c r="V26" s="151"/>
      <c r="W26" s="307" t="s">
        <v>193</v>
      </c>
      <c r="X26" s="308"/>
      <c r="Y26" s="38">
        <f t="shared" si="1"/>
        <v>8</v>
      </c>
      <c r="Z26" s="38">
        <f t="shared" si="2"/>
        <v>16</v>
      </c>
      <c r="AA26" s="38">
        <f t="shared" si="3"/>
        <v>0</v>
      </c>
      <c r="AB26" s="38">
        <f t="shared" si="11"/>
        <v>0</v>
      </c>
      <c r="AC26" s="38">
        <f t="shared" si="12"/>
        <v>0</v>
      </c>
      <c r="AD26" s="38">
        <f t="shared" si="13"/>
        <v>0</v>
      </c>
      <c r="AE26" s="38">
        <f t="shared" si="14"/>
        <v>0</v>
      </c>
      <c r="AF26" s="38">
        <f t="shared" si="15"/>
        <v>0</v>
      </c>
      <c r="AG26" s="33">
        <f t="shared" si="16"/>
        <v>8</v>
      </c>
      <c r="AH26" s="33">
        <f t="shared" si="17"/>
        <v>16</v>
      </c>
      <c r="AI26" s="33">
        <f t="shared" si="18"/>
        <v>0</v>
      </c>
      <c r="AJ26" s="33">
        <f t="shared" si="19"/>
        <v>0</v>
      </c>
      <c r="AK26" s="34">
        <f t="shared" si="20"/>
        <v>5.6338028169014086E-2</v>
      </c>
      <c r="AL26" s="35">
        <f t="shared" si="21"/>
        <v>0.11267605633802817</v>
      </c>
      <c r="AM26" s="34">
        <f t="shared" si="22"/>
        <v>0</v>
      </c>
      <c r="AN26" s="36">
        <f t="shared" si="23"/>
        <v>0</v>
      </c>
      <c r="AO26" s="6">
        <f t="shared" si="4"/>
        <v>0</v>
      </c>
      <c r="AP26">
        <f t="shared" si="5"/>
        <v>8</v>
      </c>
      <c r="AQ26" s="6">
        <f t="shared" si="6"/>
        <v>0</v>
      </c>
      <c r="AR26" s="6">
        <f t="shared" si="7"/>
        <v>0</v>
      </c>
      <c r="AS26" s="6"/>
      <c r="AX26" s="95">
        <f t="shared" si="8"/>
        <v>42149</v>
      </c>
      <c r="AY26" s="96" t="str">
        <f t="shared" si="9"/>
        <v>seg</v>
      </c>
      <c r="AZ26" s="97">
        <f>IF(OR(AY26="SÁB",AY26="DOM"),0,IFERROR(8-VLOOKUP(C26,'Dados de consulta'!$A$2:$C$38,3,0),8))</f>
        <v>8</v>
      </c>
      <c r="BA26" s="97">
        <f>IF(OR(AY26="SÁB",AY26="DOM"),0,IFERROR(8-VLOOKUP(D26,'Dados de consulta'!$A$2:$C$38,3,0),8))</f>
        <v>8</v>
      </c>
      <c r="BB26" s="97">
        <f>IF(OR(AY26="SÁB",AY26="DOM"),0,IFERROR(8-VLOOKUP(E26,'Dados de consulta'!$A$2:$C$38,3,0),8))</f>
        <v>8</v>
      </c>
      <c r="BC26" s="97">
        <f>IF(OR(AY26="SÁB",AY26="DOM"),0,IFERROR(8-VLOOKUP(F26,'Dados de consulta'!$A$2:$C$38,3,0),8))</f>
        <v>0</v>
      </c>
      <c r="BD26" s="97">
        <f>IF(OR(AY26="SÁB",AY26="DOM"),0,IFERROR(8-VLOOKUP(G26,'Dados de consulta'!$A$2:$C$38,3,0),8))</f>
        <v>8</v>
      </c>
      <c r="BE26" s="97">
        <f>IF(OR(AY26="SÁB",AY26="DOM"),0,IFERROR(8-VLOOKUP(H26,'Dados de consulta'!$A$2:$C$38,3,0),8))</f>
        <v>8</v>
      </c>
      <c r="BF26" s="97">
        <f>IF(OR(AY26="SÁB",AY26="DOM"),0,IFERROR(8-VLOOKUP(I26,'Dados de consulta'!$A$2:$C$38,3,0),8))</f>
        <v>8</v>
      </c>
      <c r="BG26" s="97">
        <f>IF(OR(AY26="SÁB",AY26="DOM"),0,IFERROR(8-VLOOKUP(J26,'Dados de consulta'!$A$2:$C$38,3,0),8))</f>
        <v>0</v>
      </c>
      <c r="BH26" s="97">
        <f>IF(OR(AY26="SÁB",AY26="DOM"),0,IFERROR(8-VLOOKUP(K26,'Dados de consulta'!$A$2:$C$38,3,0),8))</f>
        <v>0</v>
      </c>
      <c r="BI26" s="97">
        <f>IF(OR(AY26="SÁB",AY26="DOM"),0,IFERROR(8-VLOOKUP(L26,'Dados de consulta'!$A$2:$C$38,3,0),8))</f>
        <v>0</v>
      </c>
      <c r="BJ26" s="97">
        <f>IF(OR(AY26="SÁB",AY26="DOM"),0,IFERROR(8-VLOOKUP(M26,'Dados de consulta'!$A$2:$C$38,3,0),8))</f>
        <v>8</v>
      </c>
      <c r="BK26" s="97">
        <f>IF(OR(AY26="SÁB",AY26="DOM"),0,IFERROR(8-VLOOKUP(N26,'Dados de consulta'!$A$2:$C$38,3,0),8))</f>
        <v>8</v>
      </c>
      <c r="BL26" s="97">
        <f>IF(OR(AY26="SÁB",AY26="DOM"),0,IFERROR(8-VLOOKUP(O26,'Dados de consulta'!$A$2:$C$38,3,0),8))</f>
        <v>8</v>
      </c>
      <c r="BM26" s="97">
        <f>IF(OR(AY26="SÁB",AY26="DOM"),0,IFERROR(8-VLOOKUP(P26,'Dados de consulta'!$A$2:$C$38,3,0),8))</f>
        <v>8</v>
      </c>
      <c r="BN26" s="97">
        <f>IF(OR(AY26="SÁB",AY26="DOM"),0,IFERROR(8-VLOOKUP(Q26,'Dados de consulta'!$A$2:$C$38,3,0),8))</f>
        <v>8</v>
      </c>
      <c r="BO26" s="97">
        <f>IF(OR(AY26="SÁB",AY26="DOM"),0,IFERROR(8-VLOOKUP(R26,'Dados de consulta'!$A$2:$C$38,3,0),8))</f>
        <v>8</v>
      </c>
      <c r="BP26" s="97">
        <f>IF(OR(AY26="SÁB",AY26="DOM"),0,IFERROR(8-VLOOKUP(S26,'Dados de consulta'!$A$2:$C$38,3,0),8))</f>
        <v>8</v>
      </c>
      <c r="BQ26" s="113">
        <f>IFERROR(6-VLOOKUP(T26,'Dados de consulta'!$A$2:$C$38,3,0)+2,6)</f>
        <v>6</v>
      </c>
      <c r="BR26" s="114">
        <f t="shared" si="24"/>
        <v>110</v>
      </c>
      <c r="BS26">
        <f t="shared" si="10"/>
        <v>134</v>
      </c>
      <c r="BU26">
        <f>IFERROR(8-VLOOKUP(U26,'Dados de consulta'!$A:$D,3,0),8)</f>
        <v>8</v>
      </c>
      <c r="BV26">
        <f>IFERROR(8-VLOOKUP(V26,'Dados de consulta'!$A:$D,3,0),8)</f>
        <v>8</v>
      </c>
      <c r="BW26">
        <f t="shared" si="25"/>
        <v>16</v>
      </c>
    </row>
    <row r="27" spans="1:75" ht="15" hidden="1" x14ac:dyDescent="0.2">
      <c r="A27" s="98">
        <v>42150</v>
      </c>
      <c r="B27" s="129" t="str">
        <f t="shared" si="0"/>
        <v>ter</v>
      </c>
      <c r="C27" s="132"/>
      <c r="D27" s="132"/>
      <c r="E27" s="132"/>
      <c r="F27" s="132">
        <v>101</v>
      </c>
      <c r="G27" s="132"/>
      <c r="H27" s="132"/>
      <c r="I27" s="132"/>
      <c r="J27" s="132">
        <v>1</v>
      </c>
      <c r="K27" s="132">
        <v>8</v>
      </c>
      <c r="L27" s="132">
        <v>18</v>
      </c>
      <c r="M27" s="132"/>
      <c r="N27" s="132"/>
      <c r="O27" s="132"/>
      <c r="P27" s="132"/>
      <c r="Q27" s="132"/>
      <c r="R27" s="132"/>
      <c r="S27" s="132"/>
      <c r="T27" s="132"/>
      <c r="U27" s="132"/>
      <c r="V27" s="151"/>
      <c r="W27" s="307" t="s">
        <v>193</v>
      </c>
      <c r="X27" s="308"/>
      <c r="Y27" s="38">
        <f t="shared" si="1"/>
        <v>8</v>
      </c>
      <c r="Z27" s="38">
        <f t="shared" si="2"/>
        <v>16</v>
      </c>
      <c r="AA27" s="38">
        <f t="shared" si="3"/>
        <v>0</v>
      </c>
      <c r="AB27" s="38">
        <f t="shared" si="11"/>
        <v>0</v>
      </c>
      <c r="AC27" s="38">
        <f t="shared" si="12"/>
        <v>0</v>
      </c>
      <c r="AD27" s="38">
        <f t="shared" si="13"/>
        <v>0</v>
      </c>
      <c r="AE27" s="38">
        <f t="shared" si="14"/>
        <v>0</v>
      </c>
      <c r="AF27" s="38">
        <f t="shared" si="15"/>
        <v>0</v>
      </c>
      <c r="AG27" s="33">
        <f t="shared" si="16"/>
        <v>8</v>
      </c>
      <c r="AH27" s="33">
        <f t="shared" si="17"/>
        <v>16</v>
      </c>
      <c r="AI27" s="33">
        <f t="shared" si="18"/>
        <v>0</v>
      </c>
      <c r="AJ27" s="33">
        <f t="shared" si="19"/>
        <v>0</v>
      </c>
      <c r="AK27" s="34">
        <f t="shared" si="20"/>
        <v>5.6338028169014086E-2</v>
      </c>
      <c r="AL27" s="35">
        <f t="shared" si="21"/>
        <v>0.11267605633802817</v>
      </c>
      <c r="AM27" s="34">
        <f t="shared" si="22"/>
        <v>0</v>
      </c>
      <c r="AN27" s="36">
        <f t="shared" si="23"/>
        <v>0</v>
      </c>
      <c r="AO27" s="6">
        <f t="shared" si="4"/>
        <v>0</v>
      </c>
      <c r="AP27">
        <f t="shared" si="5"/>
        <v>8</v>
      </c>
      <c r="AQ27" s="6">
        <f t="shared" si="6"/>
        <v>0</v>
      </c>
      <c r="AR27" s="6">
        <f t="shared" si="7"/>
        <v>0</v>
      </c>
      <c r="AS27" s="6"/>
      <c r="AX27" s="95">
        <f t="shared" si="8"/>
        <v>42150</v>
      </c>
      <c r="AY27" s="96" t="str">
        <f t="shared" si="9"/>
        <v>ter</v>
      </c>
      <c r="AZ27" s="97">
        <f>IF(OR(AY27="SÁB",AY27="DOM"),0,IFERROR(8-VLOOKUP(C27,'Dados de consulta'!$A$2:$C$38,3,0),8))</f>
        <v>8</v>
      </c>
      <c r="BA27" s="97">
        <f>IF(OR(AY27="SÁB",AY27="DOM"),0,IFERROR(8-VLOOKUP(D27,'Dados de consulta'!$A$2:$C$38,3,0),8))</f>
        <v>8</v>
      </c>
      <c r="BB27" s="97">
        <f>IF(OR(AY27="SÁB",AY27="DOM"),0,IFERROR(8-VLOOKUP(E27,'Dados de consulta'!$A$2:$C$38,3,0),8))</f>
        <v>8</v>
      </c>
      <c r="BC27" s="97">
        <f>IF(OR(AY27="SÁB",AY27="DOM"),0,IFERROR(8-VLOOKUP(F27,'Dados de consulta'!$A$2:$C$38,3,0),8))</f>
        <v>0</v>
      </c>
      <c r="BD27" s="97">
        <f>IF(OR(AY27="SÁB",AY27="DOM"),0,IFERROR(8-VLOOKUP(G27,'Dados de consulta'!$A$2:$C$38,3,0),8))</f>
        <v>8</v>
      </c>
      <c r="BE27" s="97">
        <f>IF(OR(AY27="SÁB",AY27="DOM"),0,IFERROR(8-VLOOKUP(H27,'Dados de consulta'!$A$2:$C$38,3,0),8))</f>
        <v>8</v>
      </c>
      <c r="BF27" s="97">
        <f>IF(OR(AY27="SÁB",AY27="DOM"),0,IFERROR(8-VLOOKUP(I27,'Dados de consulta'!$A$2:$C$38,3,0),8))</f>
        <v>8</v>
      </c>
      <c r="BG27" s="97">
        <f>IF(OR(AY27="SÁB",AY27="DOM"),0,IFERROR(8-VLOOKUP(J27,'Dados de consulta'!$A$2:$C$38,3,0),8))</f>
        <v>0</v>
      </c>
      <c r="BH27" s="97">
        <f>IF(OR(AY27="SÁB",AY27="DOM"),0,IFERROR(8-VLOOKUP(K27,'Dados de consulta'!$A$2:$C$38,3,0),8))</f>
        <v>0</v>
      </c>
      <c r="BI27" s="97">
        <f>IF(OR(AY27="SÁB",AY27="DOM"),0,IFERROR(8-VLOOKUP(L27,'Dados de consulta'!$A$2:$C$38,3,0),8))</f>
        <v>0</v>
      </c>
      <c r="BJ27" s="97">
        <f>IF(OR(AY27="SÁB",AY27="DOM"),0,IFERROR(8-VLOOKUP(M27,'Dados de consulta'!$A$2:$C$38,3,0),8))</f>
        <v>8</v>
      </c>
      <c r="BK27" s="97">
        <f>IF(OR(AY27="SÁB",AY27="DOM"),0,IFERROR(8-VLOOKUP(N27,'Dados de consulta'!$A$2:$C$38,3,0),8))</f>
        <v>8</v>
      </c>
      <c r="BL27" s="97">
        <f>IF(OR(AY27="SÁB",AY27="DOM"),0,IFERROR(8-VLOOKUP(O27,'Dados de consulta'!$A$2:$C$38,3,0),8))</f>
        <v>8</v>
      </c>
      <c r="BM27" s="97">
        <f>IF(OR(AY27="SÁB",AY27="DOM"),0,IFERROR(8-VLOOKUP(P27,'Dados de consulta'!$A$2:$C$38,3,0),8))</f>
        <v>8</v>
      </c>
      <c r="BN27" s="97">
        <f>IF(OR(AY27="SÁB",AY27="DOM"),0,IFERROR(8-VLOOKUP(Q27,'Dados de consulta'!$A$2:$C$38,3,0),8))</f>
        <v>8</v>
      </c>
      <c r="BO27" s="97">
        <f>IF(OR(AY27="SÁB",AY27="DOM"),0,IFERROR(8-VLOOKUP(R27,'Dados de consulta'!$A$2:$C$38,3,0),8))</f>
        <v>8</v>
      </c>
      <c r="BP27" s="97">
        <f>IF(OR(AY27="SÁB",AY27="DOM"),0,IFERROR(8-VLOOKUP(S27,'Dados de consulta'!$A$2:$C$38,3,0),8))</f>
        <v>8</v>
      </c>
      <c r="BQ27" s="113">
        <f>IFERROR(6-VLOOKUP(T27,'Dados de consulta'!$A$2:$C$38,3,0)+2,6)</f>
        <v>6</v>
      </c>
      <c r="BR27" s="114">
        <f t="shared" si="24"/>
        <v>110</v>
      </c>
      <c r="BS27">
        <f t="shared" si="10"/>
        <v>134</v>
      </c>
      <c r="BU27">
        <f>IFERROR(8-VLOOKUP(U27,'Dados de consulta'!$A:$D,3,0),8)</f>
        <v>8</v>
      </c>
      <c r="BV27">
        <f>IFERROR(8-VLOOKUP(V27,'Dados de consulta'!$A:$D,3,0),8)</f>
        <v>8</v>
      </c>
      <c r="BW27">
        <f t="shared" si="25"/>
        <v>16</v>
      </c>
    </row>
    <row r="28" spans="1:75" ht="15" hidden="1" x14ac:dyDescent="0.2">
      <c r="A28" s="98">
        <v>42151</v>
      </c>
      <c r="B28" s="129" t="str">
        <f t="shared" si="0"/>
        <v>qua</v>
      </c>
      <c r="C28" s="132"/>
      <c r="D28" s="132"/>
      <c r="E28" s="132"/>
      <c r="F28" s="132">
        <v>101</v>
      </c>
      <c r="G28" s="132"/>
      <c r="H28" s="132"/>
      <c r="I28" s="132"/>
      <c r="J28" s="132">
        <v>1</v>
      </c>
      <c r="K28" s="132">
        <v>8</v>
      </c>
      <c r="L28" s="132">
        <v>18</v>
      </c>
      <c r="M28" s="132"/>
      <c r="N28" s="132"/>
      <c r="O28" s="132"/>
      <c r="P28" s="132"/>
      <c r="Q28" s="132"/>
      <c r="R28" s="132"/>
      <c r="S28" s="132"/>
      <c r="T28" s="132"/>
      <c r="U28" s="132"/>
      <c r="V28" s="151"/>
      <c r="W28" s="307" t="s">
        <v>193</v>
      </c>
      <c r="X28" s="308"/>
      <c r="Y28" s="38">
        <f t="shared" si="1"/>
        <v>8</v>
      </c>
      <c r="Z28" s="38">
        <f t="shared" si="2"/>
        <v>16</v>
      </c>
      <c r="AA28" s="38">
        <f t="shared" si="3"/>
        <v>0</v>
      </c>
      <c r="AB28" s="38">
        <f t="shared" si="11"/>
        <v>0</v>
      </c>
      <c r="AC28" s="38">
        <f t="shared" si="12"/>
        <v>0</v>
      </c>
      <c r="AD28" s="38">
        <f t="shared" si="13"/>
        <v>0</v>
      </c>
      <c r="AE28" s="38">
        <f t="shared" si="14"/>
        <v>0</v>
      </c>
      <c r="AF28" s="38">
        <f t="shared" si="15"/>
        <v>0</v>
      </c>
      <c r="AG28" s="33">
        <f t="shared" si="16"/>
        <v>8</v>
      </c>
      <c r="AH28" s="33">
        <f t="shared" si="17"/>
        <v>16</v>
      </c>
      <c r="AI28" s="33">
        <f t="shared" si="18"/>
        <v>0</v>
      </c>
      <c r="AJ28" s="33">
        <f t="shared" si="19"/>
        <v>0</v>
      </c>
      <c r="AK28" s="34">
        <f t="shared" si="20"/>
        <v>5.6338028169014086E-2</v>
      </c>
      <c r="AL28" s="35">
        <f t="shared" si="21"/>
        <v>0.11267605633802817</v>
      </c>
      <c r="AM28" s="34">
        <f t="shared" si="22"/>
        <v>0</v>
      </c>
      <c r="AN28" s="36">
        <f t="shared" si="23"/>
        <v>0</v>
      </c>
      <c r="AO28" s="6">
        <f t="shared" si="4"/>
        <v>0</v>
      </c>
      <c r="AP28">
        <f t="shared" si="5"/>
        <v>8</v>
      </c>
      <c r="AQ28" s="6">
        <f t="shared" si="6"/>
        <v>0</v>
      </c>
      <c r="AR28" s="6">
        <f t="shared" si="7"/>
        <v>0</v>
      </c>
      <c r="AS28" s="6"/>
      <c r="AX28" s="95">
        <f t="shared" si="8"/>
        <v>42151</v>
      </c>
      <c r="AY28" s="96" t="str">
        <f t="shared" si="9"/>
        <v>qua</v>
      </c>
      <c r="AZ28" s="97">
        <f>IF(OR(AY28="SÁB",AY28="DOM"),0,IFERROR(8-VLOOKUP(C28,'Dados de consulta'!$A$2:$C$38,3,0),8))</f>
        <v>8</v>
      </c>
      <c r="BA28" s="97">
        <f>IF(OR(AY28="SÁB",AY28="DOM"),0,IFERROR(8-VLOOKUP(D28,'Dados de consulta'!$A$2:$C$38,3,0),8))</f>
        <v>8</v>
      </c>
      <c r="BB28" s="97">
        <f>IF(OR(AY28="SÁB",AY28="DOM"),0,IFERROR(8-VLOOKUP(E28,'Dados de consulta'!$A$2:$C$38,3,0),8))</f>
        <v>8</v>
      </c>
      <c r="BC28" s="97">
        <f>IF(OR(AY28="SÁB",AY28="DOM"),0,IFERROR(8-VLOOKUP(F28,'Dados de consulta'!$A$2:$C$38,3,0),8))</f>
        <v>0</v>
      </c>
      <c r="BD28" s="97">
        <f>IF(OR(AY28="SÁB",AY28="DOM"),0,IFERROR(8-VLOOKUP(G28,'Dados de consulta'!$A$2:$C$38,3,0),8))</f>
        <v>8</v>
      </c>
      <c r="BE28" s="97">
        <f>IF(OR(AY28="SÁB",AY28="DOM"),0,IFERROR(8-VLOOKUP(H28,'Dados de consulta'!$A$2:$C$38,3,0),8))</f>
        <v>8</v>
      </c>
      <c r="BF28" s="97">
        <f>IF(OR(AY28="SÁB",AY28="DOM"),0,IFERROR(8-VLOOKUP(I28,'Dados de consulta'!$A$2:$C$38,3,0),8))</f>
        <v>8</v>
      </c>
      <c r="BG28" s="97">
        <f>IF(OR(AY28="SÁB",AY28="DOM"),0,IFERROR(8-VLOOKUP(J28,'Dados de consulta'!$A$2:$C$38,3,0),8))</f>
        <v>0</v>
      </c>
      <c r="BH28" s="97">
        <f>IF(OR(AY28="SÁB",AY28="DOM"),0,IFERROR(8-VLOOKUP(K28,'Dados de consulta'!$A$2:$C$38,3,0),8))</f>
        <v>0</v>
      </c>
      <c r="BI28" s="97">
        <f>IF(OR(AY28="SÁB",AY28="DOM"),0,IFERROR(8-VLOOKUP(L28,'Dados de consulta'!$A$2:$C$38,3,0),8))</f>
        <v>0</v>
      </c>
      <c r="BJ28" s="97">
        <f>IF(OR(AY28="SÁB",AY28="DOM"),0,IFERROR(8-VLOOKUP(M28,'Dados de consulta'!$A$2:$C$38,3,0),8))</f>
        <v>8</v>
      </c>
      <c r="BK28" s="97">
        <f>IF(OR(AY28="SÁB",AY28="DOM"),0,IFERROR(8-VLOOKUP(N28,'Dados de consulta'!$A$2:$C$38,3,0),8))</f>
        <v>8</v>
      </c>
      <c r="BL28" s="97">
        <f>IF(OR(AY28="SÁB",AY28="DOM"),0,IFERROR(8-VLOOKUP(O28,'Dados de consulta'!$A$2:$C$38,3,0),8))</f>
        <v>8</v>
      </c>
      <c r="BM28" s="97">
        <f>IF(OR(AY28="SÁB",AY28="DOM"),0,IFERROR(8-VLOOKUP(P28,'Dados de consulta'!$A$2:$C$38,3,0),8))</f>
        <v>8</v>
      </c>
      <c r="BN28" s="97">
        <f>IF(OR(AY28="SÁB",AY28="DOM"),0,IFERROR(8-VLOOKUP(Q28,'Dados de consulta'!$A$2:$C$38,3,0),8))</f>
        <v>8</v>
      </c>
      <c r="BO28" s="97">
        <f>IF(OR(AY28="SÁB",AY28="DOM"),0,IFERROR(8-VLOOKUP(R28,'Dados de consulta'!$A$2:$C$38,3,0),8))</f>
        <v>8</v>
      </c>
      <c r="BP28" s="97">
        <f>IF(OR(AY28="SÁB",AY28="DOM"),0,IFERROR(8-VLOOKUP(S28,'Dados de consulta'!$A$2:$C$38,3,0),8))</f>
        <v>8</v>
      </c>
      <c r="BQ28" s="113">
        <f>IFERROR(6-VLOOKUP(T28,'Dados de consulta'!$A$2:$C$38,3,0)+2,6)</f>
        <v>6</v>
      </c>
      <c r="BR28" s="114">
        <f t="shared" si="24"/>
        <v>110</v>
      </c>
      <c r="BS28">
        <f t="shared" si="10"/>
        <v>134</v>
      </c>
      <c r="BU28">
        <f>IFERROR(8-VLOOKUP(U28,'Dados de consulta'!$A:$D,3,0),8)</f>
        <v>8</v>
      </c>
      <c r="BV28">
        <f>IFERROR(8-VLOOKUP(V28,'Dados de consulta'!$A:$D,3,0),8)</f>
        <v>8</v>
      </c>
      <c r="BW28">
        <f t="shared" si="25"/>
        <v>16</v>
      </c>
    </row>
    <row r="29" spans="1:75" ht="15" hidden="1" x14ac:dyDescent="0.2">
      <c r="A29" s="98">
        <v>42152</v>
      </c>
      <c r="B29" s="129" t="str">
        <f t="shared" si="0"/>
        <v>qui</v>
      </c>
      <c r="C29" s="132"/>
      <c r="D29" s="132"/>
      <c r="E29" s="132">
        <v>8</v>
      </c>
      <c r="F29" s="132">
        <v>101</v>
      </c>
      <c r="G29" s="132">
        <v>6</v>
      </c>
      <c r="H29" s="132"/>
      <c r="I29" s="132"/>
      <c r="J29" s="132">
        <v>1</v>
      </c>
      <c r="K29" s="132">
        <v>8</v>
      </c>
      <c r="L29" s="132">
        <v>18</v>
      </c>
      <c r="M29" s="132"/>
      <c r="N29" s="132">
        <v>6</v>
      </c>
      <c r="O29" s="132"/>
      <c r="P29" s="132"/>
      <c r="Q29" s="132">
        <v>6</v>
      </c>
      <c r="R29" s="132"/>
      <c r="S29" s="132">
        <v>6</v>
      </c>
      <c r="T29" s="132"/>
      <c r="U29" s="132">
        <v>6</v>
      </c>
      <c r="V29" s="151"/>
      <c r="W29" s="307" t="s">
        <v>193</v>
      </c>
      <c r="X29" s="308"/>
      <c r="Y29" s="38">
        <f t="shared" si="1"/>
        <v>16</v>
      </c>
      <c r="Z29" s="38">
        <f t="shared" si="2"/>
        <v>16</v>
      </c>
      <c r="AA29" s="38">
        <f t="shared" si="3"/>
        <v>0</v>
      </c>
      <c r="AB29" s="38">
        <f t="shared" si="11"/>
        <v>32</v>
      </c>
      <c r="AC29" s="38">
        <f t="shared" si="12"/>
        <v>0</v>
      </c>
      <c r="AD29" s="38">
        <f t="shared" si="13"/>
        <v>0</v>
      </c>
      <c r="AE29" s="38">
        <f t="shared" si="14"/>
        <v>0</v>
      </c>
      <c r="AF29" s="38">
        <f t="shared" si="15"/>
        <v>0</v>
      </c>
      <c r="AG29" s="33">
        <f t="shared" si="16"/>
        <v>16</v>
      </c>
      <c r="AH29" s="33">
        <f t="shared" si="17"/>
        <v>16</v>
      </c>
      <c r="AI29" s="33">
        <f t="shared" si="18"/>
        <v>0</v>
      </c>
      <c r="AJ29" s="33">
        <f t="shared" si="19"/>
        <v>32</v>
      </c>
      <c r="AK29" s="34">
        <f t="shared" si="20"/>
        <v>0.11267605633802817</v>
      </c>
      <c r="AL29" s="35">
        <f t="shared" si="21"/>
        <v>0.11267605633802817</v>
      </c>
      <c r="AM29" s="34">
        <f t="shared" si="22"/>
        <v>0</v>
      </c>
      <c r="AN29" s="36">
        <f t="shared" si="23"/>
        <v>0.22535211267605634</v>
      </c>
      <c r="AO29" s="6">
        <f t="shared" si="4"/>
        <v>0</v>
      </c>
      <c r="AP29">
        <f t="shared" si="5"/>
        <v>8</v>
      </c>
      <c r="AQ29" s="6">
        <f t="shared" si="6"/>
        <v>0</v>
      </c>
      <c r="AR29" s="6">
        <f t="shared" si="7"/>
        <v>0</v>
      </c>
      <c r="AS29" s="6"/>
      <c r="AX29" s="95">
        <f t="shared" si="8"/>
        <v>42152</v>
      </c>
      <c r="AY29" s="96" t="str">
        <f t="shared" si="9"/>
        <v>qui</v>
      </c>
      <c r="AZ29" s="97">
        <f>IF(OR(AY29="SÁB",AY29="DOM"),0,IFERROR(8-VLOOKUP(C29,'Dados de consulta'!$A$2:$C$38,3,0),8))</f>
        <v>8</v>
      </c>
      <c r="BA29" s="97">
        <f>IF(OR(AY29="SÁB",AY29="DOM"),0,IFERROR(8-VLOOKUP(D29,'Dados de consulta'!$A$2:$C$38,3,0),8))</f>
        <v>8</v>
      </c>
      <c r="BB29" s="97">
        <f>IF(OR(AY29="SÁB",AY29="DOM"),0,IFERROR(8-VLOOKUP(E29,'Dados de consulta'!$A$2:$C$38,3,0),8))</f>
        <v>0</v>
      </c>
      <c r="BC29" s="97">
        <f>IF(OR(AY29="SÁB",AY29="DOM"),0,IFERROR(8-VLOOKUP(F29,'Dados de consulta'!$A$2:$C$38,3,0),8))</f>
        <v>0</v>
      </c>
      <c r="BD29" s="97">
        <f>IF(OR(AY29="SÁB",AY29="DOM"),0,IFERROR(8-VLOOKUP(G29,'Dados de consulta'!$A$2:$C$38,3,0),8))</f>
        <v>0</v>
      </c>
      <c r="BE29" s="97">
        <f>IF(OR(AY29="SÁB",AY29="DOM"),0,IFERROR(8-VLOOKUP(H29,'Dados de consulta'!$A$2:$C$38,3,0),8))</f>
        <v>8</v>
      </c>
      <c r="BF29" s="97">
        <f>IF(OR(AY29="SÁB",AY29="DOM"),0,IFERROR(8-VLOOKUP(I29,'Dados de consulta'!$A$2:$C$38,3,0),8))</f>
        <v>8</v>
      </c>
      <c r="BG29" s="97">
        <f>IF(OR(AY29="SÁB",AY29="DOM"),0,IFERROR(8-VLOOKUP(J29,'Dados de consulta'!$A$2:$C$38,3,0),8))</f>
        <v>0</v>
      </c>
      <c r="BH29" s="97">
        <f>IF(OR(AY29="SÁB",AY29="DOM"),0,IFERROR(8-VLOOKUP(K29,'Dados de consulta'!$A$2:$C$38,3,0),8))</f>
        <v>0</v>
      </c>
      <c r="BI29" s="97">
        <f>IF(OR(AY29="SÁB",AY29="DOM"),0,IFERROR(8-VLOOKUP(L29,'Dados de consulta'!$A$2:$C$38,3,0),8))</f>
        <v>0</v>
      </c>
      <c r="BJ29" s="97">
        <f>IF(OR(AY29="SÁB",AY29="DOM"),0,IFERROR(8-VLOOKUP(M29,'Dados de consulta'!$A$2:$C$38,3,0),8))</f>
        <v>8</v>
      </c>
      <c r="BK29" s="97">
        <f>IF(OR(AY29="SÁB",AY29="DOM"),0,IFERROR(8-VLOOKUP(N29,'Dados de consulta'!$A$2:$C$38,3,0),8))</f>
        <v>0</v>
      </c>
      <c r="BL29" s="97">
        <f>IF(OR(AY29="SÁB",AY29="DOM"),0,IFERROR(8-VLOOKUP(O29,'Dados de consulta'!$A$2:$C$38,3,0),8))</f>
        <v>8</v>
      </c>
      <c r="BM29" s="97">
        <f>IF(OR(AY29="SÁB",AY29="DOM"),0,IFERROR(8-VLOOKUP(P29,'Dados de consulta'!$A$2:$C$38,3,0),8))</f>
        <v>8</v>
      </c>
      <c r="BN29" s="97">
        <f>IF(OR(AY29="SÁB",AY29="DOM"),0,IFERROR(8-VLOOKUP(Q29,'Dados de consulta'!$A$2:$C$38,3,0),8))</f>
        <v>0</v>
      </c>
      <c r="BO29" s="97">
        <f>IF(OR(AY29="SÁB",AY29="DOM"),0,IFERROR(8-VLOOKUP(R29,'Dados de consulta'!$A$2:$C$38,3,0),8))</f>
        <v>8</v>
      </c>
      <c r="BP29" s="97">
        <f>IF(OR(AY29="SÁB",AY29="DOM"),0,IFERROR(8-VLOOKUP(S29,'Dados de consulta'!$A$2:$C$38,3,0),8))</f>
        <v>0</v>
      </c>
      <c r="BQ29" s="113">
        <f>IFERROR(6-VLOOKUP(T29,'Dados de consulta'!$A$2:$C$38,3,0)+2,6)</f>
        <v>6</v>
      </c>
      <c r="BR29" s="114">
        <f t="shared" si="24"/>
        <v>70</v>
      </c>
      <c r="BS29">
        <f t="shared" si="10"/>
        <v>134</v>
      </c>
      <c r="BU29">
        <f>IFERROR(8-VLOOKUP(U29,'Dados de consulta'!$A:$D,3,0),8)</f>
        <v>0</v>
      </c>
      <c r="BV29">
        <f>IFERROR(8-VLOOKUP(V29,'Dados de consulta'!$A:$D,3,0),8)</f>
        <v>8</v>
      </c>
      <c r="BW29">
        <f t="shared" si="25"/>
        <v>8</v>
      </c>
    </row>
    <row r="30" spans="1:75" ht="15" hidden="1" x14ac:dyDescent="0.2">
      <c r="A30" s="98">
        <v>42153</v>
      </c>
      <c r="B30" s="129" t="str">
        <f t="shared" si="0"/>
        <v>sex</v>
      </c>
      <c r="C30" s="132"/>
      <c r="D30" s="132"/>
      <c r="E30" s="132">
        <v>8</v>
      </c>
      <c r="F30" s="132">
        <v>101</v>
      </c>
      <c r="G30" s="132"/>
      <c r="H30" s="132"/>
      <c r="I30" s="132"/>
      <c r="J30" s="132">
        <v>1</v>
      </c>
      <c r="K30" s="132">
        <v>8</v>
      </c>
      <c r="L30" s="132">
        <v>18</v>
      </c>
      <c r="M30" s="132"/>
      <c r="N30" s="132"/>
      <c r="O30" s="132"/>
      <c r="P30" s="132"/>
      <c r="Q30" s="132"/>
      <c r="R30" s="132"/>
      <c r="S30" s="132"/>
      <c r="T30" s="132"/>
      <c r="U30" s="132"/>
      <c r="V30" s="151"/>
      <c r="W30" s="307" t="s">
        <v>193</v>
      </c>
      <c r="X30" s="308"/>
      <c r="Y30" s="38">
        <f t="shared" si="1"/>
        <v>16</v>
      </c>
      <c r="Z30" s="38">
        <f t="shared" si="2"/>
        <v>16</v>
      </c>
      <c r="AA30" s="38">
        <f t="shared" si="3"/>
        <v>0</v>
      </c>
      <c r="AB30" s="38">
        <f t="shared" si="11"/>
        <v>0</v>
      </c>
      <c r="AC30" s="38">
        <f t="shared" si="12"/>
        <v>0</v>
      </c>
      <c r="AD30" s="38">
        <f t="shared" si="13"/>
        <v>0</v>
      </c>
      <c r="AE30" s="38">
        <f t="shared" si="14"/>
        <v>0</v>
      </c>
      <c r="AF30" s="38">
        <f t="shared" si="15"/>
        <v>0</v>
      </c>
      <c r="AG30" s="33">
        <f t="shared" si="16"/>
        <v>16</v>
      </c>
      <c r="AH30" s="33">
        <f t="shared" si="17"/>
        <v>16</v>
      </c>
      <c r="AI30" s="33">
        <f t="shared" si="18"/>
        <v>0</v>
      </c>
      <c r="AJ30" s="33">
        <f t="shared" si="19"/>
        <v>0</v>
      </c>
      <c r="AK30" s="34">
        <f t="shared" si="20"/>
        <v>0.11267605633802817</v>
      </c>
      <c r="AL30" s="35">
        <f t="shared" si="21"/>
        <v>0.11267605633802817</v>
      </c>
      <c r="AM30" s="34">
        <f t="shared" si="22"/>
        <v>0</v>
      </c>
      <c r="AN30" s="36">
        <f t="shared" si="23"/>
        <v>0</v>
      </c>
      <c r="AO30" s="6">
        <f t="shared" si="4"/>
        <v>0</v>
      </c>
      <c r="AP30">
        <f t="shared" si="5"/>
        <v>8</v>
      </c>
      <c r="AQ30" s="6">
        <f t="shared" si="6"/>
        <v>0</v>
      </c>
      <c r="AR30" s="6">
        <f t="shared" si="7"/>
        <v>0</v>
      </c>
      <c r="AS30" s="6"/>
      <c r="AX30" s="95">
        <f t="shared" si="8"/>
        <v>42153</v>
      </c>
      <c r="AY30" s="96" t="str">
        <f t="shared" si="9"/>
        <v>sex</v>
      </c>
      <c r="AZ30" s="97">
        <f>IF(OR(AY30="SÁB",AY30="DOM"),0,IFERROR(8-VLOOKUP(C30,'Dados de consulta'!$A$2:$C$38,3,0),8))</f>
        <v>8</v>
      </c>
      <c r="BA30" s="97">
        <f>IF(OR(AY30="SÁB",AY30="DOM"),0,IFERROR(8-VLOOKUP(D30,'Dados de consulta'!$A$2:$C$38,3,0),8))</f>
        <v>8</v>
      </c>
      <c r="BB30" s="97">
        <f>IF(OR(AY30="SÁB",AY30="DOM"),0,IFERROR(8-VLOOKUP(E30,'Dados de consulta'!$A$2:$C$38,3,0),8))</f>
        <v>0</v>
      </c>
      <c r="BC30" s="97">
        <f>IF(OR(AY30="SÁB",AY30="DOM"),0,IFERROR(8-VLOOKUP(F30,'Dados de consulta'!$A$2:$C$38,3,0),8))</f>
        <v>0</v>
      </c>
      <c r="BD30" s="97">
        <f>IF(OR(AY30="SÁB",AY30="DOM"),0,IFERROR(8-VLOOKUP(G30,'Dados de consulta'!$A$2:$C$38,3,0),8))</f>
        <v>8</v>
      </c>
      <c r="BE30" s="97">
        <f>IF(OR(AY30="SÁB",AY30="DOM"),0,IFERROR(8-VLOOKUP(H30,'Dados de consulta'!$A$2:$C$38,3,0),8))</f>
        <v>8</v>
      </c>
      <c r="BF30" s="97">
        <f>IF(OR(AY30="SÁB",AY30="DOM"),0,IFERROR(8-VLOOKUP(I30,'Dados de consulta'!$A$2:$C$38,3,0),8))</f>
        <v>8</v>
      </c>
      <c r="BG30" s="97">
        <f>IF(OR(AY30="SÁB",AY30="DOM"),0,IFERROR(8-VLOOKUP(J30,'Dados de consulta'!$A$2:$C$38,3,0),8))</f>
        <v>0</v>
      </c>
      <c r="BH30" s="97">
        <f>IF(OR(AY30="SÁB",AY30="DOM"),0,IFERROR(8-VLOOKUP(K30,'Dados de consulta'!$A$2:$C$38,3,0),8))</f>
        <v>0</v>
      </c>
      <c r="BI30" s="97">
        <f>IF(OR(AY30="SÁB",AY30="DOM"),0,IFERROR(8-VLOOKUP(L30,'Dados de consulta'!$A$2:$C$38,3,0),8))</f>
        <v>0</v>
      </c>
      <c r="BJ30" s="97">
        <f>IF(OR(AY30="SÁB",AY30="DOM"),0,IFERROR(8-VLOOKUP(M30,'Dados de consulta'!$A$2:$C$38,3,0),8))</f>
        <v>8</v>
      </c>
      <c r="BK30" s="97">
        <f>IF(OR(AY30="SÁB",AY30="DOM"),0,IFERROR(8-VLOOKUP(N30,'Dados de consulta'!$A$2:$C$38,3,0),8))</f>
        <v>8</v>
      </c>
      <c r="BL30" s="97">
        <f>IF(OR(AY30="SÁB",AY30="DOM"),0,IFERROR(8-VLOOKUP(O30,'Dados de consulta'!$A$2:$C$38,3,0),8))</f>
        <v>8</v>
      </c>
      <c r="BM30" s="97">
        <f>IF(OR(AY30="SÁB",AY30="DOM"),0,IFERROR(8-VLOOKUP(P30,'Dados de consulta'!$A$2:$C$38,3,0),8))</f>
        <v>8</v>
      </c>
      <c r="BN30" s="97">
        <f>IF(OR(AY30="SÁB",AY30="DOM"),0,IFERROR(8-VLOOKUP(Q30,'Dados de consulta'!$A$2:$C$38,3,0),8))</f>
        <v>8</v>
      </c>
      <c r="BO30" s="97">
        <f>IF(OR(AY30="SÁB",AY30="DOM"),0,IFERROR(8-VLOOKUP(R30,'Dados de consulta'!$A$2:$C$38,3,0),8))</f>
        <v>8</v>
      </c>
      <c r="BP30" s="97">
        <f>IF(OR(AY30="SÁB",AY30="DOM"),0,IFERROR(8-VLOOKUP(S30,'Dados de consulta'!$A$2:$C$38,3,0),8))</f>
        <v>8</v>
      </c>
      <c r="BQ30" s="113">
        <f>IFERROR(6-VLOOKUP(T30,'Dados de consulta'!$A$2:$C$38,3,0)+2,6)</f>
        <v>6</v>
      </c>
      <c r="BR30" s="114">
        <f t="shared" si="24"/>
        <v>102</v>
      </c>
      <c r="BS30">
        <f t="shared" si="10"/>
        <v>134</v>
      </c>
      <c r="BU30">
        <f>IFERROR(8-VLOOKUP(U30,'Dados de consulta'!$A:$D,3,0),8)</f>
        <v>8</v>
      </c>
      <c r="BV30">
        <f>IFERROR(8-VLOOKUP(V30,'Dados de consulta'!$A:$D,3,0),8)</f>
        <v>8</v>
      </c>
      <c r="BW30">
        <f t="shared" si="25"/>
        <v>16</v>
      </c>
    </row>
    <row r="31" spans="1:75" ht="15" hidden="1" x14ac:dyDescent="0.2">
      <c r="A31" s="98">
        <v>42154</v>
      </c>
      <c r="B31" s="129" t="str">
        <f t="shared" si="0"/>
        <v>sáb</v>
      </c>
      <c r="C31" s="132"/>
      <c r="D31" s="132"/>
      <c r="E31" s="132"/>
      <c r="F31" s="132">
        <v>101</v>
      </c>
      <c r="G31" s="132"/>
      <c r="H31" s="132"/>
      <c r="I31" s="132"/>
      <c r="J31" s="132"/>
      <c r="K31" s="132"/>
      <c r="L31" s="132">
        <v>18</v>
      </c>
      <c r="M31" s="132"/>
      <c r="N31" s="132"/>
      <c r="O31" s="132"/>
      <c r="P31" s="132"/>
      <c r="Q31" s="132"/>
      <c r="R31" s="132"/>
      <c r="S31" s="132"/>
      <c r="T31" s="132"/>
      <c r="U31" s="132"/>
      <c r="V31" s="151"/>
      <c r="W31" s="307" t="s">
        <v>193</v>
      </c>
      <c r="X31" s="308"/>
      <c r="Y31" s="38">
        <f t="shared" si="1"/>
        <v>0</v>
      </c>
      <c r="Z31" s="38">
        <f t="shared" si="2"/>
        <v>8</v>
      </c>
      <c r="AA31" s="38">
        <f t="shared" si="3"/>
        <v>0</v>
      </c>
      <c r="AB31" s="38">
        <f t="shared" si="11"/>
        <v>0</v>
      </c>
      <c r="AC31" s="38">
        <f t="shared" si="12"/>
        <v>0</v>
      </c>
      <c r="AD31" s="38">
        <f t="shared" si="13"/>
        <v>0</v>
      </c>
      <c r="AE31" s="38">
        <f t="shared" si="14"/>
        <v>0</v>
      </c>
      <c r="AF31" s="38">
        <f t="shared" si="15"/>
        <v>0</v>
      </c>
      <c r="AG31" s="33">
        <f t="shared" si="16"/>
        <v>0</v>
      </c>
      <c r="AH31" s="33">
        <f t="shared" si="17"/>
        <v>0</v>
      </c>
      <c r="AI31" s="33">
        <f t="shared" si="18"/>
        <v>0</v>
      </c>
      <c r="AJ31" s="33">
        <f t="shared" si="19"/>
        <v>0</v>
      </c>
      <c r="AK31" s="34">
        <f t="shared" si="20"/>
        <v>0</v>
      </c>
      <c r="AL31" s="35">
        <f t="shared" si="21"/>
        <v>0</v>
      </c>
      <c r="AM31" s="34">
        <f t="shared" si="22"/>
        <v>0</v>
      </c>
      <c r="AN31" s="36">
        <f t="shared" si="23"/>
        <v>0</v>
      </c>
      <c r="AO31" s="6">
        <f t="shared" si="4"/>
        <v>0</v>
      </c>
      <c r="AP31">
        <f t="shared" si="5"/>
        <v>8</v>
      </c>
      <c r="AQ31" s="6">
        <f t="shared" si="6"/>
        <v>0</v>
      </c>
      <c r="AR31" s="6">
        <f t="shared" si="7"/>
        <v>0</v>
      </c>
      <c r="AS31" s="6"/>
      <c r="AX31" s="95">
        <f t="shared" si="8"/>
        <v>42154</v>
      </c>
      <c r="AY31" s="96" t="str">
        <f t="shared" si="9"/>
        <v>sáb</v>
      </c>
      <c r="AZ31" s="97">
        <f>IF(OR(AY31="SÁB",AY31="DOM"),0,IFERROR(8-VLOOKUP(C31,'Dados de consulta'!$A$2:$C$38,3,0),8))</f>
        <v>0</v>
      </c>
      <c r="BA31" s="97">
        <f>IF(OR(AY31="SÁB",AY31="DOM"),0,IFERROR(8-VLOOKUP(D31,'Dados de consulta'!$A$2:$C$38,3,0),8))</f>
        <v>0</v>
      </c>
      <c r="BB31" s="97">
        <f>IF(OR(AY31="SÁB",AY31="DOM"),0,IFERROR(8-VLOOKUP(E31,'Dados de consulta'!$A$2:$C$38,3,0),8))</f>
        <v>0</v>
      </c>
      <c r="BC31" s="97">
        <f>IF(OR(AY31="SÁB",AY31="DOM"),0,IFERROR(8-VLOOKUP(F31,'Dados de consulta'!$A$2:$C$38,3,0),8))</f>
        <v>0</v>
      </c>
      <c r="BD31" s="97">
        <f>IF(OR(AY31="SÁB",AY31="DOM"),0,IFERROR(8-VLOOKUP(G31,'Dados de consulta'!$A$2:$C$38,3,0),8))</f>
        <v>0</v>
      </c>
      <c r="BE31" s="97">
        <f>IF(OR(AY31="SÁB",AY31="DOM"),0,IFERROR(8-VLOOKUP(H31,'Dados de consulta'!$A$2:$C$38,3,0),8))</f>
        <v>0</v>
      </c>
      <c r="BF31" s="97">
        <f>IF(OR(AY31="SÁB",AY31="DOM"),0,IFERROR(8-VLOOKUP(I31,'Dados de consulta'!$A$2:$C$38,3,0),8))</f>
        <v>0</v>
      </c>
      <c r="BG31" s="97">
        <f>IF(OR(AY31="SÁB",AY31="DOM"),0,IFERROR(8-VLOOKUP(J31,'Dados de consulta'!$A$2:$C$38,3,0),8))</f>
        <v>0</v>
      </c>
      <c r="BH31" s="97">
        <f>IF(OR(AY31="SÁB",AY31="DOM"),0,IFERROR(8-VLOOKUP(K31,'Dados de consulta'!$A$2:$C$38,3,0),8))</f>
        <v>0</v>
      </c>
      <c r="BI31" s="97">
        <f>IF(OR(AY31="SÁB",AY31="DOM"),0,IFERROR(8-VLOOKUP(L31,'Dados de consulta'!$A$2:$C$38,3,0),8))</f>
        <v>0</v>
      </c>
      <c r="BJ31" s="97">
        <f>IF(OR(AY31="SÁB",AY31="DOM"),0,IFERROR(8-VLOOKUP(M31,'Dados de consulta'!$A$2:$C$38,3,0),8))</f>
        <v>0</v>
      </c>
      <c r="BK31" s="97">
        <f>IF(OR(AY31="SÁB",AY31="DOM"),0,IFERROR(8-VLOOKUP(N31,'Dados de consulta'!$A$2:$C$38,3,0),8))</f>
        <v>0</v>
      </c>
      <c r="BL31" s="97">
        <f>IF(OR(AY31="SÁB",AY31="DOM"),0,IFERROR(8-VLOOKUP(O31,'Dados de consulta'!$A$2:$C$38,3,0),8))</f>
        <v>0</v>
      </c>
      <c r="BM31" s="97">
        <f>IF(OR(AY31="SÁB",AY31="DOM"),0,IFERROR(8-VLOOKUP(P31,'Dados de consulta'!$A$2:$C$38,3,0),8))</f>
        <v>0</v>
      </c>
      <c r="BN31" s="97">
        <f>IF(OR(AY31="SÁB",AY31="DOM"),0,IFERROR(8-VLOOKUP(Q31,'Dados de consulta'!$A$2:$C$38,3,0),8))</f>
        <v>0</v>
      </c>
      <c r="BO31" s="97">
        <f>IF(OR(AY31="SÁB",AY31="DOM"),0,IFERROR(8-VLOOKUP(R31,'Dados de consulta'!$A$2:$C$38,3,0),8))</f>
        <v>0</v>
      </c>
      <c r="BP31" s="97">
        <f>IF(OR(AY31="SÁB",AY31="DOM"),0,IFERROR(8-VLOOKUP(S31,'Dados de consulta'!$A$2:$C$38,3,0),8))</f>
        <v>0</v>
      </c>
      <c r="BQ31" s="113">
        <f>IFERROR(6-VLOOKUP(T31,'Dados de consulta'!$A$2:$C$38,3,0)+2,6)</f>
        <v>6</v>
      </c>
      <c r="BR31" s="114">
        <f t="shared" si="24"/>
        <v>0</v>
      </c>
      <c r="BS31">
        <f t="shared" si="10"/>
        <v>0</v>
      </c>
      <c r="BU31">
        <f>IFERROR(8-VLOOKUP(U31,'Dados de consulta'!$A:$D,3,0),8)</f>
        <v>8</v>
      </c>
      <c r="BV31">
        <f>IFERROR(8-VLOOKUP(V31,'Dados de consulta'!$A:$D,3,0),8)</f>
        <v>8</v>
      </c>
      <c r="BW31">
        <f t="shared" si="25"/>
        <v>16</v>
      </c>
    </row>
    <row r="32" spans="1:75" ht="15" hidden="1" x14ac:dyDescent="0.2">
      <c r="A32" s="98">
        <v>42155</v>
      </c>
      <c r="B32" s="129" t="str">
        <f t="shared" si="0"/>
        <v>dom</v>
      </c>
      <c r="C32" s="132"/>
      <c r="D32" s="132"/>
      <c r="E32" s="132"/>
      <c r="F32" s="132">
        <v>101</v>
      </c>
      <c r="G32" s="132"/>
      <c r="H32" s="132"/>
      <c r="I32" s="132"/>
      <c r="J32" s="132"/>
      <c r="K32" s="132"/>
      <c r="L32" s="132">
        <v>18</v>
      </c>
      <c r="M32" s="132"/>
      <c r="N32" s="132"/>
      <c r="O32" s="132"/>
      <c r="P32" s="132"/>
      <c r="Q32" s="132"/>
      <c r="R32" s="132"/>
      <c r="S32" s="132"/>
      <c r="T32" s="132"/>
      <c r="U32" s="151"/>
      <c r="V32" s="151"/>
      <c r="W32" s="307" t="s">
        <v>193</v>
      </c>
      <c r="X32" s="308"/>
      <c r="Y32" s="38">
        <f t="shared" si="1"/>
        <v>0</v>
      </c>
      <c r="Z32" s="38">
        <f t="shared" si="2"/>
        <v>8</v>
      </c>
      <c r="AA32" s="38">
        <f t="shared" si="3"/>
        <v>0</v>
      </c>
      <c r="AB32" s="38">
        <f t="shared" si="11"/>
        <v>0</v>
      </c>
      <c r="AC32" s="38">
        <f t="shared" si="12"/>
        <v>0</v>
      </c>
      <c r="AD32" s="38">
        <f t="shared" si="13"/>
        <v>0</v>
      </c>
      <c r="AE32" s="38">
        <f t="shared" si="14"/>
        <v>0</v>
      </c>
      <c r="AF32" s="38">
        <f t="shared" si="15"/>
        <v>0</v>
      </c>
      <c r="AG32" s="33">
        <f t="shared" si="16"/>
        <v>0</v>
      </c>
      <c r="AH32" s="33">
        <f t="shared" si="17"/>
        <v>0</v>
      </c>
      <c r="AI32" s="33">
        <f t="shared" si="18"/>
        <v>0</v>
      </c>
      <c r="AJ32" s="33">
        <f t="shared" si="19"/>
        <v>0</v>
      </c>
      <c r="AK32" s="34">
        <f t="shared" si="20"/>
        <v>0</v>
      </c>
      <c r="AL32" s="35">
        <f t="shared" si="21"/>
        <v>0</v>
      </c>
      <c r="AM32" s="34">
        <f t="shared" si="22"/>
        <v>0</v>
      </c>
      <c r="AN32" s="36">
        <f t="shared" si="23"/>
        <v>0</v>
      </c>
      <c r="AO32" s="6">
        <f t="shared" si="4"/>
        <v>0</v>
      </c>
      <c r="AP32">
        <f t="shared" si="5"/>
        <v>8</v>
      </c>
      <c r="AQ32" s="6">
        <f t="shared" si="6"/>
        <v>0</v>
      </c>
      <c r="AR32" s="6">
        <f t="shared" si="7"/>
        <v>0</v>
      </c>
      <c r="AS32" s="6"/>
      <c r="AX32" s="95">
        <f t="shared" si="8"/>
        <v>42155</v>
      </c>
      <c r="AY32" s="96" t="str">
        <f t="shared" si="9"/>
        <v>dom</v>
      </c>
      <c r="AZ32" s="97">
        <f>IF(OR(AY32="SÁB",AY32="DOM"),0,IFERROR(8-VLOOKUP(C32,'Dados de consulta'!$A$2:$C$38,3,0),8))</f>
        <v>0</v>
      </c>
      <c r="BA32" s="97">
        <f>IF(OR(AY32="SÁB",AY32="DOM"),0,IFERROR(8-VLOOKUP(D32,'Dados de consulta'!$A$2:$C$38,3,0),8))</f>
        <v>0</v>
      </c>
      <c r="BB32" s="97">
        <f>IF(OR(AY32="SÁB",AY32="DOM"),0,IFERROR(8-VLOOKUP(E32,'Dados de consulta'!$A$2:$C$38,3,0),8))</f>
        <v>0</v>
      </c>
      <c r="BC32" s="97">
        <f>IF(OR(AY32="SÁB",AY32="DOM"),0,IFERROR(8-VLOOKUP(F32,'Dados de consulta'!$A$2:$C$38,3,0),8))</f>
        <v>0</v>
      </c>
      <c r="BD32" s="97">
        <f>IF(OR(AY32="SÁB",AY32="DOM"),0,IFERROR(8-VLOOKUP(G32,'Dados de consulta'!$A$2:$C$38,3,0),8))</f>
        <v>0</v>
      </c>
      <c r="BE32" s="97">
        <f>IF(OR(AY32="SÁB",AY32="DOM"),0,IFERROR(8-VLOOKUP(H32,'Dados de consulta'!$A$2:$C$38,3,0),8))</f>
        <v>0</v>
      </c>
      <c r="BF32" s="97">
        <f>IF(OR(AY32="SÁB",AY32="DOM"),0,IFERROR(8-VLOOKUP(I32,'Dados de consulta'!$A$2:$C$38,3,0),8))</f>
        <v>0</v>
      </c>
      <c r="BG32" s="97">
        <f>IF(OR(AY32="SÁB",AY32="DOM"),0,IFERROR(8-VLOOKUP(J32,'Dados de consulta'!$A$2:$C$38,3,0),8))</f>
        <v>0</v>
      </c>
      <c r="BH32" s="97">
        <f>IF(OR(AY32="SÁB",AY32="DOM"),0,IFERROR(8-VLOOKUP(K32,'Dados de consulta'!$A$2:$C$38,3,0),8))</f>
        <v>0</v>
      </c>
      <c r="BI32" s="97">
        <f>IF(OR(AY32="SÁB",AY32="DOM"),0,IFERROR(8-VLOOKUP(L32,'Dados de consulta'!$A$2:$C$38,3,0),8))</f>
        <v>0</v>
      </c>
      <c r="BJ32" s="97">
        <f>IF(OR(AY32="SÁB",AY32="DOM"),0,IFERROR(8-VLOOKUP(M32,'Dados de consulta'!$A$2:$C$38,3,0),8))</f>
        <v>0</v>
      </c>
      <c r="BK32" s="97">
        <f>IF(OR(AY32="SÁB",AY32="DOM"),0,IFERROR(8-VLOOKUP(N32,'Dados de consulta'!$A$2:$C$38,3,0),8))</f>
        <v>0</v>
      </c>
      <c r="BL32" s="97">
        <f>IF(OR(AY32="SÁB",AY32="DOM"),0,IFERROR(8-VLOOKUP(O32,'Dados de consulta'!$A$2:$C$38,3,0),8))</f>
        <v>0</v>
      </c>
      <c r="BM32" s="97">
        <f>IF(OR(AY32="SÁB",AY32="DOM"),0,IFERROR(8-VLOOKUP(P32,'Dados de consulta'!$A$2:$C$38,3,0),8))</f>
        <v>0</v>
      </c>
      <c r="BN32" s="97">
        <f>IF(OR(AY32="SÁB",AY32="DOM"),0,IFERROR(8-VLOOKUP(Q32,'Dados de consulta'!$A$2:$C$38,3,0),8))</f>
        <v>0</v>
      </c>
      <c r="BO32" s="97">
        <f>IF(OR(AY32="SÁB",AY32="DOM"),0,IFERROR(8-VLOOKUP(R32,'Dados de consulta'!$A$2:$C$38,3,0),8))</f>
        <v>0</v>
      </c>
      <c r="BP32" s="97">
        <f>IF(OR(AY32="SÁB",AY32="DOM"),0,IFERROR(8-VLOOKUP(S32,'Dados de consulta'!$A$2:$C$38,3,0),8))</f>
        <v>0</v>
      </c>
      <c r="BQ32" s="113">
        <f>IFERROR(6-VLOOKUP(T32,'Dados de consulta'!$A$2:$C$38,3,0)+2,6)</f>
        <v>6</v>
      </c>
      <c r="BR32" s="114">
        <f t="shared" si="24"/>
        <v>0</v>
      </c>
      <c r="BS32">
        <f t="shared" si="10"/>
        <v>0</v>
      </c>
      <c r="BU32">
        <f>IFERROR(8-VLOOKUP(U32,'Dados de consulta'!$A:$D,3,0),8)</f>
        <v>8</v>
      </c>
      <c r="BV32">
        <f>IFERROR(8-VLOOKUP(V32,'Dados de consulta'!$A:$D,3,0),8)</f>
        <v>8</v>
      </c>
      <c r="BW32">
        <f t="shared" si="25"/>
        <v>16</v>
      </c>
    </row>
    <row r="33" spans="1:75" ht="15" hidden="1" x14ac:dyDescent="0.2">
      <c r="A33" s="98">
        <v>42156</v>
      </c>
      <c r="B33" s="129" t="str">
        <f t="shared" si="0"/>
        <v>seg</v>
      </c>
      <c r="C33" s="132"/>
      <c r="D33" s="132"/>
      <c r="E33" s="132"/>
      <c r="F33" s="132">
        <v>101</v>
      </c>
      <c r="G33" s="132"/>
      <c r="H33" s="132"/>
      <c r="I33" s="132"/>
      <c r="J33" s="132"/>
      <c r="K33" s="132">
        <v>8</v>
      </c>
      <c r="L33" s="132">
        <v>18</v>
      </c>
      <c r="M33" s="132"/>
      <c r="N33" s="132"/>
      <c r="O33" s="132"/>
      <c r="P33" s="132"/>
      <c r="Q33" s="132"/>
      <c r="R33" s="132"/>
      <c r="S33" s="132"/>
      <c r="T33" s="132"/>
      <c r="U33" s="151"/>
      <c r="V33" s="151"/>
      <c r="W33" s="307" t="s">
        <v>193</v>
      </c>
      <c r="X33" s="308"/>
      <c r="Y33" s="38">
        <f t="shared" si="1"/>
        <v>8</v>
      </c>
      <c r="Z33" s="38">
        <f t="shared" si="2"/>
        <v>8</v>
      </c>
      <c r="AA33" s="38">
        <f t="shared" si="3"/>
        <v>0</v>
      </c>
      <c r="AB33" s="38">
        <f t="shared" si="11"/>
        <v>0</v>
      </c>
      <c r="AC33" s="38">
        <f t="shared" si="12"/>
        <v>0</v>
      </c>
      <c r="AD33" s="38">
        <f t="shared" si="13"/>
        <v>0</v>
      </c>
      <c r="AE33" s="38">
        <f t="shared" si="14"/>
        <v>0</v>
      </c>
      <c r="AF33" s="38">
        <f t="shared" si="15"/>
        <v>0</v>
      </c>
      <c r="AG33" s="33">
        <f t="shared" si="16"/>
        <v>8</v>
      </c>
      <c r="AH33" s="33">
        <f t="shared" si="17"/>
        <v>8</v>
      </c>
      <c r="AI33" s="33">
        <f t="shared" si="18"/>
        <v>0</v>
      </c>
      <c r="AJ33" s="33">
        <f t="shared" si="19"/>
        <v>0</v>
      </c>
      <c r="AK33" s="34">
        <f t="shared" si="20"/>
        <v>5.6338028169014086E-2</v>
      </c>
      <c r="AL33" s="35">
        <f t="shared" si="21"/>
        <v>5.6338028169014086E-2</v>
      </c>
      <c r="AM33" s="34">
        <f t="shared" si="22"/>
        <v>0</v>
      </c>
      <c r="AN33" s="36">
        <f t="shared" si="23"/>
        <v>0</v>
      </c>
      <c r="AO33" s="6">
        <f t="shared" si="4"/>
        <v>0</v>
      </c>
      <c r="AP33">
        <f t="shared" si="5"/>
        <v>8</v>
      </c>
      <c r="AQ33" s="6">
        <f t="shared" si="6"/>
        <v>0</v>
      </c>
      <c r="AR33" s="6">
        <f t="shared" si="7"/>
        <v>0</v>
      </c>
      <c r="AS33" s="6"/>
      <c r="AX33" s="95">
        <f t="shared" si="8"/>
        <v>42156</v>
      </c>
      <c r="AY33" s="96" t="str">
        <f t="shared" si="9"/>
        <v>seg</v>
      </c>
      <c r="AZ33" s="97">
        <f>IF(OR(AY33="SÁB",AY33="DOM"),0,IFERROR(8-VLOOKUP(C33,'Dados de consulta'!$A$2:$C$38,3,0),8))</f>
        <v>8</v>
      </c>
      <c r="BA33" s="97">
        <f>IF(OR(AY33="SÁB",AY33="DOM"),0,IFERROR(8-VLOOKUP(D33,'Dados de consulta'!$A$2:$C$38,3,0),8))</f>
        <v>8</v>
      </c>
      <c r="BB33" s="97">
        <f>IF(OR(AY33="SÁB",AY33="DOM"),0,IFERROR(8-VLOOKUP(E33,'Dados de consulta'!$A$2:$C$38,3,0),8))</f>
        <v>8</v>
      </c>
      <c r="BC33" s="97">
        <f>IF(OR(AY33="SÁB",AY33="DOM"),0,IFERROR(8-VLOOKUP(F33,'Dados de consulta'!$A$2:$C$38,3,0),8))</f>
        <v>0</v>
      </c>
      <c r="BD33" s="97">
        <f>IF(OR(AY33="SÁB",AY33="DOM"),0,IFERROR(8-VLOOKUP(G33,'Dados de consulta'!$A$2:$C$38,3,0),8))</f>
        <v>8</v>
      </c>
      <c r="BE33" s="97">
        <f>IF(OR(AY33="SÁB",AY33="DOM"),0,IFERROR(8-VLOOKUP(H33,'Dados de consulta'!$A$2:$C$38,3,0),8))</f>
        <v>8</v>
      </c>
      <c r="BF33" s="97">
        <f>IF(OR(AY33="SÁB",AY33="DOM"),0,IFERROR(8-VLOOKUP(I33,'Dados de consulta'!$A$2:$C$38,3,0),8))</f>
        <v>8</v>
      </c>
      <c r="BG33" s="97">
        <f>IF(OR(AY33="SÁB",AY33="DOM"),0,IFERROR(8-VLOOKUP(J33,'Dados de consulta'!$A$2:$C$38,3,0),8))</f>
        <v>8</v>
      </c>
      <c r="BH33" s="97">
        <f>IF(OR(AY33="SÁB",AY33="DOM"),0,IFERROR(8-VLOOKUP(K33,'Dados de consulta'!$A$2:$C$38,3,0),8))</f>
        <v>0</v>
      </c>
      <c r="BI33" s="97">
        <f>IF(OR(AY33="SÁB",AY33="DOM"),0,IFERROR(8-VLOOKUP(L33,'Dados de consulta'!$A$2:$C$38,3,0),8))</f>
        <v>0</v>
      </c>
      <c r="BJ33" s="97">
        <f>IF(OR(AY33="SÁB",AY33="DOM"),0,IFERROR(8-VLOOKUP(M33,'Dados de consulta'!$A$2:$C$38,3,0),8))</f>
        <v>8</v>
      </c>
      <c r="BK33" s="97">
        <f>IF(OR(AY33="SÁB",AY33="DOM"),0,IFERROR(8-VLOOKUP(N33,'Dados de consulta'!$A$2:$C$38,3,0),8))</f>
        <v>8</v>
      </c>
      <c r="BL33" s="97">
        <f>IF(OR(AY33="SÁB",AY33="DOM"),0,IFERROR(8-VLOOKUP(O33,'Dados de consulta'!$A$2:$C$38,3,0),8))</f>
        <v>8</v>
      </c>
      <c r="BM33" s="97">
        <f>IF(OR(AY33="SÁB",AY33="DOM"),0,IFERROR(8-VLOOKUP(P33,'Dados de consulta'!$A$2:$C$38,3,0),8))</f>
        <v>8</v>
      </c>
      <c r="BN33" s="97">
        <f>IF(OR(AY33="SÁB",AY33="DOM"),0,IFERROR(8-VLOOKUP(Q33,'Dados de consulta'!$A$2:$C$38,3,0),8))</f>
        <v>8</v>
      </c>
      <c r="BO33" s="97">
        <f>IF(OR(AY33="SÁB",AY33="DOM"),0,IFERROR(8-VLOOKUP(R33,'Dados de consulta'!$A$2:$C$38,3,0),8))</f>
        <v>8</v>
      </c>
      <c r="BP33" s="97">
        <f>IF(OR(AY33="SÁB",AY33="DOM"),0,IFERROR(8-VLOOKUP(S33,'Dados de consulta'!$A$2:$C$38,3,0),8))</f>
        <v>8</v>
      </c>
      <c r="BQ33" s="113">
        <f>IFERROR(6-VLOOKUP(T33,'Dados de consulta'!$A$2:$C$38,3,0)+2,6)</f>
        <v>6</v>
      </c>
      <c r="BR33" s="114">
        <f t="shared" si="24"/>
        <v>118</v>
      </c>
      <c r="BS33">
        <f t="shared" si="10"/>
        <v>134</v>
      </c>
      <c r="BU33">
        <f>IFERROR(8-VLOOKUP(U33,'Dados de consulta'!$A:$D,3,0),8)</f>
        <v>8</v>
      </c>
      <c r="BV33">
        <f>IFERROR(8-VLOOKUP(V33,'Dados de consulta'!$A:$D,3,0),8)</f>
        <v>8</v>
      </c>
      <c r="BW33">
        <f t="shared" si="25"/>
        <v>16</v>
      </c>
    </row>
    <row r="34" spans="1:75" ht="15" hidden="1" x14ac:dyDescent="0.2">
      <c r="A34" s="98">
        <v>42157</v>
      </c>
      <c r="B34" s="129" t="str">
        <f t="shared" si="0"/>
        <v>ter</v>
      </c>
      <c r="C34" s="132"/>
      <c r="D34" s="132"/>
      <c r="E34" s="132"/>
      <c r="F34" s="132">
        <v>101</v>
      </c>
      <c r="G34" s="132"/>
      <c r="H34" s="132"/>
      <c r="I34" s="132"/>
      <c r="J34" s="132"/>
      <c r="K34" s="132">
        <v>8</v>
      </c>
      <c r="L34" s="132">
        <v>18</v>
      </c>
      <c r="M34" s="132"/>
      <c r="N34" s="132"/>
      <c r="O34" s="132"/>
      <c r="P34" s="132"/>
      <c r="Q34" s="132"/>
      <c r="R34" s="132"/>
      <c r="S34" s="132"/>
      <c r="T34" s="132"/>
      <c r="U34" s="151"/>
      <c r="V34" s="151"/>
      <c r="W34" s="307" t="s">
        <v>193</v>
      </c>
      <c r="X34" s="308"/>
      <c r="Y34" s="38">
        <f t="shared" si="1"/>
        <v>8</v>
      </c>
      <c r="Z34" s="38">
        <f t="shared" si="2"/>
        <v>8</v>
      </c>
      <c r="AA34" s="38">
        <f t="shared" si="3"/>
        <v>0</v>
      </c>
      <c r="AB34" s="38">
        <f t="shared" si="11"/>
        <v>0</v>
      </c>
      <c r="AC34" s="38">
        <f t="shared" si="12"/>
        <v>0</v>
      </c>
      <c r="AD34" s="38">
        <f t="shared" si="13"/>
        <v>0</v>
      </c>
      <c r="AE34" s="38">
        <f t="shared" si="14"/>
        <v>0</v>
      </c>
      <c r="AF34" s="38">
        <f t="shared" si="15"/>
        <v>0</v>
      </c>
      <c r="AG34" s="33">
        <f t="shared" si="16"/>
        <v>8</v>
      </c>
      <c r="AH34" s="33">
        <f t="shared" si="17"/>
        <v>8</v>
      </c>
      <c r="AI34" s="33">
        <f t="shared" si="18"/>
        <v>0</v>
      </c>
      <c r="AJ34" s="33">
        <f t="shared" si="19"/>
        <v>0</v>
      </c>
      <c r="AK34" s="34">
        <f t="shared" si="20"/>
        <v>5.6338028169014086E-2</v>
      </c>
      <c r="AL34" s="35">
        <f t="shared" si="21"/>
        <v>5.6338028169014086E-2</v>
      </c>
      <c r="AM34" s="34">
        <f t="shared" si="22"/>
        <v>0</v>
      </c>
      <c r="AN34" s="36">
        <f t="shared" si="23"/>
        <v>0</v>
      </c>
      <c r="AO34" s="6">
        <f t="shared" si="4"/>
        <v>0</v>
      </c>
      <c r="AP34">
        <f t="shared" si="5"/>
        <v>8</v>
      </c>
      <c r="AQ34" s="6">
        <f t="shared" si="6"/>
        <v>0</v>
      </c>
      <c r="AR34" s="6">
        <f t="shared" si="7"/>
        <v>0</v>
      </c>
      <c r="AS34" s="6"/>
      <c r="AX34" s="95">
        <f t="shared" si="8"/>
        <v>42157</v>
      </c>
      <c r="AY34" s="96" t="str">
        <f t="shared" si="9"/>
        <v>ter</v>
      </c>
      <c r="AZ34" s="97">
        <f>IF(OR(AY34="SÁB",AY34="DOM"),0,IFERROR(8-VLOOKUP(C34,'Dados de consulta'!$A$2:$C$38,3,0),8))</f>
        <v>8</v>
      </c>
      <c r="BA34" s="97">
        <f>IF(OR(AY34="SÁB",AY34="DOM"),0,IFERROR(8-VLOOKUP(D34,'Dados de consulta'!$A$2:$C$38,3,0),8))</f>
        <v>8</v>
      </c>
      <c r="BB34" s="97">
        <f>IF(OR(AY34="SÁB",AY34="DOM"),0,IFERROR(8-VLOOKUP(E34,'Dados de consulta'!$A$2:$C$38,3,0),8))</f>
        <v>8</v>
      </c>
      <c r="BC34" s="97">
        <f>IF(OR(AY34="SÁB",AY34="DOM"),0,IFERROR(8-VLOOKUP(F34,'Dados de consulta'!$A$2:$C$38,3,0),8))</f>
        <v>0</v>
      </c>
      <c r="BD34" s="97">
        <f>IF(OR(AY34="SÁB",AY34="DOM"),0,IFERROR(8-VLOOKUP(G34,'Dados de consulta'!$A$2:$C$38,3,0),8))</f>
        <v>8</v>
      </c>
      <c r="BE34" s="97">
        <f>IF(OR(AY34="SÁB",AY34="DOM"),0,IFERROR(8-VLOOKUP(H34,'Dados de consulta'!$A$2:$C$38,3,0),8))</f>
        <v>8</v>
      </c>
      <c r="BF34" s="97">
        <f>IF(OR(AY34="SÁB",AY34="DOM"),0,IFERROR(8-VLOOKUP(I34,'Dados de consulta'!$A$2:$C$38,3,0),8))</f>
        <v>8</v>
      </c>
      <c r="BG34" s="97">
        <f>IF(OR(AY34="SÁB",AY34="DOM"),0,IFERROR(8-VLOOKUP(J34,'Dados de consulta'!$A$2:$C$38,3,0),8))</f>
        <v>8</v>
      </c>
      <c r="BH34" s="97">
        <f>IF(OR(AY34="SÁB",AY34="DOM"),0,IFERROR(8-VLOOKUP(K34,'Dados de consulta'!$A$2:$C$38,3,0),8))</f>
        <v>0</v>
      </c>
      <c r="BI34" s="97">
        <f>IF(OR(AY34="SÁB",AY34="DOM"),0,IFERROR(8-VLOOKUP(L34,'Dados de consulta'!$A$2:$C$38,3,0),8))</f>
        <v>0</v>
      </c>
      <c r="BJ34" s="97">
        <f>IF(OR(AY34="SÁB",AY34="DOM"),0,IFERROR(8-VLOOKUP(M34,'Dados de consulta'!$A$2:$C$38,3,0),8))</f>
        <v>8</v>
      </c>
      <c r="BK34" s="97">
        <f>IF(OR(AY34="SÁB",AY34="DOM"),0,IFERROR(8-VLOOKUP(N34,'Dados de consulta'!$A$2:$C$38,3,0),8))</f>
        <v>8</v>
      </c>
      <c r="BL34" s="97">
        <f>IF(OR(AY34="SÁB",AY34="DOM"),0,IFERROR(8-VLOOKUP(O34,'Dados de consulta'!$A$2:$C$38,3,0),8))</f>
        <v>8</v>
      </c>
      <c r="BM34" s="97">
        <f>IF(OR(AY34="SÁB",AY34="DOM"),0,IFERROR(8-VLOOKUP(P34,'Dados de consulta'!$A$2:$C$38,3,0),8))</f>
        <v>8</v>
      </c>
      <c r="BN34" s="97">
        <f>IF(OR(AY34="SÁB",AY34="DOM"),0,IFERROR(8-VLOOKUP(Q34,'Dados de consulta'!$A$2:$C$38,3,0),8))</f>
        <v>8</v>
      </c>
      <c r="BO34" s="97">
        <f>IF(OR(AY34="SÁB",AY34="DOM"),0,IFERROR(8-VLOOKUP(R34,'Dados de consulta'!$A$2:$C$38,3,0),8))</f>
        <v>8</v>
      </c>
      <c r="BP34" s="97">
        <f>IF(OR(AY34="SÁB",AY34="DOM"),0,IFERROR(8-VLOOKUP(S34,'Dados de consulta'!$A$2:$C$38,3,0),8))</f>
        <v>8</v>
      </c>
      <c r="BQ34" s="113">
        <f>IFERROR(6-VLOOKUP(T34,'Dados de consulta'!$A$2:$C$38,3,0)+2,6)</f>
        <v>6</v>
      </c>
      <c r="BR34" s="114">
        <f t="shared" si="24"/>
        <v>118</v>
      </c>
      <c r="BS34">
        <f t="shared" si="10"/>
        <v>134</v>
      </c>
      <c r="BU34">
        <f>IFERROR(8-VLOOKUP(U34,'Dados de consulta'!$A:$D,3,0),8)</f>
        <v>8</v>
      </c>
      <c r="BV34">
        <f>IFERROR(8-VLOOKUP(V34,'Dados de consulta'!$A:$D,3,0),8)</f>
        <v>8</v>
      </c>
      <c r="BW34">
        <f t="shared" si="25"/>
        <v>16</v>
      </c>
    </row>
    <row r="35" spans="1:75" ht="15" hidden="1" x14ac:dyDescent="0.2">
      <c r="A35" s="98">
        <v>42158</v>
      </c>
      <c r="B35" s="129" t="str">
        <f t="shared" si="0"/>
        <v>qua</v>
      </c>
      <c r="C35" s="132"/>
      <c r="D35" s="132"/>
      <c r="E35" s="132"/>
      <c r="F35" s="132">
        <v>101</v>
      </c>
      <c r="G35" s="132"/>
      <c r="H35" s="132"/>
      <c r="I35" s="132"/>
      <c r="J35" s="132" t="s">
        <v>194</v>
      </c>
      <c r="K35" s="132"/>
      <c r="L35" s="132">
        <v>18</v>
      </c>
      <c r="M35" s="132"/>
      <c r="N35" s="132">
        <v>1</v>
      </c>
      <c r="O35" s="132"/>
      <c r="P35" s="132"/>
      <c r="Q35" s="132"/>
      <c r="R35" s="132"/>
      <c r="S35" s="132"/>
      <c r="T35" s="132"/>
      <c r="U35" s="151">
        <v>1</v>
      </c>
      <c r="V35" s="151"/>
      <c r="W35" s="307" t="s">
        <v>193</v>
      </c>
      <c r="X35" s="308"/>
      <c r="Y35" s="38">
        <f t="shared" si="1"/>
        <v>4</v>
      </c>
      <c r="Z35" s="38">
        <f t="shared" si="2"/>
        <v>16</v>
      </c>
      <c r="AA35" s="38">
        <f t="shared" si="3"/>
        <v>0</v>
      </c>
      <c r="AB35" s="38">
        <f t="shared" si="11"/>
        <v>0</v>
      </c>
      <c r="AC35" s="38">
        <f t="shared" si="12"/>
        <v>0</v>
      </c>
      <c r="AD35" s="38">
        <f t="shared" si="13"/>
        <v>0</v>
      </c>
      <c r="AE35" s="38">
        <f t="shared" si="14"/>
        <v>0</v>
      </c>
      <c r="AF35" s="38">
        <f t="shared" si="15"/>
        <v>0</v>
      </c>
      <c r="AG35" s="33">
        <f t="shared" si="16"/>
        <v>4</v>
      </c>
      <c r="AH35" s="33">
        <f t="shared" si="17"/>
        <v>16</v>
      </c>
      <c r="AI35" s="33">
        <f t="shared" si="18"/>
        <v>0</v>
      </c>
      <c r="AJ35" s="33">
        <f t="shared" si="19"/>
        <v>0</v>
      </c>
      <c r="AK35" s="34">
        <f t="shared" si="20"/>
        <v>2.8169014084507043E-2</v>
      </c>
      <c r="AL35" s="35">
        <f t="shared" si="21"/>
        <v>0.11267605633802817</v>
      </c>
      <c r="AM35" s="34">
        <f t="shared" si="22"/>
        <v>0</v>
      </c>
      <c r="AN35" s="36">
        <f t="shared" si="23"/>
        <v>0</v>
      </c>
      <c r="AO35" s="6">
        <f t="shared" si="4"/>
        <v>0</v>
      </c>
      <c r="AP35">
        <f t="shared" si="5"/>
        <v>8</v>
      </c>
      <c r="AQ35" s="6">
        <f t="shared" si="6"/>
        <v>0</v>
      </c>
      <c r="AR35" s="6">
        <f t="shared" si="7"/>
        <v>0</v>
      </c>
      <c r="AS35" s="6"/>
      <c r="AX35" s="95">
        <f t="shared" si="8"/>
        <v>42158</v>
      </c>
      <c r="AY35" s="96" t="str">
        <f t="shared" si="9"/>
        <v>qua</v>
      </c>
      <c r="AZ35" s="97">
        <f>IF(OR(AY35="SÁB",AY35="DOM"),0,IFERROR(8-VLOOKUP(C35,'Dados de consulta'!$A$2:$C$38,3,0),8))</f>
        <v>8</v>
      </c>
      <c r="BA35" s="97">
        <f>IF(OR(AY35="SÁB",AY35="DOM"),0,IFERROR(8-VLOOKUP(D35,'Dados de consulta'!$A$2:$C$38,3,0),8))</f>
        <v>8</v>
      </c>
      <c r="BB35" s="97">
        <f>IF(OR(AY35="SÁB",AY35="DOM"),0,IFERROR(8-VLOOKUP(E35,'Dados de consulta'!$A$2:$C$38,3,0),8))</f>
        <v>8</v>
      </c>
      <c r="BC35" s="97">
        <f>IF(OR(AY35="SÁB",AY35="DOM"),0,IFERROR(8-VLOOKUP(F35,'Dados de consulta'!$A$2:$C$38,3,0),8))</f>
        <v>0</v>
      </c>
      <c r="BD35" s="97">
        <f>IF(OR(AY35="SÁB",AY35="DOM"),0,IFERROR(8-VLOOKUP(G35,'Dados de consulta'!$A$2:$C$38,3,0),8))</f>
        <v>8</v>
      </c>
      <c r="BE35" s="97">
        <f>IF(OR(AY35="SÁB",AY35="DOM"),0,IFERROR(8-VLOOKUP(H35,'Dados de consulta'!$A$2:$C$38,3,0),8))</f>
        <v>8</v>
      </c>
      <c r="BF35" s="97">
        <f>IF(OR(AY35="SÁB",AY35="DOM"),0,IFERROR(8-VLOOKUP(I35,'Dados de consulta'!$A$2:$C$38,3,0),8))</f>
        <v>8</v>
      </c>
      <c r="BG35" s="97">
        <f>IF(OR(AY35="SÁB",AY35="DOM"),0,IFERROR(8-VLOOKUP(J35,'Dados de consulta'!$A$2:$C$38,3,0),8))</f>
        <v>4</v>
      </c>
      <c r="BH35" s="97">
        <f>IF(OR(AY35="SÁB",AY35="DOM"),0,IFERROR(8-VLOOKUP(K35,'Dados de consulta'!$A$2:$C$38,3,0),8))</f>
        <v>8</v>
      </c>
      <c r="BI35" s="97">
        <f>IF(OR(AY35="SÁB",AY35="DOM"),0,IFERROR(8-VLOOKUP(L35,'Dados de consulta'!$A$2:$C$38,3,0),8))</f>
        <v>0</v>
      </c>
      <c r="BJ35" s="97">
        <f>IF(OR(AY35="SÁB",AY35="DOM"),0,IFERROR(8-VLOOKUP(M35,'Dados de consulta'!$A$2:$C$38,3,0),8))</f>
        <v>8</v>
      </c>
      <c r="BK35" s="97">
        <f>IF(OR(AY35="SÁB",AY35="DOM"),0,IFERROR(8-VLOOKUP(N35,'Dados de consulta'!$A$2:$C$38,3,0),8))</f>
        <v>0</v>
      </c>
      <c r="BL35" s="97">
        <f>IF(OR(AY35="SÁB",AY35="DOM"),0,IFERROR(8-VLOOKUP(O35,'Dados de consulta'!$A$2:$C$38,3,0),8))</f>
        <v>8</v>
      </c>
      <c r="BM35" s="97">
        <f>IF(OR(AY35="SÁB",AY35="DOM"),0,IFERROR(8-VLOOKUP(P35,'Dados de consulta'!$A$2:$C$38,3,0),8))</f>
        <v>8</v>
      </c>
      <c r="BN35" s="97">
        <f>IF(OR(AY35="SÁB",AY35="DOM"),0,IFERROR(8-VLOOKUP(Q35,'Dados de consulta'!$A$2:$C$38,3,0),8))</f>
        <v>8</v>
      </c>
      <c r="BO35" s="97">
        <f>IF(OR(AY35="SÁB",AY35="DOM"),0,IFERROR(8-VLOOKUP(R35,'Dados de consulta'!$A$2:$C$38,3,0),8))</f>
        <v>8</v>
      </c>
      <c r="BP35" s="97">
        <f>IF(OR(AY35="SÁB",AY35="DOM"),0,IFERROR(8-VLOOKUP(S35,'Dados de consulta'!$A$2:$C$38,3,0),8))</f>
        <v>8</v>
      </c>
      <c r="BQ35" s="113">
        <f>IFERROR(6-VLOOKUP(T35,'Dados de consulta'!$A$2:$C$38,3,0)+2,6)</f>
        <v>6</v>
      </c>
      <c r="BR35" s="114">
        <f t="shared" si="24"/>
        <v>114</v>
      </c>
      <c r="BS35">
        <f t="shared" si="10"/>
        <v>134</v>
      </c>
      <c r="BU35">
        <f>IFERROR(8-VLOOKUP(U35,'Dados de consulta'!$A:$D,3,0),8)</f>
        <v>0</v>
      </c>
      <c r="BV35">
        <f>IFERROR(8-VLOOKUP(V35,'Dados de consulta'!$A:$D,3,0),8)</f>
        <v>8</v>
      </c>
      <c r="BW35">
        <f t="shared" si="25"/>
        <v>8</v>
      </c>
    </row>
    <row r="36" spans="1:75" ht="15" hidden="1" x14ac:dyDescent="0.2">
      <c r="A36" s="98">
        <v>42159</v>
      </c>
      <c r="B36" s="129" t="str">
        <f t="shared" si="0"/>
        <v>qui</v>
      </c>
      <c r="C36" s="132">
        <v>17</v>
      </c>
      <c r="D36" s="132">
        <v>17</v>
      </c>
      <c r="E36" s="132">
        <v>17</v>
      </c>
      <c r="F36" s="132">
        <v>17</v>
      </c>
      <c r="G36" s="132">
        <v>17</v>
      </c>
      <c r="H36" s="132">
        <v>17</v>
      </c>
      <c r="I36" s="132">
        <v>17</v>
      </c>
      <c r="J36" s="132">
        <v>17</v>
      </c>
      <c r="K36" s="132">
        <v>17</v>
      </c>
      <c r="L36" s="132">
        <v>17</v>
      </c>
      <c r="M36" s="132">
        <v>17</v>
      </c>
      <c r="N36" s="132">
        <v>17</v>
      </c>
      <c r="O36" s="132">
        <v>17</v>
      </c>
      <c r="P36" s="132">
        <v>17</v>
      </c>
      <c r="Q36" s="132">
        <v>17</v>
      </c>
      <c r="R36" s="132">
        <v>17</v>
      </c>
      <c r="S36" s="132">
        <v>17</v>
      </c>
      <c r="T36" s="132">
        <v>17</v>
      </c>
      <c r="U36" s="151">
        <v>17</v>
      </c>
      <c r="V36" s="151">
        <v>17</v>
      </c>
      <c r="W36" s="307" t="s">
        <v>193</v>
      </c>
      <c r="X36" s="308"/>
      <c r="Y36" s="38">
        <f t="shared" si="1"/>
        <v>0</v>
      </c>
      <c r="Z36" s="38">
        <f t="shared" si="2"/>
        <v>0</v>
      </c>
      <c r="AA36" s="38">
        <f t="shared" si="3"/>
        <v>0</v>
      </c>
      <c r="AB36" s="38">
        <f t="shared" si="11"/>
        <v>0</v>
      </c>
      <c r="AC36" s="38">
        <f t="shared" si="12"/>
        <v>0</v>
      </c>
      <c r="AD36" s="38">
        <f t="shared" si="13"/>
        <v>0</v>
      </c>
      <c r="AE36" s="38">
        <f t="shared" si="14"/>
        <v>0</v>
      </c>
      <c r="AF36" s="38">
        <f t="shared" si="15"/>
        <v>0</v>
      </c>
      <c r="AG36" s="33">
        <f t="shared" si="16"/>
        <v>0</v>
      </c>
      <c r="AH36" s="33">
        <f t="shared" si="17"/>
        <v>0</v>
      </c>
      <c r="AI36" s="33">
        <f t="shared" si="18"/>
        <v>0</v>
      </c>
      <c r="AJ36" s="33">
        <f t="shared" si="19"/>
        <v>0</v>
      </c>
      <c r="AK36" s="34">
        <f t="shared" si="20"/>
        <v>0</v>
      </c>
      <c r="AL36" s="35">
        <f t="shared" si="21"/>
        <v>0</v>
      </c>
      <c r="AM36" s="34">
        <f t="shared" si="22"/>
        <v>0</v>
      </c>
      <c r="AN36" s="36">
        <f t="shared" si="23"/>
        <v>0</v>
      </c>
      <c r="AO36" s="6">
        <f t="shared" si="4"/>
        <v>0</v>
      </c>
      <c r="AP36">
        <f t="shared" si="5"/>
        <v>0</v>
      </c>
      <c r="AQ36" s="6">
        <f t="shared" si="6"/>
        <v>0</v>
      </c>
      <c r="AR36" s="6">
        <f t="shared" si="7"/>
        <v>0</v>
      </c>
      <c r="AS36" s="6"/>
      <c r="AX36" s="95">
        <f t="shared" si="8"/>
        <v>42159</v>
      </c>
      <c r="AY36" s="96" t="str">
        <f t="shared" si="9"/>
        <v>qui</v>
      </c>
      <c r="AZ36" s="97">
        <f>IF(OR(AY36="SÁB",AY36="DOM"),0,IFERROR(8-VLOOKUP(C36,'Dados de consulta'!$A$2:$C$38,3,0),8))</f>
        <v>0</v>
      </c>
      <c r="BA36" s="97">
        <f>IF(OR(AY36="SÁB",AY36="DOM"),0,IFERROR(8-VLOOKUP(D36,'Dados de consulta'!$A$2:$C$38,3,0),8))</f>
        <v>0</v>
      </c>
      <c r="BB36" s="97">
        <f>IF(OR(AY36="SÁB",AY36="DOM"),0,IFERROR(8-VLOOKUP(E36,'Dados de consulta'!$A$2:$C$38,3,0),8))</f>
        <v>0</v>
      </c>
      <c r="BC36" s="97">
        <f>IF(OR(AY36="SÁB",AY36="DOM"),0,IFERROR(8-VLOOKUP(F36,'Dados de consulta'!$A$2:$C$38,3,0),8))</f>
        <v>0</v>
      </c>
      <c r="BD36" s="97">
        <f>IF(OR(AY36="SÁB",AY36="DOM"),0,IFERROR(8-VLOOKUP(G36,'Dados de consulta'!$A$2:$C$38,3,0),8))</f>
        <v>0</v>
      </c>
      <c r="BE36" s="97">
        <f>IF(OR(AY36="SÁB",AY36="DOM"),0,IFERROR(8-VLOOKUP(H36,'Dados de consulta'!$A$2:$C$38,3,0),8))</f>
        <v>0</v>
      </c>
      <c r="BF36" s="97">
        <f>IF(OR(AY36="SÁB",AY36="DOM"),0,IFERROR(8-VLOOKUP(I36,'Dados de consulta'!$A$2:$C$38,3,0),8))</f>
        <v>0</v>
      </c>
      <c r="BG36" s="97">
        <f>IF(OR(AY36="SÁB",AY36="DOM"),0,IFERROR(8-VLOOKUP(J36,'Dados de consulta'!$A$2:$C$38,3,0),8))</f>
        <v>0</v>
      </c>
      <c r="BH36" s="97">
        <f>IF(OR(AY36="SÁB",AY36="DOM"),0,IFERROR(8-VLOOKUP(K36,'Dados de consulta'!$A$2:$C$38,3,0),8))</f>
        <v>0</v>
      </c>
      <c r="BI36" s="97">
        <f>IF(OR(AY36="SÁB",AY36="DOM"),0,IFERROR(8-VLOOKUP(L36,'Dados de consulta'!$A$2:$C$38,3,0),8))</f>
        <v>0</v>
      </c>
      <c r="BJ36" s="97">
        <f>IF(OR(AY36="SÁB",AY36="DOM"),0,IFERROR(8-VLOOKUP(M36,'Dados de consulta'!$A$2:$C$38,3,0),8))</f>
        <v>0</v>
      </c>
      <c r="BK36" s="97">
        <f>IF(OR(AY36="SÁB",AY36="DOM"),0,IFERROR(8-VLOOKUP(N36,'Dados de consulta'!$A$2:$C$38,3,0),8))</f>
        <v>0</v>
      </c>
      <c r="BL36" s="97">
        <f>IF(OR(AY36="SÁB",AY36="DOM"),0,IFERROR(8-VLOOKUP(O36,'Dados de consulta'!$A$2:$C$38,3,0),8))</f>
        <v>0</v>
      </c>
      <c r="BM36" s="97">
        <f>IF(OR(AY36="SÁB",AY36="DOM"),0,IFERROR(8-VLOOKUP(P36,'Dados de consulta'!$A$2:$C$38,3,0),8))</f>
        <v>0</v>
      </c>
      <c r="BN36" s="97">
        <f>IF(OR(AY36="SÁB",AY36="DOM"),0,IFERROR(8-VLOOKUP(Q36,'Dados de consulta'!$A$2:$C$38,3,0),8))</f>
        <v>0</v>
      </c>
      <c r="BO36" s="97">
        <f>IF(OR(AY36="SÁB",AY36="DOM"),0,IFERROR(8-VLOOKUP(R36,'Dados de consulta'!$A$2:$C$38,3,0),8))</f>
        <v>0</v>
      </c>
      <c r="BP36" s="97">
        <f>IF(OR(AY36="SÁB",AY36="DOM"),0,IFERROR(8-VLOOKUP(S36,'Dados de consulta'!$A$2:$C$38,3,0),8))</f>
        <v>0</v>
      </c>
      <c r="BQ36" s="113">
        <f>IFERROR(6-VLOOKUP(T36,'Dados de consulta'!$A$2:$C$38,3,0)+2,6)</f>
        <v>0</v>
      </c>
      <c r="BR36" s="114">
        <f t="shared" si="24"/>
        <v>0</v>
      </c>
      <c r="BS36">
        <f t="shared" si="10"/>
        <v>0</v>
      </c>
      <c r="BU36">
        <f>IFERROR(8-VLOOKUP(U36,'Dados de consulta'!$A:$D,3,0),8)</f>
        <v>0</v>
      </c>
      <c r="BV36">
        <f>IFERROR(8-VLOOKUP(V36,'Dados de consulta'!$A:$D,3,0),8)</f>
        <v>0</v>
      </c>
      <c r="BW36">
        <f t="shared" si="25"/>
        <v>0</v>
      </c>
    </row>
    <row r="37" spans="1:75" ht="15" hidden="1" x14ac:dyDescent="0.2">
      <c r="A37" s="98">
        <v>42160</v>
      </c>
      <c r="B37" s="129" t="str">
        <f t="shared" si="0"/>
        <v>sex</v>
      </c>
      <c r="C37" s="132"/>
      <c r="D37" s="132"/>
      <c r="E37" s="132"/>
      <c r="F37" s="132">
        <v>101</v>
      </c>
      <c r="G37" s="132"/>
      <c r="H37" s="132"/>
      <c r="I37" s="132"/>
      <c r="J37" s="132"/>
      <c r="K37" s="132"/>
      <c r="L37" s="132">
        <v>1</v>
      </c>
      <c r="M37" s="132"/>
      <c r="N37" s="132"/>
      <c r="O37" s="132"/>
      <c r="P37" s="132"/>
      <c r="Q37" s="132"/>
      <c r="R37" s="132"/>
      <c r="S37" s="132"/>
      <c r="T37" s="132"/>
      <c r="U37" s="151">
        <v>1</v>
      </c>
      <c r="V37" s="151"/>
      <c r="W37" s="307" t="s">
        <v>193</v>
      </c>
      <c r="X37" s="308"/>
      <c r="Y37" s="38">
        <f t="shared" si="1"/>
        <v>0</v>
      </c>
      <c r="Z37" s="38">
        <f t="shared" si="2"/>
        <v>8</v>
      </c>
      <c r="AA37" s="38">
        <f t="shared" si="3"/>
        <v>0</v>
      </c>
      <c r="AB37" s="38">
        <f t="shared" si="11"/>
        <v>0</v>
      </c>
      <c r="AC37" s="38">
        <f t="shared" si="12"/>
        <v>0</v>
      </c>
      <c r="AD37" s="38">
        <f t="shared" si="13"/>
        <v>0</v>
      </c>
      <c r="AE37" s="38">
        <f t="shared" si="14"/>
        <v>0</v>
      </c>
      <c r="AF37" s="38">
        <f t="shared" si="15"/>
        <v>0</v>
      </c>
      <c r="AG37" s="33">
        <f t="shared" si="16"/>
        <v>0</v>
      </c>
      <c r="AH37" s="33">
        <f t="shared" si="17"/>
        <v>8</v>
      </c>
      <c r="AI37" s="33">
        <f t="shared" si="18"/>
        <v>0</v>
      </c>
      <c r="AJ37" s="33">
        <f t="shared" si="19"/>
        <v>0</v>
      </c>
      <c r="AK37" s="34">
        <f t="shared" si="20"/>
        <v>0</v>
      </c>
      <c r="AL37" s="35">
        <f t="shared" si="21"/>
        <v>5.6338028169014086E-2</v>
      </c>
      <c r="AM37" s="34">
        <f t="shared" si="22"/>
        <v>0</v>
      </c>
      <c r="AN37" s="36">
        <f t="shared" si="23"/>
        <v>0</v>
      </c>
      <c r="AO37" s="6">
        <f t="shared" si="4"/>
        <v>0</v>
      </c>
      <c r="AP37">
        <f t="shared" si="5"/>
        <v>8</v>
      </c>
      <c r="AQ37" s="6">
        <f t="shared" si="6"/>
        <v>0</v>
      </c>
      <c r="AR37" s="6">
        <f t="shared" si="7"/>
        <v>0</v>
      </c>
      <c r="AS37" s="6"/>
      <c r="AX37" s="95">
        <f t="shared" si="8"/>
        <v>42160</v>
      </c>
      <c r="AY37" s="96" t="str">
        <f t="shared" si="9"/>
        <v>sex</v>
      </c>
      <c r="AZ37" s="97">
        <f>IF(OR(AY37="SÁB",AY37="DOM"),0,IFERROR(8-VLOOKUP(C37,'Dados de consulta'!$A$2:$C$38,3,0),8))</f>
        <v>8</v>
      </c>
      <c r="BA37" s="97">
        <f>IF(OR(AY37="SÁB",AY37="DOM"),0,IFERROR(8-VLOOKUP(D37,'Dados de consulta'!$A$2:$C$38,3,0),8))</f>
        <v>8</v>
      </c>
      <c r="BB37" s="97">
        <f>IF(OR(AY37="SÁB",AY37="DOM"),0,IFERROR(8-VLOOKUP(E37,'Dados de consulta'!$A$2:$C$38,3,0),8))</f>
        <v>8</v>
      </c>
      <c r="BC37" s="97">
        <f>IF(OR(AY37="SÁB",AY37="DOM"),0,IFERROR(8-VLOOKUP(F37,'Dados de consulta'!$A$2:$C$38,3,0),8))</f>
        <v>0</v>
      </c>
      <c r="BD37" s="97">
        <f>IF(OR(AY37="SÁB",AY37="DOM"),0,IFERROR(8-VLOOKUP(G37,'Dados de consulta'!$A$2:$C$38,3,0),8))</f>
        <v>8</v>
      </c>
      <c r="BE37" s="97">
        <f>IF(OR(AY37="SÁB",AY37="DOM"),0,IFERROR(8-VLOOKUP(H37,'Dados de consulta'!$A$2:$C$38,3,0),8))</f>
        <v>8</v>
      </c>
      <c r="BF37" s="97">
        <f>IF(OR(AY37="SÁB",AY37="DOM"),0,IFERROR(8-VLOOKUP(I37,'Dados de consulta'!$A$2:$C$38,3,0),8))</f>
        <v>8</v>
      </c>
      <c r="BG37" s="97">
        <f>IF(OR(AY37="SÁB",AY37="DOM"),0,IFERROR(8-VLOOKUP(J37,'Dados de consulta'!$A$2:$C$38,3,0),8))</f>
        <v>8</v>
      </c>
      <c r="BH37" s="97">
        <f>IF(OR(AY37="SÁB",AY37="DOM"),0,IFERROR(8-VLOOKUP(K37,'Dados de consulta'!$A$2:$C$38,3,0),8))</f>
        <v>8</v>
      </c>
      <c r="BI37" s="97">
        <f>IF(OR(AY37="SÁB",AY37="DOM"),0,IFERROR(8-VLOOKUP(L37,'Dados de consulta'!$A$2:$C$38,3,0),8))</f>
        <v>0</v>
      </c>
      <c r="BJ37" s="97">
        <f>IF(OR(AY37="SÁB",AY37="DOM"),0,IFERROR(8-VLOOKUP(M37,'Dados de consulta'!$A$2:$C$38,3,0),8))</f>
        <v>8</v>
      </c>
      <c r="BK37" s="97">
        <f>IF(OR(AY37="SÁB",AY37="DOM"),0,IFERROR(8-VLOOKUP(N37,'Dados de consulta'!$A$2:$C$38,3,0),8))</f>
        <v>8</v>
      </c>
      <c r="BL37" s="97">
        <f>IF(OR(AY37="SÁB",AY37="DOM"),0,IFERROR(8-VLOOKUP(O37,'Dados de consulta'!$A$2:$C$38,3,0),8))</f>
        <v>8</v>
      </c>
      <c r="BM37" s="97">
        <f>IF(OR(AY37="SÁB",AY37="DOM"),0,IFERROR(8-VLOOKUP(P37,'Dados de consulta'!$A$2:$C$38,3,0),8))</f>
        <v>8</v>
      </c>
      <c r="BN37" s="97">
        <f>IF(OR(AY37="SÁB",AY37="DOM"),0,IFERROR(8-VLOOKUP(Q37,'Dados de consulta'!$A$2:$C$38,3,0),8))</f>
        <v>8</v>
      </c>
      <c r="BO37" s="97">
        <f>IF(OR(AY37="SÁB",AY37="DOM"),0,IFERROR(8-VLOOKUP(R37,'Dados de consulta'!$A$2:$C$38,3,0),8))</f>
        <v>8</v>
      </c>
      <c r="BP37" s="97">
        <f>IF(OR(AY37="SÁB",AY37="DOM"),0,IFERROR(8-VLOOKUP(S37,'Dados de consulta'!$A$2:$C$38,3,0),8))</f>
        <v>8</v>
      </c>
      <c r="BQ37" s="113">
        <f>IFERROR(6-VLOOKUP(T37,'Dados de consulta'!$A$2:$C$38,3,0)+2,6)</f>
        <v>6</v>
      </c>
      <c r="BR37" s="114">
        <f t="shared" si="24"/>
        <v>126</v>
      </c>
      <c r="BS37">
        <f t="shared" si="10"/>
        <v>134</v>
      </c>
      <c r="BU37">
        <f>IFERROR(8-VLOOKUP(U37,'Dados de consulta'!$A:$D,3,0),8)</f>
        <v>0</v>
      </c>
      <c r="BV37">
        <f>IFERROR(8-VLOOKUP(V37,'Dados de consulta'!$A:$D,3,0),8)</f>
        <v>8</v>
      </c>
      <c r="BW37">
        <f t="shared" si="25"/>
        <v>8</v>
      </c>
    </row>
    <row r="38" spans="1:75" ht="15" hidden="1" x14ac:dyDescent="0.2">
      <c r="A38" s="98">
        <v>42161</v>
      </c>
      <c r="B38" s="129" t="str">
        <f t="shared" si="0"/>
        <v>sáb</v>
      </c>
      <c r="C38" s="132"/>
      <c r="D38" s="132"/>
      <c r="E38" s="132"/>
      <c r="F38" s="132">
        <v>101</v>
      </c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51"/>
      <c r="V38" s="151"/>
      <c r="W38" s="307" t="s">
        <v>193</v>
      </c>
      <c r="X38" s="308"/>
      <c r="Y38" s="38">
        <f t="shared" si="1"/>
        <v>0</v>
      </c>
      <c r="Z38" s="38">
        <f t="shared" si="2"/>
        <v>0</v>
      </c>
      <c r="AA38" s="38">
        <f t="shared" si="3"/>
        <v>0</v>
      </c>
      <c r="AB38" s="38">
        <f t="shared" si="11"/>
        <v>0</v>
      </c>
      <c r="AC38" s="38">
        <f t="shared" si="12"/>
        <v>0</v>
      </c>
      <c r="AD38" s="38">
        <f t="shared" si="13"/>
        <v>0</v>
      </c>
      <c r="AE38" s="38">
        <f t="shared" si="14"/>
        <v>0</v>
      </c>
      <c r="AF38" s="38">
        <f t="shared" si="15"/>
        <v>0</v>
      </c>
      <c r="AG38" s="33">
        <f t="shared" si="16"/>
        <v>0</v>
      </c>
      <c r="AH38" s="33">
        <f t="shared" si="17"/>
        <v>0</v>
      </c>
      <c r="AI38" s="33">
        <f t="shared" si="18"/>
        <v>0</v>
      </c>
      <c r="AJ38" s="33">
        <f t="shared" si="19"/>
        <v>0</v>
      </c>
      <c r="AK38" s="34">
        <f t="shared" si="20"/>
        <v>0</v>
      </c>
      <c r="AL38" s="35">
        <f t="shared" si="21"/>
        <v>0</v>
      </c>
      <c r="AM38" s="34">
        <f t="shared" si="22"/>
        <v>0</v>
      </c>
      <c r="AN38" s="36">
        <f t="shared" si="23"/>
        <v>0</v>
      </c>
      <c r="AO38" s="6">
        <f t="shared" si="4"/>
        <v>0</v>
      </c>
      <c r="AP38">
        <f t="shared" si="5"/>
        <v>8</v>
      </c>
      <c r="AQ38" s="6">
        <f t="shared" si="6"/>
        <v>0</v>
      </c>
      <c r="AR38" s="6">
        <f t="shared" si="7"/>
        <v>0</v>
      </c>
      <c r="AS38" s="6"/>
      <c r="AX38" s="95">
        <f t="shared" si="8"/>
        <v>42161</v>
      </c>
      <c r="AY38" s="96" t="str">
        <f t="shared" si="9"/>
        <v>sáb</v>
      </c>
      <c r="AZ38" s="97">
        <f>IF(OR(AY38="SÁB",AY38="DOM"),0,IFERROR(8-VLOOKUP(C38,'Dados de consulta'!$A$2:$C$38,3,0),8))</f>
        <v>0</v>
      </c>
      <c r="BA38" s="97">
        <f>IF(OR(AY38="SÁB",AY38="DOM"),0,IFERROR(8-VLOOKUP(D38,'Dados de consulta'!$A$2:$C$38,3,0),8))</f>
        <v>0</v>
      </c>
      <c r="BB38" s="97">
        <f>IF(OR(AY38="SÁB",AY38="DOM"),0,IFERROR(8-VLOOKUP(E38,'Dados de consulta'!$A$2:$C$38,3,0),8))</f>
        <v>0</v>
      </c>
      <c r="BC38" s="97">
        <f>IF(OR(AY38="SÁB",AY38="DOM"),0,IFERROR(8-VLOOKUP(F38,'Dados de consulta'!$A$2:$C$38,3,0),8))</f>
        <v>0</v>
      </c>
      <c r="BD38" s="97">
        <f>IF(OR(AY38="SÁB",AY38="DOM"),0,IFERROR(8-VLOOKUP(G38,'Dados de consulta'!$A$2:$C$38,3,0),8))</f>
        <v>0</v>
      </c>
      <c r="BE38" s="97">
        <f>IF(OR(AY38="SÁB",AY38="DOM"),0,IFERROR(8-VLOOKUP(H38,'Dados de consulta'!$A$2:$C$38,3,0),8))</f>
        <v>0</v>
      </c>
      <c r="BF38" s="97">
        <f>IF(OR(AY38="SÁB",AY38="DOM"),0,IFERROR(8-VLOOKUP(I38,'Dados de consulta'!$A$2:$C$38,3,0),8))</f>
        <v>0</v>
      </c>
      <c r="BG38" s="97">
        <f>IF(OR(AY38="SÁB",AY38="DOM"),0,IFERROR(8-VLOOKUP(J38,'Dados de consulta'!$A$2:$C$38,3,0),8))</f>
        <v>0</v>
      </c>
      <c r="BH38" s="97">
        <f>IF(OR(AY38="SÁB",AY38="DOM"),0,IFERROR(8-VLOOKUP(K38,'Dados de consulta'!$A$2:$C$38,3,0),8))</f>
        <v>0</v>
      </c>
      <c r="BI38" s="97">
        <f>IF(OR(AY38="SÁB",AY38="DOM"),0,IFERROR(8-VLOOKUP(L38,'Dados de consulta'!$A$2:$C$38,3,0),8))</f>
        <v>0</v>
      </c>
      <c r="BJ38" s="97">
        <f>IF(OR(AY38="SÁB",AY38="DOM"),0,IFERROR(8-VLOOKUP(M38,'Dados de consulta'!$A$2:$C$38,3,0),8))</f>
        <v>0</v>
      </c>
      <c r="BK38" s="97">
        <f>IF(OR(AY38="SÁB",AY38="DOM"),0,IFERROR(8-VLOOKUP(N38,'Dados de consulta'!$A$2:$C$38,3,0),8))</f>
        <v>0</v>
      </c>
      <c r="BL38" s="97">
        <f>IF(OR(AY38="SÁB",AY38="DOM"),0,IFERROR(8-VLOOKUP(O38,'Dados de consulta'!$A$2:$C$38,3,0),8))</f>
        <v>0</v>
      </c>
      <c r="BM38" s="97">
        <f>IF(OR(AY38="SÁB",AY38="DOM"),0,IFERROR(8-VLOOKUP(P38,'Dados de consulta'!$A$2:$C$38,3,0),8))</f>
        <v>0</v>
      </c>
      <c r="BN38" s="97">
        <f>IF(OR(AY38="SÁB",AY38="DOM"),0,IFERROR(8-VLOOKUP(Q38,'Dados de consulta'!$A$2:$C$38,3,0),8))</f>
        <v>0</v>
      </c>
      <c r="BO38" s="97">
        <f>IF(OR(AY38="SÁB",AY38="DOM"),0,IFERROR(8-VLOOKUP(R38,'Dados de consulta'!$A$2:$C$38,3,0),8))</f>
        <v>0</v>
      </c>
      <c r="BP38" s="97">
        <f>IF(OR(AY38="SÁB",AY38="DOM"),0,IFERROR(8-VLOOKUP(S38,'Dados de consulta'!$A$2:$C$38,3,0),8))</f>
        <v>0</v>
      </c>
      <c r="BQ38" s="113">
        <f>IFERROR(6-VLOOKUP(T38,'Dados de consulta'!$A$2:$C$38,3,0)+2,6)</f>
        <v>6</v>
      </c>
      <c r="BR38" s="114">
        <f t="shared" si="24"/>
        <v>0</v>
      </c>
      <c r="BS38">
        <f t="shared" si="10"/>
        <v>0</v>
      </c>
      <c r="BU38">
        <f>IFERROR(8-VLOOKUP(U38,'Dados de consulta'!$A:$D,3,0),8)</f>
        <v>8</v>
      </c>
      <c r="BV38">
        <f>IFERROR(8-VLOOKUP(V38,'Dados de consulta'!$A:$D,3,0),8)</f>
        <v>8</v>
      </c>
      <c r="BW38">
        <f t="shared" si="25"/>
        <v>16</v>
      </c>
    </row>
    <row r="39" spans="1:75" ht="15" hidden="1" x14ac:dyDescent="0.2">
      <c r="A39" s="98">
        <v>42162</v>
      </c>
      <c r="B39" s="129" t="str">
        <f t="shared" si="0"/>
        <v>dom</v>
      </c>
      <c r="C39" s="132"/>
      <c r="D39" s="132"/>
      <c r="E39" s="132"/>
      <c r="F39" s="132">
        <v>101</v>
      </c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51"/>
      <c r="V39" s="151"/>
      <c r="W39" s="307" t="s">
        <v>193</v>
      </c>
      <c r="X39" s="308"/>
      <c r="Y39" s="38">
        <f t="shared" si="1"/>
        <v>0</v>
      </c>
      <c r="Z39" s="38">
        <f t="shared" si="2"/>
        <v>0</v>
      </c>
      <c r="AA39" s="38">
        <f t="shared" si="3"/>
        <v>0</v>
      </c>
      <c r="AB39" s="38">
        <f t="shared" si="11"/>
        <v>0</v>
      </c>
      <c r="AC39" s="38">
        <f t="shared" si="12"/>
        <v>0</v>
      </c>
      <c r="AD39" s="38">
        <f t="shared" si="13"/>
        <v>0</v>
      </c>
      <c r="AE39" s="38">
        <f t="shared" si="14"/>
        <v>0</v>
      </c>
      <c r="AF39" s="38">
        <f t="shared" si="15"/>
        <v>0</v>
      </c>
      <c r="AG39" s="33">
        <f t="shared" si="16"/>
        <v>0</v>
      </c>
      <c r="AH39" s="33">
        <f t="shared" si="17"/>
        <v>0</v>
      </c>
      <c r="AI39" s="33">
        <f t="shared" si="18"/>
        <v>0</v>
      </c>
      <c r="AJ39" s="33">
        <f t="shared" si="19"/>
        <v>0</v>
      </c>
      <c r="AK39" s="34">
        <f t="shared" si="20"/>
        <v>0</v>
      </c>
      <c r="AL39" s="35">
        <f t="shared" si="21"/>
        <v>0</v>
      </c>
      <c r="AM39" s="34">
        <f t="shared" si="22"/>
        <v>0</v>
      </c>
      <c r="AN39" s="36">
        <f t="shared" si="23"/>
        <v>0</v>
      </c>
      <c r="AO39" s="6">
        <f t="shared" si="4"/>
        <v>0</v>
      </c>
      <c r="AP39">
        <f t="shared" si="5"/>
        <v>8</v>
      </c>
      <c r="AQ39" s="6">
        <f t="shared" si="6"/>
        <v>0</v>
      </c>
      <c r="AR39" s="6">
        <f t="shared" si="7"/>
        <v>0</v>
      </c>
      <c r="AS39" s="6"/>
      <c r="AX39" s="95">
        <f t="shared" si="8"/>
        <v>42162</v>
      </c>
      <c r="AY39" s="96" t="str">
        <f t="shared" si="9"/>
        <v>dom</v>
      </c>
      <c r="AZ39" s="97">
        <f>IF(OR(AY39="SÁB",AY39="DOM"),0,IFERROR(8-VLOOKUP(C39,'Dados de consulta'!$A$2:$C$38,3,0),8))</f>
        <v>0</v>
      </c>
      <c r="BA39" s="97">
        <f>IF(OR(AY39="SÁB",AY39="DOM"),0,IFERROR(8-VLOOKUP(D39,'Dados de consulta'!$A$2:$C$38,3,0),8))</f>
        <v>0</v>
      </c>
      <c r="BB39" s="97">
        <f>IF(OR(AY39="SÁB",AY39="DOM"),0,IFERROR(8-VLOOKUP(E39,'Dados de consulta'!$A$2:$C$38,3,0),8))</f>
        <v>0</v>
      </c>
      <c r="BC39" s="97">
        <f>IF(OR(AY39="SÁB",AY39="DOM"),0,IFERROR(8-VLOOKUP(F39,'Dados de consulta'!$A$2:$C$38,3,0),8))</f>
        <v>0</v>
      </c>
      <c r="BD39" s="97">
        <f>IF(OR(AY39="SÁB",AY39="DOM"),0,IFERROR(8-VLOOKUP(G39,'Dados de consulta'!$A$2:$C$38,3,0),8))</f>
        <v>0</v>
      </c>
      <c r="BE39" s="97">
        <f>IF(OR(AY39="SÁB",AY39="DOM"),0,IFERROR(8-VLOOKUP(H39,'Dados de consulta'!$A$2:$C$38,3,0),8))</f>
        <v>0</v>
      </c>
      <c r="BF39" s="97">
        <f>IF(OR(AY39="SÁB",AY39="DOM"),0,IFERROR(8-VLOOKUP(I39,'Dados de consulta'!$A$2:$C$38,3,0),8))</f>
        <v>0</v>
      </c>
      <c r="BG39" s="97">
        <f>IF(OR(AY39="SÁB",AY39="DOM"),0,IFERROR(8-VLOOKUP(J39,'Dados de consulta'!$A$2:$C$38,3,0),8))</f>
        <v>0</v>
      </c>
      <c r="BH39" s="97">
        <f>IF(OR(AY39="SÁB",AY39="DOM"),0,IFERROR(8-VLOOKUP(K39,'Dados de consulta'!$A$2:$C$38,3,0),8))</f>
        <v>0</v>
      </c>
      <c r="BI39" s="97">
        <f>IF(OR(AY39="SÁB",AY39="DOM"),0,IFERROR(8-VLOOKUP(L39,'Dados de consulta'!$A$2:$C$38,3,0),8))</f>
        <v>0</v>
      </c>
      <c r="BJ39" s="97">
        <f>IF(OR(AY39="SÁB",AY39="DOM"),0,IFERROR(8-VLOOKUP(M39,'Dados de consulta'!$A$2:$C$38,3,0),8))</f>
        <v>0</v>
      </c>
      <c r="BK39" s="97">
        <f>IF(OR(AY39="SÁB",AY39="DOM"),0,IFERROR(8-VLOOKUP(N39,'Dados de consulta'!$A$2:$C$38,3,0),8))</f>
        <v>0</v>
      </c>
      <c r="BL39" s="97">
        <f>IF(OR(AY39="SÁB",AY39="DOM"),0,IFERROR(8-VLOOKUP(O39,'Dados de consulta'!$A$2:$C$38,3,0),8))</f>
        <v>0</v>
      </c>
      <c r="BM39" s="97">
        <f>IF(OR(AY39="SÁB",AY39="DOM"),0,IFERROR(8-VLOOKUP(P39,'Dados de consulta'!$A$2:$C$38,3,0),8))</f>
        <v>0</v>
      </c>
      <c r="BN39" s="97">
        <f>IF(OR(AY39="SÁB",AY39="DOM"),0,IFERROR(8-VLOOKUP(Q39,'Dados de consulta'!$A$2:$C$38,3,0),8))</f>
        <v>0</v>
      </c>
      <c r="BO39" s="97">
        <f>IF(OR(AY39="SÁB",AY39="DOM"),0,IFERROR(8-VLOOKUP(R39,'Dados de consulta'!$A$2:$C$38,3,0),8))</f>
        <v>0</v>
      </c>
      <c r="BP39" s="97">
        <f>IF(OR(AY39="SÁB",AY39="DOM"),0,IFERROR(8-VLOOKUP(S39,'Dados de consulta'!$A$2:$C$38,3,0),8))</f>
        <v>0</v>
      </c>
      <c r="BQ39" s="113">
        <f>IFERROR(6-VLOOKUP(T39,'Dados de consulta'!$A$2:$C$38,3,0)+2,6)</f>
        <v>6</v>
      </c>
      <c r="BR39" s="114">
        <f t="shared" si="24"/>
        <v>0</v>
      </c>
      <c r="BS39">
        <f t="shared" si="10"/>
        <v>0</v>
      </c>
      <c r="BU39">
        <f>IFERROR(8-VLOOKUP(U39,'Dados de consulta'!$A:$D,3,0),8)</f>
        <v>8</v>
      </c>
      <c r="BV39">
        <f>IFERROR(8-VLOOKUP(V39,'Dados de consulta'!$A:$D,3,0),8)</f>
        <v>8</v>
      </c>
      <c r="BW39">
        <f t="shared" si="25"/>
        <v>16</v>
      </c>
    </row>
    <row r="40" spans="1:75" ht="15" hidden="1" x14ac:dyDescent="0.2">
      <c r="A40" s="98">
        <v>42163</v>
      </c>
      <c r="B40" s="129" t="str">
        <f t="shared" si="0"/>
        <v>seg</v>
      </c>
      <c r="C40" s="132"/>
      <c r="D40" s="132"/>
      <c r="E40" s="132"/>
      <c r="F40" s="132">
        <v>101</v>
      </c>
      <c r="G40" s="132"/>
      <c r="H40" s="132">
        <v>8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51"/>
      <c r="V40" s="151"/>
      <c r="W40" s="307" t="s">
        <v>193</v>
      </c>
      <c r="X40" s="308"/>
      <c r="Y40" s="38">
        <f t="shared" si="1"/>
        <v>8</v>
      </c>
      <c r="Z40" s="38">
        <f t="shared" si="2"/>
        <v>0</v>
      </c>
      <c r="AA40" s="38">
        <f t="shared" si="3"/>
        <v>0</v>
      </c>
      <c r="AB40" s="38">
        <f t="shared" si="11"/>
        <v>0</v>
      </c>
      <c r="AC40" s="38">
        <f t="shared" si="12"/>
        <v>0</v>
      </c>
      <c r="AD40" s="38">
        <f t="shared" si="13"/>
        <v>0</v>
      </c>
      <c r="AE40" s="38">
        <f t="shared" si="14"/>
        <v>0</v>
      </c>
      <c r="AF40" s="38">
        <f t="shared" si="15"/>
        <v>0</v>
      </c>
      <c r="AG40" s="33">
        <f t="shared" si="16"/>
        <v>8</v>
      </c>
      <c r="AH40" s="33">
        <f t="shared" si="17"/>
        <v>0</v>
      </c>
      <c r="AI40" s="33">
        <f t="shared" si="18"/>
        <v>0</v>
      </c>
      <c r="AJ40" s="33">
        <f t="shared" si="19"/>
        <v>0</v>
      </c>
      <c r="AK40" s="34">
        <f t="shared" si="20"/>
        <v>5.6338028169014086E-2</v>
      </c>
      <c r="AL40" s="35">
        <f t="shared" si="21"/>
        <v>0</v>
      </c>
      <c r="AM40" s="34">
        <f t="shared" si="22"/>
        <v>0</v>
      </c>
      <c r="AN40" s="36">
        <f t="shared" si="23"/>
        <v>0</v>
      </c>
      <c r="AO40" s="6">
        <f t="shared" si="4"/>
        <v>0</v>
      </c>
      <c r="AP40">
        <f t="shared" si="5"/>
        <v>8</v>
      </c>
      <c r="AQ40" s="6">
        <f t="shared" si="6"/>
        <v>0</v>
      </c>
      <c r="AR40" s="6">
        <f t="shared" si="7"/>
        <v>0</v>
      </c>
      <c r="AS40" s="6"/>
      <c r="AX40" s="95">
        <f t="shared" si="8"/>
        <v>42163</v>
      </c>
      <c r="AY40" s="96" t="str">
        <f t="shared" si="9"/>
        <v>seg</v>
      </c>
      <c r="AZ40" s="97">
        <f>IF(OR(AY40="SÁB",AY40="DOM"),0,IFERROR(8-VLOOKUP(C40,'Dados de consulta'!$A$2:$C$38,3,0),8))</f>
        <v>8</v>
      </c>
      <c r="BA40" s="97">
        <f>IF(OR(AY40="SÁB",AY40="DOM"),0,IFERROR(8-VLOOKUP(D40,'Dados de consulta'!$A$2:$C$38,3,0),8))</f>
        <v>8</v>
      </c>
      <c r="BB40" s="97">
        <f>IF(OR(AY40="SÁB",AY40="DOM"),0,IFERROR(8-VLOOKUP(E40,'Dados de consulta'!$A$2:$C$38,3,0),8))</f>
        <v>8</v>
      </c>
      <c r="BC40" s="97">
        <f>IF(OR(AY40="SÁB",AY40="DOM"),0,IFERROR(8-VLOOKUP(F40,'Dados de consulta'!$A$2:$C$38,3,0),8))</f>
        <v>0</v>
      </c>
      <c r="BD40" s="97">
        <f>IF(OR(AY40="SÁB",AY40="DOM"),0,IFERROR(8-VLOOKUP(G40,'Dados de consulta'!$A$2:$C$38,3,0),8))</f>
        <v>8</v>
      </c>
      <c r="BE40" s="97">
        <f>IF(OR(AY40="SÁB",AY40="DOM"),0,IFERROR(8-VLOOKUP(H40,'Dados de consulta'!$A$2:$C$38,3,0),8))</f>
        <v>0</v>
      </c>
      <c r="BF40" s="97">
        <f>IF(OR(AY40="SÁB",AY40="DOM"),0,IFERROR(8-VLOOKUP(I40,'Dados de consulta'!$A$2:$C$38,3,0),8))</f>
        <v>8</v>
      </c>
      <c r="BG40" s="97">
        <f>IF(OR(AY40="SÁB",AY40="DOM"),0,IFERROR(8-VLOOKUP(J40,'Dados de consulta'!$A$2:$C$38,3,0),8))</f>
        <v>8</v>
      </c>
      <c r="BH40" s="97">
        <f>IF(OR(AY40="SÁB",AY40="DOM"),0,IFERROR(8-VLOOKUP(K40,'Dados de consulta'!$A$2:$C$38,3,0),8))</f>
        <v>8</v>
      </c>
      <c r="BI40" s="97">
        <f>IF(OR(AY40="SÁB",AY40="DOM"),0,IFERROR(8-VLOOKUP(L40,'Dados de consulta'!$A$2:$C$38,3,0),8))</f>
        <v>8</v>
      </c>
      <c r="BJ40" s="97">
        <f>IF(OR(AY40="SÁB",AY40="DOM"),0,IFERROR(8-VLOOKUP(M40,'Dados de consulta'!$A$2:$C$38,3,0),8))</f>
        <v>8</v>
      </c>
      <c r="BK40" s="97">
        <f>IF(OR(AY40="SÁB",AY40="DOM"),0,IFERROR(8-VLOOKUP(N40,'Dados de consulta'!$A$2:$C$38,3,0),8))</f>
        <v>8</v>
      </c>
      <c r="BL40" s="97">
        <f>IF(OR(AY40="SÁB",AY40="DOM"),0,IFERROR(8-VLOOKUP(O40,'Dados de consulta'!$A$2:$C$38,3,0),8))</f>
        <v>8</v>
      </c>
      <c r="BM40" s="97">
        <f>IF(OR(AY40="SÁB",AY40="DOM"),0,IFERROR(8-VLOOKUP(P40,'Dados de consulta'!$A$2:$C$38,3,0),8))</f>
        <v>8</v>
      </c>
      <c r="BN40" s="97">
        <f>IF(OR(AY40="SÁB",AY40="DOM"),0,IFERROR(8-VLOOKUP(Q40,'Dados de consulta'!$A$2:$C$38,3,0),8))</f>
        <v>8</v>
      </c>
      <c r="BO40" s="97">
        <f>IF(OR(AY40="SÁB",AY40="DOM"),0,IFERROR(8-VLOOKUP(R40,'Dados de consulta'!$A$2:$C$38,3,0),8))</f>
        <v>8</v>
      </c>
      <c r="BP40" s="97">
        <f>IF(OR(AY40="SÁB",AY40="DOM"),0,IFERROR(8-VLOOKUP(S40,'Dados de consulta'!$A$2:$C$38,3,0),8))</f>
        <v>8</v>
      </c>
      <c r="BQ40" s="113">
        <f>IFERROR(6-VLOOKUP(T40,'Dados de consulta'!$A$2:$C$38,3,0)+2,6)</f>
        <v>6</v>
      </c>
      <c r="BR40" s="114">
        <f t="shared" si="24"/>
        <v>126</v>
      </c>
      <c r="BS40">
        <f t="shared" si="10"/>
        <v>134</v>
      </c>
      <c r="BU40">
        <f>IFERROR(8-VLOOKUP(U40,'Dados de consulta'!$A:$D,3,0),8)</f>
        <v>8</v>
      </c>
      <c r="BV40">
        <f>IFERROR(8-VLOOKUP(V40,'Dados de consulta'!$A:$D,3,0),8)</f>
        <v>8</v>
      </c>
      <c r="BW40">
        <f t="shared" si="25"/>
        <v>16</v>
      </c>
    </row>
    <row r="41" spans="1:75" ht="15" hidden="1" x14ac:dyDescent="0.2">
      <c r="A41" s="98">
        <v>42164</v>
      </c>
      <c r="B41" s="129" t="str">
        <f t="shared" si="0"/>
        <v>ter</v>
      </c>
      <c r="C41" s="132"/>
      <c r="D41" s="132"/>
      <c r="E41" s="132"/>
      <c r="F41" s="132">
        <v>101</v>
      </c>
      <c r="G41" s="132"/>
      <c r="H41" s="132">
        <v>8</v>
      </c>
      <c r="I41" s="132"/>
      <c r="J41" s="132"/>
      <c r="K41" s="132"/>
      <c r="L41" s="132"/>
      <c r="M41" s="132"/>
      <c r="N41" s="132"/>
      <c r="O41" s="132"/>
      <c r="P41" s="132">
        <v>1</v>
      </c>
      <c r="Q41" s="132"/>
      <c r="R41" s="132"/>
      <c r="S41" s="132"/>
      <c r="T41" s="132"/>
      <c r="U41" s="151"/>
      <c r="V41" s="151"/>
      <c r="W41" s="307" t="s">
        <v>193</v>
      </c>
      <c r="X41" s="308"/>
      <c r="Y41" s="38">
        <f t="shared" si="1"/>
        <v>8</v>
      </c>
      <c r="Z41" s="38">
        <f t="shared" si="2"/>
        <v>8</v>
      </c>
      <c r="AA41" s="38">
        <f t="shared" si="3"/>
        <v>0</v>
      </c>
      <c r="AB41" s="38">
        <f t="shared" si="11"/>
        <v>0</v>
      </c>
      <c r="AC41" s="38">
        <f t="shared" si="12"/>
        <v>0</v>
      </c>
      <c r="AD41" s="38">
        <f t="shared" si="13"/>
        <v>0</v>
      </c>
      <c r="AE41" s="38">
        <f t="shared" si="14"/>
        <v>0</v>
      </c>
      <c r="AF41" s="38">
        <f t="shared" si="15"/>
        <v>0</v>
      </c>
      <c r="AG41" s="33">
        <f t="shared" si="16"/>
        <v>8</v>
      </c>
      <c r="AH41" s="33">
        <f t="shared" si="17"/>
        <v>8</v>
      </c>
      <c r="AI41" s="33">
        <f t="shared" si="18"/>
        <v>0</v>
      </c>
      <c r="AJ41" s="33">
        <f t="shared" si="19"/>
        <v>0</v>
      </c>
      <c r="AK41" s="34">
        <f t="shared" si="20"/>
        <v>5.6338028169014086E-2</v>
      </c>
      <c r="AL41" s="35">
        <f t="shared" si="21"/>
        <v>5.6338028169014086E-2</v>
      </c>
      <c r="AM41" s="34">
        <f t="shared" si="22"/>
        <v>0</v>
      </c>
      <c r="AN41" s="36">
        <f t="shared" si="23"/>
        <v>0</v>
      </c>
      <c r="AO41" s="6">
        <f t="shared" si="4"/>
        <v>0</v>
      </c>
      <c r="AP41">
        <f t="shared" si="5"/>
        <v>8</v>
      </c>
      <c r="AQ41" s="6">
        <f t="shared" si="6"/>
        <v>0</v>
      </c>
      <c r="AR41" s="6">
        <f t="shared" si="7"/>
        <v>0</v>
      </c>
      <c r="AS41" s="6"/>
      <c r="AX41" s="95">
        <f t="shared" si="8"/>
        <v>42164</v>
      </c>
      <c r="AY41" s="96" t="str">
        <f t="shared" si="9"/>
        <v>ter</v>
      </c>
      <c r="AZ41" s="97">
        <f>IF(OR(AY41="SÁB",AY41="DOM"),0,IFERROR(8-VLOOKUP(C41,'Dados de consulta'!$A$2:$C$38,3,0),8))</f>
        <v>8</v>
      </c>
      <c r="BA41" s="97">
        <f>IF(OR(AY41="SÁB",AY41="DOM"),0,IFERROR(8-VLOOKUP(D41,'Dados de consulta'!$A$2:$C$38,3,0),8))</f>
        <v>8</v>
      </c>
      <c r="BB41" s="97">
        <f>IF(OR(AY41="SÁB",AY41="DOM"),0,IFERROR(8-VLOOKUP(E41,'Dados de consulta'!$A$2:$C$38,3,0),8))</f>
        <v>8</v>
      </c>
      <c r="BC41" s="97">
        <f>IF(OR(AY41="SÁB",AY41="DOM"),0,IFERROR(8-VLOOKUP(F41,'Dados de consulta'!$A$2:$C$38,3,0),8))</f>
        <v>0</v>
      </c>
      <c r="BD41" s="97">
        <f>IF(OR(AY41="SÁB",AY41="DOM"),0,IFERROR(8-VLOOKUP(G41,'Dados de consulta'!$A$2:$C$38,3,0),8))</f>
        <v>8</v>
      </c>
      <c r="BE41" s="97">
        <f>IF(OR(AY41="SÁB",AY41="DOM"),0,IFERROR(8-VLOOKUP(H41,'Dados de consulta'!$A$2:$C$38,3,0),8))</f>
        <v>0</v>
      </c>
      <c r="BF41" s="97">
        <f>IF(OR(AY41="SÁB",AY41="DOM"),0,IFERROR(8-VLOOKUP(I41,'Dados de consulta'!$A$2:$C$38,3,0),8))</f>
        <v>8</v>
      </c>
      <c r="BG41" s="97">
        <f>IF(OR(AY41="SÁB",AY41="DOM"),0,IFERROR(8-VLOOKUP(J41,'Dados de consulta'!$A$2:$C$38,3,0),8))</f>
        <v>8</v>
      </c>
      <c r="BH41" s="97">
        <f>IF(OR(AY41="SÁB",AY41="DOM"),0,IFERROR(8-VLOOKUP(K41,'Dados de consulta'!$A$2:$C$38,3,0),8))</f>
        <v>8</v>
      </c>
      <c r="BI41" s="97">
        <f>IF(OR(AY41="SÁB",AY41="DOM"),0,IFERROR(8-VLOOKUP(L41,'Dados de consulta'!$A$2:$C$38,3,0),8))</f>
        <v>8</v>
      </c>
      <c r="BJ41" s="97">
        <f>IF(OR(AY41="SÁB",AY41="DOM"),0,IFERROR(8-VLOOKUP(M41,'Dados de consulta'!$A$2:$C$38,3,0),8))</f>
        <v>8</v>
      </c>
      <c r="BK41" s="97">
        <f>IF(OR(AY41="SÁB",AY41="DOM"),0,IFERROR(8-VLOOKUP(N41,'Dados de consulta'!$A$2:$C$38,3,0),8))</f>
        <v>8</v>
      </c>
      <c r="BL41" s="97">
        <f>IF(OR(AY41="SÁB",AY41="DOM"),0,IFERROR(8-VLOOKUP(O41,'Dados de consulta'!$A$2:$C$38,3,0),8))</f>
        <v>8</v>
      </c>
      <c r="BM41" s="97">
        <f>IF(OR(AY41="SÁB",AY41="DOM"),0,IFERROR(8-VLOOKUP(P41,'Dados de consulta'!$A$2:$C$38,3,0),8))</f>
        <v>0</v>
      </c>
      <c r="BN41" s="97">
        <f>IF(OR(AY41="SÁB",AY41="DOM"),0,IFERROR(8-VLOOKUP(Q41,'Dados de consulta'!$A$2:$C$38,3,0),8))</f>
        <v>8</v>
      </c>
      <c r="BO41" s="97">
        <f>IF(OR(AY41="SÁB",AY41="DOM"),0,IFERROR(8-VLOOKUP(R41,'Dados de consulta'!$A$2:$C$38,3,0),8))</f>
        <v>8</v>
      </c>
      <c r="BP41" s="97">
        <f>IF(OR(AY41="SÁB",AY41="DOM"),0,IFERROR(8-VLOOKUP(S41,'Dados de consulta'!$A$2:$C$38,3,0),8))</f>
        <v>8</v>
      </c>
      <c r="BQ41" s="113">
        <f>IFERROR(6-VLOOKUP(T41,'Dados de consulta'!$A$2:$C$38,3,0)+2,6)</f>
        <v>6</v>
      </c>
      <c r="BR41" s="114">
        <f t="shared" si="24"/>
        <v>118</v>
      </c>
      <c r="BS41">
        <f t="shared" si="10"/>
        <v>134</v>
      </c>
      <c r="BU41">
        <f>IFERROR(8-VLOOKUP(U41,'Dados de consulta'!$A:$D,3,0),8)</f>
        <v>8</v>
      </c>
      <c r="BV41">
        <f>IFERROR(8-VLOOKUP(V41,'Dados de consulta'!$A:$D,3,0),8)</f>
        <v>8</v>
      </c>
      <c r="BW41">
        <f t="shared" si="25"/>
        <v>16</v>
      </c>
    </row>
    <row r="42" spans="1:75" ht="15" hidden="1" x14ac:dyDescent="0.2">
      <c r="A42" s="98">
        <v>42165</v>
      </c>
      <c r="B42" s="129" t="str">
        <f t="shared" si="0"/>
        <v>qua</v>
      </c>
      <c r="C42" s="132"/>
      <c r="D42" s="132"/>
      <c r="E42" s="132"/>
      <c r="F42" s="132">
        <v>101</v>
      </c>
      <c r="G42" s="132"/>
      <c r="H42" s="132">
        <v>8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51"/>
      <c r="V42" s="151"/>
      <c r="W42" s="307" t="s">
        <v>193</v>
      </c>
      <c r="X42" s="308"/>
      <c r="Y42" s="38">
        <f t="shared" si="1"/>
        <v>8</v>
      </c>
      <c r="Z42" s="38">
        <f t="shared" si="2"/>
        <v>0</v>
      </c>
      <c r="AA42" s="38">
        <f t="shared" si="3"/>
        <v>0</v>
      </c>
      <c r="AB42" s="38">
        <f t="shared" si="11"/>
        <v>0</v>
      </c>
      <c r="AC42" s="38">
        <f t="shared" si="12"/>
        <v>0</v>
      </c>
      <c r="AD42" s="38">
        <f t="shared" si="13"/>
        <v>0</v>
      </c>
      <c r="AE42" s="38">
        <f t="shared" si="14"/>
        <v>0</v>
      </c>
      <c r="AF42" s="38">
        <f t="shared" si="15"/>
        <v>0</v>
      </c>
      <c r="AG42" s="33">
        <f t="shared" si="16"/>
        <v>8</v>
      </c>
      <c r="AH42" s="33">
        <f t="shared" si="17"/>
        <v>0</v>
      </c>
      <c r="AI42" s="33">
        <f t="shared" si="18"/>
        <v>0</v>
      </c>
      <c r="AJ42" s="33">
        <f t="shared" si="19"/>
        <v>0</v>
      </c>
      <c r="AK42" s="34">
        <f t="shared" si="20"/>
        <v>5.6338028169014086E-2</v>
      </c>
      <c r="AL42" s="35">
        <f t="shared" si="21"/>
        <v>0</v>
      </c>
      <c r="AM42" s="34">
        <f t="shared" si="22"/>
        <v>0</v>
      </c>
      <c r="AN42" s="36">
        <f t="shared" si="23"/>
        <v>0</v>
      </c>
      <c r="AO42" s="6">
        <f t="shared" si="4"/>
        <v>0</v>
      </c>
      <c r="AP42">
        <f t="shared" si="5"/>
        <v>8</v>
      </c>
      <c r="AQ42" s="6">
        <f t="shared" si="6"/>
        <v>0</v>
      </c>
      <c r="AR42" s="6">
        <f t="shared" si="7"/>
        <v>0</v>
      </c>
      <c r="AS42" s="6"/>
      <c r="AX42" s="95">
        <f t="shared" si="8"/>
        <v>42165</v>
      </c>
      <c r="AY42" s="96" t="str">
        <f t="shared" si="9"/>
        <v>qua</v>
      </c>
      <c r="AZ42" s="97">
        <f>IF(OR(AY42="SÁB",AY42="DOM"),0,IFERROR(8-VLOOKUP(C42,'Dados de consulta'!$A$2:$C$38,3,0),8))</f>
        <v>8</v>
      </c>
      <c r="BA42" s="97">
        <f>IF(OR(AY42="SÁB",AY42="DOM"),0,IFERROR(8-VLOOKUP(D42,'Dados de consulta'!$A$2:$C$38,3,0),8))</f>
        <v>8</v>
      </c>
      <c r="BB42" s="97">
        <f>IF(OR(AY42="SÁB",AY42="DOM"),0,IFERROR(8-VLOOKUP(E42,'Dados de consulta'!$A$2:$C$38,3,0),8))</f>
        <v>8</v>
      </c>
      <c r="BC42" s="97">
        <f>IF(OR(AY42="SÁB",AY42="DOM"),0,IFERROR(8-VLOOKUP(F42,'Dados de consulta'!$A$2:$C$38,3,0),8))</f>
        <v>0</v>
      </c>
      <c r="BD42" s="97">
        <f>IF(OR(AY42="SÁB",AY42="DOM"),0,IFERROR(8-VLOOKUP(G42,'Dados de consulta'!$A$2:$C$38,3,0),8))</f>
        <v>8</v>
      </c>
      <c r="BE42" s="97">
        <f>IF(OR(AY42="SÁB",AY42="DOM"),0,IFERROR(8-VLOOKUP(H42,'Dados de consulta'!$A$2:$C$38,3,0),8))</f>
        <v>0</v>
      </c>
      <c r="BF42" s="97">
        <f>IF(OR(AY42="SÁB",AY42="DOM"),0,IFERROR(8-VLOOKUP(I42,'Dados de consulta'!$A$2:$C$38,3,0),8))</f>
        <v>8</v>
      </c>
      <c r="BG42" s="97">
        <f>IF(OR(AY42="SÁB",AY42="DOM"),0,IFERROR(8-VLOOKUP(J42,'Dados de consulta'!$A$2:$C$38,3,0),8))</f>
        <v>8</v>
      </c>
      <c r="BH42" s="97">
        <f>IF(OR(AY42="SÁB",AY42="DOM"),0,IFERROR(8-VLOOKUP(K42,'Dados de consulta'!$A$2:$C$38,3,0),8))</f>
        <v>8</v>
      </c>
      <c r="BI42" s="97">
        <f>IF(OR(AY42="SÁB",AY42="DOM"),0,IFERROR(8-VLOOKUP(L42,'Dados de consulta'!$A$2:$C$38,3,0),8))</f>
        <v>8</v>
      </c>
      <c r="BJ42" s="97">
        <f>IF(OR(AY42="SÁB",AY42="DOM"),0,IFERROR(8-VLOOKUP(M42,'Dados de consulta'!$A$2:$C$38,3,0),8))</f>
        <v>8</v>
      </c>
      <c r="BK42" s="97">
        <f>IF(OR(AY42="SÁB",AY42="DOM"),0,IFERROR(8-VLOOKUP(N42,'Dados de consulta'!$A$2:$C$38,3,0),8))</f>
        <v>8</v>
      </c>
      <c r="BL42" s="97">
        <f>IF(OR(AY42="SÁB",AY42="DOM"),0,IFERROR(8-VLOOKUP(O42,'Dados de consulta'!$A$2:$C$38,3,0),8))</f>
        <v>8</v>
      </c>
      <c r="BM42" s="97">
        <f>IF(OR(AY42="SÁB",AY42="DOM"),0,IFERROR(8-VLOOKUP(P42,'Dados de consulta'!$A$2:$C$38,3,0),8))</f>
        <v>8</v>
      </c>
      <c r="BN42" s="97">
        <f>IF(OR(AY42="SÁB",AY42="DOM"),0,IFERROR(8-VLOOKUP(Q42,'Dados de consulta'!$A$2:$C$38,3,0),8))</f>
        <v>8</v>
      </c>
      <c r="BO42" s="97">
        <f>IF(OR(AY42="SÁB",AY42="DOM"),0,IFERROR(8-VLOOKUP(R42,'Dados de consulta'!$A$2:$C$38,3,0),8))</f>
        <v>8</v>
      </c>
      <c r="BP42" s="97">
        <f>IF(OR(AY42="SÁB",AY42="DOM"),0,IFERROR(8-VLOOKUP(S42,'Dados de consulta'!$A$2:$C$38,3,0),8))</f>
        <v>8</v>
      </c>
      <c r="BQ42" s="113">
        <f>IFERROR(6-VLOOKUP(T42,'Dados de consulta'!$A$2:$C$38,3,0)+2,6)</f>
        <v>6</v>
      </c>
      <c r="BR42" s="114">
        <f t="shared" si="24"/>
        <v>126</v>
      </c>
      <c r="BS42">
        <f t="shared" si="10"/>
        <v>134</v>
      </c>
      <c r="BU42">
        <f>IFERROR(8-VLOOKUP(U42,'Dados de consulta'!$A:$D,3,0),8)</f>
        <v>8</v>
      </c>
      <c r="BV42">
        <f>IFERROR(8-VLOOKUP(V42,'Dados de consulta'!$A:$D,3,0),8)</f>
        <v>8</v>
      </c>
      <c r="BW42">
        <f t="shared" si="25"/>
        <v>16</v>
      </c>
    </row>
    <row r="43" spans="1:75" ht="15" hidden="1" x14ac:dyDescent="0.2">
      <c r="A43" s="98">
        <v>42166</v>
      </c>
      <c r="B43" s="129" t="str">
        <f t="shared" si="0"/>
        <v>qui</v>
      </c>
      <c r="C43" s="132"/>
      <c r="D43" s="132">
        <v>6</v>
      </c>
      <c r="E43" s="132"/>
      <c r="F43" s="132">
        <v>101</v>
      </c>
      <c r="G43" s="132"/>
      <c r="H43" s="132">
        <v>8</v>
      </c>
      <c r="I43" s="132"/>
      <c r="J43" s="132"/>
      <c r="K43" s="132"/>
      <c r="L43" s="132">
        <v>6</v>
      </c>
      <c r="M43" s="132"/>
      <c r="N43" s="132"/>
      <c r="O43" s="132"/>
      <c r="P43" s="132"/>
      <c r="Q43" s="132"/>
      <c r="R43" s="132"/>
      <c r="S43" s="132">
        <v>6</v>
      </c>
      <c r="T43" s="132"/>
      <c r="U43" s="151">
        <v>6</v>
      </c>
      <c r="V43" s="151"/>
      <c r="W43" s="307" t="s">
        <v>193</v>
      </c>
      <c r="X43" s="308"/>
      <c r="Y43" s="38">
        <f t="shared" si="1"/>
        <v>8</v>
      </c>
      <c r="Z43" s="38">
        <f t="shared" si="2"/>
        <v>0</v>
      </c>
      <c r="AA43" s="38">
        <f t="shared" si="3"/>
        <v>0</v>
      </c>
      <c r="AB43" s="38">
        <f t="shared" si="11"/>
        <v>24</v>
      </c>
      <c r="AC43" s="38">
        <f t="shared" si="12"/>
        <v>0</v>
      </c>
      <c r="AD43" s="38">
        <f t="shared" si="13"/>
        <v>0</v>
      </c>
      <c r="AE43" s="38">
        <f t="shared" si="14"/>
        <v>0</v>
      </c>
      <c r="AF43" s="38">
        <f t="shared" si="15"/>
        <v>0</v>
      </c>
      <c r="AG43" s="33">
        <f t="shared" si="16"/>
        <v>8</v>
      </c>
      <c r="AH43" s="33">
        <f t="shared" si="17"/>
        <v>0</v>
      </c>
      <c r="AI43" s="33">
        <f t="shared" si="18"/>
        <v>0</v>
      </c>
      <c r="AJ43" s="33">
        <f t="shared" si="19"/>
        <v>24</v>
      </c>
      <c r="AK43" s="34">
        <f t="shared" si="20"/>
        <v>5.6338028169014086E-2</v>
      </c>
      <c r="AL43" s="35">
        <f t="shared" si="21"/>
        <v>0</v>
      </c>
      <c r="AM43" s="34">
        <f t="shared" si="22"/>
        <v>0</v>
      </c>
      <c r="AN43" s="36">
        <f t="shared" si="23"/>
        <v>0.16901408450704225</v>
      </c>
      <c r="AO43" s="6">
        <f t="shared" si="4"/>
        <v>0</v>
      </c>
      <c r="AP43">
        <f t="shared" si="5"/>
        <v>8</v>
      </c>
      <c r="AQ43" s="6">
        <f t="shared" si="6"/>
        <v>0</v>
      </c>
      <c r="AR43" s="6">
        <f t="shared" si="7"/>
        <v>0</v>
      </c>
      <c r="AS43" s="6"/>
      <c r="AV43" s="26"/>
      <c r="AX43" s="95">
        <f t="shared" si="8"/>
        <v>42166</v>
      </c>
      <c r="AY43" s="96" t="str">
        <f t="shared" si="9"/>
        <v>qui</v>
      </c>
      <c r="AZ43" s="97">
        <f>IF(OR(AY43="SÁB",AY43="DOM"),0,IFERROR(8-VLOOKUP(C43,'Dados de consulta'!$A$2:$C$38,3,0),8))</f>
        <v>8</v>
      </c>
      <c r="BA43" s="97">
        <f>IF(OR(AY43="SÁB",AY43="DOM"),0,IFERROR(8-VLOOKUP(D43,'Dados de consulta'!$A$2:$C$38,3,0),8))</f>
        <v>0</v>
      </c>
      <c r="BB43" s="97">
        <f>IF(OR(AY43="SÁB",AY43="DOM"),0,IFERROR(8-VLOOKUP(E43,'Dados de consulta'!$A$2:$C$38,3,0),8))</f>
        <v>8</v>
      </c>
      <c r="BC43" s="97">
        <f>IF(OR(AY43="SÁB",AY43="DOM"),0,IFERROR(8-VLOOKUP(F43,'Dados de consulta'!$A$2:$C$38,3,0),8))</f>
        <v>0</v>
      </c>
      <c r="BD43" s="97">
        <f>IF(OR(AY43="SÁB",AY43="DOM"),0,IFERROR(8-VLOOKUP(G43,'Dados de consulta'!$A$2:$C$38,3,0),8))</f>
        <v>8</v>
      </c>
      <c r="BE43" s="97">
        <f>IF(OR(AY43="SÁB",AY43="DOM"),0,IFERROR(8-VLOOKUP(H43,'Dados de consulta'!$A$2:$C$38,3,0),8))</f>
        <v>0</v>
      </c>
      <c r="BF43" s="97">
        <f>IF(OR(AY43="SÁB",AY43="DOM"),0,IFERROR(8-VLOOKUP(I43,'Dados de consulta'!$A$2:$C$38,3,0),8))</f>
        <v>8</v>
      </c>
      <c r="BG43" s="97">
        <f>IF(OR(AY43="SÁB",AY43="DOM"),0,IFERROR(8-VLOOKUP(J43,'Dados de consulta'!$A$2:$C$38,3,0),8))</f>
        <v>8</v>
      </c>
      <c r="BH43" s="97">
        <f>IF(OR(AY43="SÁB",AY43="DOM"),0,IFERROR(8-VLOOKUP(K43,'Dados de consulta'!$A$2:$C$38,3,0),8))</f>
        <v>8</v>
      </c>
      <c r="BI43" s="97">
        <f>IF(OR(AY43="SÁB",AY43="DOM"),0,IFERROR(8-VLOOKUP(L43,'Dados de consulta'!$A$2:$C$38,3,0),8))</f>
        <v>0</v>
      </c>
      <c r="BJ43" s="97">
        <f>IF(OR(AY43="SÁB",AY43="DOM"),0,IFERROR(8-VLOOKUP(M43,'Dados de consulta'!$A$2:$C$38,3,0),8))</f>
        <v>8</v>
      </c>
      <c r="BK43" s="97">
        <f>IF(OR(AY43="SÁB",AY43="DOM"),0,IFERROR(8-VLOOKUP(N43,'Dados de consulta'!$A$2:$C$38,3,0),8))</f>
        <v>8</v>
      </c>
      <c r="BL43" s="97">
        <f>IF(OR(AY43="SÁB",AY43="DOM"),0,IFERROR(8-VLOOKUP(O43,'Dados de consulta'!$A$2:$C$38,3,0),8))</f>
        <v>8</v>
      </c>
      <c r="BM43" s="97">
        <f>IF(OR(AY43="SÁB",AY43="DOM"),0,IFERROR(8-VLOOKUP(P43,'Dados de consulta'!$A$2:$C$38,3,0),8))</f>
        <v>8</v>
      </c>
      <c r="BN43" s="97">
        <f>IF(OR(AY43="SÁB",AY43="DOM"),0,IFERROR(8-VLOOKUP(Q43,'Dados de consulta'!$A$2:$C$38,3,0),8))</f>
        <v>8</v>
      </c>
      <c r="BO43" s="97">
        <f>IF(OR(AY43="SÁB",AY43="DOM"),0,IFERROR(8-VLOOKUP(R43,'Dados de consulta'!$A$2:$C$38,3,0),8))</f>
        <v>8</v>
      </c>
      <c r="BP43" s="97">
        <f>IF(OR(AY43="SÁB",AY43="DOM"),0,IFERROR(8-VLOOKUP(S43,'Dados de consulta'!$A$2:$C$38,3,0),8))</f>
        <v>0</v>
      </c>
      <c r="BQ43" s="113">
        <f>IFERROR(6-VLOOKUP(T43,'Dados de consulta'!$A$2:$C$38,3,0)+2,6)</f>
        <v>6</v>
      </c>
      <c r="BR43" s="114">
        <f t="shared" si="24"/>
        <v>102</v>
      </c>
      <c r="BS43">
        <f t="shared" si="10"/>
        <v>134</v>
      </c>
      <c r="BU43">
        <f>IFERROR(8-VLOOKUP(U43,'Dados de consulta'!$A:$D,3,0),8)</f>
        <v>0</v>
      </c>
      <c r="BV43">
        <f>IFERROR(8-VLOOKUP(V43,'Dados de consulta'!$A:$D,3,0),8)</f>
        <v>8</v>
      </c>
      <c r="BW43">
        <f t="shared" si="25"/>
        <v>8</v>
      </c>
    </row>
    <row r="44" spans="1:75" ht="15" hidden="1" x14ac:dyDescent="0.2">
      <c r="A44" s="98">
        <v>42167</v>
      </c>
      <c r="B44" s="129" t="str">
        <f t="shared" si="0"/>
        <v>sex</v>
      </c>
      <c r="C44" s="132"/>
      <c r="D44" s="132"/>
      <c r="E44" s="132"/>
      <c r="F44" s="132">
        <v>101</v>
      </c>
      <c r="G44" s="132"/>
      <c r="H44" s="132">
        <v>8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51"/>
      <c r="V44" s="151"/>
      <c r="W44" s="307" t="s">
        <v>193</v>
      </c>
      <c r="X44" s="308"/>
      <c r="Y44" s="38">
        <f t="shared" si="1"/>
        <v>8</v>
      </c>
      <c r="Z44" s="38">
        <f t="shared" si="2"/>
        <v>0</v>
      </c>
      <c r="AA44" s="38">
        <f t="shared" si="3"/>
        <v>0</v>
      </c>
      <c r="AB44" s="38">
        <f t="shared" si="11"/>
        <v>0</v>
      </c>
      <c r="AC44" s="38">
        <f t="shared" si="12"/>
        <v>0</v>
      </c>
      <c r="AD44" s="38">
        <f t="shared" si="13"/>
        <v>0</v>
      </c>
      <c r="AE44" s="38">
        <f t="shared" si="14"/>
        <v>0</v>
      </c>
      <c r="AF44" s="38">
        <f t="shared" si="15"/>
        <v>0</v>
      </c>
      <c r="AG44" s="33">
        <f t="shared" si="16"/>
        <v>8</v>
      </c>
      <c r="AH44" s="33">
        <f t="shared" si="17"/>
        <v>0</v>
      </c>
      <c r="AI44" s="33">
        <f t="shared" si="18"/>
        <v>0</v>
      </c>
      <c r="AJ44" s="33">
        <f t="shared" si="19"/>
        <v>0</v>
      </c>
      <c r="AK44" s="34">
        <f t="shared" si="20"/>
        <v>5.6338028169014086E-2</v>
      </c>
      <c r="AL44" s="35">
        <f t="shared" si="21"/>
        <v>0</v>
      </c>
      <c r="AM44" s="34">
        <f t="shared" si="22"/>
        <v>0</v>
      </c>
      <c r="AN44" s="36">
        <f t="shared" si="23"/>
        <v>0</v>
      </c>
      <c r="AO44" s="6">
        <f t="shared" si="4"/>
        <v>0</v>
      </c>
      <c r="AP44">
        <f t="shared" si="5"/>
        <v>8</v>
      </c>
      <c r="AQ44" s="6">
        <f t="shared" si="6"/>
        <v>0</v>
      </c>
      <c r="AR44" s="6">
        <f t="shared" si="7"/>
        <v>0</v>
      </c>
      <c r="AS44" s="6"/>
      <c r="AX44" s="95">
        <f t="shared" si="8"/>
        <v>42167</v>
      </c>
      <c r="AY44" s="96" t="str">
        <f t="shared" si="9"/>
        <v>sex</v>
      </c>
      <c r="AZ44" s="97">
        <f>IF(OR(AY44="SÁB",AY44="DOM"),0,IFERROR(8-VLOOKUP(C44,'Dados de consulta'!$A$2:$C$38,3,0),8))</f>
        <v>8</v>
      </c>
      <c r="BA44" s="97">
        <f>IF(OR(AY44="SÁB",AY44="DOM"),0,IFERROR(8-VLOOKUP(D44,'Dados de consulta'!$A$2:$C$38,3,0),8))</f>
        <v>8</v>
      </c>
      <c r="BB44" s="97">
        <f>IF(OR(AY44="SÁB",AY44="DOM"),0,IFERROR(8-VLOOKUP(E44,'Dados de consulta'!$A$2:$C$38,3,0),8))</f>
        <v>8</v>
      </c>
      <c r="BC44" s="97">
        <f>IF(OR(AY44="SÁB",AY44="DOM"),0,IFERROR(8-VLOOKUP(F44,'Dados de consulta'!$A$2:$C$38,3,0),8))</f>
        <v>0</v>
      </c>
      <c r="BD44" s="97">
        <f>IF(OR(AY44="SÁB",AY44="DOM"),0,IFERROR(8-VLOOKUP(G44,'Dados de consulta'!$A$2:$C$38,3,0),8))</f>
        <v>8</v>
      </c>
      <c r="BE44" s="97">
        <f>IF(OR(AY44="SÁB",AY44="DOM"),0,IFERROR(8-VLOOKUP(H44,'Dados de consulta'!$A$2:$C$38,3,0),8))</f>
        <v>0</v>
      </c>
      <c r="BF44" s="97">
        <f>IF(OR(AY44="SÁB",AY44="DOM"),0,IFERROR(8-VLOOKUP(I44,'Dados de consulta'!$A$2:$C$38,3,0),8))</f>
        <v>8</v>
      </c>
      <c r="BG44" s="97">
        <f>IF(OR(AY44="SÁB",AY44="DOM"),0,IFERROR(8-VLOOKUP(J44,'Dados de consulta'!$A$2:$C$38,3,0),8))</f>
        <v>8</v>
      </c>
      <c r="BH44" s="97">
        <f>IF(OR(AY44="SÁB",AY44="DOM"),0,IFERROR(8-VLOOKUP(K44,'Dados de consulta'!$A$2:$C$38,3,0),8))</f>
        <v>8</v>
      </c>
      <c r="BI44" s="97">
        <f>IF(OR(AY44="SÁB",AY44="DOM"),0,IFERROR(8-VLOOKUP(L44,'Dados de consulta'!$A$2:$C$38,3,0),8))</f>
        <v>8</v>
      </c>
      <c r="BJ44" s="97">
        <f>IF(OR(AY44="SÁB",AY44="DOM"),0,IFERROR(8-VLOOKUP(M44,'Dados de consulta'!$A$2:$C$38,3,0),8))</f>
        <v>8</v>
      </c>
      <c r="BK44" s="97">
        <f>IF(OR(AY44="SÁB",AY44="DOM"),0,IFERROR(8-VLOOKUP(N44,'Dados de consulta'!$A$2:$C$38,3,0),8))</f>
        <v>8</v>
      </c>
      <c r="BL44" s="97">
        <f>IF(OR(AY44="SÁB",AY44="DOM"),0,IFERROR(8-VLOOKUP(O44,'Dados de consulta'!$A$2:$C$38,3,0),8))</f>
        <v>8</v>
      </c>
      <c r="BM44" s="97">
        <f>IF(OR(AY44="SÁB",AY44="DOM"),0,IFERROR(8-VLOOKUP(P44,'Dados de consulta'!$A$2:$C$38,3,0),8))</f>
        <v>8</v>
      </c>
      <c r="BN44" s="97">
        <f>IF(OR(AY44="SÁB",AY44="DOM"),0,IFERROR(8-VLOOKUP(Q44,'Dados de consulta'!$A$2:$C$38,3,0),8))</f>
        <v>8</v>
      </c>
      <c r="BO44" s="97">
        <f>IF(OR(AY44="SÁB",AY44="DOM"),0,IFERROR(8-VLOOKUP(R44,'Dados de consulta'!$A$2:$C$38,3,0),8))</f>
        <v>8</v>
      </c>
      <c r="BP44" s="97">
        <f>IF(OR(AY44="SÁB",AY44="DOM"),0,IFERROR(8-VLOOKUP(S44,'Dados de consulta'!$A$2:$C$38,3,0),8))</f>
        <v>8</v>
      </c>
      <c r="BQ44" s="113">
        <f>IFERROR(6-VLOOKUP(T44,'Dados de consulta'!$A$2:$C$38,3,0)+2,6)</f>
        <v>6</v>
      </c>
      <c r="BR44" s="114">
        <f t="shared" si="24"/>
        <v>126</v>
      </c>
      <c r="BS44">
        <f t="shared" si="10"/>
        <v>134</v>
      </c>
      <c r="BU44">
        <f>IFERROR(8-VLOOKUP(U44,'Dados de consulta'!$A:$D,3,0),8)</f>
        <v>8</v>
      </c>
      <c r="BV44">
        <f>IFERROR(8-VLOOKUP(V44,'Dados de consulta'!$A:$D,3,0),8)</f>
        <v>8</v>
      </c>
      <c r="BW44">
        <f t="shared" si="25"/>
        <v>16</v>
      </c>
    </row>
    <row r="45" spans="1:75" ht="15" hidden="1" x14ac:dyDescent="0.2">
      <c r="A45" s="98">
        <v>42168</v>
      </c>
      <c r="B45" s="129" t="str">
        <f t="shared" si="0"/>
        <v>sáb</v>
      </c>
      <c r="C45" s="132"/>
      <c r="D45" s="132"/>
      <c r="E45" s="132"/>
      <c r="F45" s="132">
        <v>101</v>
      </c>
      <c r="G45" s="132"/>
      <c r="H45" s="132">
        <v>8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51"/>
      <c r="V45" s="151"/>
      <c r="W45" s="307" t="s">
        <v>193</v>
      </c>
      <c r="X45" s="308"/>
      <c r="Y45" s="38">
        <f t="shared" si="1"/>
        <v>8</v>
      </c>
      <c r="Z45" s="38">
        <f t="shared" si="2"/>
        <v>0</v>
      </c>
      <c r="AA45" s="38">
        <f t="shared" si="3"/>
        <v>0</v>
      </c>
      <c r="AB45" s="38">
        <f t="shared" si="11"/>
        <v>0</v>
      </c>
      <c r="AC45" s="38">
        <f t="shared" si="12"/>
        <v>0</v>
      </c>
      <c r="AD45" s="38">
        <f t="shared" si="13"/>
        <v>0</v>
      </c>
      <c r="AE45" s="38">
        <f t="shared" si="14"/>
        <v>0</v>
      </c>
      <c r="AF45" s="38">
        <f t="shared" si="15"/>
        <v>0</v>
      </c>
      <c r="AG45" s="33">
        <f t="shared" si="16"/>
        <v>0</v>
      </c>
      <c r="AH45" s="33">
        <f t="shared" si="17"/>
        <v>0</v>
      </c>
      <c r="AI45" s="33">
        <f t="shared" si="18"/>
        <v>0</v>
      </c>
      <c r="AJ45" s="33">
        <f t="shared" si="19"/>
        <v>0</v>
      </c>
      <c r="AK45" s="34">
        <f t="shared" si="20"/>
        <v>0</v>
      </c>
      <c r="AL45" s="35">
        <f t="shared" si="21"/>
        <v>0</v>
      </c>
      <c r="AM45" s="34">
        <f t="shared" si="22"/>
        <v>0</v>
      </c>
      <c r="AN45" s="36">
        <f t="shared" si="23"/>
        <v>0</v>
      </c>
      <c r="AO45" s="6">
        <f t="shared" si="4"/>
        <v>0</v>
      </c>
      <c r="AP45">
        <f t="shared" si="5"/>
        <v>8</v>
      </c>
      <c r="AQ45" s="6">
        <f t="shared" si="6"/>
        <v>0</v>
      </c>
      <c r="AR45" s="6">
        <f t="shared" si="7"/>
        <v>0</v>
      </c>
      <c r="AS45" s="6"/>
      <c r="AX45" s="95">
        <f t="shared" si="8"/>
        <v>42168</v>
      </c>
      <c r="AY45" s="96" t="str">
        <f t="shared" si="9"/>
        <v>sáb</v>
      </c>
      <c r="AZ45" s="97">
        <f>IF(OR(AY45="SÁB",AY45="DOM"),0,IFERROR(8-VLOOKUP(C45,'Dados de consulta'!$A$2:$C$38,3,0),8))</f>
        <v>0</v>
      </c>
      <c r="BA45" s="97">
        <f>IF(OR(AY45="SÁB",AY45="DOM"),0,IFERROR(8-VLOOKUP(D45,'Dados de consulta'!$A$2:$C$38,3,0),8))</f>
        <v>0</v>
      </c>
      <c r="BB45" s="97">
        <f>IF(OR(AY45="SÁB",AY45="DOM"),0,IFERROR(8-VLOOKUP(E45,'Dados de consulta'!$A$2:$C$38,3,0),8))</f>
        <v>0</v>
      </c>
      <c r="BC45" s="97">
        <f>IF(OR(AY45="SÁB",AY45="DOM"),0,IFERROR(8-VLOOKUP(F45,'Dados de consulta'!$A$2:$C$38,3,0),8))</f>
        <v>0</v>
      </c>
      <c r="BD45" s="97">
        <f>IF(OR(AY45="SÁB",AY45="DOM"),0,IFERROR(8-VLOOKUP(G45,'Dados de consulta'!$A$2:$C$38,3,0),8))</f>
        <v>0</v>
      </c>
      <c r="BE45" s="97">
        <f>IF(OR(AY45="SÁB",AY45="DOM"),0,IFERROR(8-VLOOKUP(H45,'Dados de consulta'!$A$2:$C$38,3,0),8))</f>
        <v>0</v>
      </c>
      <c r="BF45" s="97">
        <f>IF(OR(AY45="SÁB",AY45="DOM"),0,IFERROR(8-VLOOKUP(I45,'Dados de consulta'!$A$2:$C$38,3,0),8))</f>
        <v>0</v>
      </c>
      <c r="BG45" s="97">
        <f>IF(OR(AY45="SÁB",AY45="DOM"),0,IFERROR(8-VLOOKUP(J45,'Dados de consulta'!$A$2:$C$38,3,0),8))</f>
        <v>0</v>
      </c>
      <c r="BH45" s="97">
        <f>IF(OR(AY45="SÁB",AY45="DOM"),0,IFERROR(8-VLOOKUP(K45,'Dados de consulta'!$A$2:$C$38,3,0),8))</f>
        <v>0</v>
      </c>
      <c r="BI45" s="97">
        <f>IF(OR(AY45="SÁB",AY45="DOM"),0,IFERROR(8-VLOOKUP(L45,'Dados de consulta'!$A$2:$C$38,3,0),8))</f>
        <v>0</v>
      </c>
      <c r="BJ45" s="97">
        <f>IF(OR(AY45="SÁB",AY45="DOM"),0,IFERROR(8-VLOOKUP(M45,'Dados de consulta'!$A$2:$C$38,3,0),8))</f>
        <v>0</v>
      </c>
      <c r="BK45" s="97">
        <f>IF(OR(AY45="SÁB",AY45="DOM"),0,IFERROR(8-VLOOKUP(N45,'Dados de consulta'!$A$2:$C$38,3,0),8))</f>
        <v>0</v>
      </c>
      <c r="BL45" s="97">
        <f>IF(OR(AY45="SÁB",AY45="DOM"),0,IFERROR(8-VLOOKUP(O45,'Dados de consulta'!$A$2:$C$38,3,0),8))</f>
        <v>0</v>
      </c>
      <c r="BM45" s="97">
        <f>IF(OR(AY45="SÁB",AY45="DOM"),0,IFERROR(8-VLOOKUP(P45,'Dados de consulta'!$A$2:$C$38,3,0),8))</f>
        <v>0</v>
      </c>
      <c r="BN45" s="97">
        <f>IF(OR(AY45="SÁB",AY45="DOM"),0,IFERROR(8-VLOOKUP(Q45,'Dados de consulta'!$A$2:$C$38,3,0),8))</f>
        <v>0</v>
      </c>
      <c r="BO45" s="97">
        <f>IF(OR(AY45="SÁB",AY45="DOM"),0,IFERROR(8-VLOOKUP(R45,'Dados de consulta'!$A$2:$C$38,3,0),8))</f>
        <v>0</v>
      </c>
      <c r="BP45" s="97">
        <f>IF(OR(AY45="SÁB",AY45="DOM"),0,IFERROR(8-VLOOKUP(S45,'Dados de consulta'!$A$2:$C$38,3,0),8))</f>
        <v>0</v>
      </c>
      <c r="BQ45" s="113">
        <f>IFERROR(6-VLOOKUP(T45,'Dados de consulta'!$A$2:$C$38,3,0)+2,6)</f>
        <v>6</v>
      </c>
      <c r="BR45" s="114">
        <f t="shared" si="24"/>
        <v>0</v>
      </c>
      <c r="BS45">
        <f t="shared" si="10"/>
        <v>0</v>
      </c>
      <c r="BU45">
        <f>IFERROR(8-VLOOKUP(U45,'Dados de consulta'!$A:$D,3,0),8)</f>
        <v>8</v>
      </c>
      <c r="BV45">
        <f>IFERROR(8-VLOOKUP(V45,'Dados de consulta'!$A:$D,3,0),8)</f>
        <v>8</v>
      </c>
      <c r="BW45">
        <f t="shared" si="25"/>
        <v>16</v>
      </c>
    </row>
    <row r="46" spans="1:75" ht="15" hidden="1" x14ac:dyDescent="0.2">
      <c r="A46" s="98">
        <v>42169</v>
      </c>
      <c r="B46" s="129" t="str">
        <f t="shared" si="0"/>
        <v>dom</v>
      </c>
      <c r="C46" s="132"/>
      <c r="D46" s="132"/>
      <c r="E46" s="132"/>
      <c r="F46" s="132">
        <v>101</v>
      </c>
      <c r="G46" s="132"/>
      <c r="H46" s="132">
        <v>8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51"/>
      <c r="V46" s="151"/>
      <c r="W46" s="307" t="s">
        <v>193</v>
      </c>
      <c r="X46" s="308"/>
      <c r="Y46" s="38">
        <f t="shared" si="1"/>
        <v>8</v>
      </c>
      <c r="Z46" s="38">
        <f t="shared" si="2"/>
        <v>0</v>
      </c>
      <c r="AA46" s="38">
        <f t="shared" si="3"/>
        <v>0</v>
      </c>
      <c r="AB46" s="38">
        <f t="shared" si="11"/>
        <v>0</v>
      </c>
      <c r="AC46" s="38">
        <f t="shared" si="12"/>
        <v>0</v>
      </c>
      <c r="AD46" s="38">
        <f t="shared" si="13"/>
        <v>0</v>
      </c>
      <c r="AE46" s="38">
        <f t="shared" si="14"/>
        <v>0</v>
      </c>
      <c r="AF46" s="38">
        <f t="shared" si="15"/>
        <v>0</v>
      </c>
      <c r="AG46" s="33">
        <f t="shared" si="16"/>
        <v>0</v>
      </c>
      <c r="AH46" s="33">
        <f t="shared" si="17"/>
        <v>0</v>
      </c>
      <c r="AI46" s="33">
        <f t="shared" si="18"/>
        <v>0</v>
      </c>
      <c r="AJ46" s="33">
        <f t="shared" si="19"/>
        <v>0</v>
      </c>
      <c r="AK46" s="34">
        <f t="shared" si="20"/>
        <v>0</v>
      </c>
      <c r="AL46" s="35">
        <f t="shared" si="21"/>
        <v>0</v>
      </c>
      <c r="AM46" s="34">
        <f t="shared" si="22"/>
        <v>0</v>
      </c>
      <c r="AN46" s="36">
        <f t="shared" si="23"/>
        <v>0</v>
      </c>
      <c r="AO46" s="6">
        <f t="shared" si="4"/>
        <v>0</v>
      </c>
      <c r="AP46">
        <f t="shared" si="5"/>
        <v>8</v>
      </c>
      <c r="AQ46" s="6">
        <f t="shared" si="6"/>
        <v>0</v>
      </c>
      <c r="AR46" s="6">
        <f t="shared" si="7"/>
        <v>0</v>
      </c>
      <c r="AS46" s="6"/>
      <c r="AX46" s="95">
        <f t="shared" si="8"/>
        <v>42169</v>
      </c>
      <c r="AY46" s="96" t="str">
        <f t="shared" si="9"/>
        <v>dom</v>
      </c>
      <c r="AZ46" s="97">
        <f>IF(OR(AY46="SÁB",AY46="DOM"),0,IFERROR(8-VLOOKUP(C46,'Dados de consulta'!$A$2:$C$38,3,0),8))</f>
        <v>0</v>
      </c>
      <c r="BA46" s="97">
        <f>IF(OR(AY46="SÁB",AY46="DOM"),0,IFERROR(8-VLOOKUP(D46,'Dados de consulta'!$A$2:$C$38,3,0),8))</f>
        <v>0</v>
      </c>
      <c r="BB46" s="97">
        <f>IF(OR(AY46="SÁB",AY46="DOM"),0,IFERROR(8-VLOOKUP(E46,'Dados de consulta'!$A$2:$C$38,3,0),8))</f>
        <v>0</v>
      </c>
      <c r="BC46" s="97">
        <f>IF(OR(AY46="SÁB",AY46="DOM"),0,IFERROR(8-VLOOKUP(F46,'Dados de consulta'!$A$2:$C$38,3,0),8))</f>
        <v>0</v>
      </c>
      <c r="BD46" s="97">
        <f>IF(OR(AY46="SÁB",AY46="DOM"),0,IFERROR(8-VLOOKUP(G46,'Dados de consulta'!$A$2:$C$38,3,0),8))</f>
        <v>0</v>
      </c>
      <c r="BE46" s="97">
        <f>IF(OR(AY46="SÁB",AY46="DOM"),0,IFERROR(8-VLOOKUP(H46,'Dados de consulta'!$A$2:$C$38,3,0),8))</f>
        <v>0</v>
      </c>
      <c r="BF46" s="97">
        <f>IF(OR(AY46="SÁB",AY46="DOM"),0,IFERROR(8-VLOOKUP(I46,'Dados de consulta'!$A$2:$C$38,3,0),8))</f>
        <v>0</v>
      </c>
      <c r="BG46" s="97">
        <f>IF(OR(AY46="SÁB",AY46="DOM"),0,IFERROR(8-VLOOKUP(J46,'Dados de consulta'!$A$2:$C$38,3,0),8))</f>
        <v>0</v>
      </c>
      <c r="BH46" s="97">
        <f>IF(OR(AY46="SÁB",AY46="DOM"),0,IFERROR(8-VLOOKUP(K46,'Dados de consulta'!$A$2:$C$38,3,0),8))</f>
        <v>0</v>
      </c>
      <c r="BI46" s="97">
        <f>IF(OR(AY46="SÁB",AY46="DOM"),0,IFERROR(8-VLOOKUP(L46,'Dados de consulta'!$A$2:$C$38,3,0),8))</f>
        <v>0</v>
      </c>
      <c r="BJ46" s="97">
        <f>IF(OR(AY46="SÁB",AY46="DOM"),0,IFERROR(8-VLOOKUP(M46,'Dados de consulta'!$A$2:$C$38,3,0),8))</f>
        <v>0</v>
      </c>
      <c r="BK46" s="97">
        <f>IF(OR(AY46="SÁB",AY46="DOM"),0,IFERROR(8-VLOOKUP(N46,'Dados de consulta'!$A$2:$C$38,3,0),8))</f>
        <v>0</v>
      </c>
      <c r="BL46" s="97">
        <f>IF(OR(AY46="SÁB",AY46="DOM"),0,IFERROR(8-VLOOKUP(O46,'Dados de consulta'!$A$2:$C$38,3,0),8))</f>
        <v>0</v>
      </c>
      <c r="BM46" s="97">
        <f>IF(OR(AY46="SÁB",AY46="DOM"),0,IFERROR(8-VLOOKUP(P46,'Dados de consulta'!$A$2:$C$38,3,0),8))</f>
        <v>0</v>
      </c>
      <c r="BN46" s="97">
        <f>IF(OR(AY46="SÁB",AY46="DOM"),0,IFERROR(8-VLOOKUP(Q46,'Dados de consulta'!$A$2:$C$38,3,0),8))</f>
        <v>0</v>
      </c>
      <c r="BO46" s="97">
        <f>IF(OR(AY46="SÁB",AY46="DOM"),0,IFERROR(8-VLOOKUP(R46,'Dados de consulta'!$A$2:$C$38,3,0),8))</f>
        <v>0</v>
      </c>
      <c r="BP46" s="97">
        <f>IF(OR(AY46="SÁB",AY46="DOM"),0,IFERROR(8-VLOOKUP(S46,'Dados de consulta'!$A$2:$C$38,3,0),8))</f>
        <v>0</v>
      </c>
      <c r="BQ46" s="113">
        <f>IFERROR(6-VLOOKUP(T46,'Dados de consulta'!$A$2:$C$38,3,0)+2,6)</f>
        <v>6</v>
      </c>
      <c r="BR46" s="114">
        <f t="shared" si="24"/>
        <v>0</v>
      </c>
      <c r="BS46">
        <f t="shared" si="10"/>
        <v>0</v>
      </c>
      <c r="BU46">
        <f>IFERROR(8-VLOOKUP(U46,'Dados de consulta'!$A:$D,3,0),8)</f>
        <v>8</v>
      </c>
      <c r="BV46">
        <f>IFERROR(8-VLOOKUP(V46,'Dados de consulta'!$A:$D,3,0),8)</f>
        <v>8</v>
      </c>
      <c r="BW46">
        <f t="shared" si="25"/>
        <v>16</v>
      </c>
    </row>
    <row r="47" spans="1:75" ht="15" hidden="1" x14ac:dyDescent="0.2">
      <c r="A47" s="98">
        <v>42170</v>
      </c>
      <c r="B47" s="129" t="str">
        <f t="shared" si="0"/>
        <v>seg</v>
      </c>
      <c r="C47" s="132"/>
      <c r="D47" s="132"/>
      <c r="E47" s="132"/>
      <c r="F47" s="132">
        <v>101</v>
      </c>
      <c r="G47" s="132"/>
      <c r="H47" s="132">
        <v>8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>
        <v>1</v>
      </c>
      <c r="T47" s="132"/>
      <c r="U47" s="151">
        <v>8</v>
      </c>
      <c r="V47" s="151"/>
      <c r="W47" s="307" t="s">
        <v>193</v>
      </c>
      <c r="X47" s="308"/>
      <c r="Y47" s="38">
        <f t="shared" si="1"/>
        <v>8</v>
      </c>
      <c r="Z47" s="38">
        <f t="shared" si="2"/>
        <v>8</v>
      </c>
      <c r="AA47" s="38">
        <f t="shared" si="3"/>
        <v>0</v>
      </c>
      <c r="AB47" s="38">
        <f t="shared" si="11"/>
        <v>0</v>
      </c>
      <c r="AC47" s="38">
        <f t="shared" si="12"/>
        <v>0</v>
      </c>
      <c r="AD47" s="38">
        <f t="shared" si="13"/>
        <v>0</v>
      </c>
      <c r="AE47" s="38">
        <f t="shared" si="14"/>
        <v>0</v>
      </c>
      <c r="AF47" s="38">
        <f t="shared" si="15"/>
        <v>0</v>
      </c>
      <c r="AG47" s="33">
        <f t="shared" si="16"/>
        <v>8</v>
      </c>
      <c r="AH47" s="33">
        <f t="shared" si="17"/>
        <v>8</v>
      </c>
      <c r="AI47" s="33">
        <f t="shared" si="18"/>
        <v>0</v>
      </c>
      <c r="AJ47" s="33">
        <f t="shared" si="19"/>
        <v>0</v>
      </c>
      <c r="AK47" s="34">
        <f t="shared" si="20"/>
        <v>5.6338028169014086E-2</v>
      </c>
      <c r="AL47" s="35">
        <f t="shared" si="21"/>
        <v>5.6338028169014086E-2</v>
      </c>
      <c r="AM47" s="34">
        <f t="shared" si="22"/>
        <v>0</v>
      </c>
      <c r="AN47" s="36">
        <f t="shared" si="23"/>
        <v>0</v>
      </c>
      <c r="AO47" s="6">
        <f t="shared" si="4"/>
        <v>0</v>
      </c>
      <c r="AP47">
        <f t="shared" si="5"/>
        <v>8</v>
      </c>
      <c r="AQ47" s="6">
        <f t="shared" si="6"/>
        <v>0</v>
      </c>
      <c r="AR47" s="6">
        <f t="shared" si="7"/>
        <v>0</v>
      </c>
      <c r="AS47" s="6"/>
      <c r="AX47" s="95">
        <f t="shared" si="8"/>
        <v>42170</v>
      </c>
      <c r="AY47" s="96" t="str">
        <f t="shared" si="9"/>
        <v>seg</v>
      </c>
      <c r="AZ47" s="97">
        <f>IF(OR(AY47="SÁB",AY47="DOM"),0,IFERROR(8-VLOOKUP(C47,'Dados de consulta'!$A$2:$C$38,3,0),8))</f>
        <v>8</v>
      </c>
      <c r="BA47" s="97">
        <f>IF(OR(AY47="SÁB",AY47="DOM"),0,IFERROR(8-VLOOKUP(D47,'Dados de consulta'!$A$2:$C$38,3,0),8))</f>
        <v>8</v>
      </c>
      <c r="BB47" s="97">
        <f>IF(OR(AY47="SÁB",AY47="DOM"),0,IFERROR(8-VLOOKUP(E47,'Dados de consulta'!$A$2:$C$38,3,0),8))</f>
        <v>8</v>
      </c>
      <c r="BC47" s="97">
        <f>IF(OR(AY47="SÁB",AY47="DOM"),0,IFERROR(8-VLOOKUP(F47,'Dados de consulta'!$A$2:$C$38,3,0),8))</f>
        <v>0</v>
      </c>
      <c r="BD47" s="97">
        <f>IF(OR(AY47="SÁB",AY47="DOM"),0,IFERROR(8-VLOOKUP(G47,'Dados de consulta'!$A$2:$C$38,3,0),8))</f>
        <v>8</v>
      </c>
      <c r="BE47" s="97">
        <f>IF(OR(AY47="SÁB",AY47="DOM"),0,IFERROR(8-VLOOKUP(H47,'Dados de consulta'!$A$2:$C$38,3,0),8))</f>
        <v>0</v>
      </c>
      <c r="BF47" s="97">
        <f>IF(OR(AY47="SÁB",AY47="DOM"),0,IFERROR(8-VLOOKUP(I47,'Dados de consulta'!$A$2:$C$38,3,0),8))</f>
        <v>8</v>
      </c>
      <c r="BG47" s="97">
        <f>IF(OR(AY47="SÁB",AY47="DOM"),0,IFERROR(8-VLOOKUP(J47,'Dados de consulta'!$A$2:$C$38,3,0),8))</f>
        <v>8</v>
      </c>
      <c r="BH47" s="97">
        <f>IF(OR(AY47="SÁB",AY47="DOM"),0,IFERROR(8-VLOOKUP(K47,'Dados de consulta'!$A$2:$C$38,3,0),8))</f>
        <v>8</v>
      </c>
      <c r="BI47" s="97">
        <f>IF(OR(AY47="SÁB",AY47="DOM"),0,IFERROR(8-VLOOKUP(L47,'Dados de consulta'!$A$2:$C$38,3,0),8))</f>
        <v>8</v>
      </c>
      <c r="BJ47" s="97">
        <f>IF(OR(AY47="SÁB",AY47="DOM"),0,IFERROR(8-VLOOKUP(M47,'Dados de consulta'!$A$2:$C$38,3,0),8))</f>
        <v>8</v>
      </c>
      <c r="BK47" s="97">
        <f>IF(OR(AY47="SÁB",AY47="DOM"),0,IFERROR(8-VLOOKUP(N47,'Dados de consulta'!$A$2:$C$38,3,0),8))</f>
        <v>8</v>
      </c>
      <c r="BL47" s="97">
        <f>IF(OR(AY47="SÁB",AY47="DOM"),0,IFERROR(8-VLOOKUP(O47,'Dados de consulta'!$A$2:$C$38,3,0),8))</f>
        <v>8</v>
      </c>
      <c r="BM47" s="97">
        <f>IF(OR(AY47="SÁB",AY47="DOM"),0,IFERROR(8-VLOOKUP(P47,'Dados de consulta'!$A$2:$C$38,3,0),8))</f>
        <v>8</v>
      </c>
      <c r="BN47" s="97">
        <f>IF(OR(AY47="SÁB",AY47="DOM"),0,IFERROR(8-VLOOKUP(Q47,'Dados de consulta'!$A$2:$C$38,3,0),8))</f>
        <v>8</v>
      </c>
      <c r="BO47" s="97">
        <f>IF(OR(AY47="SÁB",AY47="DOM"),0,IFERROR(8-VLOOKUP(R47,'Dados de consulta'!$A$2:$C$38,3,0),8))</f>
        <v>8</v>
      </c>
      <c r="BP47" s="97">
        <f>IF(OR(AY47="SÁB",AY47="DOM"),0,IFERROR(8-VLOOKUP(S47,'Dados de consulta'!$A$2:$C$38,3,0),8))</f>
        <v>0</v>
      </c>
      <c r="BQ47" s="113">
        <f>IFERROR(6-VLOOKUP(T47,'Dados de consulta'!$A$2:$C$38,3,0)+2,6)</f>
        <v>6</v>
      </c>
      <c r="BR47" s="114">
        <f t="shared" si="24"/>
        <v>118</v>
      </c>
      <c r="BS47">
        <f t="shared" si="10"/>
        <v>134</v>
      </c>
      <c r="BU47">
        <f>IFERROR(8-VLOOKUP(U47,'Dados de consulta'!$A:$D,3,0),8)</f>
        <v>0</v>
      </c>
      <c r="BV47">
        <f>IFERROR(8-VLOOKUP(V47,'Dados de consulta'!$A:$D,3,0),8)</f>
        <v>8</v>
      </c>
      <c r="BW47">
        <f t="shared" si="25"/>
        <v>8</v>
      </c>
    </row>
    <row r="48" spans="1:75" ht="15" hidden="1" x14ac:dyDescent="0.2">
      <c r="A48" s="98">
        <v>42171</v>
      </c>
      <c r="B48" s="129" t="str">
        <f t="shared" si="0"/>
        <v>ter</v>
      </c>
      <c r="C48" s="132"/>
      <c r="D48" s="132"/>
      <c r="E48" s="132"/>
      <c r="F48" s="132">
        <v>101</v>
      </c>
      <c r="G48" s="132"/>
      <c r="H48" s="132">
        <v>8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51">
        <v>8</v>
      </c>
      <c r="V48" s="151"/>
      <c r="W48" s="307" t="s">
        <v>193</v>
      </c>
      <c r="X48" s="308"/>
      <c r="Y48" s="38">
        <f t="shared" si="1"/>
        <v>8</v>
      </c>
      <c r="Z48" s="38">
        <f t="shared" si="2"/>
        <v>0</v>
      </c>
      <c r="AA48" s="38">
        <f t="shared" si="3"/>
        <v>0</v>
      </c>
      <c r="AB48" s="38">
        <f t="shared" si="11"/>
        <v>0</v>
      </c>
      <c r="AC48" s="38">
        <f t="shared" si="12"/>
        <v>0</v>
      </c>
      <c r="AD48" s="38">
        <f t="shared" si="13"/>
        <v>0</v>
      </c>
      <c r="AE48" s="38">
        <f t="shared" si="14"/>
        <v>0</v>
      </c>
      <c r="AF48" s="38">
        <f t="shared" si="15"/>
        <v>0</v>
      </c>
      <c r="AG48" s="33">
        <f t="shared" si="16"/>
        <v>8</v>
      </c>
      <c r="AH48" s="33">
        <f t="shared" si="17"/>
        <v>0</v>
      </c>
      <c r="AI48" s="33">
        <f t="shared" si="18"/>
        <v>0</v>
      </c>
      <c r="AJ48" s="33">
        <f t="shared" si="19"/>
        <v>0</v>
      </c>
      <c r="AK48" s="34">
        <f t="shared" si="20"/>
        <v>5.6338028169014086E-2</v>
      </c>
      <c r="AL48" s="35">
        <f t="shared" si="21"/>
        <v>0</v>
      </c>
      <c r="AM48" s="34">
        <f t="shared" si="22"/>
        <v>0</v>
      </c>
      <c r="AN48" s="36">
        <f t="shared" si="23"/>
        <v>0</v>
      </c>
      <c r="AO48" s="6">
        <f t="shared" si="4"/>
        <v>0</v>
      </c>
      <c r="AP48">
        <f t="shared" si="5"/>
        <v>8</v>
      </c>
      <c r="AQ48" s="6">
        <f t="shared" si="6"/>
        <v>0</v>
      </c>
      <c r="AR48" s="6">
        <f t="shared" si="7"/>
        <v>0</v>
      </c>
      <c r="AS48" s="6"/>
      <c r="AX48" s="95">
        <f t="shared" si="8"/>
        <v>42171</v>
      </c>
      <c r="AY48" s="96" t="str">
        <f t="shared" si="9"/>
        <v>ter</v>
      </c>
      <c r="AZ48" s="97">
        <f>IF(OR(AY48="SÁB",AY48="DOM"),0,IFERROR(8-VLOOKUP(C48,'Dados de consulta'!$A$2:$C$38,3,0),8))</f>
        <v>8</v>
      </c>
      <c r="BA48" s="97">
        <f>IF(OR(AY48="SÁB",AY48="DOM"),0,IFERROR(8-VLOOKUP(D48,'Dados de consulta'!$A$2:$C$38,3,0),8))</f>
        <v>8</v>
      </c>
      <c r="BB48" s="97">
        <f>IF(OR(AY48="SÁB",AY48="DOM"),0,IFERROR(8-VLOOKUP(E48,'Dados de consulta'!$A$2:$C$38,3,0),8))</f>
        <v>8</v>
      </c>
      <c r="BC48" s="97">
        <f>IF(OR(AY48="SÁB",AY48="DOM"),0,IFERROR(8-VLOOKUP(F48,'Dados de consulta'!$A$2:$C$38,3,0),8))</f>
        <v>0</v>
      </c>
      <c r="BD48" s="97">
        <f>IF(OR(AY48="SÁB",AY48="DOM"),0,IFERROR(8-VLOOKUP(G48,'Dados de consulta'!$A$2:$C$38,3,0),8))</f>
        <v>8</v>
      </c>
      <c r="BE48" s="97">
        <f>IF(OR(AY48="SÁB",AY48="DOM"),0,IFERROR(8-VLOOKUP(H48,'Dados de consulta'!$A$2:$C$38,3,0),8))</f>
        <v>0</v>
      </c>
      <c r="BF48" s="97">
        <f>IF(OR(AY48="SÁB",AY48="DOM"),0,IFERROR(8-VLOOKUP(I48,'Dados de consulta'!$A$2:$C$38,3,0),8))</f>
        <v>8</v>
      </c>
      <c r="BG48" s="97">
        <f>IF(OR(AY48="SÁB",AY48="DOM"),0,IFERROR(8-VLOOKUP(J48,'Dados de consulta'!$A$2:$C$38,3,0),8))</f>
        <v>8</v>
      </c>
      <c r="BH48" s="97">
        <f>IF(OR(AY48="SÁB",AY48="DOM"),0,IFERROR(8-VLOOKUP(K48,'Dados de consulta'!$A$2:$C$38,3,0),8))</f>
        <v>8</v>
      </c>
      <c r="BI48" s="97">
        <f>IF(OR(AY48="SÁB",AY48="DOM"),0,IFERROR(8-VLOOKUP(L48,'Dados de consulta'!$A$2:$C$38,3,0),8))</f>
        <v>8</v>
      </c>
      <c r="BJ48" s="97">
        <f>IF(OR(AY48="SÁB",AY48="DOM"),0,IFERROR(8-VLOOKUP(M48,'Dados de consulta'!$A$2:$C$38,3,0),8))</f>
        <v>8</v>
      </c>
      <c r="BK48" s="97">
        <f>IF(OR(AY48="SÁB",AY48="DOM"),0,IFERROR(8-VLOOKUP(N48,'Dados de consulta'!$A$2:$C$38,3,0),8))</f>
        <v>8</v>
      </c>
      <c r="BL48" s="97">
        <f>IF(OR(AY48="SÁB",AY48="DOM"),0,IFERROR(8-VLOOKUP(O48,'Dados de consulta'!$A$2:$C$38,3,0),8))</f>
        <v>8</v>
      </c>
      <c r="BM48" s="97">
        <f>IF(OR(AY48="SÁB",AY48="DOM"),0,IFERROR(8-VLOOKUP(P48,'Dados de consulta'!$A$2:$C$38,3,0),8))</f>
        <v>8</v>
      </c>
      <c r="BN48" s="97">
        <f>IF(OR(AY48="SÁB",AY48="DOM"),0,IFERROR(8-VLOOKUP(Q48,'Dados de consulta'!$A$2:$C$38,3,0),8))</f>
        <v>8</v>
      </c>
      <c r="BO48" s="97">
        <f>IF(OR(AY48="SÁB",AY48="DOM"),0,IFERROR(8-VLOOKUP(R48,'Dados de consulta'!$A$2:$C$38,3,0),8))</f>
        <v>8</v>
      </c>
      <c r="BP48" s="97">
        <f>IF(OR(AY48="SÁB",AY48="DOM"),0,IFERROR(8-VLOOKUP(S48,'Dados de consulta'!$A$2:$C$38,3,0),8))</f>
        <v>8</v>
      </c>
      <c r="BQ48" s="113">
        <f>IFERROR(6-VLOOKUP(T48,'Dados de consulta'!$A$2:$C$38,3,0)+2,6)</f>
        <v>6</v>
      </c>
      <c r="BR48" s="114">
        <f t="shared" si="24"/>
        <v>126</v>
      </c>
      <c r="BS48">
        <f t="shared" si="10"/>
        <v>134</v>
      </c>
      <c r="BU48">
        <f>IFERROR(8-VLOOKUP(U48,'Dados de consulta'!$A:$D,3,0),8)</f>
        <v>0</v>
      </c>
      <c r="BV48">
        <f>IFERROR(8-VLOOKUP(V48,'Dados de consulta'!$A:$D,3,0),8)</f>
        <v>8</v>
      </c>
      <c r="BW48">
        <f t="shared" si="25"/>
        <v>8</v>
      </c>
    </row>
    <row r="49" spans="1:75" ht="15" hidden="1" x14ac:dyDescent="0.2">
      <c r="A49" s="98">
        <v>42172</v>
      </c>
      <c r="B49" s="129" t="str">
        <f t="shared" si="0"/>
        <v>qua</v>
      </c>
      <c r="C49" s="132"/>
      <c r="D49" s="132"/>
      <c r="E49" s="132"/>
      <c r="F49" s="132">
        <v>101</v>
      </c>
      <c r="G49" s="132"/>
      <c r="H49" s="132">
        <v>8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51">
        <v>8</v>
      </c>
      <c r="V49" s="151"/>
      <c r="W49" s="307" t="s">
        <v>193</v>
      </c>
      <c r="X49" s="308"/>
      <c r="Y49" s="38">
        <f t="shared" si="1"/>
        <v>8</v>
      </c>
      <c r="Z49" s="38">
        <f t="shared" si="2"/>
        <v>0</v>
      </c>
      <c r="AA49" s="38">
        <f t="shared" si="3"/>
        <v>0</v>
      </c>
      <c r="AB49" s="38">
        <f t="shared" si="11"/>
        <v>0</v>
      </c>
      <c r="AC49" s="38">
        <f t="shared" si="12"/>
        <v>0</v>
      </c>
      <c r="AD49" s="38">
        <f t="shared" si="13"/>
        <v>0</v>
      </c>
      <c r="AE49" s="38">
        <f t="shared" si="14"/>
        <v>0</v>
      </c>
      <c r="AF49" s="38">
        <f t="shared" si="15"/>
        <v>0</v>
      </c>
      <c r="AG49" s="33">
        <f t="shared" si="16"/>
        <v>8</v>
      </c>
      <c r="AH49" s="33">
        <f t="shared" si="17"/>
        <v>0</v>
      </c>
      <c r="AI49" s="33">
        <f t="shared" si="18"/>
        <v>0</v>
      </c>
      <c r="AJ49" s="33">
        <f t="shared" si="19"/>
        <v>0</v>
      </c>
      <c r="AK49" s="34">
        <f t="shared" si="20"/>
        <v>5.6338028169014086E-2</v>
      </c>
      <c r="AL49" s="35">
        <f t="shared" si="21"/>
        <v>0</v>
      </c>
      <c r="AM49" s="34">
        <f t="shared" si="22"/>
        <v>0</v>
      </c>
      <c r="AN49" s="36">
        <f t="shared" si="23"/>
        <v>0</v>
      </c>
      <c r="AO49" s="6">
        <f t="shared" si="4"/>
        <v>0</v>
      </c>
      <c r="AP49">
        <f t="shared" si="5"/>
        <v>8</v>
      </c>
      <c r="AQ49" s="6">
        <f t="shared" si="6"/>
        <v>0</v>
      </c>
      <c r="AR49" s="6">
        <f t="shared" si="7"/>
        <v>0</v>
      </c>
      <c r="AS49" s="6"/>
      <c r="AX49" s="95">
        <f t="shared" si="8"/>
        <v>42172</v>
      </c>
      <c r="AY49" s="96" t="str">
        <f t="shared" si="9"/>
        <v>qua</v>
      </c>
      <c r="AZ49" s="97">
        <f>IF(OR(AY49="SÁB",AY49="DOM"),0,IFERROR(8-VLOOKUP(C49,'Dados de consulta'!$A$2:$C$38,3,0),8))</f>
        <v>8</v>
      </c>
      <c r="BA49" s="97">
        <f>IF(OR(AY49="SÁB",AY49="DOM"),0,IFERROR(8-VLOOKUP(D49,'Dados de consulta'!$A$2:$C$38,3,0),8))</f>
        <v>8</v>
      </c>
      <c r="BB49" s="97">
        <f>IF(OR(AY49="SÁB",AY49="DOM"),0,IFERROR(8-VLOOKUP(E49,'Dados de consulta'!$A$2:$C$38,3,0),8))</f>
        <v>8</v>
      </c>
      <c r="BC49" s="97">
        <f>IF(OR(AY49="SÁB",AY49="DOM"),0,IFERROR(8-VLOOKUP(F49,'Dados de consulta'!$A$2:$C$38,3,0),8))</f>
        <v>0</v>
      </c>
      <c r="BD49" s="97">
        <f>IF(OR(AY49="SÁB",AY49="DOM"),0,IFERROR(8-VLOOKUP(G49,'Dados de consulta'!$A$2:$C$38,3,0),8))</f>
        <v>8</v>
      </c>
      <c r="BE49" s="97">
        <f>IF(OR(AY49="SÁB",AY49="DOM"),0,IFERROR(8-VLOOKUP(H49,'Dados de consulta'!$A$2:$C$38,3,0),8))</f>
        <v>0</v>
      </c>
      <c r="BF49" s="97">
        <f>IF(OR(AY49="SÁB",AY49="DOM"),0,IFERROR(8-VLOOKUP(I49,'Dados de consulta'!$A$2:$C$38,3,0),8))</f>
        <v>8</v>
      </c>
      <c r="BG49" s="97">
        <f>IF(OR(AY49="SÁB",AY49="DOM"),0,IFERROR(8-VLOOKUP(J49,'Dados de consulta'!$A$2:$C$38,3,0),8))</f>
        <v>8</v>
      </c>
      <c r="BH49" s="97">
        <f>IF(OR(AY49="SÁB",AY49="DOM"),0,IFERROR(8-VLOOKUP(K49,'Dados de consulta'!$A$2:$C$38,3,0),8))</f>
        <v>8</v>
      </c>
      <c r="BI49" s="97">
        <f>IF(OR(AY49="SÁB",AY49="DOM"),0,IFERROR(8-VLOOKUP(L49,'Dados de consulta'!$A$2:$C$38,3,0),8))</f>
        <v>8</v>
      </c>
      <c r="BJ49" s="97">
        <f>IF(OR(AY49="SÁB",AY49="DOM"),0,IFERROR(8-VLOOKUP(M49,'Dados de consulta'!$A$2:$C$38,3,0),8))</f>
        <v>8</v>
      </c>
      <c r="BK49" s="97">
        <f>IF(OR(AY49="SÁB",AY49="DOM"),0,IFERROR(8-VLOOKUP(N49,'Dados de consulta'!$A$2:$C$38,3,0),8))</f>
        <v>8</v>
      </c>
      <c r="BL49" s="97">
        <f>IF(OR(AY49="SÁB",AY49="DOM"),0,IFERROR(8-VLOOKUP(O49,'Dados de consulta'!$A$2:$C$38,3,0),8))</f>
        <v>8</v>
      </c>
      <c r="BM49" s="97">
        <f>IF(OR(AY49="SÁB",AY49="DOM"),0,IFERROR(8-VLOOKUP(P49,'Dados de consulta'!$A$2:$C$38,3,0),8))</f>
        <v>8</v>
      </c>
      <c r="BN49" s="97">
        <f>IF(OR(AY49="SÁB",AY49="DOM"),0,IFERROR(8-VLOOKUP(Q49,'Dados de consulta'!$A$2:$C$38,3,0),8))</f>
        <v>8</v>
      </c>
      <c r="BO49" s="97">
        <f>IF(OR(AY49="SÁB",AY49="DOM"),0,IFERROR(8-VLOOKUP(R49,'Dados de consulta'!$A$2:$C$38,3,0),8))</f>
        <v>8</v>
      </c>
      <c r="BP49" s="97">
        <f>IF(OR(AY49="SÁB",AY49="DOM"),0,IFERROR(8-VLOOKUP(S49,'Dados de consulta'!$A$2:$C$38,3,0),8))</f>
        <v>8</v>
      </c>
      <c r="BQ49" s="113">
        <f>IFERROR(6-VLOOKUP(T49,'Dados de consulta'!$A$2:$C$38,3,0)+2,6)</f>
        <v>6</v>
      </c>
      <c r="BR49" s="114">
        <f t="shared" si="24"/>
        <v>126</v>
      </c>
      <c r="BS49">
        <f t="shared" si="10"/>
        <v>134</v>
      </c>
      <c r="BU49">
        <f>IFERROR(8-VLOOKUP(U49,'Dados de consulta'!$A:$D,3,0),8)</f>
        <v>0</v>
      </c>
      <c r="BV49">
        <f>IFERROR(8-VLOOKUP(V49,'Dados de consulta'!$A:$D,3,0),8)</f>
        <v>8</v>
      </c>
      <c r="BW49">
        <f t="shared" si="25"/>
        <v>8</v>
      </c>
    </row>
    <row r="50" spans="1:75" ht="15" hidden="1" x14ac:dyDescent="0.2">
      <c r="A50" s="98">
        <v>42173</v>
      </c>
      <c r="B50" s="129" t="str">
        <f t="shared" si="0"/>
        <v>qui</v>
      </c>
      <c r="C50" s="132"/>
      <c r="D50" s="132"/>
      <c r="E50" s="132"/>
      <c r="F50" s="132">
        <v>101</v>
      </c>
      <c r="G50" s="132"/>
      <c r="H50" s="132">
        <v>8</v>
      </c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51">
        <v>8</v>
      </c>
      <c r="V50" s="151"/>
      <c r="W50" s="307" t="s">
        <v>193</v>
      </c>
      <c r="X50" s="308"/>
      <c r="Y50" s="38">
        <f t="shared" si="1"/>
        <v>8</v>
      </c>
      <c r="Z50" s="38">
        <f t="shared" si="2"/>
        <v>0</v>
      </c>
      <c r="AA50" s="38">
        <f t="shared" si="3"/>
        <v>0</v>
      </c>
      <c r="AB50" s="38">
        <f t="shared" si="11"/>
        <v>0</v>
      </c>
      <c r="AC50" s="38">
        <f t="shared" si="12"/>
        <v>0</v>
      </c>
      <c r="AD50" s="38">
        <f t="shared" si="13"/>
        <v>0</v>
      </c>
      <c r="AE50" s="38">
        <f t="shared" si="14"/>
        <v>0</v>
      </c>
      <c r="AF50" s="38">
        <f t="shared" si="15"/>
        <v>0</v>
      </c>
      <c r="AG50" s="33">
        <f t="shared" si="16"/>
        <v>8</v>
      </c>
      <c r="AH50" s="33">
        <f t="shared" si="17"/>
        <v>0</v>
      </c>
      <c r="AI50" s="33">
        <f t="shared" si="18"/>
        <v>0</v>
      </c>
      <c r="AJ50" s="33">
        <f t="shared" si="19"/>
        <v>0</v>
      </c>
      <c r="AK50" s="34">
        <f t="shared" si="20"/>
        <v>5.6338028169014086E-2</v>
      </c>
      <c r="AL50" s="35">
        <f t="shared" si="21"/>
        <v>0</v>
      </c>
      <c r="AM50" s="34">
        <f t="shared" si="22"/>
        <v>0</v>
      </c>
      <c r="AN50" s="36">
        <f t="shared" si="23"/>
        <v>0</v>
      </c>
      <c r="AO50" s="6">
        <f t="shared" si="4"/>
        <v>0</v>
      </c>
      <c r="AP50">
        <f t="shared" si="5"/>
        <v>8</v>
      </c>
      <c r="AQ50" s="6">
        <f t="shared" si="6"/>
        <v>0</v>
      </c>
      <c r="AR50" s="6">
        <f t="shared" si="7"/>
        <v>0</v>
      </c>
      <c r="AS50" s="6"/>
      <c r="AX50" s="95">
        <f t="shared" si="8"/>
        <v>42173</v>
      </c>
      <c r="AY50" s="96" t="str">
        <f t="shared" si="9"/>
        <v>qui</v>
      </c>
      <c r="AZ50" s="97">
        <f>IF(OR(AY50="SÁB",AY50="DOM"),0,IFERROR(8-VLOOKUP(C50,'Dados de consulta'!$A$2:$C$38,3,0),8))</f>
        <v>8</v>
      </c>
      <c r="BA50" s="97">
        <f>IF(OR(AY50="SÁB",AY50="DOM"),0,IFERROR(8-VLOOKUP(D50,'Dados de consulta'!$A$2:$C$38,3,0),8))</f>
        <v>8</v>
      </c>
      <c r="BB50" s="97">
        <f>IF(OR(AY50="SÁB",AY50="DOM"),0,IFERROR(8-VLOOKUP(E50,'Dados de consulta'!$A$2:$C$38,3,0),8))</f>
        <v>8</v>
      </c>
      <c r="BC50" s="97">
        <f>IF(OR(AY50="SÁB",AY50="DOM"),0,IFERROR(8-VLOOKUP(F50,'Dados de consulta'!$A$2:$C$38,3,0),8))</f>
        <v>0</v>
      </c>
      <c r="BD50" s="97">
        <f>IF(OR(AY50="SÁB",AY50="DOM"),0,IFERROR(8-VLOOKUP(G50,'Dados de consulta'!$A$2:$C$38,3,0),8))</f>
        <v>8</v>
      </c>
      <c r="BE50" s="97">
        <f>IF(OR(AY50="SÁB",AY50="DOM"),0,IFERROR(8-VLOOKUP(H50,'Dados de consulta'!$A$2:$C$38,3,0),8))</f>
        <v>0</v>
      </c>
      <c r="BF50" s="97">
        <f>IF(OR(AY50="SÁB",AY50="DOM"),0,IFERROR(8-VLOOKUP(I50,'Dados de consulta'!$A$2:$C$38,3,0),8))</f>
        <v>8</v>
      </c>
      <c r="BG50" s="97">
        <f>IF(OR(AY50="SÁB",AY50="DOM"),0,IFERROR(8-VLOOKUP(J50,'Dados de consulta'!$A$2:$C$38,3,0),8))</f>
        <v>8</v>
      </c>
      <c r="BH50" s="97">
        <f>IF(OR(AY50="SÁB",AY50="DOM"),0,IFERROR(8-VLOOKUP(K50,'Dados de consulta'!$A$2:$C$38,3,0),8))</f>
        <v>8</v>
      </c>
      <c r="BI50" s="97">
        <f>IF(OR(AY50="SÁB",AY50="DOM"),0,IFERROR(8-VLOOKUP(L50,'Dados de consulta'!$A$2:$C$38,3,0),8))</f>
        <v>8</v>
      </c>
      <c r="BJ50" s="97">
        <f>IF(OR(AY50="SÁB",AY50="DOM"),0,IFERROR(8-VLOOKUP(M50,'Dados de consulta'!$A$2:$C$38,3,0),8))</f>
        <v>8</v>
      </c>
      <c r="BK50" s="97">
        <f>IF(OR(AY50="SÁB",AY50="DOM"),0,IFERROR(8-VLOOKUP(N50,'Dados de consulta'!$A$2:$C$38,3,0),8))</f>
        <v>8</v>
      </c>
      <c r="BL50" s="97">
        <f>IF(OR(AY50="SÁB",AY50="DOM"),0,IFERROR(8-VLOOKUP(O50,'Dados de consulta'!$A$2:$C$38,3,0),8))</f>
        <v>8</v>
      </c>
      <c r="BM50" s="97">
        <f>IF(OR(AY50="SÁB",AY50="DOM"),0,IFERROR(8-VLOOKUP(P50,'Dados de consulta'!$A$2:$C$38,3,0),8))</f>
        <v>8</v>
      </c>
      <c r="BN50" s="97">
        <f>IF(OR(AY50="SÁB",AY50="DOM"),0,IFERROR(8-VLOOKUP(Q50,'Dados de consulta'!$A$2:$C$38,3,0),8))</f>
        <v>8</v>
      </c>
      <c r="BO50" s="97">
        <f>IF(OR(AY50="SÁB",AY50="DOM"),0,IFERROR(8-VLOOKUP(R50,'Dados de consulta'!$A$2:$C$38,3,0),8))</f>
        <v>8</v>
      </c>
      <c r="BP50" s="97">
        <f>IF(OR(AY50="SÁB",AY50="DOM"),0,IFERROR(8-VLOOKUP(S50,'Dados de consulta'!$A$2:$C$38,3,0),8))</f>
        <v>8</v>
      </c>
      <c r="BQ50" s="113">
        <f>IFERROR(6-VLOOKUP(T50,'Dados de consulta'!$A$2:$C$38,3,0)+2,6)</f>
        <v>6</v>
      </c>
      <c r="BR50" s="114">
        <f t="shared" si="24"/>
        <v>126</v>
      </c>
      <c r="BS50">
        <f t="shared" si="10"/>
        <v>134</v>
      </c>
      <c r="BU50">
        <f>IFERROR(8-VLOOKUP(U50,'Dados de consulta'!$A:$D,3,0),8)</f>
        <v>0</v>
      </c>
      <c r="BV50">
        <f>IFERROR(8-VLOOKUP(V50,'Dados de consulta'!$A:$D,3,0),8)</f>
        <v>8</v>
      </c>
      <c r="BW50">
        <f t="shared" si="25"/>
        <v>8</v>
      </c>
    </row>
    <row r="51" spans="1:75" ht="15" hidden="1" x14ac:dyDescent="0.2">
      <c r="A51" s="98">
        <v>42174</v>
      </c>
      <c r="B51" s="129" t="str">
        <f t="shared" si="0"/>
        <v>sex</v>
      </c>
      <c r="C51" s="132"/>
      <c r="D51" s="132"/>
      <c r="E51" s="132"/>
      <c r="F51" s="132">
        <v>101</v>
      </c>
      <c r="G51" s="132"/>
      <c r="H51" s="132">
        <v>8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51">
        <v>8</v>
      </c>
      <c r="V51" s="151"/>
      <c r="W51" s="307" t="s">
        <v>193</v>
      </c>
      <c r="X51" s="308"/>
      <c r="Y51" s="38">
        <f t="shared" si="1"/>
        <v>8</v>
      </c>
      <c r="Z51" s="38">
        <f t="shared" si="2"/>
        <v>0</v>
      </c>
      <c r="AA51" s="38">
        <f t="shared" si="3"/>
        <v>0</v>
      </c>
      <c r="AB51" s="38">
        <f t="shared" si="11"/>
        <v>0</v>
      </c>
      <c r="AC51" s="38">
        <f t="shared" si="12"/>
        <v>0</v>
      </c>
      <c r="AD51" s="38">
        <f t="shared" si="13"/>
        <v>0</v>
      </c>
      <c r="AE51" s="38">
        <f t="shared" si="14"/>
        <v>0</v>
      </c>
      <c r="AF51" s="38">
        <f t="shared" si="15"/>
        <v>0</v>
      </c>
      <c r="AG51" s="33">
        <f t="shared" si="16"/>
        <v>8</v>
      </c>
      <c r="AH51" s="33">
        <f t="shared" si="17"/>
        <v>0</v>
      </c>
      <c r="AI51" s="33">
        <f t="shared" si="18"/>
        <v>0</v>
      </c>
      <c r="AJ51" s="33">
        <f t="shared" si="19"/>
        <v>0</v>
      </c>
      <c r="AK51" s="34">
        <f t="shared" si="20"/>
        <v>5.6338028169014086E-2</v>
      </c>
      <c r="AL51" s="35">
        <f t="shared" si="21"/>
        <v>0</v>
      </c>
      <c r="AM51" s="34">
        <f t="shared" si="22"/>
        <v>0</v>
      </c>
      <c r="AN51" s="36">
        <f t="shared" si="23"/>
        <v>0</v>
      </c>
      <c r="AO51" s="6">
        <f t="shared" si="4"/>
        <v>0</v>
      </c>
      <c r="AP51">
        <f t="shared" si="5"/>
        <v>8</v>
      </c>
      <c r="AQ51" s="6">
        <f t="shared" si="6"/>
        <v>0</v>
      </c>
      <c r="AR51" s="6">
        <f t="shared" si="7"/>
        <v>0</v>
      </c>
      <c r="AS51" s="6"/>
      <c r="AX51" s="95">
        <f t="shared" si="8"/>
        <v>42174</v>
      </c>
      <c r="AY51" s="96" t="str">
        <f t="shared" si="9"/>
        <v>sex</v>
      </c>
      <c r="AZ51" s="97">
        <f>IF(OR(AY51="SÁB",AY51="DOM"),0,IFERROR(8-VLOOKUP(C51,'Dados de consulta'!$A$2:$C$38,3,0),8))</f>
        <v>8</v>
      </c>
      <c r="BA51" s="97">
        <f>IF(OR(AY51="SÁB",AY51="DOM"),0,IFERROR(8-VLOOKUP(D51,'Dados de consulta'!$A$2:$C$38,3,0),8))</f>
        <v>8</v>
      </c>
      <c r="BB51" s="97">
        <f>IF(OR(AY51="SÁB",AY51="DOM"),0,IFERROR(8-VLOOKUP(E51,'Dados de consulta'!$A$2:$C$38,3,0),8))</f>
        <v>8</v>
      </c>
      <c r="BC51" s="97">
        <f>IF(OR(AY51="SÁB",AY51="DOM"),0,IFERROR(8-VLOOKUP(F51,'Dados de consulta'!$A$2:$C$38,3,0),8))</f>
        <v>0</v>
      </c>
      <c r="BD51" s="97">
        <f>IF(OR(AY51="SÁB",AY51="DOM"),0,IFERROR(8-VLOOKUP(G51,'Dados de consulta'!$A$2:$C$38,3,0),8))</f>
        <v>8</v>
      </c>
      <c r="BE51" s="97">
        <f>IF(OR(AY51="SÁB",AY51="DOM"),0,IFERROR(8-VLOOKUP(H51,'Dados de consulta'!$A$2:$C$38,3,0),8))</f>
        <v>0</v>
      </c>
      <c r="BF51" s="97">
        <f>IF(OR(AY51="SÁB",AY51="DOM"),0,IFERROR(8-VLOOKUP(I51,'Dados de consulta'!$A$2:$C$38,3,0),8))</f>
        <v>8</v>
      </c>
      <c r="BG51" s="97">
        <f>IF(OR(AY51="SÁB",AY51="DOM"),0,IFERROR(8-VLOOKUP(J51,'Dados de consulta'!$A$2:$C$38,3,0),8))</f>
        <v>8</v>
      </c>
      <c r="BH51" s="97">
        <f>IF(OR(AY51="SÁB",AY51="DOM"),0,IFERROR(8-VLOOKUP(K51,'Dados de consulta'!$A$2:$C$38,3,0),8))</f>
        <v>8</v>
      </c>
      <c r="BI51" s="97">
        <f>IF(OR(AY51="SÁB",AY51="DOM"),0,IFERROR(8-VLOOKUP(L51,'Dados de consulta'!$A$2:$C$38,3,0),8))</f>
        <v>8</v>
      </c>
      <c r="BJ51" s="97">
        <f>IF(OR(AY51="SÁB",AY51="DOM"),0,IFERROR(8-VLOOKUP(M51,'Dados de consulta'!$A$2:$C$38,3,0),8))</f>
        <v>8</v>
      </c>
      <c r="BK51" s="97">
        <f>IF(OR(AY51="SÁB",AY51="DOM"),0,IFERROR(8-VLOOKUP(N51,'Dados de consulta'!$A$2:$C$38,3,0),8))</f>
        <v>8</v>
      </c>
      <c r="BL51" s="97">
        <f>IF(OR(AY51="SÁB",AY51="DOM"),0,IFERROR(8-VLOOKUP(O51,'Dados de consulta'!$A$2:$C$38,3,0),8))</f>
        <v>8</v>
      </c>
      <c r="BM51" s="97">
        <f>IF(OR(AY51="SÁB",AY51="DOM"),0,IFERROR(8-VLOOKUP(P51,'Dados de consulta'!$A$2:$C$38,3,0),8))</f>
        <v>8</v>
      </c>
      <c r="BN51" s="97">
        <f>IF(OR(AY51="SÁB",AY51="DOM"),0,IFERROR(8-VLOOKUP(Q51,'Dados de consulta'!$A$2:$C$38,3,0),8))</f>
        <v>8</v>
      </c>
      <c r="BO51" s="97">
        <f>IF(OR(AY51="SÁB",AY51="DOM"),0,IFERROR(8-VLOOKUP(R51,'Dados de consulta'!$A$2:$C$38,3,0),8))</f>
        <v>8</v>
      </c>
      <c r="BP51" s="97">
        <f>IF(OR(AY51="SÁB",AY51="DOM"),0,IFERROR(8-VLOOKUP(S51,'Dados de consulta'!$A$2:$C$38,3,0),8))</f>
        <v>8</v>
      </c>
      <c r="BQ51" s="113">
        <f>IFERROR(6-VLOOKUP(T51,'Dados de consulta'!$A$2:$C$38,3,0)+2,6)</f>
        <v>6</v>
      </c>
      <c r="BR51" s="114">
        <f t="shared" si="24"/>
        <v>126</v>
      </c>
      <c r="BS51">
        <f t="shared" si="10"/>
        <v>134</v>
      </c>
      <c r="BU51">
        <f>IFERROR(8-VLOOKUP(U51,'Dados de consulta'!$A:$D,3,0),8)</f>
        <v>0</v>
      </c>
      <c r="BV51">
        <f>IFERROR(8-VLOOKUP(V51,'Dados de consulta'!$A:$D,3,0),8)</f>
        <v>8</v>
      </c>
      <c r="BW51">
        <f t="shared" si="25"/>
        <v>8</v>
      </c>
    </row>
    <row r="52" spans="1:75" ht="15" hidden="1" x14ac:dyDescent="0.2">
      <c r="A52" s="98">
        <v>42175</v>
      </c>
      <c r="B52" s="129" t="str">
        <f t="shared" si="0"/>
        <v>sáb</v>
      </c>
      <c r="C52" s="132"/>
      <c r="D52" s="132"/>
      <c r="E52" s="132"/>
      <c r="F52" s="132">
        <v>101</v>
      </c>
      <c r="G52" s="132"/>
      <c r="H52" s="132">
        <v>8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51"/>
      <c r="V52" s="151"/>
      <c r="W52" s="307" t="s">
        <v>193</v>
      </c>
      <c r="X52" s="308"/>
      <c r="Y52" s="38">
        <f t="shared" si="1"/>
        <v>8</v>
      </c>
      <c r="Z52" s="38">
        <f t="shared" si="2"/>
        <v>0</v>
      </c>
      <c r="AA52" s="38">
        <f t="shared" si="3"/>
        <v>0</v>
      </c>
      <c r="AB52" s="38">
        <f t="shared" si="11"/>
        <v>0</v>
      </c>
      <c r="AC52" s="38">
        <f t="shared" si="12"/>
        <v>0</v>
      </c>
      <c r="AD52" s="38">
        <f t="shared" si="13"/>
        <v>0</v>
      </c>
      <c r="AE52" s="38">
        <f t="shared" si="14"/>
        <v>0</v>
      </c>
      <c r="AF52" s="38">
        <f t="shared" si="15"/>
        <v>0</v>
      </c>
      <c r="AG52" s="33">
        <f t="shared" si="16"/>
        <v>0</v>
      </c>
      <c r="AH52" s="33">
        <f t="shared" si="17"/>
        <v>0</v>
      </c>
      <c r="AI52" s="33">
        <f t="shared" si="18"/>
        <v>0</v>
      </c>
      <c r="AJ52" s="33">
        <f t="shared" si="19"/>
        <v>0</v>
      </c>
      <c r="AK52" s="34">
        <f t="shared" si="20"/>
        <v>0</v>
      </c>
      <c r="AL52" s="35">
        <f t="shared" si="21"/>
        <v>0</v>
      </c>
      <c r="AM52" s="34">
        <f t="shared" si="22"/>
        <v>0</v>
      </c>
      <c r="AN52" s="36">
        <f t="shared" si="23"/>
        <v>0</v>
      </c>
      <c r="AO52" s="6">
        <f t="shared" si="4"/>
        <v>0</v>
      </c>
      <c r="AP52">
        <f t="shared" si="5"/>
        <v>8</v>
      </c>
      <c r="AQ52" s="6">
        <f t="shared" si="6"/>
        <v>0</v>
      </c>
      <c r="AR52" s="6">
        <f t="shared" si="7"/>
        <v>0</v>
      </c>
      <c r="AS52" s="6"/>
      <c r="AX52" s="95">
        <f t="shared" si="8"/>
        <v>42175</v>
      </c>
      <c r="AY52" s="96" t="str">
        <f t="shared" si="9"/>
        <v>sáb</v>
      </c>
      <c r="AZ52" s="97">
        <f>IF(OR(AY52="SÁB",AY52="DOM"),0,IFERROR(8-VLOOKUP(C52,'Dados de consulta'!$A$2:$C$38,3,0),8))</f>
        <v>0</v>
      </c>
      <c r="BA52" s="97">
        <f>IF(OR(AY52="SÁB",AY52="DOM"),0,IFERROR(8-VLOOKUP(D52,'Dados de consulta'!$A$2:$C$38,3,0),8))</f>
        <v>0</v>
      </c>
      <c r="BB52" s="97">
        <f>IF(OR(AY52="SÁB",AY52="DOM"),0,IFERROR(8-VLOOKUP(E52,'Dados de consulta'!$A$2:$C$38,3,0),8))</f>
        <v>0</v>
      </c>
      <c r="BC52" s="97">
        <f>IF(OR(AY52="SÁB",AY52="DOM"),0,IFERROR(8-VLOOKUP(F52,'Dados de consulta'!$A$2:$C$38,3,0),8))</f>
        <v>0</v>
      </c>
      <c r="BD52" s="97">
        <f>IF(OR(AY52="SÁB",AY52="DOM"),0,IFERROR(8-VLOOKUP(G52,'Dados de consulta'!$A$2:$C$38,3,0),8))</f>
        <v>0</v>
      </c>
      <c r="BE52" s="97">
        <f>IF(OR(AY52="SÁB",AY52="DOM"),0,IFERROR(8-VLOOKUP(H52,'Dados de consulta'!$A$2:$C$38,3,0),8))</f>
        <v>0</v>
      </c>
      <c r="BF52" s="97">
        <f>IF(OR(AY52="SÁB",AY52="DOM"),0,IFERROR(8-VLOOKUP(I52,'Dados de consulta'!$A$2:$C$38,3,0),8))</f>
        <v>0</v>
      </c>
      <c r="BG52" s="97">
        <f>IF(OR(AY52="SÁB",AY52="DOM"),0,IFERROR(8-VLOOKUP(J52,'Dados de consulta'!$A$2:$C$38,3,0),8))</f>
        <v>0</v>
      </c>
      <c r="BH52" s="97">
        <f>IF(OR(AY52="SÁB",AY52="DOM"),0,IFERROR(8-VLOOKUP(K52,'Dados de consulta'!$A$2:$C$38,3,0),8))</f>
        <v>0</v>
      </c>
      <c r="BI52" s="97">
        <f>IF(OR(AY52="SÁB",AY52="DOM"),0,IFERROR(8-VLOOKUP(L52,'Dados de consulta'!$A$2:$C$38,3,0),8))</f>
        <v>0</v>
      </c>
      <c r="BJ52" s="97">
        <f>IF(OR(AY52="SÁB",AY52="DOM"),0,IFERROR(8-VLOOKUP(M52,'Dados de consulta'!$A$2:$C$38,3,0),8))</f>
        <v>0</v>
      </c>
      <c r="BK52" s="97">
        <f>IF(OR(AY52="SÁB",AY52="DOM"),0,IFERROR(8-VLOOKUP(N52,'Dados de consulta'!$A$2:$C$38,3,0),8))</f>
        <v>0</v>
      </c>
      <c r="BL52" s="97">
        <f>IF(OR(AY52="SÁB",AY52="DOM"),0,IFERROR(8-VLOOKUP(O52,'Dados de consulta'!$A$2:$C$38,3,0),8))</f>
        <v>0</v>
      </c>
      <c r="BM52" s="97">
        <f>IF(OR(AY52="SÁB",AY52="DOM"),0,IFERROR(8-VLOOKUP(P52,'Dados de consulta'!$A$2:$C$38,3,0),8))</f>
        <v>0</v>
      </c>
      <c r="BN52" s="97">
        <f>IF(OR(AY52="SÁB",AY52="DOM"),0,IFERROR(8-VLOOKUP(Q52,'Dados de consulta'!$A$2:$C$38,3,0),8))</f>
        <v>0</v>
      </c>
      <c r="BO52" s="97">
        <f>IF(OR(AY52="SÁB",AY52="DOM"),0,IFERROR(8-VLOOKUP(R52,'Dados de consulta'!$A$2:$C$38,3,0),8))</f>
        <v>0</v>
      </c>
      <c r="BP52" s="97">
        <f>IF(OR(AY52="SÁB",AY52="DOM"),0,IFERROR(8-VLOOKUP(S52,'Dados de consulta'!$A$2:$C$38,3,0),8))</f>
        <v>0</v>
      </c>
      <c r="BQ52" s="113">
        <f>IFERROR(6-VLOOKUP(T52,'Dados de consulta'!$A$2:$C$38,3,0)+2,6)</f>
        <v>6</v>
      </c>
      <c r="BR52" s="114">
        <f t="shared" si="24"/>
        <v>0</v>
      </c>
      <c r="BS52">
        <f t="shared" si="10"/>
        <v>0</v>
      </c>
      <c r="BU52">
        <f>IFERROR(8-VLOOKUP(U52,'Dados de consulta'!$A:$D,3,0),8)</f>
        <v>8</v>
      </c>
      <c r="BV52">
        <f>IFERROR(8-VLOOKUP(V52,'Dados de consulta'!$A:$D,3,0),8)</f>
        <v>8</v>
      </c>
      <c r="BW52">
        <f t="shared" si="25"/>
        <v>16</v>
      </c>
    </row>
    <row r="53" spans="1:75" ht="15" hidden="1" x14ac:dyDescent="0.2">
      <c r="A53" s="98">
        <v>42176</v>
      </c>
      <c r="B53" s="129" t="str">
        <f t="shared" si="0"/>
        <v>dom</v>
      </c>
      <c r="C53" s="132"/>
      <c r="D53" s="132"/>
      <c r="E53" s="132"/>
      <c r="F53" s="132">
        <v>101</v>
      </c>
      <c r="G53" s="132"/>
      <c r="H53" s="132">
        <v>8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51"/>
      <c r="V53" s="151"/>
      <c r="W53" s="307" t="s">
        <v>193</v>
      </c>
      <c r="X53" s="308"/>
      <c r="Y53" s="38">
        <f t="shared" si="1"/>
        <v>8</v>
      </c>
      <c r="Z53" s="38">
        <f t="shared" si="2"/>
        <v>0</v>
      </c>
      <c r="AA53" s="38">
        <f t="shared" si="3"/>
        <v>0</v>
      </c>
      <c r="AB53" s="38">
        <f t="shared" si="11"/>
        <v>0</v>
      </c>
      <c r="AC53" s="38">
        <f t="shared" si="12"/>
        <v>0</v>
      </c>
      <c r="AD53" s="38">
        <f t="shared" si="13"/>
        <v>0</v>
      </c>
      <c r="AE53" s="38">
        <f t="shared" si="14"/>
        <v>0</v>
      </c>
      <c r="AF53" s="38">
        <f t="shared" si="15"/>
        <v>0</v>
      </c>
      <c r="AG53" s="33">
        <f t="shared" si="16"/>
        <v>0</v>
      </c>
      <c r="AH53" s="33">
        <f t="shared" si="17"/>
        <v>0</v>
      </c>
      <c r="AI53" s="33">
        <f t="shared" si="18"/>
        <v>0</v>
      </c>
      <c r="AJ53" s="33">
        <f t="shared" si="19"/>
        <v>0</v>
      </c>
      <c r="AK53" s="34">
        <f t="shared" si="20"/>
        <v>0</v>
      </c>
      <c r="AL53" s="35">
        <f t="shared" si="21"/>
        <v>0</v>
      </c>
      <c r="AM53" s="34">
        <f t="shared" si="22"/>
        <v>0</v>
      </c>
      <c r="AN53" s="36">
        <f t="shared" si="23"/>
        <v>0</v>
      </c>
      <c r="AO53" s="6">
        <f t="shared" si="4"/>
        <v>0</v>
      </c>
      <c r="AP53">
        <f t="shared" si="5"/>
        <v>8</v>
      </c>
      <c r="AQ53" s="6">
        <f t="shared" si="6"/>
        <v>0</v>
      </c>
      <c r="AR53" s="6">
        <f t="shared" si="7"/>
        <v>0</v>
      </c>
      <c r="AS53" s="6"/>
      <c r="AX53" s="95">
        <f t="shared" si="8"/>
        <v>42176</v>
      </c>
      <c r="AY53" s="96" t="str">
        <f t="shared" si="9"/>
        <v>dom</v>
      </c>
      <c r="AZ53" s="97">
        <f>IF(OR(AY53="SÁB",AY53="DOM"),0,IFERROR(8-VLOOKUP(C53,'Dados de consulta'!$A$2:$C$38,3,0),8))</f>
        <v>0</v>
      </c>
      <c r="BA53" s="97">
        <f>IF(OR(AY53="SÁB",AY53="DOM"),0,IFERROR(8-VLOOKUP(D53,'Dados de consulta'!$A$2:$C$38,3,0),8))</f>
        <v>0</v>
      </c>
      <c r="BB53" s="97">
        <f>IF(OR(AY53="SÁB",AY53="DOM"),0,IFERROR(8-VLOOKUP(E53,'Dados de consulta'!$A$2:$C$38,3,0),8))</f>
        <v>0</v>
      </c>
      <c r="BC53" s="97">
        <f>IF(OR(AY53="SÁB",AY53="DOM"),0,IFERROR(8-VLOOKUP(F53,'Dados de consulta'!$A$2:$C$38,3,0),8))</f>
        <v>0</v>
      </c>
      <c r="BD53" s="97">
        <f>IF(OR(AY53="SÁB",AY53="DOM"),0,IFERROR(8-VLOOKUP(G53,'Dados de consulta'!$A$2:$C$38,3,0),8))</f>
        <v>0</v>
      </c>
      <c r="BE53" s="97">
        <f>IF(OR(AY53="SÁB",AY53="DOM"),0,IFERROR(8-VLOOKUP(H53,'Dados de consulta'!$A$2:$C$38,3,0),8))</f>
        <v>0</v>
      </c>
      <c r="BF53" s="97">
        <f>IF(OR(AY53="SÁB",AY53="DOM"),0,IFERROR(8-VLOOKUP(I53,'Dados de consulta'!$A$2:$C$38,3,0),8))</f>
        <v>0</v>
      </c>
      <c r="BG53" s="97">
        <f>IF(OR(AY53="SÁB",AY53="DOM"),0,IFERROR(8-VLOOKUP(J53,'Dados de consulta'!$A$2:$C$38,3,0),8))</f>
        <v>0</v>
      </c>
      <c r="BH53" s="97">
        <f>IF(OR(AY53="SÁB",AY53="DOM"),0,IFERROR(8-VLOOKUP(K53,'Dados de consulta'!$A$2:$C$38,3,0),8))</f>
        <v>0</v>
      </c>
      <c r="BI53" s="97">
        <f>IF(OR(AY53="SÁB",AY53="DOM"),0,IFERROR(8-VLOOKUP(L53,'Dados de consulta'!$A$2:$C$38,3,0),8))</f>
        <v>0</v>
      </c>
      <c r="BJ53" s="97">
        <f>IF(OR(AY53="SÁB",AY53="DOM"),0,IFERROR(8-VLOOKUP(M53,'Dados de consulta'!$A$2:$C$38,3,0),8))</f>
        <v>0</v>
      </c>
      <c r="BK53" s="97">
        <f>IF(OR(AY53="SÁB",AY53="DOM"),0,IFERROR(8-VLOOKUP(N53,'Dados de consulta'!$A$2:$C$38,3,0),8))</f>
        <v>0</v>
      </c>
      <c r="BL53" s="97">
        <f>IF(OR(AY53="SÁB",AY53="DOM"),0,IFERROR(8-VLOOKUP(O53,'Dados de consulta'!$A$2:$C$38,3,0),8))</f>
        <v>0</v>
      </c>
      <c r="BM53" s="97">
        <f>IF(OR(AY53="SÁB",AY53="DOM"),0,IFERROR(8-VLOOKUP(P53,'Dados de consulta'!$A$2:$C$38,3,0),8))</f>
        <v>0</v>
      </c>
      <c r="BN53" s="97">
        <f>IF(OR(AY53="SÁB",AY53="DOM"),0,IFERROR(8-VLOOKUP(Q53,'Dados de consulta'!$A$2:$C$38,3,0),8))</f>
        <v>0</v>
      </c>
      <c r="BO53" s="97">
        <f>IF(OR(AY53="SÁB",AY53="DOM"),0,IFERROR(8-VLOOKUP(R53,'Dados de consulta'!$A$2:$C$38,3,0),8))</f>
        <v>0</v>
      </c>
      <c r="BP53" s="97">
        <f>IF(OR(AY53="SÁB",AY53="DOM"),0,IFERROR(8-VLOOKUP(S53,'Dados de consulta'!$A$2:$C$38,3,0),8))</f>
        <v>0</v>
      </c>
      <c r="BQ53" s="113">
        <f>IFERROR(6-VLOOKUP(T53,'Dados de consulta'!$A$2:$C$38,3,0)+2,6)</f>
        <v>6</v>
      </c>
      <c r="BR53" s="114">
        <f t="shared" si="24"/>
        <v>0</v>
      </c>
      <c r="BS53">
        <f t="shared" si="10"/>
        <v>0</v>
      </c>
      <c r="BU53">
        <f>IFERROR(8-VLOOKUP(U53,'Dados de consulta'!$A:$D,3,0),8)</f>
        <v>8</v>
      </c>
      <c r="BV53">
        <f>IFERROR(8-VLOOKUP(V53,'Dados de consulta'!$A:$D,3,0),8)</f>
        <v>8</v>
      </c>
      <c r="BW53">
        <f t="shared" si="25"/>
        <v>16</v>
      </c>
    </row>
    <row r="54" spans="1:75" ht="15" hidden="1" x14ac:dyDescent="0.2">
      <c r="A54" s="98">
        <v>42177</v>
      </c>
      <c r="B54" s="129" t="str">
        <f t="shared" si="0"/>
        <v>seg</v>
      </c>
      <c r="C54" s="132"/>
      <c r="D54" s="132"/>
      <c r="E54" s="132"/>
      <c r="F54" s="132">
        <v>101</v>
      </c>
      <c r="G54" s="132"/>
      <c r="H54" s="132">
        <v>8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51"/>
      <c r="V54" s="151"/>
      <c r="W54" s="307" t="s">
        <v>193</v>
      </c>
      <c r="X54" s="308"/>
      <c r="Y54" s="38">
        <f t="shared" si="1"/>
        <v>8</v>
      </c>
      <c r="Z54" s="38">
        <f t="shared" si="2"/>
        <v>0</v>
      </c>
      <c r="AA54" s="38">
        <f t="shared" si="3"/>
        <v>0</v>
      </c>
      <c r="AB54" s="38">
        <f t="shared" si="11"/>
        <v>0</v>
      </c>
      <c r="AC54" s="38">
        <f t="shared" si="12"/>
        <v>0</v>
      </c>
      <c r="AD54" s="38">
        <f t="shared" si="13"/>
        <v>0</v>
      </c>
      <c r="AE54" s="38">
        <f t="shared" si="14"/>
        <v>0</v>
      </c>
      <c r="AF54" s="38">
        <f t="shared" si="15"/>
        <v>0</v>
      </c>
      <c r="AG54" s="33">
        <f t="shared" si="16"/>
        <v>8</v>
      </c>
      <c r="AH54" s="33">
        <f t="shared" si="17"/>
        <v>0</v>
      </c>
      <c r="AI54" s="33">
        <f t="shared" si="18"/>
        <v>0</v>
      </c>
      <c r="AJ54" s="33">
        <f t="shared" si="19"/>
        <v>0</v>
      </c>
      <c r="AK54" s="34">
        <f t="shared" si="20"/>
        <v>5.6338028169014086E-2</v>
      </c>
      <c r="AL54" s="35">
        <f t="shared" si="21"/>
        <v>0</v>
      </c>
      <c r="AM54" s="34">
        <f t="shared" si="22"/>
        <v>0</v>
      </c>
      <c r="AN54" s="36">
        <f t="shared" si="23"/>
        <v>0</v>
      </c>
      <c r="AO54" s="6">
        <f t="shared" si="4"/>
        <v>0</v>
      </c>
      <c r="AP54">
        <f t="shared" si="5"/>
        <v>8</v>
      </c>
      <c r="AQ54" s="6">
        <f t="shared" si="6"/>
        <v>0</v>
      </c>
      <c r="AR54" s="6">
        <f t="shared" si="7"/>
        <v>0</v>
      </c>
      <c r="AS54" s="6"/>
      <c r="AX54" s="95">
        <f t="shared" si="8"/>
        <v>42177</v>
      </c>
      <c r="AY54" s="96" t="str">
        <f t="shared" si="9"/>
        <v>seg</v>
      </c>
      <c r="AZ54" s="97">
        <f>IF(OR(AY54="SÁB",AY54="DOM"),0,IFERROR(8-VLOOKUP(C54,'Dados de consulta'!$A$2:$C$38,3,0),8))</f>
        <v>8</v>
      </c>
      <c r="BA54" s="97">
        <f>IF(OR(AY54="SÁB",AY54="DOM"),0,IFERROR(8-VLOOKUP(D54,'Dados de consulta'!$A$2:$C$38,3,0),8))</f>
        <v>8</v>
      </c>
      <c r="BB54" s="97">
        <f>IF(OR(AY54="SÁB",AY54="DOM"),0,IFERROR(8-VLOOKUP(E54,'Dados de consulta'!$A$2:$C$38,3,0),8))</f>
        <v>8</v>
      </c>
      <c r="BC54" s="97">
        <f>IF(OR(AY54="SÁB",AY54="DOM"),0,IFERROR(8-VLOOKUP(F54,'Dados de consulta'!$A$2:$C$38,3,0),8))</f>
        <v>0</v>
      </c>
      <c r="BD54" s="97">
        <f>IF(OR(AY54="SÁB",AY54="DOM"),0,IFERROR(8-VLOOKUP(G54,'Dados de consulta'!$A$2:$C$38,3,0),8))</f>
        <v>8</v>
      </c>
      <c r="BE54" s="97">
        <f>IF(OR(AY54="SÁB",AY54="DOM"),0,IFERROR(8-VLOOKUP(H54,'Dados de consulta'!$A$2:$C$38,3,0),8))</f>
        <v>0</v>
      </c>
      <c r="BF54" s="97">
        <f>IF(OR(AY54="SÁB",AY54="DOM"),0,IFERROR(8-VLOOKUP(I54,'Dados de consulta'!$A$2:$C$38,3,0),8))</f>
        <v>8</v>
      </c>
      <c r="BG54" s="97">
        <f>IF(OR(AY54="SÁB",AY54="DOM"),0,IFERROR(8-VLOOKUP(J54,'Dados de consulta'!$A$2:$C$38,3,0),8))</f>
        <v>8</v>
      </c>
      <c r="BH54" s="97">
        <f>IF(OR(AY54="SÁB",AY54="DOM"),0,IFERROR(8-VLOOKUP(K54,'Dados de consulta'!$A$2:$C$38,3,0),8))</f>
        <v>8</v>
      </c>
      <c r="BI54" s="97">
        <f>IF(OR(AY54="SÁB",AY54="DOM"),0,IFERROR(8-VLOOKUP(L54,'Dados de consulta'!$A$2:$C$38,3,0),8))</f>
        <v>8</v>
      </c>
      <c r="BJ54" s="97">
        <f>IF(OR(AY54="SÁB",AY54="DOM"),0,IFERROR(8-VLOOKUP(M54,'Dados de consulta'!$A$2:$C$38,3,0),8))</f>
        <v>8</v>
      </c>
      <c r="BK54" s="97">
        <f>IF(OR(AY54="SÁB",AY54="DOM"),0,IFERROR(8-VLOOKUP(N54,'Dados de consulta'!$A$2:$C$38,3,0),8))</f>
        <v>8</v>
      </c>
      <c r="BL54" s="97">
        <f>IF(OR(AY54="SÁB",AY54="DOM"),0,IFERROR(8-VLOOKUP(O54,'Dados de consulta'!$A$2:$C$38,3,0),8))</f>
        <v>8</v>
      </c>
      <c r="BM54" s="97">
        <f>IF(OR(AY54="SÁB",AY54="DOM"),0,IFERROR(8-VLOOKUP(P54,'Dados de consulta'!$A$2:$C$38,3,0),8))</f>
        <v>8</v>
      </c>
      <c r="BN54" s="97">
        <f>IF(OR(AY54="SÁB",AY54="DOM"),0,IFERROR(8-VLOOKUP(Q54,'Dados de consulta'!$A$2:$C$38,3,0),8))</f>
        <v>8</v>
      </c>
      <c r="BO54" s="97">
        <f>IF(OR(AY54="SÁB",AY54="DOM"),0,IFERROR(8-VLOOKUP(R54,'Dados de consulta'!$A$2:$C$38,3,0),8))</f>
        <v>8</v>
      </c>
      <c r="BP54" s="97">
        <f>IF(OR(AY54="SÁB",AY54="DOM"),0,IFERROR(8-VLOOKUP(S54,'Dados de consulta'!$A$2:$C$38,3,0),8))</f>
        <v>8</v>
      </c>
      <c r="BQ54" s="113">
        <f>IFERROR(6-VLOOKUP(T54,'Dados de consulta'!$A$2:$C$38,3,0)+2,6)</f>
        <v>6</v>
      </c>
      <c r="BR54" s="114">
        <f t="shared" si="24"/>
        <v>126</v>
      </c>
      <c r="BS54">
        <f t="shared" si="10"/>
        <v>134</v>
      </c>
      <c r="BU54">
        <f>IFERROR(8-VLOOKUP(U54,'Dados de consulta'!$A:$D,3,0),8)</f>
        <v>8</v>
      </c>
      <c r="BV54">
        <f>IFERROR(8-VLOOKUP(V54,'Dados de consulta'!$A:$D,3,0),8)</f>
        <v>8</v>
      </c>
      <c r="BW54">
        <f t="shared" si="25"/>
        <v>16</v>
      </c>
    </row>
    <row r="55" spans="1:75" ht="15" hidden="1" x14ac:dyDescent="0.2">
      <c r="A55" s="98">
        <v>42178</v>
      </c>
      <c r="B55" s="129" t="str">
        <f t="shared" si="0"/>
        <v>ter</v>
      </c>
      <c r="C55" s="132"/>
      <c r="D55" s="132"/>
      <c r="E55" s="132"/>
      <c r="F55" s="132">
        <v>101</v>
      </c>
      <c r="G55" s="132"/>
      <c r="H55" s="132">
        <v>8</v>
      </c>
      <c r="I55" s="132"/>
      <c r="J55" s="132">
        <v>8</v>
      </c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51"/>
      <c r="V55" s="151"/>
      <c r="W55" s="307" t="s">
        <v>193</v>
      </c>
      <c r="X55" s="308"/>
      <c r="Y55" s="38">
        <f t="shared" si="1"/>
        <v>16</v>
      </c>
      <c r="Z55" s="38">
        <f t="shared" si="2"/>
        <v>0</v>
      </c>
      <c r="AA55" s="38">
        <f t="shared" si="3"/>
        <v>0</v>
      </c>
      <c r="AB55" s="38">
        <f t="shared" si="11"/>
        <v>0</v>
      </c>
      <c r="AC55" s="38">
        <f t="shared" si="12"/>
        <v>0</v>
      </c>
      <c r="AD55" s="38">
        <f t="shared" si="13"/>
        <v>0</v>
      </c>
      <c r="AE55" s="38">
        <f t="shared" si="14"/>
        <v>0</v>
      </c>
      <c r="AF55" s="38">
        <f t="shared" si="15"/>
        <v>0</v>
      </c>
      <c r="AG55" s="33">
        <f t="shared" si="16"/>
        <v>16</v>
      </c>
      <c r="AH55" s="33">
        <f t="shared" si="17"/>
        <v>0</v>
      </c>
      <c r="AI55" s="33">
        <f t="shared" si="18"/>
        <v>0</v>
      </c>
      <c r="AJ55" s="33">
        <f t="shared" si="19"/>
        <v>0</v>
      </c>
      <c r="AK55" s="34">
        <f t="shared" si="20"/>
        <v>0.11267605633802817</v>
      </c>
      <c r="AL55" s="35">
        <f t="shared" si="21"/>
        <v>0</v>
      </c>
      <c r="AM55" s="34">
        <f t="shared" si="22"/>
        <v>0</v>
      </c>
      <c r="AN55" s="36">
        <f t="shared" si="23"/>
        <v>0</v>
      </c>
      <c r="AO55" s="6">
        <f t="shared" si="4"/>
        <v>0</v>
      </c>
      <c r="AP55">
        <f t="shared" si="5"/>
        <v>8</v>
      </c>
      <c r="AQ55" s="6">
        <f t="shared" si="6"/>
        <v>0</v>
      </c>
      <c r="AR55" s="6">
        <f t="shared" si="7"/>
        <v>0</v>
      </c>
      <c r="AS55" s="6"/>
      <c r="AX55" s="95">
        <f t="shared" si="8"/>
        <v>42178</v>
      </c>
      <c r="AY55" s="96" t="str">
        <f t="shared" si="9"/>
        <v>ter</v>
      </c>
      <c r="AZ55" s="97">
        <f>IF(OR(AY55="SÁB",AY55="DOM"),0,IFERROR(8-VLOOKUP(C55,'Dados de consulta'!$A$2:$C$38,3,0),8))</f>
        <v>8</v>
      </c>
      <c r="BA55" s="97">
        <f>IF(OR(AY55="SÁB",AY55="DOM"),0,IFERROR(8-VLOOKUP(D55,'Dados de consulta'!$A$2:$C$38,3,0),8))</f>
        <v>8</v>
      </c>
      <c r="BB55" s="97">
        <f>IF(OR(AY55="SÁB",AY55="DOM"),0,IFERROR(8-VLOOKUP(E55,'Dados de consulta'!$A$2:$C$38,3,0),8))</f>
        <v>8</v>
      </c>
      <c r="BC55" s="97">
        <f>IF(OR(AY55="SÁB",AY55="DOM"),0,IFERROR(8-VLOOKUP(F55,'Dados de consulta'!$A$2:$C$38,3,0),8))</f>
        <v>0</v>
      </c>
      <c r="BD55" s="97">
        <f>IF(OR(AY55="SÁB",AY55="DOM"),0,IFERROR(8-VLOOKUP(G55,'Dados de consulta'!$A$2:$C$38,3,0),8))</f>
        <v>8</v>
      </c>
      <c r="BE55" s="97">
        <f>IF(OR(AY55="SÁB",AY55="DOM"),0,IFERROR(8-VLOOKUP(H55,'Dados de consulta'!$A$2:$C$38,3,0),8))</f>
        <v>0</v>
      </c>
      <c r="BF55" s="97">
        <f>IF(OR(AY55="SÁB",AY55="DOM"),0,IFERROR(8-VLOOKUP(I55,'Dados de consulta'!$A$2:$C$38,3,0),8))</f>
        <v>8</v>
      </c>
      <c r="BG55" s="97">
        <f>IF(OR(AY55="SÁB",AY55="DOM"),0,IFERROR(8-VLOOKUP(J55,'Dados de consulta'!$A$2:$C$38,3,0),8))</f>
        <v>0</v>
      </c>
      <c r="BH55" s="97">
        <f>IF(OR(AY55="SÁB",AY55="DOM"),0,IFERROR(8-VLOOKUP(K55,'Dados de consulta'!$A$2:$C$38,3,0),8))</f>
        <v>8</v>
      </c>
      <c r="BI55" s="97">
        <f>IF(OR(AY55="SÁB",AY55="DOM"),0,IFERROR(8-VLOOKUP(L55,'Dados de consulta'!$A$2:$C$38,3,0),8))</f>
        <v>8</v>
      </c>
      <c r="BJ55" s="97">
        <f>IF(OR(AY55="SÁB",AY55="DOM"),0,IFERROR(8-VLOOKUP(M55,'Dados de consulta'!$A$2:$C$38,3,0),8))</f>
        <v>8</v>
      </c>
      <c r="BK55" s="97">
        <f>IF(OR(AY55="SÁB",AY55="DOM"),0,IFERROR(8-VLOOKUP(N55,'Dados de consulta'!$A$2:$C$38,3,0),8))</f>
        <v>8</v>
      </c>
      <c r="BL55" s="97">
        <f>IF(OR(AY55="SÁB",AY55="DOM"),0,IFERROR(8-VLOOKUP(O55,'Dados de consulta'!$A$2:$C$38,3,0),8))</f>
        <v>8</v>
      </c>
      <c r="BM55" s="97">
        <f>IF(OR(AY55="SÁB",AY55="DOM"),0,IFERROR(8-VLOOKUP(P55,'Dados de consulta'!$A$2:$C$38,3,0),8))</f>
        <v>8</v>
      </c>
      <c r="BN55" s="97">
        <f>IF(OR(AY55="SÁB",AY55="DOM"),0,IFERROR(8-VLOOKUP(Q55,'Dados de consulta'!$A$2:$C$38,3,0),8))</f>
        <v>8</v>
      </c>
      <c r="BO55" s="97">
        <f>IF(OR(AY55="SÁB",AY55="DOM"),0,IFERROR(8-VLOOKUP(R55,'Dados de consulta'!$A$2:$C$38,3,0),8))</f>
        <v>8</v>
      </c>
      <c r="BP55" s="97">
        <f>IF(OR(AY55="SÁB",AY55="DOM"),0,IFERROR(8-VLOOKUP(S55,'Dados de consulta'!$A$2:$C$38,3,0),8))</f>
        <v>8</v>
      </c>
      <c r="BQ55" s="113">
        <f>IFERROR(6-VLOOKUP(T55,'Dados de consulta'!$A$2:$C$38,3,0)+2,6)</f>
        <v>6</v>
      </c>
      <c r="BR55" s="114">
        <f t="shared" si="24"/>
        <v>118</v>
      </c>
      <c r="BS55">
        <f t="shared" si="10"/>
        <v>134</v>
      </c>
      <c r="BU55">
        <f>IFERROR(8-VLOOKUP(U55,'Dados de consulta'!$A:$D,3,0),8)</f>
        <v>8</v>
      </c>
      <c r="BV55">
        <f>IFERROR(8-VLOOKUP(V55,'Dados de consulta'!$A:$D,3,0),8)</f>
        <v>8</v>
      </c>
      <c r="BW55">
        <f t="shared" si="25"/>
        <v>16</v>
      </c>
    </row>
    <row r="56" spans="1:75" ht="15" hidden="1" x14ac:dyDescent="0.2">
      <c r="A56" s="98">
        <v>42179</v>
      </c>
      <c r="B56" s="129" t="str">
        <f t="shared" si="0"/>
        <v>qua</v>
      </c>
      <c r="C56" s="132" t="s">
        <v>195</v>
      </c>
      <c r="D56" s="132" t="s">
        <v>195</v>
      </c>
      <c r="E56" s="132"/>
      <c r="F56" s="132">
        <v>101</v>
      </c>
      <c r="G56" s="132"/>
      <c r="H56" s="132">
        <v>8</v>
      </c>
      <c r="I56" s="132" t="s">
        <v>195</v>
      </c>
      <c r="J56" s="132"/>
      <c r="K56" s="132"/>
      <c r="L56" s="132" t="s">
        <v>195</v>
      </c>
      <c r="M56" s="132"/>
      <c r="N56" s="132"/>
      <c r="O56" s="132"/>
      <c r="P56" s="132"/>
      <c r="Q56" s="132" t="s">
        <v>195</v>
      </c>
      <c r="R56" s="132"/>
      <c r="S56" s="132" t="s">
        <v>195</v>
      </c>
      <c r="T56" s="132"/>
      <c r="U56" s="151" t="s">
        <v>195</v>
      </c>
      <c r="V56" s="151"/>
      <c r="W56" s="307" t="s">
        <v>193</v>
      </c>
      <c r="X56" s="308"/>
      <c r="Y56" s="38">
        <f t="shared" si="1"/>
        <v>8</v>
      </c>
      <c r="Z56" s="38">
        <f t="shared" si="2"/>
        <v>0</v>
      </c>
      <c r="AA56" s="38">
        <f t="shared" si="3"/>
        <v>0</v>
      </c>
      <c r="AB56" s="38">
        <f t="shared" si="11"/>
        <v>24</v>
      </c>
      <c r="AC56" s="38">
        <f t="shared" si="12"/>
        <v>0</v>
      </c>
      <c r="AD56" s="38">
        <f t="shared" si="13"/>
        <v>0</v>
      </c>
      <c r="AE56" s="38">
        <f t="shared" si="14"/>
        <v>0</v>
      </c>
      <c r="AF56" s="38">
        <f t="shared" si="15"/>
        <v>0</v>
      </c>
      <c r="AG56" s="33">
        <f t="shared" si="16"/>
        <v>8</v>
      </c>
      <c r="AH56" s="33">
        <f t="shared" si="17"/>
        <v>0</v>
      </c>
      <c r="AI56" s="33">
        <f t="shared" si="18"/>
        <v>0</v>
      </c>
      <c r="AJ56" s="33">
        <f t="shared" si="19"/>
        <v>24</v>
      </c>
      <c r="AK56" s="34">
        <f t="shared" si="20"/>
        <v>5.6338028169014086E-2</v>
      </c>
      <c r="AL56" s="35">
        <f t="shared" si="21"/>
        <v>0</v>
      </c>
      <c r="AM56" s="34">
        <f t="shared" si="22"/>
        <v>0</v>
      </c>
      <c r="AN56" s="36">
        <f t="shared" si="23"/>
        <v>0.16901408450704225</v>
      </c>
      <c r="AO56" s="6">
        <f t="shared" si="4"/>
        <v>0</v>
      </c>
      <c r="AP56">
        <f t="shared" si="5"/>
        <v>8</v>
      </c>
      <c r="AQ56" s="6">
        <f t="shared" si="6"/>
        <v>0</v>
      </c>
      <c r="AR56" s="6">
        <f t="shared" si="7"/>
        <v>0</v>
      </c>
      <c r="AS56" s="6"/>
      <c r="AX56" s="95">
        <f t="shared" si="8"/>
        <v>42179</v>
      </c>
      <c r="AY56" s="96" t="str">
        <f t="shared" si="9"/>
        <v>qua</v>
      </c>
      <c r="AZ56" s="97">
        <f>IF(OR(AY56="SÁB",AY56="DOM"),0,IFERROR(8-VLOOKUP(C56,'Dados de consulta'!$A$2:$C$38,3,0),8))</f>
        <v>4</v>
      </c>
      <c r="BA56" s="97">
        <f>IF(OR(AY56="SÁB",AY56="DOM"),0,IFERROR(8-VLOOKUP(D56,'Dados de consulta'!$A$2:$C$38,3,0),8))</f>
        <v>4</v>
      </c>
      <c r="BB56" s="97">
        <f>IF(OR(AY56="SÁB",AY56="DOM"),0,IFERROR(8-VLOOKUP(E56,'Dados de consulta'!$A$2:$C$38,3,0),8))</f>
        <v>8</v>
      </c>
      <c r="BC56" s="97">
        <f>IF(OR(AY56="SÁB",AY56="DOM"),0,IFERROR(8-VLOOKUP(F56,'Dados de consulta'!$A$2:$C$38,3,0),8))</f>
        <v>0</v>
      </c>
      <c r="BD56" s="97">
        <f>IF(OR(AY56="SÁB",AY56="DOM"),0,IFERROR(8-VLOOKUP(G56,'Dados de consulta'!$A$2:$C$38,3,0),8))</f>
        <v>8</v>
      </c>
      <c r="BE56" s="97">
        <f>IF(OR(AY56="SÁB",AY56="DOM"),0,IFERROR(8-VLOOKUP(H56,'Dados de consulta'!$A$2:$C$38,3,0),8))</f>
        <v>0</v>
      </c>
      <c r="BF56" s="97">
        <f>IF(OR(AY56="SÁB",AY56="DOM"),0,IFERROR(8-VLOOKUP(I56,'Dados de consulta'!$A$2:$C$38,3,0),8))</f>
        <v>4</v>
      </c>
      <c r="BG56" s="97">
        <f>IF(OR(AY56="SÁB",AY56="DOM"),0,IFERROR(8-VLOOKUP(J56,'Dados de consulta'!$A$2:$C$38,3,0),8))</f>
        <v>8</v>
      </c>
      <c r="BH56" s="97">
        <f>IF(OR(AY56="SÁB",AY56="DOM"),0,IFERROR(8-VLOOKUP(K56,'Dados de consulta'!$A$2:$C$38,3,0),8))</f>
        <v>8</v>
      </c>
      <c r="BI56" s="97">
        <f>IF(OR(AY56="SÁB",AY56="DOM"),0,IFERROR(8-VLOOKUP(L56,'Dados de consulta'!$A$2:$C$38,3,0),8))</f>
        <v>4</v>
      </c>
      <c r="BJ56" s="97">
        <f>IF(OR(AY56="SÁB",AY56="DOM"),0,IFERROR(8-VLOOKUP(M56,'Dados de consulta'!$A$2:$C$38,3,0),8))</f>
        <v>8</v>
      </c>
      <c r="BK56" s="97">
        <f>IF(OR(AY56="SÁB",AY56="DOM"),0,IFERROR(8-VLOOKUP(N56,'Dados de consulta'!$A$2:$C$38,3,0),8))</f>
        <v>8</v>
      </c>
      <c r="BL56" s="97">
        <f>IF(OR(AY56="SÁB",AY56="DOM"),0,IFERROR(8-VLOOKUP(O56,'Dados de consulta'!$A$2:$C$38,3,0),8))</f>
        <v>8</v>
      </c>
      <c r="BM56" s="97">
        <f>IF(OR(AY56="SÁB",AY56="DOM"),0,IFERROR(8-VLOOKUP(P56,'Dados de consulta'!$A$2:$C$38,3,0),8))</f>
        <v>8</v>
      </c>
      <c r="BN56" s="97">
        <f>IF(OR(AY56="SÁB",AY56="DOM"),0,IFERROR(8-VLOOKUP(Q56,'Dados de consulta'!$A$2:$C$38,3,0),8))</f>
        <v>4</v>
      </c>
      <c r="BO56" s="97">
        <f>IF(OR(AY56="SÁB",AY56="DOM"),0,IFERROR(8-VLOOKUP(R56,'Dados de consulta'!$A$2:$C$38,3,0),8))</f>
        <v>8</v>
      </c>
      <c r="BP56" s="97">
        <f>IF(OR(AY56="SÁB",AY56="DOM"),0,IFERROR(8-VLOOKUP(S56,'Dados de consulta'!$A$2:$C$38,3,0),8))</f>
        <v>4</v>
      </c>
      <c r="BQ56" s="113">
        <f>IFERROR(6-VLOOKUP(T56,'Dados de consulta'!$A$2:$C$38,3,0)+2,6)</f>
        <v>6</v>
      </c>
      <c r="BR56" s="114">
        <f t="shared" si="24"/>
        <v>102</v>
      </c>
      <c r="BS56">
        <f t="shared" si="10"/>
        <v>134</v>
      </c>
      <c r="BU56">
        <f>IFERROR(8-VLOOKUP(U56,'Dados de consulta'!$A:$D,3,0),8)</f>
        <v>4</v>
      </c>
      <c r="BV56">
        <f>IFERROR(8-VLOOKUP(V56,'Dados de consulta'!$A:$D,3,0),8)</f>
        <v>8</v>
      </c>
      <c r="BW56">
        <f t="shared" si="25"/>
        <v>12</v>
      </c>
    </row>
    <row r="57" spans="1:75" ht="15" hidden="1" x14ac:dyDescent="0.2">
      <c r="A57" s="98">
        <v>42180</v>
      </c>
      <c r="B57" s="129" t="str">
        <f t="shared" si="0"/>
        <v>qui</v>
      </c>
      <c r="C57" s="132"/>
      <c r="D57" s="132"/>
      <c r="E57" s="132"/>
      <c r="F57" s="132">
        <v>101</v>
      </c>
      <c r="G57" s="132"/>
      <c r="H57" s="132">
        <v>8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51"/>
      <c r="V57" s="151"/>
      <c r="W57" s="307" t="s">
        <v>193</v>
      </c>
      <c r="X57" s="308"/>
      <c r="Y57" s="38">
        <f t="shared" si="1"/>
        <v>8</v>
      </c>
      <c r="Z57" s="38">
        <f t="shared" si="2"/>
        <v>0</v>
      </c>
      <c r="AA57" s="38">
        <f t="shared" si="3"/>
        <v>0</v>
      </c>
      <c r="AB57" s="38">
        <f t="shared" si="11"/>
        <v>0</v>
      </c>
      <c r="AC57" s="38">
        <f t="shared" si="12"/>
        <v>0</v>
      </c>
      <c r="AD57" s="38">
        <f t="shared" si="13"/>
        <v>0</v>
      </c>
      <c r="AE57" s="38">
        <f t="shared" si="14"/>
        <v>0</v>
      </c>
      <c r="AF57" s="38">
        <f t="shared" si="15"/>
        <v>0</v>
      </c>
      <c r="AG57" s="33">
        <f t="shared" si="16"/>
        <v>8</v>
      </c>
      <c r="AH57" s="33">
        <f t="shared" si="17"/>
        <v>0</v>
      </c>
      <c r="AI57" s="33">
        <f t="shared" si="18"/>
        <v>0</v>
      </c>
      <c r="AJ57" s="33">
        <f t="shared" si="19"/>
        <v>0</v>
      </c>
      <c r="AK57" s="34">
        <f t="shared" si="20"/>
        <v>5.6338028169014086E-2</v>
      </c>
      <c r="AL57" s="35">
        <f t="shared" si="21"/>
        <v>0</v>
      </c>
      <c r="AM57" s="34">
        <f t="shared" si="22"/>
        <v>0</v>
      </c>
      <c r="AN57" s="36">
        <f t="shared" si="23"/>
        <v>0</v>
      </c>
      <c r="AO57" s="6">
        <f t="shared" si="4"/>
        <v>0</v>
      </c>
      <c r="AP57">
        <f t="shared" si="5"/>
        <v>8</v>
      </c>
      <c r="AQ57" s="6">
        <f t="shared" si="6"/>
        <v>0</v>
      </c>
      <c r="AR57" s="6">
        <f t="shared" si="7"/>
        <v>0</v>
      </c>
      <c r="AS57" s="6"/>
      <c r="AX57" s="95">
        <f t="shared" si="8"/>
        <v>42180</v>
      </c>
      <c r="AY57" s="96" t="str">
        <f t="shared" si="9"/>
        <v>qui</v>
      </c>
      <c r="AZ57" s="97">
        <f>IF(OR(AY57="SÁB",AY57="DOM"),0,IFERROR(8-VLOOKUP(C57,'Dados de consulta'!$A$2:$C$38,3,0),8))</f>
        <v>8</v>
      </c>
      <c r="BA57" s="97">
        <f>IF(OR(AY57="SÁB",AY57="DOM"),0,IFERROR(8-VLOOKUP(D57,'Dados de consulta'!$A$2:$C$38,3,0),8))</f>
        <v>8</v>
      </c>
      <c r="BB57" s="97">
        <f>IF(OR(AY57="SÁB",AY57="DOM"),0,IFERROR(8-VLOOKUP(E57,'Dados de consulta'!$A$2:$C$38,3,0),8))</f>
        <v>8</v>
      </c>
      <c r="BC57" s="97">
        <f>IF(OR(AY57="SÁB",AY57="DOM"),0,IFERROR(8-VLOOKUP(F57,'Dados de consulta'!$A$2:$C$38,3,0),8))</f>
        <v>0</v>
      </c>
      <c r="BD57" s="97">
        <f>IF(OR(AY57="SÁB",AY57="DOM"),0,IFERROR(8-VLOOKUP(G57,'Dados de consulta'!$A$2:$C$38,3,0),8))</f>
        <v>8</v>
      </c>
      <c r="BE57" s="97">
        <f>IF(OR(AY57="SÁB",AY57="DOM"),0,IFERROR(8-VLOOKUP(H57,'Dados de consulta'!$A$2:$C$38,3,0),8))</f>
        <v>0</v>
      </c>
      <c r="BF57" s="97">
        <f>IF(OR(AY57="SÁB",AY57="DOM"),0,IFERROR(8-VLOOKUP(I57,'Dados de consulta'!$A$2:$C$38,3,0),8))</f>
        <v>8</v>
      </c>
      <c r="BG57" s="97">
        <f>IF(OR(AY57="SÁB",AY57="DOM"),0,IFERROR(8-VLOOKUP(J57,'Dados de consulta'!$A$2:$C$38,3,0),8))</f>
        <v>8</v>
      </c>
      <c r="BH57" s="97">
        <f>IF(OR(AY57="SÁB",AY57="DOM"),0,IFERROR(8-VLOOKUP(K57,'Dados de consulta'!$A$2:$C$38,3,0),8))</f>
        <v>8</v>
      </c>
      <c r="BI57" s="97">
        <f>IF(OR(AY57="SÁB",AY57="DOM"),0,IFERROR(8-VLOOKUP(L57,'Dados de consulta'!$A$2:$C$38,3,0),8))</f>
        <v>8</v>
      </c>
      <c r="BJ57" s="97">
        <f>IF(OR(AY57="SÁB",AY57="DOM"),0,IFERROR(8-VLOOKUP(M57,'Dados de consulta'!$A$2:$C$38,3,0),8))</f>
        <v>8</v>
      </c>
      <c r="BK57" s="97">
        <f>IF(OR(AY57="SÁB",AY57="DOM"),0,IFERROR(8-VLOOKUP(N57,'Dados de consulta'!$A$2:$C$38,3,0),8))</f>
        <v>8</v>
      </c>
      <c r="BL57" s="97">
        <f>IF(OR(AY57="SÁB",AY57="DOM"),0,IFERROR(8-VLOOKUP(O57,'Dados de consulta'!$A$2:$C$38,3,0),8))</f>
        <v>8</v>
      </c>
      <c r="BM57" s="97">
        <f>IF(OR(AY57="SÁB",AY57="DOM"),0,IFERROR(8-VLOOKUP(P57,'Dados de consulta'!$A$2:$C$38,3,0),8))</f>
        <v>8</v>
      </c>
      <c r="BN57" s="97">
        <f>IF(OR(AY57="SÁB",AY57="DOM"),0,IFERROR(8-VLOOKUP(Q57,'Dados de consulta'!$A$2:$C$38,3,0),8))</f>
        <v>8</v>
      </c>
      <c r="BO57" s="97">
        <f>IF(OR(AY57="SÁB",AY57="DOM"),0,IFERROR(8-VLOOKUP(R57,'Dados de consulta'!$A$2:$C$38,3,0),8))</f>
        <v>8</v>
      </c>
      <c r="BP57" s="97">
        <f>IF(OR(AY57="SÁB",AY57="DOM"),0,IFERROR(8-VLOOKUP(S57,'Dados de consulta'!$A$2:$C$38,3,0),8))</f>
        <v>8</v>
      </c>
      <c r="BQ57" s="113">
        <f>IFERROR(6-VLOOKUP(T57,'Dados de consulta'!$A$2:$C$38,3,0)+2,6)</f>
        <v>6</v>
      </c>
      <c r="BR57" s="114">
        <f t="shared" si="24"/>
        <v>126</v>
      </c>
      <c r="BS57">
        <f t="shared" si="10"/>
        <v>134</v>
      </c>
      <c r="BU57">
        <f>IFERROR(8-VLOOKUP(U57,'Dados de consulta'!$A:$D,3,0),8)</f>
        <v>8</v>
      </c>
      <c r="BV57">
        <f>IFERROR(8-VLOOKUP(V57,'Dados de consulta'!$A:$D,3,0),8)</f>
        <v>8</v>
      </c>
      <c r="BW57">
        <f t="shared" si="25"/>
        <v>16</v>
      </c>
    </row>
    <row r="58" spans="1:75" ht="15" hidden="1" x14ac:dyDescent="0.2">
      <c r="A58" s="98">
        <v>42181</v>
      </c>
      <c r="B58" s="129" t="str">
        <f t="shared" si="0"/>
        <v>sex</v>
      </c>
      <c r="C58" s="132"/>
      <c r="D58" s="132"/>
      <c r="E58" s="132"/>
      <c r="F58" s="132">
        <v>101</v>
      </c>
      <c r="G58" s="132"/>
      <c r="H58" s="132">
        <v>8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51"/>
      <c r="V58" s="151"/>
      <c r="W58" s="307" t="s">
        <v>193</v>
      </c>
      <c r="X58" s="308"/>
      <c r="Y58" s="38">
        <f t="shared" si="1"/>
        <v>8</v>
      </c>
      <c r="Z58" s="38">
        <f t="shared" si="2"/>
        <v>0</v>
      </c>
      <c r="AA58" s="38">
        <f t="shared" si="3"/>
        <v>0</v>
      </c>
      <c r="AB58" s="38">
        <f t="shared" si="11"/>
        <v>0</v>
      </c>
      <c r="AC58" s="38">
        <f t="shared" si="12"/>
        <v>0</v>
      </c>
      <c r="AD58" s="38">
        <f t="shared" si="13"/>
        <v>0</v>
      </c>
      <c r="AE58" s="38">
        <f t="shared" si="14"/>
        <v>0</v>
      </c>
      <c r="AF58" s="38">
        <f t="shared" si="15"/>
        <v>0</v>
      </c>
      <c r="AG58" s="33">
        <f t="shared" si="16"/>
        <v>8</v>
      </c>
      <c r="AH58" s="33">
        <f t="shared" si="17"/>
        <v>0</v>
      </c>
      <c r="AI58" s="33">
        <f t="shared" si="18"/>
        <v>0</v>
      </c>
      <c r="AJ58" s="33">
        <f t="shared" si="19"/>
        <v>0</v>
      </c>
      <c r="AK58" s="34">
        <f t="shared" si="20"/>
        <v>5.6338028169014086E-2</v>
      </c>
      <c r="AL58" s="35">
        <f t="shared" si="21"/>
        <v>0</v>
      </c>
      <c r="AM58" s="34">
        <f t="shared" si="22"/>
        <v>0</v>
      </c>
      <c r="AN58" s="36">
        <f t="shared" si="23"/>
        <v>0</v>
      </c>
      <c r="AO58" s="6">
        <f t="shared" si="4"/>
        <v>0</v>
      </c>
      <c r="AP58">
        <f t="shared" si="5"/>
        <v>8</v>
      </c>
      <c r="AQ58" s="6">
        <f t="shared" si="6"/>
        <v>0</v>
      </c>
      <c r="AR58" s="6">
        <f t="shared" si="7"/>
        <v>0</v>
      </c>
      <c r="AS58" s="6"/>
      <c r="AX58" s="95">
        <f t="shared" si="8"/>
        <v>42181</v>
      </c>
      <c r="AY58" s="96" t="str">
        <f t="shared" si="9"/>
        <v>sex</v>
      </c>
      <c r="AZ58" s="97">
        <f>IF(OR(AY58="SÁB",AY58="DOM"),0,IFERROR(8-VLOOKUP(C58,'Dados de consulta'!$A$2:$C$38,3,0),8))</f>
        <v>8</v>
      </c>
      <c r="BA58" s="97">
        <f>IF(OR(AY58="SÁB",AY58="DOM"),0,IFERROR(8-VLOOKUP(D58,'Dados de consulta'!$A$2:$C$38,3,0),8))</f>
        <v>8</v>
      </c>
      <c r="BB58" s="97">
        <f>IF(OR(AY58="SÁB",AY58="DOM"),0,IFERROR(8-VLOOKUP(E58,'Dados de consulta'!$A$2:$C$38,3,0),8))</f>
        <v>8</v>
      </c>
      <c r="BC58" s="97">
        <f>IF(OR(AY58="SÁB",AY58="DOM"),0,IFERROR(8-VLOOKUP(F58,'Dados de consulta'!$A$2:$C$38,3,0),8))</f>
        <v>0</v>
      </c>
      <c r="BD58" s="97">
        <f>IF(OR(AY58="SÁB",AY58="DOM"),0,IFERROR(8-VLOOKUP(G58,'Dados de consulta'!$A$2:$C$38,3,0),8))</f>
        <v>8</v>
      </c>
      <c r="BE58" s="97">
        <f>IF(OR(AY58="SÁB",AY58="DOM"),0,IFERROR(8-VLOOKUP(H58,'Dados de consulta'!$A$2:$C$38,3,0),8))</f>
        <v>0</v>
      </c>
      <c r="BF58" s="97">
        <f>IF(OR(AY58="SÁB",AY58="DOM"),0,IFERROR(8-VLOOKUP(I58,'Dados de consulta'!$A$2:$C$38,3,0),8))</f>
        <v>8</v>
      </c>
      <c r="BG58" s="97">
        <f>IF(OR(AY58="SÁB",AY58="DOM"),0,IFERROR(8-VLOOKUP(J58,'Dados de consulta'!$A$2:$C$38,3,0),8))</f>
        <v>8</v>
      </c>
      <c r="BH58" s="97">
        <f>IF(OR(AY58="SÁB",AY58="DOM"),0,IFERROR(8-VLOOKUP(K58,'Dados de consulta'!$A$2:$C$38,3,0),8))</f>
        <v>8</v>
      </c>
      <c r="BI58" s="97">
        <f>IF(OR(AY58="SÁB",AY58="DOM"),0,IFERROR(8-VLOOKUP(L58,'Dados de consulta'!$A$2:$C$38,3,0),8))</f>
        <v>8</v>
      </c>
      <c r="BJ58" s="97">
        <f>IF(OR(AY58="SÁB",AY58="DOM"),0,IFERROR(8-VLOOKUP(M58,'Dados de consulta'!$A$2:$C$38,3,0),8))</f>
        <v>8</v>
      </c>
      <c r="BK58" s="97">
        <f>IF(OR(AY58="SÁB",AY58="DOM"),0,IFERROR(8-VLOOKUP(N58,'Dados de consulta'!$A$2:$C$38,3,0),8))</f>
        <v>8</v>
      </c>
      <c r="BL58" s="97">
        <f>IF(OR(AY58="SÁB",AY58="DOM"),0,IFERROR(8-VLOOKUP(O58,'Dados de consulta'!$A$2:$C$38,3,0),8))</f>
        <v>8</v>
      </c>
      <c r="BM58" s="97">
        <f>IF(OR(AY58="SÁB",AY58="DOM"),0,IFERROR(8-VLOOKUP(P58,'Dados de consulta'!$A$2:$C$38,3,0),8))</f>
        <v>8</v>
      </c>
      <c r="BN58" s="97">
        <f>IF(OR(AY58="SÁB",AY58="DOM"),0,IFERROR(8-VLOOKUP(Q58,'Dados de consulta'!$A$2:$C$38,3,0),8))</f>
        <v>8</v>
      </c>
      <c r="BO58" s="97">
        <f>IF(OR(AY58="SÁB",AY58="DOM"),0,IFERROR(8-VLOOKUP(R58,'Dados de consulta'!$A$2:$C$38,3,0),8))</f>
        <v>8</v>
      </c>
      <c r="BP58" s="97">
        <f>IF(OR(AY58="SÁB",AY58="DOM"),0,IFERROR(8-VLOOKUP(S58,'Dados de consulta'!$A$2:$C$38,3,0),8))</f>
        <v>8</v>
      </c>
      <c r="BQ58" s="113">
        <f>IFERROR(6-VLOOKUP(T58,'Dados de consulta'!$A$2:$C$38,3,0)+2,6)</f>
        <v>6</v>
      </c>
      <c r="BR58" s="114">
        <f t="shared" si="24"/>
        <v>126</v>
      </c>
      <c r="BS58">
        <f t="shared" si="10"/>
        <v>134</v>
      </c>
      <c r="BU58">
        <f>IFERROR(8-VLOOKUP(U58,'Dados de consulta'!$A:$D,3,0),8)</f>
        <v>8</v>
      </c>
      <c r="BV58">
        <f>IFERROR(8-VLOOKUP(V58,'Dados de consulta'!$A:$D,3,0),8)</f>
        <v>8</v>
      </c>
      <c r="BW58">
        <f t="shared" si="25"/>
        <v>16</v>
      </c>
    </row>
    <row r="59" spans="1:75" ht="15" hidden="1" x14ac:dyDescent="0.2">
      <c r="A59" s="98">
        <v>42182</v>
      </c>
      <c r="B59" s="129" t="str">
        <f t="shared" si="0"/>
        <v>sáb</v>
      </c>
      <c r="C59" s="132"/>
      <c r="D59" s="132"/>
      <c r="E59" s="132"/>
      <c r="F59" s="132">
        <v>101</v>
      </c>
      <c r="G59" s="132"/>
      <c r="H59" s="132">
        <v>8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51"/>
      <c r="V59" s="151"/>
      <c r="W59" s="307" t="s">
        <v>193</v>
      </c>
      <c r="X59" s="308"/>
      <c r="Y59" s="38">
        <f t="shared" si="1"/>
        <v>8</v>
      </c>
      <c r="Z59" s="38">
        <f t="shared" si="2"/>
        <v>0</v>
      </c>
      <c r="AA59" s="38">
        <f t="shared" si="3"/>
        <v>0</v>
      </c>
      <c r="AB59" s="38">
        <f t="shared" si="11"/>
        <v>0</v>
      </c>
      <c r="AC59" s="38">
        <f t="shared" si="12"/>
        <v>0</v>
      </c>
      <c r="AD59" s="38">
        <f t="shared" si="13"/>
        <v>0</v>
      </c>
      <c r="AE59" s="38">
        <f t="shared" si="14"/>
        <v>0</v>
      </c>
      <c r="AF59" s="38">
        <f t="shared" si="15"/>
        <v>0</v>
      </c>
      <c r="AG59" s="33">
        <f t="shared" si="16"/>
        <v>0</v>
      </c>
      <c r="AH59" s="33">
        <f t="shared" si="17"/>
        <v>0</v>
      </c>
      <c r="AI59" s="33">
        <f t="shared" si="18"/>
        <v>0</v>
      </c>
      <c r="AJ59" s="33">
        <f t="shared" si="19"/>
        <v>0</v>
      </c>
      <c r="AK59" s="34">
        <f t="shared" si="20"/>
        <v>0</v>
      </c>
      <c r="AL59" s="35">
        <f t="shared" si="21"/>
        <v>0</v>
      </c>
      <c r="AM59" s="34">
        <f t="shared" si="22"/>
        <v>0</v>
      </c>
      <c r="AN59" s="36">
        <f t="shared" si="23"/>
        <v>0</v>
      </c>
      <c r="AO59" s="6">
        <f t="shared" si="4"/>
        <v>0</v>
      </c>
      <c r="AP59">
        <f t="shared" si="5"/>
        <v>8</v>
      </c>
      <c r="AQ59" s="6">
        <f t="shared" si="6"/>
        <v>0</v>
      </c>
      <c r="AR59" s="6">
        <f t="shared" si="7"/>
        <v>0</v>
      </c>
      <c r="AS59" s="6"/>
      <c r="AX59" s="95">
        <f t="shared" si="8"/>
        <v>42182</v>
      </c>
      <c r="AY59" s="96" t="str">
        <f t="shared" si="9"/>
        <v>sáb</v>
      </c>
      <c r="AZ59" s="97">
        <f>IF(OR(AY59="SÁB",AY59="DOM"),0,IFERROR(8-VLOOKUP(C59,'Dados de consulta'!$A$2:$C$38,3,0),8))</f>
        <v>0</v>
      </c>
      <c r="BA59" s="97">
        <f>IF(OR(AY59="SÁB",AY59="DOM"),0,IFERROR(8-VLOOKUP(D59,'Dados de consulta'!$A$2:$C$38,3,0),8))</f>
        <v>0</v>
      </c>
      <c r="BB59" s="97">
        <f>IF(OR(AY59="SÁB",AY59="DOM"),0,IFERROR(8-VLOOKUP(E59,'Dados de consulta'!$A$2:$C$38,3,0),8))</f>
        <v>0</v>
      </c>
      <c r="BC59" s="97">
        <f>IF(OR(AY59="SÁB",AY59="DOM"),0,IFERROR(8-VLOOKUP(F59,'Dados de consulta'!$A$2:$C$38,3,0),8))</f>
        <v>0</v>
      </c>
      <c r="BD59" s="97">
        <f>IF(OR(AY59="SÁB",AY59="DOM"),0,IFERROR(8-VLOOKUP(G59,'Dados de consulta'!$A$2:$C$38,3,0),8))</f>
        <v>0</v>
      </c>
      <c r="BE59" s="97">
        <f>IF(OR(AY59="SÁB",AY59="DOM"),0,IFERROR(8-VLOOKUP(H59,'Dados de consulta'!$A$2:$C$38,3,0),8))</f>
        <v>0</v>
      </c>
      <c r="BF59" s="97">
        <f>IF(OR(AY59="SÁB",AY59="DOM"),0,IFERROR(8-VLOOKUP(I59,'Dados de consulta'!$A$2:$C$38,3,0),8))</f>
        <v>0</v>
      </c>
      <c r="BG59" s="97">
        <f>IF(OR(AY59="SÁB",AY59="DOM"),0,IFERROR(8-VLOOKUP(J59,'Dados de consulta'!$A$2:$C$38,3,0),8))</f>
        <v>0</v>
      </c>
      <c r="BH59" s="97">
        <f>IF(OR(AY59="SÁB",AY59="DOM"),0,IFERROR(8-VLOOKUP(K59,'Dados de consulta'!$A$2:$C$38,3,0),8))</f>
        <v>0</v>
      </c>
      <c r="BI59" s="97">
        <f>IF(OR(AY59="SÁB",AY59="DOM"),0,IFERROR(8-VLOOKUP(L59,'Dados de consulta'!$A$2:$C$38,3,0),8))</f>
        <v>0</v>
      </c>
      <c r="BJ59" s="97">
        <f>IF(OR(AY59="SÁB",AY59="DOM"),0,IFERROR(8-VLOOKUP(M59,'Dados de consulta'!$A$2:$C$38,3,0),8))</f>
        <v>0</v>
      </c>
      <c r="BK59" s="97">
        <f>IF(OR(AY59="SÁB",AY59="DOM"),0,IFERROR(8-VLOOKUP(N59,'Dados de consulta'!$A$2:$C$38,3,0),8))</f>
        <v>0</v>
      </c>
      <c r="BL59" s="97">
        <f>IF(OR(AY59="SÁB",AY59="DOM"),0,IFERROR(8-VLOOKUP(O59,'Dados de consulta'!$A$2:$C$38,3,0),8))</f>
        <v>0</v>
      </c>
      <c r="BM59" s="97">
        <f>IF(OR(AY59="SÁB",AY59="DOM"),0,IFERROR(8-VLOOKUP(P59,'Dados de consulta'!$A$2:$C$38,3,0),8))</f>
        <v>0</v>
      </c>
      <c r="BN59" s="97">
        <f>IF(OR(AY59="SÁB",AY59="DOM"),0,IFERROR(8-VLOOKUP(Q59,'Dados de consulta'!$A$2:$C$38,3,0),8))</f>
        <v>0</v>
      </c>
      <c r="BO59" s="97">
        <f>IF(OR(AY59="SÁB",AY59="DOM"),0,IFERROR(8-VLOOKUP(R59,'Dados de consulta'!$A$2:$C$38,3,0),8))</f>
        <v>0</v>
      </c>
      <c r="BP59" s="97">
        <f>IF(OR(AY59="SÁB",AY59="DOM"),0,IFERROR(8-VLOOKUP(S59,'Dados de consulta'!$A$2:$C$38,3,0),8))</f>
        <v>0</v>
      </c>
      <c r="BQ59" s="113">
        <f>IFERROR(6-VLOOKUP(T59,'Dados de consulta'!$A$2:$C$38,3,0)+2,6)</f>
        <v>6</v>
      </c>
      <c r="BR59" s="114">
        <f t="shared" si="24"/>
        <v>0</v>
      </c>
      <c r="BS59">
        <f t="shared" si="10"/>
        <v>0</v>
      </c>
      <c r="BU59">
        <f>IFERROR(8-VLOOKUP(U59,'Dados de consulta'!$A:$D,3,0),8)</f>
        <v>8</v>
      </c>
      <c r="BV59">
        <f>IFERROR(8-VLOOKUP(V59,'Dados de consulta'!$A:$D,3,0),8)</f>
        <v>8</v>
      </c>
      <c r="BW59">
        <f t="shared" si="25"/>
        <v>16</v>
      </c>
    </row>
    <row r="60" spans="1:75" ht="15" hidden="1" x14ac:dyDescent="0.2">
      <c r="A60" s="98">
        <v>42183</v>
      </c>
      <c r="B60" s="129" t="str">
        <f t="shared" si="0"/>
        <v>dom</v>
      </c>
      <c r="C60" s="132"/>
      <c r="D60" s="132"/>
      <c r="E60" s="132"/>
      <c r="F60" s="132">
        <v>101</v>
      </c>
      <c r="G60" s="132"/>
      <c r="H60" s="132">
        <v>8</v>
      </c>
      <c r="I60" s="132"/>
      <c r="J60" s="132"/>
      <c r="K60" s="132"/>
      <c r="L60" s="132"/>
      <c r="M60" s="132"/>
      <c r="N60" s="132"/>
      <c r="O60" s="132"/>
      <c r="P60" s="132"/>
      <c r="Q60" s="132"/>
      <c r="S60" s="132"/>
      <c r="T60" s="132"/>
      <c r="U60" s="151"/>
      <c r="V60" s="151"/>
      <c r="W60" s="307" t="s">
        <v>193</v>
      </c>
      <c r="X60" s="308"/>
      <c r="Y60" s="38">
        <f t="shared" si="1"/>
        <v>8</v>
      </c>
      <c r="Z60" s="38">
        <f t="shared" si="2"/>
        <v>0</v>
      </c>
      <c r="AA60" s="38">
        <f t="shared" si="3"/>
        <v>0</v>
      </c>
      <c r="AB60" s="38">
        <f t="shared" si="11"/>
        <v>0</v>
      </c>
      <c r="AC60" s="38">
        <f t="shared" si="12"/>
        <v>0</v>
      </c>
      <c r="AD60" s="38">
        <f t="shared" si="13"/>
        <v>0</v>
      </c>
      <c r="AE60" s="38">
        <f t="shared" si="14"/>
        <v>0</v>
      </c>
      <c r="AF60" s="38">
        <f t="shared" si="15"/>
        <v>0</v>
      </c>
      <c r="AG60" s="33">
        <f t="shared" si="16"/>
        <v>0</v>
      </c>
      <c r="AH60" s="33">
        <f t="shared" si="17"/>
        <v>0</v>
      </c>
      <c r="AI60" s="33">
        <f t="shared" si="18"/>
        <v>0</v>
      </c>
      <c r="AJ60" s="33">
        <f t="shared" si="19"/>
        <v>0</v>
      </c>
      <c r="AK60" s="34">
        <f t="shared" si="20"/>
        <v>0</v>
      </c>
      <c r="AL60" s="35">
        <f t="shared" si="21"/>
        <v>0</v>
      </c>
      <c r="AM60" s="34">
        <f t="shared" si="22"/>
        <v>0</v>
      </c>
      <c r="AN60" s="36">
        <f t="shared" si="23"/>
        <v>0</v>
      </c>
      <c r="AO60" s="6">
        <f t="shared" si="4"/>
        <v>0</v>
      </c>
      <c r="AP60">
        <f t="shared" si="5"/>
        <v>8</v>
      </c>
      <c r="AQ60" s="6">
        <f t="shared" si="6"/>
        <v>0</v>
      </c>
      <c r="AR60" s="6">
        <f t="shared" si="7"/>
        <v>0</v>
      </c>
      <c r="AS60" s="6"/>
      <c r="AX60" s="95">
        <f t="shared" si="8"/>
        <v>42183</v>
      </c>
      <c r="AY60" s="96" t="str">
        <f t="shared" si="9"/>
        <v>dom</v>
      </c>
      <c r="AZ60" s="97">
        <f>IF(OR(AY60="SÁB",AY60="DOM"),0,IFERROR(8-VLOOKUP(C60,'Dados de consulta'!$A$2:$C$38,3,0),8))</f>
        <v>0</v>
      </c>
      <c r="BA60" s="97">
        <f>IF(OR(AY60="SÁB",AY60="DOM"),0,IFERROR(8-VLOOKUP(D60,'Dados de consulta'!$A$2:$C$38,3,0),8))</f>
        <v>0</v>
      </c>
      <c r="BB60" s="97">
        <f>IF(OR(AY60="SÁB",AY60="DOM"),0,IFERROR(8-VLOOKUP(E60,'Dados de consulta'!$A$2:$C$38,3,0),8))</f>
        <v>0</v>
      </c>
      <c r="BC60" s="97">
        <f>IF(OR(AY60="SÁB",AY60="DOM"),0,IFERROR(8-VLOOKUP(F60,'Dados de consulta'!$A$2:$C$38,3,0),8))</f>
        <v>0</v>
      </c>
      <c r="BD60" s="97">
        <f>IF(OR(AY60="SÁB",AY60="DOM"),0,IFERROR(8-VLOOKUP(G60,'Dados de consulta'!$A$2:$C$38,3,0),8))</f>
        <v>0</v>
      </c>
      <c r="BE60" s="97">
        <f>IF(OR(AY60="SÁB",AY60="DOM"),0,IFERROR(8-VLOOKUP(H60,'Dados de consulta'!$A$2:$C$38,3,0),8))</f>
        <v>0</v>
      </c>
      <c r="BF60" s="97">
        <f>IF(OR(AY60="SÁB",AY60="DOM"),0,IFERROR(8-VLOOKUP(I60,'Dados de consulta'!$A$2:$C$38,3,0),8))</f>
        <v>0</v>
      </c>
      <c r="BG60" s="97">
        <f>IF(OR(AY60="SÁB",AY60="DOM"),0,IFERROR(8-VLOOKUP(J60,'Dados de consulta'!$A$2:$C$38,3,0),8))</f>
        <v>0</v>
      </c>
      <c r="BH60" s="97">
        <f>IF(OR(AY60="SÁB",AY60="DOM"),0,IFERROR(8-VLOOKUP(K60,'Dados de consulta'!$A$2:$C$38,3,0),8))</f>
        <v>0</v>
      </c>
      <c r="BI60" s="97">
        <f>IF(OR(AY60="SÁB",AY60="DOM"),0,IFERROR(8-VLOOKUP(L60,'Dados de consulta'!$A$2:$C$38,3,0),8))</f>
        <v>0</v>
      </c>
      <c r="BJ60" s="97">
        <f>IF(OR(AY60="SÁB",AY60="DOM"),0,IFERROR(8-VLOOKUP(M60,'Dados de consulta'!$A$2:$C$38,3,0),8))</f>
        <v>0</v>
      </c>
      <c r="BK60" s="97">
        <f>IF(OR(AY60="SÁB",AY60="DOM"),0,IFERROR(8-VLOOKUP(N60,'Dados de consulta'!$A$2:$C$38,3,0),8))</f>
        <v>0</v>
      </c>
      <c r="BL60" s="97">
        <f>IF(OR(AY60="SÁB",AY60="DOM"),0,IFERROR(8-VLOOKUP(O60,'Dados de consulta'!$A$2:$C$38,3,0),8))</f>
        <v>0</v>
      </c>
      <c r="BM60" s="97">
        <f>IF(OR(AY60="SÁB",AY60="DOM"),0,IFERROR(8-VLOOKUP(P60,'Dados de consulta'!$A$2:$C$38,3,0),8))</f>
        <v>0</v>
      </c>
      <c r="BN60" s="97">
        <f>IF(OR(AY60="SÁB",AY60="DOM"),0,IFERROR(8-VLOOKUP(Q60,'Dados de consulta'!$A$2:$C$38,3,0),8))</f>
        <v>0</v>
      </c>
      <c r="BO60" s="97">
        <f>IF(OR(AY60="SÁB",AY60="DOM"),0,IFERROR(8-VLOOKUP(R60,'Dados de consulta'!$A$2:$C$38,3,0),8))</f>
        <v>0</v>
      </c>
      <c r="BP60" s="97">
        <f>IF(OR(AY60="SÁB",AY60="DOM"),0,IFERROR(8-VLOOKUP(S60,'Dados de consulta'!$A$2:$C$38,3,0),8))</f>
        <v>0</v>
      </c>
      <c r="BQ60" s="113">
        <f>IFERROR(6-VLOOKUP(T60,'Dados de consulta'!$A$2:$C$38,3,0)+2,6)</f>
        <v>6</v>
      </c>
      <c r="BR60" s="114">
        <f t="shared" si="24"/>
        <v>0</v>
      </c>
      <c r="BS60">
        <f>IF(R61=17,0,IF(OR(AY60="SÁB",AY60="DOM"),0,((COUNT(AZ60:BQ60)-1)*8+6)-SUM(AO60:AR60)))</f>
        <v>0</v>
      </c>
      <c r="BU60">
        <f>IFERROR(8-VLOOKUP(U60,'Dados de consulta'!$A:$D,3,0),8)</f>
        <v>8</v>
      </c>
      <c r="BV60">
        <f>IFERROR(8-VLOOKUP(V60,'Dados de consulta'!$A:$D,3,0),8)</f>
        <v>8</v>
      </c>
      <c r="BW60">
        <f t="shared" si="25"/>
        <v>16</v>
      </c>
    </row>
    <row r="61" spans="1:75" ht="15" hidden="1" x14ac:dyDescent="0.2">
      <c r="A61" s="98">
        <v>42184</v>
      </c>
      <c r="B61" s="129" t="str">
        <f t="shared" si="0"/>
        <v>seg</v>
      </c>
      <c r="C61" s="132"/>
      <c r="D61" s="132"/>
      <c r="E61" s="132"/>
      <c r="F61" s="132">
        <v>101</v>
      </c>
      <c r="G61" s="132"/>
      <c r="H61" s="132">
        <v>8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>
        <v>1</v>
      </c>
      <c r="S61" s="132"/>
      <c r="T61" s="132"/>
      <c r="U61" s="151"/>
      <c r="V61" s="151"/>
      <c r="W61" s="307" t="s">
        <v>193</v>
      </c>
      <c r="X61" s="308"/>
      <c r="Y61" s="38">
        <f t="shared" si="1"/>
        <v>8</v>
      </c>
      <c r="Z61" s="38">
        <f t="shared" si="2"/>
        <v>8</v>
      </c>
      <c r="AA61" s="38">
        <f t="shared" si="3"/>
        <v>0</v>
      </c>
      <c r="AB61" s="38">
        <f t="shared" si="11"/>
        <v>0</v>
      </c>
      <c r="AC61" s="38">
        <f t="shared" si="12"/>
        <v>0</v>
      </c>
      <c r="AD61" s="38">
        <f t="shared" si="13"/>
        <v>0</v>
      </c>
      <c r="AE61" s="38">
        <f t="shared" si="14"/>
        <v>0</v>
      </c>
      <c r="AF61" s="38">
        <f t="shared" si="15"/>
        <v>0</v>
      </c>
      <c r="AG61" s="33">
        <f t="shared" si="16"/>
        <v>8</v>
      </c>
      <c r="AH61" s="33">
        <f t="shared" si="17"/>
        <v>8</v>
      </c>
      <c r="AI61" s="33">
        <f t="shared" si="18"/>
        <v>0</v>
      </c>
      <c r="AJ61" s="33">
        <f t="shared" si="19"/>
        <v>0</v>
      </c>
      <c r="AK61" s="34">
        <f t="shared" si="20"/>
        <v>5.6338028169014086E-2</v>
      </c>
      <c r="AL61" s="35">
        <f t="shared" si="21"/>
        <v>5.6338028169014086E-2</v>
      </c>
      <c r="AM61" s="34">
        <f t="shared" si="22"/>
        <v>0</v>
      </c>
      <c r="AN61" s="36">
        <f t="shared" si="23"/>
        <v>0</v>
      </c>
      <c r="AO61" s="6">
        <f t="shared" si="4"/>
        <v>0</v>
      </c>
      <c r="AP61">
        <f t="shared" si="5"/>
        <v>8</v>
      </c>
      <c r="AQ61" s="6">
        <f t="shared" si="6"/>
        <v>0</v>
      </c>
      <c r="AR61" s="6">
        <f t="shared" si="7"/>
        <v>0</v>
      </c>
      <c r="AS61" s="6"/>
      <c r="AX61" s="95">
        <f t="shared" si="8"/>
        <v>42184</v>
      </c>
      <c r="AY61" s="96" t="str">
        <f t="shared" si="9"/>
        <v>seg</v>
      </c>
      <c r="AZ61" s="97">
        <f>IF(OR(AY61="SÁB",AY61="DOM"),0,IFERROR(8-VLOOKUP(C61,'Dados de consulta'!$A$2:$C$38,3,0),8))</f>
        <v>8</v>
      </c>
      <c r="BA61" s="97">
        <f>IF(OR(AY61="SÁB",AY61="DOM"),0,IFERROR(8-VLOOKUP(D61,'Dados de consulta'!$A$2:$C$38,3,0),8))</f>
        <v>8</v>
      </c>
      <c r="BB61" s="97">
        <f>IF(OR(AY61="SÁB",AY61="DOM"),0,IFERROR(8-VLOOKUP(E61,'Dados de consulta'!$A$2:$C$38,3,0),8))</f>
        <v>8</v>
      </c>
      <c r="BC61" s="97">
        <f>IF(OR(AY61="SÁB",AY61="DOM"),0,IFERROR(8-VLOOKUP(F61,'Dados de consulta'!$A$2:$C$38,3,0),8))</f>
        <v>0</v>
      </c>
      <c r="BD61" s="97">
        <f>IF(OR(AY61="SÁB",AY61="DOM"),0,IFERROR(8-VLOOKUP(G61,'Dados de consulta'!$A$2:$C$38,3,0),8))</f>
        <v>8</v>
      </c>
      <c r="BE61" s="97">
        <f>IF(OR(AY61="SÁB",AY61="DOM"),0,IFERROR(8-VLOOKUP(H61,'Dados de consulta'!$A$2:$C$38,3,0),8))</f>
        <v>0</v>
      </c>
      <c r="BF61" s="97">
        <f>IF(OR(AY61="SÁB",AY61="DOM"),0,IFERROR(8-VLOOKUP(I61,'Dados de consulta'!$A$2:$C$38,3,0),8))</f>
        <v>8</v>
      </c>
      <c r="BG61" s="97">
        <f>IF(OR(AY61="SÁB",AY61="DOM"),0,IFERROR(8-VLOOKUP(J61,'Dados de consulta'!$A$2:$C$38,3,0),8))</f>
        <v>8</v>
      </c>
      <c r="BH61" s="97">
        <f>IF(OR(AY61="SÁB",AY61="DOM"),0,IFERROR(8-VLOOKUP(K61,'Dados de consulta'!$A$2:$C$38,3,0),8))</f>
        <v>8</v>
      </c>
      <c r="BI61" s="97">
        <f>IF(OR(AY61="SÁB",AY61="DOM"),0,IFERROR(8-VLOOKUP(L61,'Dados de consulta'!$A$2:$C$38,3,0),8))</f>
        <v>8</v>
      </c>
      <c r="BJ61" s="97">
        <f>IF(OR(AY61="SÁB",AY61="DOM"),0,IFERROR(8-VLOOKUP(M61,'Dados de consulta'!$A$2:$C$38,3,0),8))</f>
        <v>8</v>
      </c>
      <c r="BK61" s="97">
        <f>IF(OR(AY61="SÁB",AY61="DOM"),0,IFERROR(8-VLOOKUP(N61,'Dados de consulta'!$A$2:$C$38,3,0),8))</f>
        <v>8</v>
      </c>
      <c r="BL61" s="97">
        <f>IF(OR(AY61="SÁB",AY61="DOM"),0,IFERROR(8-VLOOKUP(O61,'Dados de consulta'!$A$2:$C$38,3,0),8))</f>
        <v>8</v>
      </c>
      <c r="BM61" s="97">
        <f>IF(OR(AY61="SÁB",AY61="DOM"),0,IFERROR(8-VLOOKUP(P61,'Dados de consulta'!$A$2:$C$38,3,0),8))</f>
        <v>8</v>
      </c>
      <c r="BN61" s="97">
        <f>IF(OR(AY61="SÁB",AY61="DOM"),0,IFERROR(8-VLOOKUP(Q61,'Dados de consulta'!$A$2:$C$38,3,0),8))</f>
        <v>8</v>
      </c>
      <c r="BO61" s="97">
        <f>IF(OR(AY61="SÁB",AY61="DOM"),0,IFERROR(8-VLOOKUP(R61,'Dados de consulta'!$A$2:$C$38,3,0),8))</f>
        <v>0</v>
      </c>
      <c r="BP61" s="97">
        <f>IF(OR(AY61="SÁB",AY61="DOM"),0,IFERROR(8-VLOOKUP(S61,'Dados de consulta'!$A$2:$C$38,3,0),8))</f>
        <v>8</v>
      </c>
      <c r="BQ61" s="113">
        <f>IFERROR(6-VLOOKUP(T61,'Dados de consulta'!$A$2:$C$38,3,0)+2,6)</f>
        <v>6</v>
      </c>
      <c r="BR61" s="114">
        <f t="shared" si="24"/>
        <v>118</v>
      </c>
      <c r="BS61">
        <f>IF(R62=17,0,IF(OR(AY61="SÁB",AY61="DOM"),0,((COUNT(AZ61:BQ61)-1)*8+6)-SUM(AO61:AR61)))</f>
        <v>134</v>
      </c>
      <c r="BU61">
        <f>IFERROR(8-VLOOKUP(U61,'Dados de consulta'!$A:$D,3,0),8)</f>
        <v>8</v>
      </c>
      <c r="BV61">
        <f>IFERROR(8-VLOOKUP(V61,'Dados de consulta'!$A:$D,3,0),8)</f>
        <v>8</v>
      </c>
      <c r="BW61">
        <f t="shared" si="25"/>
        <v>16</v>
      </c>
    </row>
    <row r="62" spans="1:75" ht="15" hidden="1" x14ac:dyDescent="0.2">
      <c r="A62" s="98">
        <v>42185</v>
      </c>
      <c r="B62" s="129" t="str">
        <f t="shared" si="0"/>
        <v>ter</v>
      </c>
      <c r="C62" s="132"/>
      <c r="D62" s="132"/>
      <c r="E62" s="132"/>
      <c r="F62" s="132">
        <v>101</v>
      </c>
      <c r="G62" s="132"/>
      <c r="H62" s="132">
        <v>8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>
        <v>1</v>
      </c>
      <c r="S62" s="132"/>
      <c r="T62" s="132"/>
      <c r="U62" s="151"/>
      <c r="V62" s="151"/>
      <c r="W62" s="307" t="s">
        <v>193</v>
      </c>
      <c r="X62" s="308"/>
      <c r="Y62" s="38">
        <f t="shared" si="1"/>
        <v>8</v>
      </c>
      <c r="Z62" s="38">
        <f t="shared" si="2"/>
        <v>8</v>
      </c>
      <c r="AA62" s="38">
        <f t="shared" si="3"/>
        <v>0</v>
      </c>
      <c r="AB62" s="38">
        <f t="shared" si="11"/>
        <v>0</v>
      </c>
      <c r="AC62" s="38">
        <f t="shared" si="12"/>
        <v>0</v>
      </c>
      <c r="AD62" s="38">
        <f t="shared" si="13"/>
        <v>0</v>
      </c>
      <c r="AE62" s="38">
        <f t="shared" si="14"/>
        <v>0</v>
      </c>
      <c r="AF62" s="38">
        <f t="shared" si="15"/>
        <v>0</v>
      </c>
      <c r="AG62" s="33">
        <f t="shared" si="16"/>
        <v>8</v>
      </c>
      <c r="AH62" s="33">
        <f t="shared" si="17"/>
        <v>8</v>
      </c>
      <c r="AI62" s="33">
        <f t="shared" si="18"/>
        <v>0</v>
      </c>
      <c r="AJ62" s="33">
        <f t="shared" si="19"/>
        <v>0</v>
      </c>
      <c r="AK62" s="34">
        <f t="shared" si="20"/>
        <v>5.6338028169014086E-2</v>
      </c>
      <c r="AL62" s="35">
        <f t="shared" si="21"/>
        <v>5.6338028169014086E-2</v>
      </c>
      <c r="AM62" s="34">
        <f t="shared" si="22"/>
        <v>0</v>
      </c>
      <c r="AN62" s="36">
        <f t="shared" si="23"/>
        <v>0</v>
      </c>
      <c r="AO62" s="6">
        <f t="shared" si="4"/>
        <v>0</v>
      </c>
      <c r="AP62">
        <f t="shared" si="5"/>
        <v>8</v>
      </c>
      <c r="AQ62" s="6">
        <f t="shared" si="6"/>
        <v>0</v>
      </c>
      <c r="AR62" s="6">
        <f t="shared" si="7"/>
        <v>0</v>
      </c>
      <c r="AS62" s="6"/>
      <c r="AX62" s="95">
        <f t="shared" si="8"/>
        <v>42185</v>
      </c>
      <c r="AY62" s="96" t="str">
        <f t="shared" si="9"/>
        <v>ter</v>
      </c>
      <c r="AZ62" s="97">
        <f>IF(OR(AY62="SÁB",AY62="DOM"),0,IFERROR(8-VLOOKUP(C62,'Dados de consulta'!$A$2:$C$38,3,0),8))</f>
        <v>8</v>
      </c>
      <c r="BA62" s="97">
        <f>IF(OR(AY62="SÁB",AY62="DOM"),0,IFERROR(8-VLOOKUP(D62,'Dados de consulta'!$A$2:$C$38,3,0),8))</f>
        <v>8</v>
      </c>
      <c r="BB62" s="97">
        <f>IF(OR(AY62="SÁB",AY62="DOM"),0,IFERROR(8-VLOOKUP(E62,'Dados de consulta'!$A$2:$C$38,3,0),8))</f>
        <v>8</v>
      </c>
      <c r="BC62" s="97">
        <f>IF(OR(AY62="SÁB",AY62="DOM"),0,IFERROR(8-VLOOKUP(F62,'Dados de consulta'!$A$2:$C$38,3,0),8))</f>
        <v>0</v>
      </c>
      <c r="BD62" s="97">
        <f>IF(OR(AY62="SÁB",AY62="DOM"),0,IFERROR(8-VLOOKUP(G62,'Dados de consulta'!$A$2:$C$38,3,0),8))</f>
        <v>8</v>
      </c>
      <c r="BE62" s="97">
        <f>IF(OR(AY62="SÁB",AY62="DOM"),0,IFERROR(8-VLOOKUP(H62,'Dados de consulta'!$A$2:$C$38,3,0),8))</f>
        <v>0</v>
      </c>
      <c r="BF62" s="97">
        <f>IF(OR(AY62="SÁB",AY62="DOM"),0,IFERROR(8-VLOOKUP(I62,'Dados de consulta'!$A$2:$C$38,3,0),8))</f>
        <v>8</v>
      </c>
      <c r="BG62" s="97">
        <f>IF(OR(AY62="SÁB",AY62="DOM"),0,IFERROR(8-VLOOKUP(J62,'Dados de consulta'!$A$2:$C$38,3,0),8))</f>
        <v>8</v>
      </c>
      <c r="BH62" s="97">
        <f>IF(OR(AY62="SÁB",AY62="DOM"),0,IFERROR(8-VLOOKUP(K62,'Dados de consulta'!$A$2:$C$38,3,0),8))</f>
        <v>8</v>
      </c>
      <c r="BI62" s="97">
        <f>IF(OR(AY62="SÁB",AY62="DOM"),0,IFERROR(8-VLOOKUP(L62,'Dados de consulta'!$A$2:$C$38,3,0),8))</f>
        <v>8</v>
      </c>
      <c r="BJ62" s="97">
        <f>IF(OR(AY62="SÁB",AY62="DOM"),0,IFERROR(8-VLOOKUP(M62,'Dados de consulta'!$A$2:$C$38,3,0),8))</f>
        <v>8</v>
      </c>
      <c r="BK62" s="97">
        <f>IF(OR(AY62="SÁB",AY62="DOM"),0,IFERROR(8-VLOOKUP(N62,'Dados de consulta'!$A$2:$C$38,3,0),8))</f>
        <v>8</v>
      </c>
      <c r="BL62" s="97">
        <f>IF(OR(AY62="SÁB",AY62="DOM"),0,IFERROR(8-VLOOKUP(O62,'Dados de consulta'!$A$2:$C$38,3,0),8))</f>
        <v>8</v>
      </c>
      <c r="BM62" s="97">
        <f>IF(OR(AY62="SÁB",AY62="DOM"),0,IFERROR(8-VLOOKUP(P62,'Dados de consulta'!$A$2:$C$38,3,0),8))</f>
        <v>8</v>
      </c>
      <c r="BN62" s="97">
        <f>IF(OR(AY62="SÁB",AY62="DOM"),0,IFERROR(8-VLOOKUP(Q62,'Dados de consulta'!$A$2:$C$38,3,0),8))</f>
        <v>8</v>
      </c>
      <c r="BO62" s="97">
        <f>IF(OR(AY62="SÁB",AY62="DOM"),0,IFERROR(8-VLOOKUP(R62,'Dados de consulta'!$A$2:$C$38,3,0),8))</f>
        <v>0</v>
      </c>
      <c r="BP62" s="97">
        <f>IF(OR(AY62="SÁB",AY62="DOM"),0,IFERROR(8-VLOOKUP(S62,'Dados de consulta'!$A$2:$C$38,3,0),8))</f>
        <v>8</v>
      </c>
      <c r="BQ62" s="113">
        <f>IFERROR(6-VLOOKUP(T62,'Dados de consulta'!$A$2:$C$38,3,0)+2,6)</f>
        <v>6</v>
      </c>
      <c r="BR62" s="114">
        <f t="shared" si="24"/>
        <v>118</v>
      </c>
      <c r="BS62">
        <f t="shared" ref="BS62:BS125" si="26">IF(R63=17,0,IF(OR(AY62="SÁB",AY62="DOM"),0,((COUNT(AZ62:BQ62)-1)*8+6)-SUM(AO62:AR62)))</f>
        <v>134</v>
      </c>
      <c r="BU62">
        <f>IFERROR(8-VLOOKUP(U62,'Dados de consulta'!$A:$D,3,0),8)</f>
        <v>8</v>
      </c>
      <c r="BV62">
        <f>IFERROR(8-VLOOKUP(V62,'Dados de consulta'!$A:$D,3,0),8)</f>
        <v>8</v>
      </c>
      <c r="BW62">
        <f t="shared" si="25"/>
        <v>16</v>
      </c>
    </row>
    <row r="63" spans="1:75" ht="15" hidden="1" x14ac:dyDescent="0.2">
      <c r="A63" s="98">
        <v>42186</v>
      </c>
      <c r="B63" s="129" t="str">
        <f t="shared" si="0"/>
        <v>qua</v>
      </c>
      <c r="C63" s="132"/>
      <c r="D63" s="132"/>
      <c r="E63" s="132"/>
      <c r="F63" s="132">
        <v>101</v>
      </c>
      <c r="G63" s="132"/>
      <c r="H63" s="132">
        <v>8</v>
      </c>
      <c r="I63" s="132"/>
      <c r="J63" s="132"/>
      <c r="K63" s="132"/>
      <c r="L63" s="132"/>
      <c r="M63" s="132">
        <v>18</v>
      </c>
      <c r="N63" s="132"/>
      <c r="O63" s="132"/>
      <c r="P63" s="132"/>
      <c r="Q63" s="132"/>
      <c r="R63" s="132"/>
      <c r="S63" s="132"/>
      <c r="T63" s="132"/>
      <c r="U63" s="151"/>
      <c r="V63" s="151"/>
      <c r="W63" s="307" t="s">
        <v>193</v>
      </c>
      <c r="X63" s="308"/>
      <c r="Y63" s="38">
        <f t="shared" si="1"/>
        <v>8</v>
      </c>
      <c r="Z63" s="38">
        <f t="shared" si="2"/>
        <v>8</v>
      </c>
      <c r="AA63" s="38">
        <f t="shared" si="3"/>
        <v>0</v>
      </c>
      <c r="AB63" s="38">
        <f t="shared" si="11"/>
        <v>0</v>
      </c>
      <c r="AC63" s="38">
        <f t="shared" si="12"/>
        <v>0</v>
      </c>
      <c r="AD63" s="38">
        <f t="shared" si="13"/>
        <v>0</v>
      </c>
      <c r="AE63" s="38">
        <f t="shared" si="14"/>
        <v>0</v>
      </c>
      <c r="AF63" s="38">
        <f t="shared" si="15"/>
        <v>0</v>
      </c>
      <c r="AG63" s="33">
        <f t="shared" si="16"/>
        <v>8</v>
      </c>
      <c r="AH63" s="33">
        <f t="shared" si="17"/>
        <v>8</v>
      </c>
      <c r="AI63" s="33">
        <f t="shared" si="18"/>
        <v>0</v>
      </c>
      <c r="AJ63" s="33">
        <f t="shared" si="19"/>
        <v>0</v>
      </c>
      <c r="AK63" s="34">
        <f t="shared" si="20"/>
        <v>5.6338028169014086E-2</v>
      </c>
      <c r="AL63" s="35">
        <f t="shared" si="21"/>
        <v>5.6338028169014086E-2</v>
      </c>
      <c r="AM63" s="34">
        <f t="shared" si="22"/>
        <v>0</v>
      </c>
      <c r="AN63" s="36">
        <f t="shared" si="23"/>
        <v>0</v>
      </c>
      <c r="AO63" s="6">
        <f t="shared" si="4"/>
        <v>0</v>
      </c>
      <c r="AP63">
        <f t="shared" si="5"/>
        <v>8</v>
      </c>
      <c r="AQ63" s="6">
        <f t="shared" si="6"/>
        <v>0</v>
      </c>
      <c r="AR63" s="6">
        <f t="shared" si="7"/>
        <v>0</v>
      </c>
      <c r="AS63" s="6"/>
      <c r="AX63" s="95">
        <f t="shared" si="8"/>
        <v>42186</v>
      </c>
      <c r="AY63" s="96" t="str">
        <f t="shared" si="9"/>
        <v>qua</v>
      </c>
      <c r="AZ63" s="97">
        <f>IF(OR(AY63="SÁB",AY63="DOM"),0,IFERROR(8-VLOOKUP(C63,'Dados de consulta'!$A$2:$C$38,3,0),8))</f>
        <v>8</v>
      </c>
      <c r="BA63" s="97">
        <f>IF(OR(AY63="SÁB",AY63="DOM"),0,IFERROR(8-VLOOKUP(D63,'Dados de consulta'!$A$2:$C$38,3,0),8))</f>
        <v>8</v>
      </c>
      <c r="BB63" s="97">
        <f>IF(OR(AY63="SÁB",AY63="DOM"),0,IFERROR(8-VLOOKUP(E63,'Dados de consulta'!$A$2:$C$38,3,0),8))</f>
        <v>8</v>
      </c>
      <c r="BC63" s="97">
        <f>IF(OR(AY63="SÁB",AY63="DOM"),0,IFERROR(8-VLOOKUP(F63,'Dados de consulta'!$A$2:$C$38,3,0),8))</f>
        <v>0</v>
      </c>
      <c r="BD63" s="97">
        <f>IF(OR(AY63="SÁB",AY63="DOM"),0,IFERROR(8-VLOOKUP(G63,'Dados de consulta'!$A$2:$C$38,3,0),8))</f>
        <v>8</v>
      </c>
      <c r="BE63" s="97">
        <f>IF(OR(AY63="SÁB",AY63="DOM"),0,IFERROR(8-VLOOKUP(H63,'Dados de consulta'!$A$2:$C$38,3,0),8))</f>
        <v>0</v>
      </c>
      <c r="BF63" s="97">
        <f>IF(OR(AY63="SÁB",AY63="DOM"),0,IFERROR(8-VLOOKUP(I63,'Dados de consulta'!$A$2:$C$38,3,0),8))</f>
        <v>8</v>
      </c>
      <c r="BG63" s="97">
        <f>IF(OR(AY63="SÁB",AY63="DOM"),0,IFERROR(8-VLOOKUP(J63,'Dados de consulta'!$A$2:$C$38,3,0),8))</f>
        <v>8</v>
      </c>
      <c r="BH63" s="97">
        <f>IF(OR(AY63="SÁB",AY63="DOM"),0,IFERROR(8-VLOOKUP(K63,'Dados de consulta'!$A$2:$C$38,3,0),8))</f>
        <v>8</v>
      </c>
      <c r="BI63" s="97">
        <f>IF(OR(AY63="SÁB",AY63="DOM"),0,IFERROR(8-VLOOKUP(L63,'Dados de consulta'!$A$2:$C$38,3,0),8))</f>
        <v>8</v>
      </c>
      <c r="BJ63" s="97">
        <f>IF(OR(AY63="SÁB",AY63="DOM"),0,IFERROR(8-VLOOKUP(M63,'Dados de consulta'!$A$2:$C$38,3,0),8))</f>
        <v>0</v>
      </c>
      <c r="BK63" s="97">
        <f>IF(OR(AY63="SÁB",AY63="DOM"),0,IFERROR(8-VLOOKUP(N63,'Dados de consulta'!$A$2:$C$38,3,0),8))</f>
        <v>8</v>
      </c>
      <c r="BL63" s="97">
        <f>IF(OR(AY63="SÁB",AY63="DOM"),0,IFERROR(8-VLOOKUP(O63,'Dados de consulta'!$A$2:$C$38,3,0),8))</f>
        <v>8</v>
      </c>
      <c r="BM63" s="97">
        <f>IF(OR(AY63="SÁB",AY63="DOM"),0,IFERROR(8-VLOOKUP(P63,'Dados de consulta'!$A$2:$C$38,3,0),8))</f>
        <v>8</v>
      </c>
      <c r="BN63" s="97">
        <f>IF(OR(AY63="SÁB",AY63="DOM"),0,IFERROR(8-VLOOKUP(Q63,'Dados de consulta'!$A$2:$C$38,3,0),8))</f>
        <v>8</v>
      </c>
      <c r="BO63" s="97">
        <f>IF(OR(AY63="SÁB",AY63="DOM"),0,IFERROR(8-VLOOKUP(R63,'Dados de consulta'!$A$2:$C$38,3,0),8))</f>
        <v>8</v>
      </c>
      <c r="BP63" s="97">
        <f>IF(OR(AY63="SÁB",AY63="DOM"),0,IFERROR(8-VLOOKUP(S63,'Dados de consulta'!$A$2:$C$38,3,0),8))</f>
        <v>8</v>
      </c>
      <c r="BQ63" s="113">
        <f>IFERROR(6-VLOOKUP(T63,'Dados de consulta'!$A$2:$C$38,3,0)+2,6)</f>
        <v>6</v>
      </c>
      <c r="BR63" s="114">
        <f t="shared" si="24"/>
        <v>118</v>
      </c>
      <c r="BS63">
        <f t="shared" si="26"/>
        <v>134</v>
      </c>
      <c r="BU63">
        <f>IFERROR(8-VLOOKUP(U63,'Dados de consulta'!$A:$D,3,0),8)</f>
        <v>8</v>
      </c>
      <c r="BV63">
        <f>IFERROR(8-VLOOKUP(V63,'Dados de consulta'!$A:$D,3,0),8)</f>
        <v>8</v>
      </c>
      <c r="BW63">
        <f t="shared" si="25"/>
        <v>16</v>
      </c>
    </row>
    <row r="64" spans="1:75" ht="15" hidden="1" x14ac:dyDescent="0.2">
      <c r="A64" s="98">
        <v>42187</v>
      </c>
      <c r="B64" s="129" t="str">
        <f t="shared" si="0"/>
        <v>qui</v>
      </c>
      <c r="C64" s="132"/>
      <c r="D64" s="132"/>
      <c r="E64" s="132"/>
      <c r="F64" s="132">
        <v>101</v>
      </c>
      <c r="G64" s="132"/>
      <c r="H64" s="132">
        <v>8</v>
      </c>
      <c r="I64" s="132"/>
      <c r="J64" s="132"/>
      <c r="K64" s="132"/>
      <c r="L64" s="132"/>
      <c r="M64" s="132">
        <v>18</v>
      </c>
      <c r="N64" s="132"/>
      <c r="O64" s="132"/>
      <c r="P64" s="132"/>
      <c r="Q64" s="132"/>
      <c r="R64" s="132"/>
      <c r="S64" s="132"/>
      <c r="T64" s="132"/>
      <c r="U64" s="151"/>
      <c r="V64" s="151"/>
      <c r="W64" s="307" t="s">
        <v>193</v>
      </c>
      <c r="X64" s="308"/>
      <c r="Y64" s="38">
        <f t="shared" si="1"/>
        <v>8</v>
      </c>
      <c r="Z64" s="38">
        <f t="shared" si="2"/>
        <v>8</v>
      </c>
      <c r="AA64" s="38">
        <f t="shared" si="3"/>
        <v>0</v>
      </c>
      <c r="AB64" s="38">
        <f t="shared" si="11"/>
        <v>0</v>
      </c>
      <c r="AC64" s="38">
        <f t="shared" si="12"/>
        <v>0</v>
      </c>
      <c r="AD64" s="38">
        <f t="shared" si="13"/>
        <v>0</v>
      </c>
      <c r="AE64" s="38">
        <f t="shared" si="14"/>
        <v>0</v>
      </c>
      <c r="AF64" s="38">
        <f t="shared" si="15"/>
        <v>0</v>
      </c>
      <c r="AG64" s="33">
        <f t="shared" si="16"/>
        <v>8</v>
      </c>
      <c r="AH64" s="33">
        <f t="shared" si="17"/>
        <v>8</v>
      </c>
      <c r="AI64" s="33">
        <f t="shared" si="18"/>
        <v>0</v>
      </c>
      <c r="AJ64" s="33">
        <f t="shared" si="19"/>
        <v>0</v>
      </c>
      <c r="AK64" s="34">
        <f t="shared" si="20"/>
        <v>5.6338028169014086E-2</v>
      </c>
      <c r="AL64" s="35">
        <f t="shared" si="21"/>
        <v>5.6338028169014086E-2</v>
      </c>
      <c r="AM64" s="34">
        <f t="shared" si="22"/>
        <v>0</v>
      </c>
      <c r="AN64" s="36">
        <f t="shared" si="23"/>
        <v>0</v>
      </c>
      <c r="AO64" s="6">
        <f t="shared" si="4"/>
        <v>0</v>
      </c>
      <c r="AP64">
        <f t="shared" si="5"/>
        <v>8</v>
      </c>
      <c r="AQ64" s="6">
        <f t="shared" si="6"/>
        <v>0</v>
      </c>
      <c r="AR64" s="6">
        <f t="shared" si="7"/>
        <v>0</v>
      </c>
      <c r="AS64" s="6"/>
      <c r="AX64" s="95">
        <f t="shared" si="8"/>
        <v>42187</v>
      </c>
      <c r="AY64" s="96" t="str">
        <f t="shared" si="9"/>
        <v>qui</v>
      </c>
      <c r="AZ64" s="97">
        <f>IF(OR(AY64="SÁB",AY64="DOM"),0,IFERROR(8-VLOOKUP(C64,'Dados de consulta'!$A$2:$C$38,3,0),8))</f>
        <v>8</v>
      </c>
      <c r="BA64" s="97">
        <f>IF(OR(AY64="SÁB",AY64="DOM"),0,IFERROR(8-VLOOKUP(D64,'Dados de consulta'!$A$2:$C$38,3,0),8))</f>
        <v>8</v>
      </c>
      <c r="BB64" s="97">
        <f>IF(OR(AY64="SÁB",AY64="DOM"),0,IFERROR(8-VLOOKUP(E64,'Dados de consulta'!$A$2:$C$38,3,0),8))</f>
        <v>8</v>
      </c>
      <c r="BC64" s="97">
        <f>IF(OR(AY64="SÁB",AY64="DOM"),0,IFERROR(8-VLOOKUP(F64,'Dados de consulta'!$A$2:$C$38,3,0),8))</f>
        <v>0</v>
      </c>
      <c r="BD64" s="97">
        <f>IF(OR(AY64="SÁB",AY64="DOM"),0,IFERROR(8-VLOOKUP(G64,'Dados de consulta'!$A$2:$C$38,3,0),8))</f>
        <v>8</v>
      </c>
      <c r="BE64" s="97">
        <f>IF(OR(AY64="SÁB",AY64="DOM"),0,IFERROR(8-VLOOKUP(H64,'Dados de consulta'!$A$2:$C$38,3,0),8))</f>
        <v>0</v>
      </c>
      <c r="BF64" s="97">
        <f>IF(OR(AY64="SÁB",AY64="DOM"),0,IFERROR(8-VLOOKUP(I64,'Dados de consulta'!$A$2:$C$38,3,0),8))</f>
        <v>8</v>
      </c>
      <c r="BG64" s="97">
        <f>IF(OR(AY64="SÁB",AY64="DOM"),0,IFERROR(8-VLOOKUP(J64,'Dados de consulta'!$A$2:$C$38,3,0),8))</f>
        <v>8</v>
      </c>
      <c r="BH64" s="97">
        <f>IF(OR(AY64="SÁB",AY64="DOM"),0,IFERROR(8-VLOOKUP(K64,'Dados de consulta'!$A$2:$C$38,3,0),8))</f>
        <v>8</v>
      </c>
      <c r="BI64" s="97">
        <f>IF(OR(AY64="SÁB",AY64="DOM"),0,IFERROR(8-VLOOKUP(L64,'Dados de consulta'!$A$2:$C$38,3,0),8))</f>
        <v>8</v>
      </c>
      <c r="BJ64" s="97">
        <f>IF(OR(AY64="SÁB",AY64="DOM"),0,IFERROR(8-VLOOKUP(M64,'Dados de consulta'!$A$2:$C$38,3,0),8))</f>
        <v>0</v>
      </c>
      <c r="BK64" s="97">
        <f>IF(OR(AY64="SÁB",AY64="DOM"),0,IFERROR(8-VLOOKUP(N64,'Dados de consulta'!$A$2:$C$38,3,0),8))</f>
        <v>8</v>
      </c>
      <c r="BL64" s="97">
        <f>IF(OR(AY64="SÁB",AY64="DOM"),0,IFERROR(8-VLOOKUP(O64,'Dados de consulta'!$A$2:$C$38,3,0),8))</f>
        <v>8</v>
      </c>
      <c r="BM64" s="97">
        <f>IF(OR(AY64="SÁB",AY64="DOM"),0,IFERROR(8-VLOOKUP(P64,'Dados de consulta'!$A$2:$C$38,3,0),8))</f>
        <v>8</v>
      </c>
      <c r="BN64" s="97">
        <f>IF(OR(AY64="SÁB",AY64="DOM"),0,IFERROR(8-VLOOKUP(Q64,'Dados de consulta'!$A$2:$C$38,3,0),8))</f>
        <v>8</v>
      </c>
      <c r="BO64" s="97">
        <f>IF(OR(AY64="SÁB",AY64="DOM"),0,IFERROR(8-VLOOKUP(R64,'Dados de consulta'!$A$2:$C$38,3,0),8))</f>
        <v>8</v>
      </c>
      <c r="BP64" s="97">
        <f>IF(OR(AY64="SÁB",AY64="DOM"),0,IFERROR(8-VLOOKUP(S64,'Dados de consulta'!$A$2:$C$38,3,0),8))</f>
        <v>8</v>
      </c>
      <c r="BQ64" s="113">
        <f>IFERROR(6-VLOOKUP(T64,'Dados de consulta'!$A$2:$C$38,3,0)+2,6)</f>
        <v>6</v>
      </c>
      <c r="BR64" s="114">
        <f t="shared" si="24"/>
        <v>118</v>
      </c>
      <c r="BS64">
        <f t="shared" si="26"/>
        <v>134</v>
      </c>
      <c r="BU64">
        <f>IFERROR(8-VLOOKUP(U64,'Dados de consulta'!$A:$D,3,0),8)</f>
        <v>8</v>
      </c>
      <c r="BV64">
        <f>IFERROR(8-VLOOKUP(V64,'Dados de consulta'!$A:$D,3,0),8)</f>
        <v>8</v>
      </c>
      <c r="BW64">
        <f t="shared" si="25"/>
        <v>16</v>
      </c>
    </row>
    <row r="65" spans="1:75" ht="15" hidden="1" x14ac:dyDescent="0.2">
      <c r="A65" s="98">
        <v>42188</v>
      </c>
      <c r="B65" s="129" t="str">
        <f t="shared" si="0"/>
        <v>sex</v>
      </c>
      <c r="C65" s="132"/>
      <c r="D65" s="132"/>
      <c r="E65" s="132"/>
      <c r="F65" s="132">
        <v>101</v>
      </c>
      <c r="G65" s="132">
        <v>8</v>
      </c>
      <c r="H65" s="132">
        <v>8</v>
      </c>
      <c r="I65" s="132"/>
      <c r="J65" s="132"/>
      <c r="K65" s="132"/>
      <c r="L65" s="132"/>
      <c r="M65" s="132">
        <v>18</v>
      </c>
      <c r="N65" s="132"/>
      <c r="O65" s="132"/>
      <c r="P65" s="132"/>
      <c r="Q65" s="132"/>
      <c r="R65" s="132"/>
      <c r="S65" s="132"/>
      <c r="T65" s="132"/>
      <c r="U65" s="151"/>
      <c r="V65" s="151"/>
      <c r="W65" s="307" t="s">
        <v>193</v>
      </c>
      <c r="X65" s="308"/>
      <c r="Y65" s="38">
        <f t="shared" si="1"/>
        <v>16</v>
      </c>
      <c r="Z65" s="38">
        <f t="shared" si="2"/>
        <v>8</v>
      </c>
      <c r="AA65" s="38">
        <f t="shared" si="3"/>
        <v>0</v>
      </c>
      <c r="AB65" s="38">
        <f t="shared" si="11"/>
        <v>0</v>
      </c>
      <c r="AC65" s="38">
        <f t="shared" si="12"/>
        <v>0</v>
      </c>
      <c r="AD65" s="38">
        <f t="shared" si="13"/>
        <v>0</v>
      </c>
      <c r="AE65" s="38">
        <f t="shared" si="14"/>
        <v>0</v>
      </c>
      <c r="AF65" s="38">
        <f t="shared" si="15"/>
        <v>0</v>
      </c>
      <c r="AG65" s="33">
        <f t="shared" si="16"/>
        <v>16</v>
      </c>
      <c r="AH65" s="33">
        <f t="shared" si="17"/>
        <v>8</v>
      </c>
      <c r="AI65" s="33">
        <f t="shared" si="18"/>
        <v>0</v>
      </c>
      <c r="AJ65" s="33">
        <f t="shared" si="19"/>
        <v>0</v>
      </c>
      <c r="AK65" s="34">
        <f t="shared" si="20"/>
        <v>0.11267605633802817</v>
      </c>
      <c r="AL65" s="35">
        <f t="shared" si="21"/>
        <v>5.6338028169014086E-2</v>
      </c>
      <c r="AM65" s="34">
        <f t="shared" si="22"/>
        <v>0</v>
      </c>
      <c r="AN65" s="36">
        <f t="shared" si="23"/>
        <v>0</v>
      </c>
      <c r="AO65" s="6">
        <f t="shared" si="4"/>
        <v>0</v>
      </c>
      <c r="AP65">
        <f t="shared" si="5"/>
        <v>8</v>
      </c>
      <c r="AQ65" s="6">
        <f t="shared" si="6"/>
        <v>0</v>
      </c>
      <c r="AR65" s="6">
        <f t="shared" si="7"/>
        <v>0</v>
      </c>
      <c r="AS65" s="6"/>
      <c r="AX65" s="95">
        <f t="shared" si="8"/>
        <v>42188</v>
      </c>
      <c r="AY65" s="96" t="str">
        <f t="shared" si="9"/>
        <v>sex</v>
      </c>
      <c r="AZ65" s="97">
        <f>IF(OR(AY65="SÁB",AY65="DOM"),0,IFERROR(8-VLOOKUP(C65,'Dados de consulta'!$A$2:$C$38,3,0),8))</f>
        <v>8</v>
      </c>
      <c r="BA65" s="97">
        <f>IF(OR(AY65="SÁB",AY65="DOM"),0,IFERROR(8-VLOOKUP(D65,'Dados de consulta'!$A$2:$C$38,3,0),8))</f>
        <v>8</v>
      </c>
      <c r="BB65" s="97">
        <f>IF(OR(AY65="SÁB",AY65="DOM"),0,IFERROR(8-VLOOKUP(E65,'Dados de consulta'!$A$2:$C$38,3,0),8))</f>
        <v>8</v>
      </c>
      <c r="BC65" s="97">
        <f>IF(OR(AY65="SÁB",AY65="DOM"),0,IFERROR(8-VLOOKUP(F65,'Dados de consulta'!$A$2:$C$38,3,0),8))</f>
        <v>0</v>
      </c>
      <c r="BD65" s="97">
        <f>IF(OR(AY65="SÁB",AY65="DOM"),0,IFERROR(8-VLOOKUP(G65,'Dados de consulta'!$A$2:$C$38,3,0),8))</f>
        <v>0</v>
      </c>
      <c r="BE65" s="97">
        <f>IF(OR(AY65="SÁB",AY65="DOM"),0,IFERROR(8-VLOOKUP(H65,'Dados de consulta'!$A$2:$C$38,3,0),8))</f>
        <v>0</v>
      </c>
      <c r="BF65" s="97">
        <f>IF(OR(AY65="SÁB",AY65="DOM"),0,IFERROR(8-VLOOKUP(I65,'Dados de consulta'!$A$2:$C$38,3,0),8))</f>
        <v>8</v>
      </c>
      <c r="BG65" s="97">
        <f>IF(OR(AY65="SÁB",AY65="DOM"),0,IFERROR(8-VLOOKUP(J65,'Dados de consulta'!$A$2:$C$38,3,0),8))</f>
        <v>8</v>
      </c>
      <c r="BH65" s="97">
        <f>IF(OR(AY65="SÁB",AY65="DOM"),0,IFERROR(8-VLOOKUP(K65,'Dados de consulta'!$A$2:$C$38,3,0),8))</f>
        <v>8</v>
      </c>
      <c r="BI65" s="97">
        <f>IF(OR(AY65="SÁB",AY65="DOM"),0,IFERROR(8-VLOOKUP(L65,'Dados de consulta'!$A$2:$C$38,3,0),8))</f>
        <v>8</v>
      </c>
      <c r="BJ65" s="97">
        <f>IF(OR(AY65="SÁB",AY65="DOM"),0,IFERROR(8-VLOOKUP(M65,'Dados de consulta'!$A$2:$C$38,3,0),8))</f>
        <v>0</v>
      </c>
      <c r="BK65" s="97">
        <f>IF(OR(AY65="SÁB",AY65="DOM"),0,IFERROR(8-VLOOKUP(N65,'Dados de consulta'!$A$2:$C$38,3,0),8))</f>
        <v>8</v>
      </c>
      <c r="BL65" s="97">
        <f>IF(OR(AY65="SÁB",AY65="DOM"),0,IFERROR(8-VLOOKUP(O65,'Dados de consulta'!$A$2:$C$38,3,0),8))</f>
        <v>8</v>
      </c>
      <c r="BM65" s="97">
        <f>IF(OR(AY65="SÁB",AY65="DOM"),0,IFERROR(8-VLOOKUP(P65,'Dados de consulta'!$A$2:$C$38,3,0),8))</f>
        <v>8</v>
      </c>
      <c r="BN65" s="97">
        <f>IF(OR(AY65="SÁB",AY65="DOM"),0,IFERROR(8-VLOOKUP(Q65,'Dados de consulta'!$A$2:$C$38,3,0),8))</f>
        <v>8</v>
      </c>
      <c r="BO65" s="97">
        <f>IF(OR(AY65="SÁB",AY65="DOM"),0,IFERROR(8-VLOOKUP(R65,'Dados de consulta'!$A$2:$C$38,3,0),8))</f>
        <v>8</v>
      </c>
      <c r="BP65" s="97">
        <f>IF(OR(AY65="SÁB",AY65="DOM"),0,IFERROR(8-VLOOKUP(S65,'Dados de consulta'!$A$2:$C$38,3,0),8))</f>
        <v>8</v>
      </c>
      <c r="BQ65" s="113">
        <f>IFERROR(6-VLOOKUP(T65,'Dados de consulta'!$A$2:$C$38,3,0)+2,6)</f>
        <v>6</v>
      </c>
      <c r="BR65" s="114">
        <f t="shared" si="24"/>
        <v>110</v>
      </c>
      <c r="BS65">
        <f t="shared" si="26"/>
        <v>134</v>
      </c>
      <c r="BU65">
        <f>IFERROR(8-VLOOKUP(U65,'Dados de consulta'!$A:$D,3,0),8)</f>
        <v>8</v>
      </c>
      <c r="BV65">
        <f>IFERROR(8-VLOOKUP(V65,'Dados de consulta'!$A:$D,3,0),8)</f>
        <v>8</v>
      </c>
      <c r="BW65">
        <f t="shared" si="25"/>
        <v>16</v>
      </c>
    </row>
    <row r="66" spans="1:75" ht="15" hidden="1" x14ac:dyDescent="0.2">
      <c r="A66" s="98">
        <v>42189</v>
      </c>
      <c r="B66" s="129" t="str">
        <f t="shared" ref="B66:B129" si="27">TEXT(A66,"ddd")</f>
        <v>sáb</v>
      </c>
      <c r="C66" s="132"/>
      <c r="D66" s="132"/>
      <c r="E66" s="132"/>
      <c r="F66" s="132">
        <v>101</v>
      </c>
      <c r="G66" s="132"/>
      <c r="H66" s="132">
        <v>8</v>
      </c>
      <c r="I66" s="132"/>
      <c r="J66" s="132"/>
      <c r="K66" s="132"/>
      <c r="L66" s="132"/>
      <c r="M66" s="132">
        <v>18</v>
      </c>
      <c r="N66" s="132"/>
      <c r="O66" s="132"/>
      <c r="P66" s="132"/>
      <c r="Q66" s="132"/>
      <c r="R66" s="132"/>
      <c r="S66" s="132"/>
      <c r="T66" s="132"/>
      <c r="U66" s="151"/>
      <c r="V66" s="151"/>
      <c r="W66" s="307" t="s">
        <v>193</v>
      </c>
      <c r="X66" s="308"/>
      <c r="Y66" s="38">
        <f t="shared" ref="Y66:Y129" si="28">(COUNTIF(C66:S66,4)+COUNTIF(C66:S66,8)+COUNTIF(C66:S66,"8P")/2+COUNTIF(C66:S66,9)+COUNTIF(C66:S66,"9P")/2+COUNTIF(C66:S66,14))*8</f>
        <v>8</v>
      </c>
      <c r="Z66" s="38">
        <f t="shared" ref="Z66:Z129" si="29">(COUNTIF(C66:S66,1)+COUNTIF(C66:S66,2)+COUNTIF(C66:S66,3)+COUNTIF(C66:S66,5)+COUNTIF(C66:S66,10)+COUNTIF(C66:S66,13)+COUNTIF(C66:S66,"13P")/2+COUNTIF(C66:S66,15)+COUNTIF(C66:S66,18)+COUNTIF(C66:S66,20)+COUNTIF(C66:S66,22)+COUNTIF(C66:S66,23)+COUNTIF(C66:S66,24)+COUNTIF(C66:S66,25)+COUNTIF(C66:S66,26)+COUNTIF(C66:S66,99))*8</f>
        <v>8</v>
      </c>
      <c r="AA66" s="38">
        <f t="shared" ref="AA66:AA129" si="30">(COUNTIF(C66:S66,28)+COUNTIF(C66:S66,"28P")/2+COUNTIF(C66:S66,29))*8</f>
        <v>0</v>
      </c>
      <c r="AB66" s="38">
        <f t="shared" si="11"/>
        <v>0</v>
      </c>
      <c r="AC66" s="38">
        <f t="shared" si="12"/>
        <v>0</v>
      </c>
      <c r="AD66" s="38">
        <f t="shared" si="13"/>
        <v>0</v>
      </c>
      <c r="AE66" s="38">
        <f t="shared" si="14"/>
        <v>0</v>
      </c>
      <c r="AF66" s="38">
        <f t="shared" si="15"/>
        <v>0</v>
      </c>
      <c r="AG66" s="33">
        <f t="shared" si="16"/>
        <v>0</v>
      </c>
      <c r="AH66" s="33">
        <f t="shared" si="17"/>
        <v>0</v>
      </c>
      <c r="AI66" s="33">
        <f t="shared" si="18"/>
        <v>0</v>
      </c>
      <c r="AJ66" s="33">
        <f t="shared" si="19"/>
        <v>0</v>
      </c>
      <c r="AK66" s="34">
        <f t="shared" si="20"/>
        <v>0</v>
      </c>
      <c r="AL66" s="35">
        <f t="shared" si="21"/>
        <v>0</v>
      </c>
      <c r="AM66" s="34">
        <f t="shared" ref="AM66:AM129" si="31">(AA66+AE66)/(COUNTA($C$1:$S$1)*8+COUNTA($T$1:$T$1)*6)</f>
        <v>0</v>
      </c>
      <c r="AN66" s="36">
        <f t="shared" si="23"/>
        <v>0</v>
      </c>
      <c r="AO66" s="6">
        <f t="shared" ref="AO66:AO129" si="32">COUNTIF(C66:S66,100)*8</f>
        <v>0</v>
      </c>
      <c r="AP66">
        <f t="shared" ref="AP66:AP129" si="33">COUNTIF(C66:S66,101)*8</f>
        <v>8</v>
      </c>
      <c r="AQ66" s="6">
        <f t="shared" ref="AQ66:AQ129" si="34">COUNTIF(T66:T66,101)*6</f>
        <v>0</v>
      </c>
      <c r="AR66" s="6">
        <f t="shared" ref="AR66:AR129" si="35">COUNTIF(T66:T66,100)*6</f>
        <v>0</v>
      </c>
      <c r="AS66" s="6"/>
      <c r="AX66" s="95">
        <f t="shared" ref="AX66:AX129" si="36">A66</f>
        <v>42189</v>
      </c>
      <c r="AY66" s="96" t="str">
        <f t="shared" ref="AY66:AY129" si="37">B66</f>
        <v>sáb</v>
      </c>
      <c r="AZ66" s="97">
        <f>IF(OR(AY66="SÁB",AY66="DOM"),0,IFERROR(8-VLOOKUP(C66,'Dados de consulta'!$A$2:$C$38,3,0),8))</f>
        <v>0</v>
      </c>
      <c r="BA66" s="97">
        <f>IF(OR(AY66="SÁB",AY66="DOM"),0,IFERROR(8-VLOOKUP(D66,'Dados de consulta'!$A$2:$C$38,3,0),8))</f>
        <v>0</v>
      </c>
      <c r="BB66" s="97">
        <f>IF(OR(AY66="SÁB",AY66="DOM"),0,IFERROR(8-VLOOKUP(E66,'Dados de consulta'!$A$2:$C$38,3,0),8))</f>
        <v>0</v>
      </c>
      <c r="BC66" s="97">
        <f>IF(OR(AY66="SÁB",AY66="DOM"),0,IFERROR(8-VLOOKUP(F66,'Dados de consulta'!$A$2:$C$38,3,0),8))</f>
        <v>0</v>
      </c>
      <c r="BD66" s="97">
        <f>IF(OR(AY66="SÁB",AY66="DOM"),0,IFERROR(8-VLOOKUP(G66,'Dados de consulta'!$A$2:$C$38,3,0),8))</f>
        <v>0</v>
      </c>
      <c r="BE66" s="97">
        <f>IF(OR(AY66="SÁB",AY66="DOM"),0,IFERROR(8-VLOOKUP(H66,'Dados de consulta'!$A$2:$C$38,3,0),8))</f>
        <v>0</v>
      </c>
      <c r="BF66" s="97">
        <f>IF(OR(AY66="SÁB",AY66="DOM"),0,IFERROR(8-VLOOKUP(I66,'Dados de consulta'!$A$2:$C$38,3,0),8))</f>
        <v>0</v>
      </c>
      <c r="BG66" s="97">
        <f>IF(OR(AY66="SÁB",AY66="DOM"),0,IFERROR(8-VLOOKUP(J66,'Dados de consulta'!$A$2:$C$38,3,0),8))</f>
        <v>0</v>
      </c>
      <c r="BH66" s="97">
        <f>IF(OR(AY66="SÁB",AY66="DOM"),0,IFERROR(8-VLOOKUP(K66,'Dados de consulta'!$A$2:$C$38,3,0),8))</f>
        <v>0</v>
      </c>
      <c r="BI66" s="97">
        <f>IF(OR(AY66="SÁB",AY66="DOM"),0,IFERROR(8-VLOOKUP(L66,'Dados de consulta'!$A$2:$C$38,3,0),8))</f>
        <v>0</v>
      </c>
      <c r="BJ66" s="97">
        <f>IF(OR(AY66="SÁB",AY66="DOM"),0,IFERROR(8-VLOOKUP(M66,'Dados de consulta'!$A$2:$C$38,3,0),8))</f>
        <v>0</v>
      </c>
      <c r="BK66" s="97">
        <f>IF(OR(AY66="SÁB",AY66="DOM"),0,IFERROR(8-VLOOKUP(N66,'Dados de consulta'!$A$2:$C$38,3,0),8))</f>
        <v>0</v>
      </c>
      <c r="BL66" s="97">
        <f>IF(OR(AY66="SÁB",AY66="DOM"),0,IFERROR(8-VLOOKUP(O66,'Dados de consulta'!$A$2:$C$38,3,0),8))</f>
        <v>0</v>
      </c>
      <c r="BM66" s="97">
        <f>IF(OR(AY66="SÁB",AY66="DOM"),0,IFERROR(8-VLOOKUP(P66,'Dados de consulta'!$A$2:$C$38,3,0),8))</f>
        <v>0</v>
      </c>
      <c r="BN66" s="97">
        <f>IF(OR(AY66="SÁB",AY66="DOM"),0,IFERROR(8-VLOOKUP(Q66,'Dados de consulta'!$A$2:$C$38,3,0),8))</f>
        <v>0</v>
      </c>
      <c r="BO66" s="97">
        <f>IF(OR(AY66="SÁB",AY66="DOM"),0,IFERROR(8-VLOOKUP(R66,'Dados de consulta'!$A$2:$C$38,3,0),8))</f>
        <v>0</v>
      </c>
      <c r="BP66" s="97">
        <f>IF(OR(AY66="SÁB",AY66="DOM"),0,IFERROR(8-VLOOKUP(S66,'Dados de consulta'!$A$2:$C$38,3,0),8))</f>
        <v>0</v>
      </c>
      <c r="BQ66" s="113">
        <f>IFERROR(6-VLOOKUP(T66,'Dados de consulta'!$A$2:$C$38,3,0)+2,6)</f>
        <v>6</v>
      </c>
      <c r="BR66" s="114">
        <f t="shared" si="24"/>
        <v>0</v>
      </c>
      <c r="BS66">
        <f t="shared" si="26"/>
        <v>0</v>
      </c>
      <c r="BU66">
        <f>IFERROR(8-VLOOKUP(U66,'Dados de consulta'!$A:$D,3,0),8)</f>
        <v>8</v>
      </c>
      <c r="BV66">
        <f>IFERROR(8-VLOOKUP(V66,'Dados de consulta'!$A:$D,3,0),8)</f>
        <v>8</v>
      </c>
      <c r="BW66">
        <f t="shared" si="25"/>
        <v>16</v>
      </c>
    </row>
    <row r="67" spans="1:75" ht="15" hidden="1" x14ac:dyDescent="0.2">
      <c r="A67" s="98">
        <v>42190</v>
      </c>
      <c r="B67" s="129" t="str">
        <f t="shared" si="27"/>
        <v>dom</v>
      </c>
      <c r="C67" s="132"/>
      <c r="D67" s="132"/>
      <c r="E67" s="132"/>
      <c r="F67" s="132">
        <v>101</v>
      </c>
      <c r="G67" s="132"/>
      <c r="H67" s="132">
        <v>8</v>
      </c>
      <c r="I67" s="132"/>
      <c r="J67" s="132"/>
      <c r="K67" s="132"/>
      <c r="L67" s="132"/>
      <c r="M67" s="132">
        <v>18</v>
      </c>
      <c r="N67" s="132"/>
      <c r="O67" s="132"/>
      <c r="P67" s="132"/>
      <c r="Q67" s="132"/>
      <c r="R67" s="132"/>
      <c r="S67" s="132"/>
      <c r="T67" s="132"/>
      <c r="U67" s="151"/>
      <c r="V67" s="151"/>
      <c r="W67" s="307" t="s">
        <v>193</v>
      </c>
      <c r="X67" s="308"/>
      <c r="Y67" s="38">
        <f t="shared" si="28"/>
        <v>8</v>
      </c>
      <c r="Z67" s="38">
        <f t="shared" si="29"/>
        <v>8</v>
      </c>
      <c r="AA67" s="38">
        <f t="shared" si="30"/>
        <v>0</v>
      </c>
      <c r="AB67" s="38">
        <f t="shared" ref="AB67:AB130" si="38">(COUNTIF(C67:S67,6)+COUNTIF(C67:S67,"6P")/2+COUNTIF(C67:S67,7)+COUNTIF(C67:S67,11)+COUNTIF(C67:S67,12)+COUNTIF(C67:S67,19))*8</f>
        <v>0</v>
      </c>
      <c r="AC67" s="38">
        <f t="shared" ref="AC67:AC130" si="39">(COUNTIF(T67,4)+COUNTIF(T67,8)+COUNTIF(T67,"8P")+COUNTIF(T67,9)+COUNTIF(T67,"9P")+COUNTIF(T67,14))*6</f>
        <v>0</v>
      </c>
      <c r="AD67" s="38">
        <f t="shared" ref="AD67:AD130" si="40">(COUNTIF(T67,1)+COUNTIF(T67,2)+COUNTIF(T67,3)+COUNTIF(T67,5)+COUNTIF(T67,10)+COUNTIF(T67,13)+COUNTIF(T67,"13P")+COUNTIF(T67,15)+COUNTIF(T67,16)+COUNTIF(T67,18)+COUNTIF(T67,20)+COUNTIF(T67,21)+COUNTIF(T67,22)+COUNTIF(T67,23)+COUNTIF(T67,24)+COUNTIF(T67,25)+COUNTIF(T67,26)+COUNTIF(T67,99))*6</f>
        <v>0</v>
      </c>
      <c r="AE67" s="38">
        <f t="shared" ref="AE67:AE130" si="41">(COUNTIF(T67,28)+COUNTIF(T67,"28P")+COUNTIF(T67,29))*6</f>
        <v>0</v>
      </c>
      <c r="AF67" s="38">
        <f t="shared" ref="AF67:AF130" si="42">(COUNTIF(T67,6)+COUNTIF(T67,"6P")+COUNTIF(T67,7)+COUNTIF(T67,11)+COUNTIF(T67,12))*6</f>
        <v>0</v>
      </c>
      <c r="AG67" s="33">
        <f t="shared" ref="AG67:AG130" si="43">IF(OR(B67="SÁB",B67="DOM"),0,Y67+AC67)</f>
        <v>0</v>
      </c>
      <c r="AH67" s="33">
        <f t="shared" ref="AH67:AH130" si="44">IF(OR(B67="SÁB",B67="DOM"),0,Z67+AD67)</f>
        <v>0</v>
      </c>
      <c r="AI67" s="33">
        <f t="shared" ref="AI67:AI130" si="45">IF(OR(B67="SÁB",B67="DOM"),0,AA67+AE67)</f>
        <v>0</v>
      </c>
      <c r="AJ67" s="33">
        <f t="shared" ref="AJ67:AJ130" si="46">IF(OR(B67="SÁB",B67="DOM"),0,AB67+AF67)</f>
        <v>0</v>
      </c>
      <c r="AK67" s="34">
        <f t="shared" ref="AK67:AK130" si="47">AG67/(COUNTA($C$1:$S$1)*8+6)</f>
        <v>0</v>
      </c>
      <c r="AL67" s="35">
        <f t="shared" ref="AL67:AL130" si="48">AH67/(COUNTA($C$1:$S$1)*8+6)</f>
        <v>0</v>
      </c>
      <c r="AM67" s="34">
        <f t="shared" si="31"/>
        <v>0</v>
      </c>
      <c r="AN67" s="36">
        <f t="shared" ref="AN67:AN130" si="49">AJ67/(COUNTA($C$1:$S$1)*8+6)</f>
        <v>0</v>
      </c>
      <c r="AO67" s="6">
        <f t="shared" si="32"/>
        <v>0</v>
      </c>
      <c r="AP67">
        <f t="shared" si="33"/>
        <v>8</v>
      </c>
      <c r="AQ67" s="6">
        <f t="shared" si="34"/>
        <v>0</v>
      </c>
      <c r="AR67" s="6">
        <f t="shared" si="35"/>
        <v>0</v>
      </c>
      <c r="AS67" s="6"/>
      <c r="AX67" s="95">
        <f t="shared" si="36"/>
        <v>42190</v>
      </c>
      <c r="AY67" s="96" t="str">
        <f t="shared" si="37"/>
        <v>dom</v>
      </c>
      <c r="AZ67" s="97">
        <f>IF(OR(AY67="SÁB",AY67="DOM"),0,IFERROR(8-VLOOKUP(C67,'Dados de consulta'!$A$2:$C$38,3,0),8))</f>
        <v>0</v>
      </c>
      <c r="BA67" s="97">
        <f>IF(OR(AY67="SÁB",AY67="DOM"),0,IFERROR(8-VLOOKUP(D67,'Dados de consulta'!$A$2:$C$38,3,0),8))</f>
        <v>0</v>
      </c>
      <c r="BB67" s="97">
        <f>IF(OR(AY67="SÁB",AY67="DOM"),0,IFERROR(8-VLOOKUP(E67,'Dados de consulta'!$A$2:$C$38,3,0),8))</f>
        <v>0</v>
      </c>
      <c r="BC67" s="97">
        <f>IF(OR(AY67="SÁB",AY67="DOM"),0,IFERROR(8-VLOOKUP(F67,'Dados de consulta'!$A$2:$C$38,3,0),8))</f>
        <v>0</v>
      </c>
      <c r="BD67" s="97">
        <f>IF(OR(AY67="SÁB",AY67="DOM"),0,IFERROR(8-VLOOKUP(G67,'Dados de consulta'!$A$2:$C$38,3,0),8))</f>
        <v>0</v>
      </c>
      <c r="BE67" s="97">
        <f>IF(OR(AY67="SÁB",AY67="DOM"),0,IFERROR(8-VLOOKUP(H67,'Dados de consulta'!$A$2:$C$38,3,0),8))</f>
        <v>0</v>
      </c>
      <c r="BF67" s="97">
        <f>IF(OR(AY67="SÁB",AY67="DOM"),0,IFERROR(8-VLOOKUP(I67,'Dados de consulta'!$A$2:$C$38,3,0),8))</f>
        <v>0</v>
      </c>
      <c r="BG67" s="97">
        <f>IF(OR(AY67="SÁB",AY67="DOM"),0,IFERROR(8-VLOOKUP(J67,'Dados de consulta'!$A$2:$C$38,3,0),8))</f>
        <v>0</v>
      </c>
      <c r="BH67" s="97">
        <f>IF(OR(AY67="SÁB",AY67="DOM"),0,IFERROR(8-VLOOKUP(K67,'Dados de consulta'!$A$2:$C$38,3,0),8))</f>
        <v>0</v>
      </c>
      <c r="BI67" s="97">
        <f>IF(OR(AY67="SÁB",AY67="DOM"),0,IFERROR(8-VLOOKUP(L67,'Dados de consulta'!$A$2:$C$38,3,0),8))</f>
        <v>0</v>
      </c>
      <c r="BJ67" s="97">
        <f>IF(OR(AY67="SÁB",AY67="DOM"),0,IFERROR(8-VLOOKUP(M67,'Dados de consulta'!$A$2:$C$38,3,0),8))</f>
        <v>0</v>
      </c>
      <c r="BK67" s="97">
        <f>IF(OR(AY67="SÁB",AY67="DOM"),0,IFERROR(8-VLOOKUP(N67,'Dados de consulta'!$A$2:$C$38,3,0),8))</f>
        <v>0</v>
      </c>
      <c r="BL67" s="97">
        <f>IF(OR(AY67="SÁB",AY67="DOM"),0,IFERROR(8-VLOOKUP(O67,'Dados de consulta'!$A$2:$C$38,3,0),8))</f>
        <v>0</v>
      </c>
      <c r="BM67" s="97">
        <f>IF(OR(AY67="SÁB",AY67="DOM"),0,IFERROR(8-VLOOKUP(P67,'Dados de consulta'!$A$2:$C$38,3,0),8))</f>
        <v>0</v>
      </c>
      <c r="BN67" s="97">
        <f>IF(OR(AY67="SÁB",AY67="DOM"),0,IFERROR(8-VLOOKUP(Q67,'Dados de consulta'!$A$2:$C$38,3,0),8))</f>
        <v>0</v>
      </c>
      <c r="BO67" s="97">
        <f>IF(OR(AY67="SÁB",AY67="DOM"),0,IFERROR(8-VLOOKUP(R67,'Dados de consulta'!$A$2:$C$38,3,0),8))</f>
        <v>0</v>
      </c>
      <c r="BP67" s="97">
        <f>IF(OR(AY67="SÁB",AY67="DOM"),0,IFERROR(8-VLOOKUP(S67,'Dados de consulta'!$A$2:$C$38,3,0),8))</f>
        <v>0</v>
      </c>
      <c r="BQ67" s="113">
        <f>IFERROR(6-VLOOKUP(T67,'Dados de consulta'!$A$2:$C$38,3,0)+2,6)</f>
        <v>6</v>
      </c>
      <c r="BR67" s="114">
        <f t="shared" ref="BR67:BR130" si="50">IF(OR(AY67="SÁB",AY67="DOM"),0,SUM(AZ67:BQ67))</f>
        <v>0</v>
      </c>
      <c r="BS67">
        <f t="shared" si="26"/>
        <v>0</v>
      </c>
      <c r="BU67">
        <f>IFERROR(8-VLOOKUP(U67,'Dados de consulta'!$A:$D,3,0),8)</f>
        <v>8</v>
      </c>
      <c r="BV67">
        <f>IFERROR(8-VLOOKUP(V67,'Dados de consulta'!$A:$D,3,0),8)</f>
        <v>8</v>
      </c>
      <c r="BW67">
        <f t="shared" ref="BW67:BW130" si="51">BU67+BV67</f>
        <v>16</v>
      </c>
    </row>
    <row r="68" spans="1:75" ht="15" hidden="1" x14ac:dyDescent="0.2">
      <c r="A68" s="98">
        <v>42191</v>
      </c>
      <c r="B68" s="129" t="str">
        <f t="shared" si="27"/>
        <v>seg</v>
      </c>
      <c r="C68" s="132"/>
      <c r="D68" s="132"/>
      <c r="E68" s="132"/>
      <c r="F68" s="132">
        <v>101</v>
      </c>
      <c r="G68" s="132">
        <v>4</v>
      </c>
      <c r="H68" s="132">
        <v>8</v>
      </c>
      <c r="I68" s="132"/>
      <c r="J68" s="132"/>
      <c r="K68" s="132"/>
      <c r="L68" s="132">
        <v>26</v>
      </c>
      <c r="M68" s="132">
        <v>18</v>
      </c>
      <c r="N68" s="132"/>
      <c r="O68" s="132"/>
      <c r="P68" s="132"/>
      <c r="Q68" s="132"/>
      <c r="R68" s="132"/>
      <c r="S68" s="132"/>
      <c r="T68" s="132"/>
      <c r="U68" s="151">
        <v>18</v>
      </c>
      <c r="V68" s="151"/>
      <c r="W68" s="307" t="s">
        <v>193</v>
      </c>
      <c r="X68" s="308"/>
      <c r="Y68" s="38">
        <f t="shared" si="28"/>
        <v>16</v>
      </c>
      <c r="Z68" s="38">
        <f t="shared" si="29"/>
        <v>16</v>
      </c>
      <c r="AA68" s="38">
        <f t="shared" si="30"/>
        <v>0</v>
      </c>
      <c r="AB68" s="38">
        <f t="shared" si="38"/>
        <v>0</v>
      </c>
      <c r="AC68" s="38">
        <f t="shared" si="39"/>
        <v>0</v>
      </c>
      <c r="AD68" s="38">
        <f t="shared" si="40"/>
        <v>0</v>
      </c>
      <c r="AE68" s="38">
        <f t="shared" si="41"/>
        <v>0</v>
      </c>
      <c r="AF68" s="38">
        <f t="shared" si="42"/>
        <v>0</v>
      </c>
      <c r="AG68" s="33">
        <f t="shared" si="43"/>
        <v>16</v>
      </c>
      <c r="AH68" s="33">
        <f t="shared" si="44"/>
        <v>16</v>
      </c>
      <c r="AI68" s="33">
        <f t="shared" si="45"/>
        <v>0</v>
      </c>
      <c r="AJ68" s="33">
        <f t="shared" si="46"/>
        <v>0</v>
      </c>
      <c r="AK68" s="34">
        <f t="shared" si="47"/>
        <v>0.11267605633802817</v>
      </c>
      <c r="AL68" s="35">
        <f t="shared" si="48"/>
        <v>0.11267605633802817</v>
      </c>
      <c r="AM68" s="34">
        <f t="shared" si="31"/>
        <v>0</v>
      </c>
      <c r="AN68" s="36">
        <f t="shared" si="49"/>
        <v>0</v>
      </c>
      <c r="AO68" s="6">
        <f t="shared" si="32"/>
        <v>0</v>
      </c>
      <c r="AP68">
        <f t="shared" si="33"/>
        <v>8</v>
      </c>
      <c r="AQ68" s="6">
        <f t="shared" si="34"/>
        <v>0</v>
      </c>
      <c r="AR68" s="6">
        <f t="shared" si="35"/>
        <v>0</v>
      </c>
      <c r="AS68" s="6"/>
      <c r="AX68" s="95">
        <f t="shared" si="36"/>
        <v>42191</v>
      </c>
      <c r="AY68" s="96" t="str">
        <f t="shared" si="37"/>
        <v>seg</v>
      </c>
      <c r="AZ68" s="97">
        <f>IF(OR(AY68="SÁB",AY68="DOM"),0,IFERROR(8-VLOOKUP(C68,'Dados de consulta'!$A$2:$C$38,3,0),8))</f>
        <v>8</v>
      </c>
      <c r="BA68" s="97">
        <f>IF(OR(AY68="SÁB",AY68="DOM"),0,IFERROR(8-VLOOKUP(D68,'Dados de consulta'!$A$2:$C$38,3,0),8))</f>
        <v>8</v>
      </c>
      <c r="BB68" s="97">
        <f>IF(OR(AY68="SÁB",AY68="DOM"),0,IFERROR(8-VLOOKUP(E68,'Dados de consulta'!$A$2:$C$38,3,0),8))</f>
        <v>8</v>
      </c>
      <c r="BC68" s="97">
        <f>IF(OR(AY68="SÁB",AY68="DOM"),0,IFERROR(8-VLOOKUP(F68,'Dados de consulta'!$A$2:$C$38,3,0),8))</f>
        <v>0</v>
      </c>
      <c r="BD68" s="97">
        <f>IF(OR(AY68="SÁB",AY68="DOM"),0,IFERROR(8-VLOOKUP(G68,'Dados de consulta'!$A$2:$C$38,3,0),8))</f>
        <v>0</v>
      </c>
      <c r="BE68" s="97">
        <f>IF(OR(AY68="SÁB",AY68="DOM"),0,IFERROR(8-VLOOKUP(H68,'Dados de consulta'!$A$2:$C$38,3,0),8))</f>
        <v>0</v>
      </c>
      <c r="BF68" s="97">
        <f>IF(OR(AY68="SÁB",AY68="DOM"),0,IFERROR(8-VLOOKUP(I68,'Dados de consulta'!$A$2:$C$38,3,0),8))</f>
        <v>8</v>
      </c>
      <c r="BG68" s="97">
        <f>IF(OR(AY68="SÁB",AY68="DOM"),0,IFERROR(8-VLOOKUP(J68,'Dados de consulta'!$A$2:$C$38,3,0),8))</f>
        <v>8</v>
      </c>
      <c r="BH68" s="97">
        <f>IF(OR(AY68="SÁB",AY68="DOM"),0,IFERROR(8-VLOOKUP(K68,'Dados de consulta'!$A$2:$C$38,3,0),8))</f>
        <v>8</v>
      </c>
      <c r="BI68" s="97">
        <f>IF(OR(AY68="SÁB",AY68="DOM"),0,IFERROR(8-VLOOKUP(L68,'Dados de consulta'!$A$2:$C$38,3,0),8))</f>
        <v>0</v>
      </c>
      <c r="BJ68" s="97">
        <f>IF(OR(AY68="SÁB",AY68="DOM"),0,IFERROR(8-VLOOKUP(M68,'Dados de consulta'!$A$2:$C$38,3,0),8))</f>
        <v>0</v>
      </c>
      <c r="BK68" s="97">
        <f>IF(OR(AY68="SÁB",AY68="DOM"),0,IFERROR(8-VLOOKUP(N68,'Dados de consulta'!$A$2:$C$38,3,0),8))</f>
        <v>8</v>
      </c>
      <c r="BL68" s="97">
        <f>IF(OR(AY68="SÁB",AY68="DOM"),0,IFERROR(8-VLOOKUP(O68,'Dados de consulta'!$A$2:$C$38,3,0),8))</f>
        <v>8</v>
      </c>
      <c r="BM68" s="97">
        <f>IF(OR(AY68="SÁB",AY68="DOM"),0,IFERROR(8-VLOOKUP(P68,'Dados de consulta'!$A$2:$C$38,3,0),8))</f>
        <v>8</v>
      </c>
      <c r="BN68" s="97">
        <f>IF(OR(AY68="SÁB",AY68="DOM"),0,IFERROR(8-VLOOKUP(Q68,'Dados de consulta'!$A$2:$C$38,3,0),8))</f>
        <v>8</v>
      </c>
      <c r="BO68" s="97">
        <f>IF(OR(AY68="SÁB",AY68="DOM"),0,IFERROR(8-VLOOKUP(R68,'Dados de consulta'!$A$2:$C$38,3,0),8))</f>
        <v>8</v>
      </c>
      <c r="BP68" s="97">
        <f>IF(OR(AY68="SÁB",AY68="DOM"),0,IFERROR(8-VLOOKUP(S68,'Dados de consulta'!$A$2:$C$38,3,0),8))</f>
        <v>8</v>
      </c>
      <c r="BQ68" s="113">
        <f>IFERROR(6-VLOOKUP(T68,'Dados de consulta'!$A$2:$C$38,3,0)+2,6)</f>
        <v>6</v>
      </c>
      <c r="BR68" s="114">
        <f t="shared" si="50"/>
        <v>102</v>
      </c>
      <c r="BS68">
        <f t="shared" si="26"/>
        <v>134</v>
      </c>
      <c r="BU68">
        <f>IFERROR(8-VLOOKUP(U68,'Dados de consulta'!$A:$D,3,0),8)</f>
        <v>0</v>
      </c>
      <c r="BV68">
        <f>IFERROR(8-VLOOKUP(V68,'Dados de consulta'!$A:$D,3,0),8)</f>
        <v>8</v>
      </c>
      <c r="BW68">
        <f t="shared" si="51"/>
        <v>8</v>
      </c>
    </row>
    <row r="69" spans="1:75" ht="15" hidden="1" x14ac:dyDescent="0.2">
      <c r="A69" s="98">
        <v>42192</v>
      </c>
      <c r="B69" s="129" t="str">
        <f t="shared" si="27"/>
        <v>ter</v>
      </c>
      <c r="C69" s="132"/>
      <c r="D69" s="132"/>
      <c r="E69" s="132"/>
      <c r="F69" s="132">
        <v>101</v>
      </c>
      <c r="G69" s="132">
        <v>4</v>
      </c>
      <c r="H69" s="132">
        <v>8</v>
      </c>
      <c r="I69" s="132"/>
      <c r="J69" s="132"/>
      <c r="K69" s="132"/>
      <c r="L69" s="132"/>
      <c r="M69" s="132">
        <v>18</v>
      </c>
      <c r="N69" s="132"/>
      <c r="O69" s="132"/>
      <c r="P69" s="132"/>
      <c r="Q69" s="132"/>
      <c r="R69" s="132"/>
      <c r="S69" s="132"/>
      <c r="T69" s="132"/>
      <c r="U69" s="151">
        <v>18</v>
      </c>
      <c r="V69" s="151">
        <v>1</v>
      </c>
      <c r="W69" s="307" t="s">
        <v>193</v>
      </c>
      <c r="X69" s="308"/>
      <c r="Y69" s="38">
        <f t="shared" si="28"/>
        <v>16</v>
      </c>
      <c r="Z69" s="38">
        <f t="shared" si="29"/>
        <v>8</v>
      </c>
      <c r="AA69" s="38">
        <f t="shared" si="30"/>
        <v>0</v>
      </c>
      <c r="AB69" s="38">
        <f t="shared" si="38"/>
        <v>0</v>
      </c>
      <c r="AC69" s="38">
        <f t="shared" si="39"/>
        <v>0</v>
      </c>
      <c r="AD69" s="38">
        <f t="shared" si="40"/>
        <v>0</v>
      </c>
      <c r="AE69" s="38">
        <f t="shared" si="41"/>
        <v>0</v>
      </c>
      <c r="AF69" s="38">
        <f t="shared" si="42"/>
        <v>0</v>
      </c>
      <c r="AG69" s="33">
        <f t="shared" si="43"/>
        <v>16</v>
      </c>
      <c r="AH69" s="33">
        <f t="shared" si="44"/>
        <v>8</v>
      </c>
      <c r="AI69" s="33">
        <f t="shared" si="45"/>
        <v>0</v>
      </c>
      <c r="AJ69" s="33">
        <f t="shared" si="46"/>
        <v>0</v>
      </c>
      <c r="AK69" s="34">
        <f t="shared" si="47"/>
        <v>0.11267605633802817</v>
      </c>
      <c r="AL69" s="35">
        <f t="shared" si="48"/>
        <v>5.6338028169014086E-2</v>
      </c>
      <c r="AM69" s="34">
        <f t="shared" si="31"/>
        <v>0</v>
      </c>
      <c r="AN69" s="36">
        <f t="shared" si="49"/>
        <v>0</v>
      </c>
      <c r="AO69" s="6">
        <f t="shared" si="32"/>
        <v>0</v>
      </c>
      <c r="AP69">
        <f t="shared" si="33"/>
        <v>8</v>
      </c>
      <c r="AQ69" s="6">
        <f t="shared" si="34"/>
        <v>0</v>
      </c>
      <c r="AR69" s="6">
        <f t="shared" si="35"/>
        <v>0</v>
      </c>
      <c r="AS69" s="6"/>
      <c r="AX69" s="95">
        <f t="shared" si="36"/>
        <v>42192</v>
      </c>
      <c r="AY69" s="96" t="str">
        <f t="shared" si="37"/>
        <v>ter</v>
      </c>
      <c r="AZ69" s="97">
        <f>IF(OR(AY69="SÁB",AY69="DOM"),0,IFERROR(8-VLOOKUP(C69,'Dados de consulta'!$A$2:$C$38,3,0),8))</f>
        <v>8</v>
      </c>
      <c r="BA69" s="97">
        <f>IF(OR(AY69="SÁB",AY69="DOM"),0,IFERROR(8-VLOOKUP(D69,'Dados de consulta'!$A$2:$C$38,3,0),8))</f>
        <v>8</v>
      </c>
      <c r="BB69" s="97">
        <f>IF(OR(AY69="SÁB",AY69="DOM"),0,IFERROR(8-VLOOKUP(E69,'Dados de consulta'!$A$2:$C$38,3,0),8))</f>
        <v>8</v>
      </c>
      <c r="BC69" s="97">
        <f>IF(OR(AY69="SÁB",AY69="DOM"),0,IFERROR(8-VLOOKUP(F69,'Dados de consulta'!$A$2:$C$38,3,0),8))</f>
        <v>0</v>
      </c>
      <c r="BD69" s="97">
        <f>IF(OR(AY69="SÁB",AY69="DOM"),0,IFERROR(8-VLOOKUP(G69,'Dados de consulta'!$A$2:$C$38,3,0),8))</f>
        <v>0</v>
      </c>
      <c r="BE69" s="97">
        <f>IF(OR(AY69="SÁB",AY69="DOM"),0,IFERROR(8-VLOOKUP(H69,'Dados de consulta'!$A$2:$C$38,3,0),8))</f>
        <v>0</v>
      </c>
      <c r="BF69" s="97">
        <f>IF(OR(AY69="SÁB",AY69="DOM"),0,IFERROR(8-VLOOKUP(I69,'Dados de consulta'!$A$2:$C$38,3,0),8))</f>
        <v>8</v>
      </c>
      <c r="BG69" s="97">
        <f>IF(OR(AY69="SÁB",AY69="DOM"),0,IFERROR(8-VLOOKUP(J69,'Dados de consulta'!$A$2:$C$38,3,0),8))</f>
        <v>8</v>
      </c>
      <c r="BH69" s="97">
        <f>IF(OR(AY69="SÁB",AY69="DOM"),0,IFERROR(8-VLOOKUP(K69,'Dados de consulta'!$A$2:$C$38,3,0),8))</f>
        <v>8</v>
      </c>
      <c r="BI69" s="97">
        <f>IF(OR(AY69="SÁB",AY69="DOM"),0,IFERROR(8-VLOOKUP(L69,'Dados de consulta'!$A$2:$C$38,3,0),8))</f>
        <v>8</v>
      </c>
      <c r="BJ69" s="97">
        <f>IF(OR(AY69="SÁB",AY69="DOM"),0,IFERROR(8-VLOOKUP(M69,'Dados de consulta'!$A$2:$C$38,3,0),8))</f>
        <v>0</v>
      </c>
      <c r="BK69" s="97">
        <f>IF(OR(AY69="SÁB",AY69="DOM"),0,IFERROR(8-VLOOKUP(N69,'Dados de consulta'!$A$2:$C$38,3,0),8))</f>
        <v>8</v>
      </c>
      <c r="BL69" s="97">
        <f>IF(OR(AY69="SÁB",AY69="DOM"),0,IFERROR(8-VLOOKUP(O69,'Dados de consulta'!$A$2:$C$38,3,0),8))</f>
        <v>8</v>
      </c>
      <c r="BM69" s="97">
        <f>IF(OR(AY69="SÁB",AY69="DOM"),0,IFERROR(8-VLOOKUP(P69,'Dados de consulta'!$A$2:$C$38,3,0),8))</f>
        <v>8</v>
      </c>
      <c r="BN69" s="97">
        <f>IF(OR(AY69="SÁB",AY69="DOM"),0,IFERROR(8-VLOOKUP(Q69,'Dados de consulta'!$A$2:$C$38,3,0),8))</f>
        <v>8</v>
      </c>
      <c r="BO69" s="97">
        <f>IF(OR(AY69="SÁB",AY69="DOM"),0,IFERROR(8-VLOOKUP(R69,'Dados de consulta'!$A$2:$C$38,3,0),8))</f>
        <v>8</v>
      </c>
      <c r="BP69" s="97">
        <f>IF(OR(AY69="SÁB",AY69="DOM"),0,IFERROR(8-VLOOKUP(S69,'Dados de consulta'!$A$2:$C$38,3,0),8))</f>
        <v>8</v>
      </c>
      <c r="BQ69" s="113">
        <f>IFERROR(6-VLOOKUP(T69,'Dados de consulta'!$A$2:$C$38,3,0)+2,6)</f>
        <v>6</v>
      </c>
      <c r="BR69" s="114">
        <f t="shared" si="50"/>
        <v>110</v>
      </c>
      <c r="BS69">
        <f t="shared" si="26"/>
        <v>134</v>
      </c>
      <c r="BU69">
        <f>IFERROR(8-VLOOKUP(U69,'Dados de consulta'!$A:$D,3,0),8)</f>
        <v>0</v>
      </c>
      <c r="BV69">
        <f>IFERROR(8-VLOOKUP(V69,'Dados de consulta'!$A:$D,3,0),8)</f>
        <v>0</v>
      </c>
      <c r="BW69">
        <f t="shared" si="51"/>
        <v>0</v>
      </c>
    </row>
    <row r="70" spans="1:75" ht="15" hidden="1" x14ac:dyDescent="0.2">
      <c r="A70" s="98">
        <v>42193</v>
      </c>
      <c r="B70" s="129" t="str">
        <f t="shared" si="27"/>
        <v>qua</v>
      </c>
      <c r="C70" s="132"/>
      <c r="D70" s="132"/>
      <c r="E70" s="132"/>
      <c r="F70" s="132">
        <v>101</v>
      </c>
      <c r="G70" s="132">
        <v>4</v>
      </c>
      <c r="H70" s="132">
        <v>8</v>
      </c>
      <c r="I70" s="132"/>
      <c r="J70" s="132"/>
      <c r="K70" s="132"/>
      <c r="L70" s="132"/>
      <c r="M70" s="132">
        <v>18</v>
      </c>
      <c r="N70" s="132"/>
      <c r="O70" s="132"/>
      <c r="P70" s="132"/>
      <c r="Q70" s="132"/>
      <c r="R70" s="132"/>
      <c r="S70" s="132"/>
      <c r="T70" s="132"/>
      <c r="U70" s="151">
        <v>18</v>
      </c>
      <c r="V70" s="151">
        <v>1</v>
      </c>
      <c r="W70" s="307" t="s">
        <v>193</v>
      </c>
      <c r="X70" s="308"/>
      <c r="Y70" s="38">
        <f t="shared" si="28"/>
        <v>16</v>
      </c>
      <c r="Z70" s="38">
        <f t="shared" si="29"/>
        <v>8</v>
      </c>
      <c r="AA70" s="38">
        <f t="shared" si="30"/>
        <v>0</v>
      </c>
      <c r="AB70" s="38">
        <f t="shared" si="38"/>
        <v>0</v>
      </c>
      <c r="AC70" s="38">
        <f t="shared" si="39"/>
        <v>0</v>
      </c>
      <c r="AD70" s="38">
        <f t="shared" si="40"/>
        <v>0</v>
      </c>
      <c r="AE70" s="38">
        <f t="shared" si="41"/>
        <v>0</v>
      </c>
      <c r="AF70" s="38">
        <f t="shared" si="42"/>
        <v>0</v>
      </c>
      <c r="AG70" s="33">
        <f t="shared" si="43"/>
        <v>16</v>
      </c>
      <c r="AH70" s="33">
        <f t="shared" si="44"/>
        <v>8</v>
      </c>
      <c r="AI70" s="33">
        <f t="shared" si="45"/>
        <v>0</v>
      </c>
      <c r="AJ70" s="33">
        <f t="shared" si="46"/>
        <v>0</v>
      </c>
      <c r="AK70" s="34">
        <f t="shared" si="47"/>
        <v>0.11267605633802817</v>
      </c>
      <c r="AL70" s="35">
        <f t="shared" si="48"/>
        <v>5.6338028169014086E-2</v>
      </c>
      <c r="AM70" s="34">
        <f t="shared" si="31"/>
        <v>0</v>
      </c>
      <c r="AN70" s="36">
        <f t="shared" si="49"/>
        <v>0</v>
      </c>
      <c r="AO70" s="6">
        <f t="shared" si="32"/>
        <v>0</v>
      </c>
      <c r="AP70">
        <f t="shared" si="33"/>
        <v>8</v>
      </c>
      <c r="AQ70" s="6">
        <f t="shared" si="34"/>
        <v>0</v>
      </c>
      <c r="AR70" s="6">
        <f t="shared" si="35"/>
        <v>0</v>
      </c>
      <c r="AS70" s="6"/>
      <c r="AX70" s="95">
        <f t="shared" si="36"/>
        <v>42193</v>
      </c>
      <c r="AY70" s="96" t="str">
        <f t="shared" si="37"/>
        <v>qua</v>
      </c>
      <c r="AZ70" s="97">
        <f>IF(OR(AY70="SÁB",AY70="DOM"),0,IFERROR(8-VLOOKUP(C70,'Dados de consulta'!$A$2:$C$38,3,0),8))</f>
        <v>8</v>
      </c>
      <c r="BA70" s="97">
        <f>IF(OR(AY70="SÁB",AY70="DOM"),0,IFERROR(8-VLOOKUP(D70,'Dados de consulta'!$A$2:$C$38,3,0),8))</f>
        <v>8</v>
      </c>
      <c r="BB70" s="97">
        <f>IF(OR(AY70="SÁB",AY70="DOM"),0,IFERROR(8-VLOOKUP(E70,'Dados de consulta'!$A$2:$C$38,3,0),8))</f>
        <v>8</v>
      </c>
      <c r="BC70" s="97">
        <f>IF(OR(AY70="SÁB",AY70="DOM"),0,IFERROR(8-VLOOKUP(F70,'Dados de consulta'!$A$2:$C$38,3,0),8))</f>
        <v>0</v>
      </c>
      <c r="BD70" s="97">
        <f>IF(OR(AY70="SÁB",AY70="DOM"),0,IFERROR(8-VLOOKUP(G70,'Dados de consulta'!$A$2:$C$38,3,0),8))</f>
        <v>0</v>
      </c>
      <c r="BE70" s="97">
        <f>IF(OR(AY70="SÁB",AY70="DOM"),0,IFERROR(8-VLOOKUP(H70,'Dados de consulta'!$A$2:$C$38,3,0),8))</f>
        <v>0</v>
      </c>
      <c r="BF70" s="97">
        <f>IF(OR(AY70="SÁB",AY70="DOM"),0,IFERROR(8-VLOOKUP(I70,'Dados de consulta'!$A$2:$C$38,3,0),8))</f>
        <v>8</v>
      </c>
      <c r="BG70" s="97">
        <f>IF(OR(AY70="SÁB",AY70="DOM"),0,IFERROR(8-VLOOKUP(J70,'Dados de consulta'!$A$2:$C$38,3,0),8))</f>
        <v>8</v>
      </c>
      <c r="BH70" s="97">
        <f>IF(OR(AY70="SÁB",AY70="DOM"),0,IFERROR(8-VLOOKUP(K70,'Dados de consulta'!$A$2:$C$38,3,0),8))</f>
        <v>8</v>
      </c>
      <c r="BI70" s="97">
        <f>IF(OR(AY70="SÁB",AY70="DOM"),0,IFERROR(8-VLOOKUP(L70,'Dados de consulta'!$A$2:$C$38,3,0),8))</f>
        <v>8</v>
      </c>
      <c r="BJ70" s="97">
        <f>IF(OR(AY70="SÁB",AY70="DOM"),0,IFERROR(8-VLOOKUP(M70,'Dados de consulta'!$A$2:$C$38,3,0),8))</f>
        <v>0</v>
      </c>
      <c r="BK70" s="97">
        <f>IF(OR(AY70="SÁB",AY70="DOM"),0,IFERROR(8-VLOOKUP(N70,'Dados de consulta'!$A$2:$C$38,3,0),8))</f>
        <v>8</v>
      </c>
      <c r="BL70" s="97">
        <f>IF(OR(AY70="SÁB",AY70="DOM"),0,IFERROR(8-VLOOKUP(O70,'Dados de consulta'!$A$2:$C$38,3,0),8))</f>
        <v>8</v>
      </c>
      <c r="BM70" s="97">
        <f>IF(OR(AY70="SÁB",AY70="DOM"),0,IFERROR(8-VLOOKUP(P70,'Dados de consulta'!$A$2:$C$38,3,0),8))</f>
        <v>8</v>
      </c>
      <c r="BN70" s="97">
        <f>IF(OR(AY70="SÁB",AY70="DOM"),0,IFERROR(8-VLOOKUP(Q70,'Dados de consulta'!$A$2:$C$38,3,0),8))</f>
        <v>8</v>
      </c>
      <c r="BO70" s="97">
        <f>IF(OR(AY70="SÁB",AY70="DOM"),0,IFERROR(8-VLOOKUP(R70,'Dados de consulta'!$A$2:$C$38,3,0),8))</f>
        <v>8</v>
      </c>
      <c r="BP70" s="97">
        <f>IF(OR(AY70="SÁB",AY70="DOM"),0,IFERROR(8-VLOOKUP(S70,'Dados de consulta'!$A$2:$C$38,3,0),8))</f>
        <v>8</v>
      </c>
      <c r="BQ70" s="113">
        <f>IFERROR(6-VLOOKUP(T70,'Dados de consulta'!$A$2:$C$38,3,0)+2,6)</f>
        <v>6</v>
      </c>
      <c r="BR70" s="114">
        <f t="shared" si="50"/>
        <v>110</v>
      </c>
      <c r="BS70">
        <f t="shared" si="26"/>
        <v>134</v>
      </c>
      <c r="BU70">
        <f>IFERROR(8-VLOOKUP(U70,'Dados de consulta'!$A:$D,3,0),8)</f>
        <v>0</v>
      </c>
      <c r="BV70">
        <f>IFERROR(8-VLOOKUP(V70,'Dados de consulta'!$A:$D,3,0),8)</f>
        <v>0</v>
      </c>
      <c r="BW70">
        <f t="shared" si="51"/>
        <v>0</v>
      </c>
    </row>
    <row r="71" spans="1:75" ht="15" hidden="1" x14ac:dyDescent="0.2">
      <c r="A71" s="98">
        <v>42194</v>
      </c>
      <c r="B71" s="129" t="str">
        <f t="shared" si="27"/>
        <v>qui</v>
      </c>
      <c r="C71" s="132"/>
      <c r="D71" s="132"/>
      <c r="E71" s="132"/>
      <c r="F71" s="132">
        <v>101</v>
      </c>
      <c r="G71" s="132">
        <v>4</v>
      </c>
      <c r="H71" s="132">
        <v>8</v>
      </c>
      <c r="I71" s="132"/>
      <c r="J71" s="132">
        <v>8</v>
      </c>
      <c r="K71" s="132"/>
      <c r="L71" s="132"/>
      <c r="M71" s="132">
        <v>18</v>
      </c>
      <c r="N71" s="132"/>
      <c r="O71" s="132"/>
      <c r="P71" s="132"/>
      <c r="Q71" s="132"/>
      <c r="R71" s="132"/>
      <c r="S71" s="132"/>
      <c r="T71" s="132"/>
      <c r="U71" s="151">
        <v>18</v>
      </c>
      <c r="V71" s="151">
        <v>1</v>
      </c>
      <c r="W71" s="307" t="s">
        <v>193</v>
      </c>
      <c r="X71" s="308"/>
      <c r="Y71" s="38">
        <f t="shared" si="28"/>
        <v>24</v>
      </c>
      <c r="Z71" s="38">
        <f t="shared" si="29"/>
        <v>8</v>
      </c>
      <c r="AA71" s="38">
        <f t="shared" si="30"/>
        <v>0</v>
      </c>
      <c r="AB71" s="38">
        <f t="shared" si="38"/>
        <v>0</v>
      </c>
      <c r="AC71" s="38">
        <f t="shared" si="39"/>
        <v>0</v>
      </c>
      <c r="AD71" s="38">
        <f t="shared" si="40"/>
        <v>0</v>
      </c>
      <c r="AE71" s="38">
        <f t="shared" si="41"/>
        <v>0</v>
      </c>
      <c r="AF71" s="38">
        <f t="shared" si="42"/>
        <v>0</v>
      </c>
      <c r="AG71" s="33">
        <f t="shared" si="43"/>
        <v>24</v>
      </c>
      <c r="AH71" s="33">
        <f t="shared" si="44"/>
        <v>8</v>
      </c>
      <c r="AI71" s="33">
        <f t="shared" si="45"/>
        <v>0</v>
      </c>
      <c r="AJ71" s="33">
        <f t="shared" si="46"/>
        <v>0</v>
      </c>
      <c r="AK71" s="34">
        <f t="shared" si="47"/>
        <v>0.16901408450704225</v>
      </c>
      <c r="AL71" s="35">
        <f t="shared" si="48"/>
        <v>5.6338028169014086E-2</v>
      </c>
      <c r="AM71" s="34">
        <f t="shared" si="31"/>
        <v>0</v>
      </c>
      <c r="AN71" s="36">
        <f t="shared" si="49"/>
        <v>0</v>
      </c>
      <c r="AO71" s="6">
        <f t="shared" si="32"/>
        <v>0</v>
      </c>
      <c r="AP71">
        <f t="shared" si="33"/>
        <v>8</v>
      </c>
      <c r="AQ71" s="6">
        <f t="shared" si="34"/>
        <v>0</v>
      </c>
      <c r="AR71" s="6">
        <f t="shared" si="35"/>
        <v>0</v>
      </c>
      <c r="AS71" s="6"/>
      <c r="AX71" s="95">
        <f t="shared" si="36"/>
        <v>42194</v>
      </c>
      <c r="AY71" s="96" t="str">
        <f t="shared" si="37"/>
        <v>qui</v>
      </c>
      <c r="AZ71" s="97">
        <f>IF(OR(AY71="SÁB",AY71="DOM"),0,IFERROR(8-VLOOKUP(C71,'Dados de consulta'!$A$2:$C$38,3,0),8))</f>
        <v>8</v>
      </c>
      <c r="BA71" s="97">
        <f>IF(OR(AY71="SÁB",AY71="DOM"),0,IFERROR(8-VLOOKUP(D71,'Dados de consulta'!$A$2:$C$38,3,0),8))</f>
        <v>8</v>
      </c>
      <c r="BB71" s="97">
        <f>IF(OR(AY71="SÁB",AY71="DOM"),0,IFERROR(8-VLOOKUP(E71,'Dados de consulta'!$A$2:$C$38,3,0),8))</f>
        <v>8</v>
      </c>
      <c r="BC71" s="97">
        <f>IF(OR(AY71="SÁB",AY71="DOM"),0,IFERROR(8-VLOOKUP(F71,'Dados de consulta'!$A$2:$C$38,3,0),8))</f>
        <v>0</v>
      </c>
      <c r="BD71" s="97">
        <f>IF(OR(AY71="SÁB",AY71="DOM"),0,IFERROR(8-VLOOKUP(G71,'Dados de consulta'!$A$2:$C$38,3,0),8))</f>
        <v>0</v>
      </c>
      <c r="BE71" s="97">
        <f>IF(OR(AY71="SÁB",AY71="DOM"),0,IFERROR(8-VLOOKUP(H71,'Dados de consulta'!$A$2:$C$38,3,0),8))</f>
        <v>0</v>
      </c>
      <c r="BF71" s="97">
        <f>IF(OR(AY71="SÁB",AY71="DOM"),0,IFERROR(8-VLOOKUP(I71,'Dados de consulta'!$A$2:$C$38,3,0),8))</f>
        <v>8</v>
      </c>
      <c r="BG71" s="97">
        <f>IF(OR(AY71="SÁB",AY71="DOM"),0,IFERROR(8-VLOOKUP(J71,'Dados de consulta'!$A$2:$C$38,3,0),8))</f>
        <v>0</v>
      </c>
      <c r="BH71" s="97">
        <f>IF(OR(AY71="SÁB",AY71="DOM"),0,IFERROR(8-VLOOKUP(K71,'Dados de consulta'!$A$2:$C$38,3,0),8))</f>
        <v>8</v>
      </c>
      <c r="BI71" s="97">
        <f>IF(OR(AY71="SÁB",AY71="DOM"),0,IFERROR(8-VLOOKUP(L71,'Dados de consulta'!$A$2:$C$38,3,0),8))</f>
        <v>8</v>
      </c>
      <c r="BJ71" s="97">
        <f>IF(OR(AY71="SÁB",AY71="DOM"),0,IFERROR(8-VLOOKUP(M71,'Dados de consulta'!$A$2:$C$38,3,0),8))</f>
        <v>0</v>
      </c>
      <c r="BK71" s="97">
        <f>IF(OR(AY71="SÁB",AY71="DOM"),0,IFERROR(8-VLOOKUP(N71,'Dados de consulta'!$A$2:$C$38,3,0),8))</f>
        <v>8</v>
      </c>
      <c r="BL71" s="97">
        <f>IF(OR(AY71="SÁB",AY71="DOM"),0,IFERROR(8-VLOOKUP(O71,'Dados de consulta'!$A$2:$C$38,3,0),8))</f>
        <v>8</v>
      </c>
      <c r="BM71" s="97">
        <f>IF(OR(AY71="SÁB",AY71="DOM"),0,IFERROR(8-VLOOKUP(P71,'Dados de consulta'!$A$2:$C$38,3,0),8))</f>
        <v>8</v>
      </c>
      <c r="BN71" s="97">
        <f>IF(OR(AY71="SÁB",AY71="DOM"),0,IFERROR(8-VLOOKUP(Q71,'Dados de consulta'!$A$2:$C$38,3,0),8))</f>
        <v>8</v>
      </c>
      <c r="BO71" s="97">
        <f>IF(OR(AY71="SÁB",AY71="DOM"),0,IFERROR(8-VLOOKUP(R71,'Dados de consulta'!$A$2:$C$38,3,0),8))</f>
        <v>8</v>
      </c>
      <c r="BP71" s="97">
        <f>IF(OR(AY71="SÁB",AY71="DOM"),0,IFERROR(8-VLOOKUP(S71,'Dados de consulta'!$A$2:$C$38,3,0),8))</f>
        <v>8</v>
      </c>
      <c r="BQ71" s="113">
        <f>IFERROR(6-VLOOKUP(T71,'Dados de consulta'!$A$2:$C$38,3,0)+2,6)</f>
        <v>6</v>
      </c>
      <c r="BR71" s="114">
        <f t="shared" si="50"/>
        <v>102</v>
      </c>
      <c r="BS71">
        <f t="shared" si="26"/>
        <v>134</v>
      </c>
      <c r="BU71">
        <f>IFERROR(8-VLOOKUP(U71,'Dados de consulta'!$A:$D,3,0),8)</f>
        <v>0</v>
      </c>
      <c r="BV71">
        <f>IFERROR(8-VLOOKUP(V71,'Dados de consulta'!$A:$D,3,0),8)</f>
        <v>0</v>
      </c>
      <c r="BW71">
        <f t="shared" si="51"/>
        <v>0</v>
      </c>
    </row>
    <row r="72" spans="1:75" ht="15" hidden="1" x14ac:dyDescent="0.2">
      <c r="A72" s="98">
        <v>42195</v>
      </c>
      <c r="B72" s="129" t="str">
        <f t="shared" si="27"/>
        <v>sex</v>
      </c>
      <c r="C72" s="132"/>
      <c r="D72" s="132"/>
      <c r="E72" s="132"/>
      <c r="F72" s="132">
        <v>101</v>
      </c>
      <c r="G72" s="132">
        <v>4</v>
      </c>
      <c r="H72" s="132">
        <v>8</v>
      </c>
      <c r="I72" s="132"/>
      <c r="J72" s="132"/>
      <c r="K72" s="132"/>
      <c r="L72" s="132"/>
      <c r="M72" s="132">
        <v>18</v>
      </c>
      <c r="N72" s="132"/>
      <c r="O72" s="132"/>
      <c r="P72" s="132"/>
      <c r="Q72" s="132"/>
      <c r="R72" s="132"/>
      <c r="S72" s="132"/>
      <c r="T72" s="132"/>
      <c r="U72" s="151">
        <v>18</v>
      </c>
      <c r="V72" s="151">
        <v>1</v>
      </c>
      <c r="W72" s="307" t="s">
        <v>193</v>
      </c>
      <c r="X72" s="308"/>
      <c r="Y72" s="38">
        <f t="shared" si="28"/>
        <v>16</v>
      </c>
      <c r="Z72" s="38">
        <f t="shared" si="29"/>
        <v>8</v>
      </c>
      <c r="AA72" s="38">
        <f t="shared" si="30"/>
        <v>0</v>
      </c>
      <c r="AB72" s="38">
        <f t="shared" si="38"/>
        <v>0</v>
      </c>
      <c r="AC72" s="38">
        <f t="shared" si="39"/>
        <v>0</v>
      </c>
      <c r="AD72" s="38">
        <f t="shared" si="40"/>
        <v>0</v>
      </c>
      <c r="AE72" s="38">
        <f t="shared" si="41"/>
        <v>0</v>
      </c>
      <c r="AF72" s="38">
        <f t="shared" si="42"/>
        <v>0</v>
      </c>
      <c r="AG72" s="33">
        <f t="shared" si="43"/>
        <v>16</v>
      </c>
      <c r="AH72" s="33">
        <f t="shared" si="44"/>
        <v>8</v>
      </c>
      <c r="AI72" s="33">
        <f t="shared" si="45"/>
        <v>0</v>
      </c>
      <c r="AJ72" s="33">
        <f t="shared" si="46"/>
        <v>0</v>
      </c>
      <c r="AK72" s="34">
        <f t="shared" si="47"/>
        <v>0.11267605633802817</v>
      </c>
      <c r="AL72" s="35">
        <f t="shared" si="48"/>
        <v>5.6338028169014086E-2</v>
      </c>
      <c r="AM72" s="34">
        <f t="shared" si="31"/>
        <v>0</v>
      </c>
      <c r="AN72" s="36">
        <f t="shared" si="49"/>
        <v>0</v>
      </c>
      <c r="AO72" s="6">
        <f t="shared" si="32"/>
        <v>0</v>
      </c>
      <c r="AP72">
        <f t="shared" si="33"/>
        <v>8</v>
      </c>
      <c r="AQ72" s="6">
        <f t="shared" si="34"/>
        <v>0</v>
      </c>
      <c r="AR72" s="6">
        <f t="shared" si="35"/>
        <v>0</v>
      </c>
      <c r="AS72" s="6"/>
      <c r="AX72" s="95">
        <f t="shared" si="36"/>
        <v>42195</v>
      </c>
      <c r="AY72" s="96" t="str">
        <f t="shared" si="37"/>
        <v>sex</v>
      </c>
      <c r="AZ72" s="97">
        <f>IF(OR(AY72="SÁB",AY72="DOM"),0,IFERROR(8-VLOOKUP(C72,'Dados de consulta'!$A$2:$C$38,3,0),8))</f>
        <v>8</v>
      </c>
      <c r="BA72" s="97">
        <f>IF(OR(AY72="SÁB",AY72="DOM"),0,IFERROR(8-VLOOKUP(D72,'Dados de consulta'!$A$2:$C$38,3,0),8))</f>
        <v>8</v>
      </c>
      <c r="BB72" s="97">
        <f>IF(OR(AY72="SÁB",AY72="DOM"),0,IFERROR(8-VLOOKUP(E72,'Dados de consulta'!$A$2:$C$38,3,0),8))</f>
        <v>8</v>
      </c>
      <c r="BC72" s="97">
        <f>IF(OR(AY72="SÁB",AY72="DOM"),0,IFERROR(8-VLOOKUP(F72,'Dados de consulta'!$A$2:$C$38,3,0),8))</f>
        <v>0</v>
      </c>
      <c r="BD72" s="97">
        <f>IF(OR(AY72="SÁB",AY72="DOM"),0,IFERROR(8-VLOOKUP(G72,'Dados de consulta'!$A$2:$C$38,3,0),8))</f>
        <v>0</v>
      </c>
      <c r="BE72" s="97">
        <f>IF(OR(AY72="SÁB",AY72="DOM"),0,IFERROR(8-VLOOKUP(H72,'Dados de consulta'!$A$2:$C$38,3,0),8))</f>
        <v>0</v>
      </c>
      <c r="BF72" s="97">
        <f>IF(OR(AY72="SÁB",AY72="DOM"),0,IFERROR(8-VLOOKUP(I72,'Dados de consulta'!$A$2:$C$38,3,0),8))</f>
        <v>8</v>
      </c>
      <c r="BG72" s="97">
        <f>IF(OR(AY72="SÁB",AY72="DOM"),0,IFERROR(8-VLOOKUP(J72,'Dados de consulta'!$A$2:$C$38,3,0),8))</f>
        <v>8</v>
      </c>
      <c r="BH72" s="97">
        <f>IF(OR(AY72="SÁB",AY72="DOM"),0,IFERROR(8-VLOOKUP(K72,'Dados de consulta'!$A$2:$C$38,3,0),8))</f>
        <v>8</v>
      </c>
      <c r="BI72" s="97">
        <f>IF(OR(AY72="SÁB",AY72="DOM"),0,IFERROR(8-VLOOKUP(L72,'Dados de consulta'!$A$2:$C$38,3,0),8))</f>
        <v>8</v>
      </c>
      <c r="BJ72" s="97">
        <f>IF(OR(AY72="SÁB",AY72="DOM"),0,IFERROR(8-VLOOKUP(M72,'Dados de consulta'!$A$2:$C$38,3,0),8))</f>
        <v>0</v>
      </c>
      <c r="BK72" s="97">
        <f>IF(OR(AY72="SÁB",AY72="DOM"),0,IFERROR(8-VLOOKUP(N72,'Dados de consulta'!$A$2:$C$38,3,0),8))</f>
        <v>8</v>
      </c>
      <c r="BL72" s="97">
        <f>IF(OR(AY72="SÁB",AY72="DOM"),0,IFERROR(8-VLOOKUP(O72,'Dados de consulta'!$A$2:$C$38,3,0),8))</f>
        <v>8</v>
      </c>
      <c r="BM72" s="97">
        <f>IF(OR(AY72="SÁB",AY72="DOM"),0,IFERROR(8-VLOOKUP(P72,'Dados de consulta'!$A$2:$C$38,3,0),8))</f>
        <v>8</v>
      </c>
      <c r="BN72" s="97">
        <f>IF(OR(AY72="SÁB",AY72="DOM"),0,IFERROR(8-VLOOKUP(Q72,'Dados de consulta'!$A$2:$C$38,3,0),8))</f>
        <v>8</v>
      </c>
      <c r="BO72" s="97">
        <f>IF(OR(AY72="SÁB",AY72="DOM"),0,IFERROR(8-VLOOKUP(R72,'Dados de consulta'!$A$2:$C$38,3,0),8))</f>
        <v>8</v>
      </c>
      <c r="BP72" s="97">
        <f>IF(OR(AY72="SÁB",AY72="DOM"),0,IFERROR(8-VLOOKUP(S72,'Dados de consulta'!$A$2:$C$38,3,0),8))</f>
        <v>8</v>
      </c>
      <c r="BQ72" s="113">
        <f>IFERROR(6-VLOOKUP(T72,'Dados de consulta'!$A$2:$C$38,3,0)+2,6)</f>
        <v>6</v>
      </c>
      <c r="BR72" s="114">
        <f t="shared" si="50"/>
        <v>110</v>
      </c>
      <c r="BS72">
        <f t="shared" si="26"/>
        <v>134</v>
      </c>
      <c r="BU72">
        <f>IFERROR(8-VLOOKUP(U72,'Dados de consulta'!$A:$D,3,0),8)</f>
        <v>0</v>
      </c>
      <c r="BV72">
        <f>IFERROR(8-VLOOKUP(V72,'Dados de consulta'!$A:$D,3,0),8)</f>
        <v>0</v>
      </c>
      <c r="BW72">
        <f t="shared" si="51"/>
        <v>0</v>
      </c>
    </row>
    <row r="73" spans="1:75" ht="15" hidden="1" x14ac:dyDescent="0.2">
      <c r="A73" s="98">
        <v>42196</v>
      </c>
      <c r="B73" s="129" t="str">
        <f t="shared" si="27"/>
        <v>sáb</v>
      </c>
      <c r="C73" s="132"/>
      <c r="D73" s="132"/>
      <c r="E73" s="132"/>
      <c r="F73" s="132">
        <v>101</v>
      </c>
      <c r="G73" s="132">
        <v>4</v>
      </c>
      <c r="H73" s="132">
        <v>8</v>
      </c>
      <c r="I73" s="132"/>
      <c r="J73" s="132"/>
      <c r="K73" s="132"/>
      <c r="L73" s="132"/>
      <c r="M73" s="132">
        <v>18</v>
      </c>
      <c r="N73" s="132"/>
      <c r="O73" s="132"/>
      <c r="P73" s="132"/>
      <c r="Q73" s="132"/>
      <c r="R73" s="132"/>
      <c r="S73" s="132"/>
      <c r="T73" s="132"/>
      <c r="U73" s="151">
        <v>18</v>
      </c>
      <c r="V73" s="151"/>
      <c r="W73" s="307" t="s">
        <v>193</v>
      </c>
      <c r="X73" s="308"/>
      <c r="Y73" s="38">
        <f t="shared" si="28"/>
        <v>16</v>
      </c>
      <c r="Z73" s="38">
        <f t="shared" si="29"/>
        <v>8</v>
      </c>
      <c r="AA73" s="38">
        <f t="shared" si="30"/>
        <v>0</v>
      </c>
      <c r="AB73" s="38">
        <f t="shared" si="38"/>
        <v>0</v>
      </c>
      <c r="AC73" s="38">
        <f t="shared" si="39"/>
        <v>0</v>
      </c>
      <c r="AD73" s="38">
        <f t="shared" si="40"/>
        <v>0</v>
      </c>
      <c r="AE73" s="38">
        <f t="shared" si="41"/>
        <v>0</v>
      </c>
      <c r="AF73" s="38">
        <f t="shared" si="42"/>
        <v>0</v>
      </c>
      <c r="AG73" s="33">
        <f t="shared" si="43"/>
        <v>0</v>
      </c>
      <c r="AH73" s="33">
        <f t="shared" si="44"/>
        <v>0</v>
      </c>
      <c r="AI73" s="33">
        <f t="shared" si="45"/>
        <v>0</v>
      </c>
      <c r="AJ73" s="33">
        <f t="shared" si="46"/>
        <v>0</v>
      </c>
      <c r="AK73" s="34">
        <f t="shared" si="47"/>
        <v>0</v>
      </c>
      <c r="AL73" s="35">
        <f t="shared" si="48"/>
        <v>0</v>
      </c>
      <c r="AM73" s="34">
        <f t="shared" si="31"/>
        <v>0</v>
      </c>
      <c r="AN73" s="36">
        <f t="shared" si="49"/>
        <v>0</v>
      </c>
      <c r="AO73" s="6">
        <f t="shared" si="32"/>
        <v>0</v>
      </c>
      <c r="AP73">
        <f t="shared" si="33"/>
        <v>8</v>
      </c>
      <c r="AQ73" s="6">
        <f t="shared" si="34"/>
        <v>0</v>
      </c>
      <c r="AR73" s="6">
        <f t="shared" si="35"/>
        <v>0</v>
      </c>
      <c r="AS73" s="6"/>
      <c r="AX73" s="95">
        <f t="shared" si="36"/>
        <v>42196</v>
      </c>
      <c r="AY73" s="96" t="str">
        <f t="shared" si="37"/>
        <v>sáb</v>
      </c>
      <c r="AZ73" s="97">
        <f>IF(OR(AY73="SÁB",AY73="DOM"),0,IFERROR(8-VLOOKUP(C73,'Dados de consulta'!$A$2:$C$38,3,0),8))</f>
        <v>0</v>
      </c>
      <c r="BA73" s="97">
        <f>IF(OR(AY73="SÁB",AY73="DOM"),0,IFERROR(8-VLOOKUP(D73,'Dados de consulta'!$A$2:$C$38,3,0),8))</f>
        <v>0</v>
      </c>
      <c r="BB73" s="97">
        <f>IF(OR(AY73="SÁB",AY73="DOM"),0,IFERROR(8-VLOOKUP(E73,'Dados de consulta'!$A$2:$C$38,3,0),8))</f>
        <v>0</v>
      </c>
      <c r="BC73" s="97">
        <f>IF(OR(AY73="SÁB",AY73="DOM"),0,IFERROR(8-VLOOKUP(F73,'Dados de consulta'!$A$2:$C$38,3,0),8))</f>
        <v>0</v>
      </c>
      <c r="BD73" s="97">
        <f>IF(OR(AY73="SÁB",AY73="DOM"),0,IFERROR(8-VLOOKUP(G73,'Dados de consulta'!$A$2:$C$38,3,0),8))</f>
        <v>0</v>
      </c>
      <c r="BE73" s="97">
        <f>IF(OR(AY73="SÁB",AY73="DOM"),0,IFERROR(8-VLOOKUP(H73,'Dados de consulta'!$A$2:$C$38,3,0),8))</f>
        <v>0</v>
      </c>
      <c r="BF73" s="97">
        <f>IF(OR(AY73="SÁB",AY73="DOM"),0,IFERROR(8-VLOOKUP(I73,'Dados de consulta'!$A$2:$C$38,3,0),8))</f>
        <v>0</v>
      </c>
      <c r="BG73" s="97">
        <f>IF(OR(AY73="SÁB",AY73="DOM"),0,IFERROR(8-VLOOKUP(J73,'Dados de consulta'!$A$2:$C$38,3,0),8))</f>
        <v>0</v>
      </c>
      <c r="BH73" s="97">
        <f>IF(OR(AY73="SÁB",AY73="DOM"),0,IFERROR(8-VLOOKUP(K73,'Dados de consulta'!$A$2:$C$38,3,0),8))</f>
        <v>0</v>
      </c>
      <c r="BI73" s="97">
        <f>IF(OR(AY73="SÁB",AY73="DOM"),0,IFERROR(8-VLOOKUP(L73,'Dados de consulta'!$A$2:$C$38,3,0),8))</f>
        <v>0</v>
      </c>
      <c r="BJ73" s="97">
        <f>IF(OR(AY73="SÁB",AY73="DOM"),0,IFERROR(8-VLOOKUP(M73,'Dados de consulta'!$A$2:$C$38,3,0),8))</f>
        <v>0</v>
      </c>
      <c r="BK73" s="97">
        <f>IF(OR(AY73="SÁB",AY73="DOM"),0,IFERROR(8-VLOOKUP(N73,'Dados de consulta'!$A$2:$C$38,3,0),8))</f>
        <v>0</v>
      </c>
      <c r="BL73" s="97">
        <f>IF(OR(AY73="SÁB",AY73="DOM"),0,IFERROR(8-VLOOKUP(O73,'Dados de consulta'!$A$2:$C$38,3,0),8))</f>
        <v>0</v>
      </c>
      <c r="BM73" s="97">
        <f>IF(OR(AY73="SÁB",AY73="DOM"),0,IFERROR(8-VLOOKUP(P73,'Dados de consulta'!$A$2:$C$38,3,0),8))</f>
        <v>0</v>
      </c>
      <c r="BN73" s="97">
        <f>IF(OR(AY73="SÁB",AY73="DOM"),0,IFERROR(8-VLOOKUP(Q73,'Dados de consulta'!$A$2:$C$38,3,0),8))</f>
        <v>0</v>
      </c>
      <c r="BO73" s="97">
        <f>IF(OR(AY73="SÁB",AY73="DOM"),0,IFERROR(8-VLOOKUP(R73,'Dados de consulta'!$A$2:$C$38,3,0),8))</f>
        <v>0</v>
      </c>
      <c r="BP73" s="97">
        <f>IF(OR(AY73="SÁB",AY73="DOM"),0,IFERROR(8-VLOOKUP(S73,'Dados de consulta'!$A$2:$C$38,3,0),8))</f>
        <v>0</v>
      </c>
      <c r="BQ73" s="113">
        <f>IFERROR(6-VLOOKUP(T73,'Dados de consulta'!$A$2:$C$38,3,0)+2,6)</f>
        <v>6</v>
      </c>
      <c r="BR73" s="114">
        <f t="shared" si="50"/>
        <v>0</v>
      </c>
      <c r="BS73">
        <f t="shared" si="26"/>
        <v>0</v>
      </c>
      <c r="BU73">
        <f>IFERROR(8-VLOOKUP(U73,'Dados de consulta'!$A:$D,3,0),8)</f>
        <v>0</v>
      </c>
      <c r="BV73">
        <f>IFERROR(8-VLOOKUP(V73,'Dados de consulta'!$A:$D,3,0),8)</f>
        <v>8</v>
      </c>
      <c r="BW73">
        <f t="shared" si="51"/>
        <v>8</v>
      </c>
    </row>
    <row r="74" spans="1:75" ht="15" hidden="1" x14ac:dyDescent="0.2">
      <c r="A74" s="98">
        <v>42197</v>
      </c>
      <c r="B74" s="129" t="str">
        <f t="shared" si="27"/>
        <v>dom</v>
      </c>
      <c r="C74" s="132"/>
      <c r="D74" s="132"/>
      <c r="E74" s="132"/>
      <c r="F74" s="132">
        <v>101</v>
      </c>
      <c r="G74" s="132">
        <v>4</v>
      </c>
      <c r="H74" s="132">
        <v>8</v>
      </c>
      <c r="I74" s="132"/>
      <c r="J74" s="132"/>
      <c r="K74" s="132"/>
      <c r="L74" s="132"/>
      <c r="M74" s="132">
        <v>18</v>
      </c>
      <c r="N74" s="132"/>
      <c r="O74" s="132"/>
      <c r="P74" s="132"/>
      <c r="Q74" s="132"/>
      <c r="R74" s="132"/>
      <c r="S74" s="132"/>
      <c r="T74" s="132"/>
      <c r="U74" s="151">
        <v>18</v>
      </c>
      <c r="V74" s="151"/>
      <c r="W74" s="307" t="s">
        <v>193</v>
      </c>
      <c r="X74" s="308"/>
      <c r="Y74" s="38">
        <f t="shared" si="28"/>
        <v>16</v>
      </c>
      <c r="Z74" s="38">
        <f t="shared" si="29"/>
        <v>8</v>
      </c>
      <c r="AA74" s="38">
        <f t="shared" si="30"/>
        <v>0</v>
      </c>
      <c r="AB74" s="38">
        <f t="shared" si="38"/>
        <v>0</v>
      </c>
      <c r="AC74" s="38">
        <f t="shared" si="39"/>
        <v>0</v>
      </c>
      <c r="AD74" s="38">
        <f t="shared" si="40"/>
        <v>0</v>
      </c>
      <c r="AE74" s="38">
        <f t="shared" si="41"/>
        <v>0</v>
      </c>
      <c r="AF74" s="38">
        <f t="shared" si="42"/>
        <v>0</v>
      </c>
      <c r="AG74" s="33">
        <f t="shared" si="43"/>
        <v>0</v>
      </c>
      <c r="AH74" s="33">
        <f t="shared" si="44"/>
        <v>0</v>
      </c>
      <c r="AI74" s="33">
        <f t="shared" si="45"/>
        <v>0</v>
      </c>
      <c r="AJ74" s="33">
        <f t="shared" si="46"/>
        <v>0</v>
      </c>
      <c r="AK74" s="34">
        <f t="shared" si="47"/>
        <v>0</v>
      </c>
      <c r="AL74" s="35">
        <f t="shared" si="48"/>
        <v>0</v>
      </c>
      <c r="AM74" s="34">
        <f t="shared" si="31"/>
        <v>0</v>
      </c>
      <c r="AN74" s="36">
        <f t="shared" si="49"/>
        <v>0</v>
      </c>
      <c r="AO74" s="6">
        <f t="shared" si="32"/>
        <v>0</v>
      </c>
      <c r="AP74">
        <f t="shared" si="33"/>
        <v>8</v>
      </c>
      <c r="AQ74" s="6">
        <f t="shared" si="34"/>
        <v>0</v>
      </c>
      <c r="AR74" s="6">
        <f t="shared" si="35"/>
        <v>0</v>
      </c>
      <c r="AS74" s="6"/>
      <c r="AX74" s="95">
        <f t="shared" si="36"/>
        <v>42197</v>
      </c>
      <c r="AY74" s="96" t="str">
        <f t="shared" si="37"/>
        <v>dom</v>
      </c>
      <c r="AZ74" s="97">
        <f>IF(OR(AY74="SÁB",AY74="DOM"),0,IFERROR(8-VLOOKUP(C74,'Dados de consulta'!$A$2:$C$38,3,0),8))</f>
        <v>0</v>
      </c>
      <c r="BA74" s="97">
        <f>IF(OR(AY74="SÁB",AY74="DOM"),0,IFERROR(8-VLOOKUP(D74,'Dados de consulta'!$A$2:$C$38,3,0),8))</f>
        <v>0</v>
      </c>
      <c r="BB74" s="97">
        <f>IF(OR(AY74="SÁB",AY74="DOM"),0,IFERROR(8-VLOOKUP(E74,'Dados de consulta'!$A$2:$C$38,3,0),8))</f>
        <v>0</v>
      </c>
      <c r="BC74" s="97">
        <f>IF(OR(AY74="SÁB",AY74="DOM"),0,IFERROR(8-VLOOKUP(F74,'Dados de consulta'!$A$2:$C$38,3,0),8))</f>
        <v>0</v>
      </c>
      <c r="BD74" s="97">
        <f>IF(OR(AY74="SÁB",AY74="DOM"),0,IFERROR(8-VLOOKUP(G74,'Dados de consulta'!$A$2:$C$38,3,0),8))</f>
        <v>0</v>
      </c>
      <c r="BE74" s="97">
        <f>IF(OR(AY74="SÁB",AY74="DOM"),0,IFERROR(8-VLOOKUP(H74,'Dados de consulta'!$A$2:$C$38,3,0),8))</f>
        <v>0</v>
      </c>
      <c r="BF74" s="97">
        <f>IF(OR(AY74="SÁB",AY74="DOM"),0,IFERROR(8-VLOOKUP(I74,'Dados de consulta'!$A$2:$C$38,3,0),8))</f>
        <v>0</v>
      </c>
      <c r="BG74" s="97">
        <f>IF(OR(AY74="SÁB",AY74="DOM"),0,IFERROR(8-VLOOKUP(J74,'Dados de consulta'!$A$2:$C$38,3,0),8))</f>
        <v>0</v>
      </c>
      <c r="BH74" s="97">
        <f>IF(OR(AY74="SÁB",AY74="DOM"),0,IFERROR(8-VLOOKUP(K74,'Dados de consulta'!$A$2:$C$38,3,0),8))</f>
        <v>0</v>
      </c>
      <c r="BI74" s="97">
        <f>IF(OR(AY74="SÁB",AY74="DOM"),0,IFERROR(8-VLOOKUP(L74,'Dados de consulta'!$A$2:$C$38,3,0),8))</f>
        <v>0</v>
      </c>
      <c r="BJ74" s="97">
        <f>IF(OR(AY74="SÁB",AY74="DOM"),0,IFERROR(8-VLOOKUP(M74,'Dados de consulta'!$A$2:$C$38,3,0),8))</f>
        <v>0</v>
      </c>
      <c r="BK74" s="97">
        <f>IF(OR(AY74="SÁB",AY74="DOM"),0,IFERROR(8-VLOOKUP(N74,'Dados de consulta'!$A$2:$C$38,3,0),8))</f>
        <v>0</v>
      </c>
      <c r="BL74" s="97">
        <f>IF(OR(AY74="SÁB",AY74="DOM"),0,IFERROR(8-VLOOKUP(O74,'Dados de consulta'!$A$2:$C$38,3,0),8))</f>
        <v>0</v>
      </c>
      <c r="BM74" s="97">
        <f>IF(OR(AY74="SÁB",AY74="DOM"),0,IFERROR(8-VLOOKUP(P74,'Dados de consulta'!$A$2:$C$38,3,0),8))</f>
        <v>0</v>
      </c>
      <c r="BN74" s="97">
        <f>IF(OR(AY74="SÁB",AY74="DOM"),0,IFERROR(8-VLOOKUP(Q74,'Dados de consulta'!$A$2:$C$38,3,0),8))</f>
        <v>0</v>
      </c>
      <c r="BO74" s="97">
        <f>IF(OR(AY74="SÁB",AY74="DOM"),0,IFERROR(8-VLOOKUP(R74,'Dados de consulta'!$A$2:$C$38,3,0),8))</f>
        <v>0</v>
      </c>
      <c r="BP74" s="97">
        <f>IF(OR(AY74="SÁB",AY74="DOM"),0,IFERROR(8-VLOOKUP(S74,'Dados de consulta'!$A$2:$C$38,3,0),8))</f>
        <v>0</v>
      </c>
      <c r="BQ74" s="113">
        <f>IFERROR(6-VLOOKUP(T74,'Dados de consulta'!$A$2:$C$38,3,0)+2,6)</f>
        <v>6</v>
      </c>
      <c r="BR74" s="114">
        <f t="shared" si="50"/>
        <v>0</v>
      </c>
      <c r="BS74">
        <f t="shared" si="26"/>
        <v>0</v>
      </c>
      <c r="BU74">
        <f>IFERROR(8-VLOOKUP(U74,'Dados de consulta'!$A:$D,3,0),8)</f>
        <v>0</v>
      </c>
      <c r="BV74">
        <f>IFERROR(8-VLOOKUP(V74,'Dados de consulta'!$A:$D,3,0),8)</f>
        <v>8</v>
      </c>
      <c r="BW74">
        <f t="shared" si="51"/>
        <v>8</v>
      </c>
    </row>
    <row r="75" spans="1:75" ht="15" hidden="1" x14ac:dyDescent="0.2">
      <c r="A75" s="98">
        <v>42198</v>
      </c>
      <c r="B75" s="129" t="str">
        <f t="shared" si="27"/>
        <v>seg</v>
      </c>
      <c r="C75" s="132"/>
      <c r="D75" s="132"/>
      <c r="E75" s="132"/>
      <c r="F75" s="132">
        <v>101</v>
      </c>
      <c r="G75" s="132">
        <v>4</v>
      </c>
      <c r="H75" s="132">
        <v>8</v>
      </c>
      <c r="I75" s="132"/>
      <c r="J75" s="132"/>
      <c r="K75" s="132"/>
      <c r="L75" s="132"/>
      <c r="M75" s="132">
        <v>18</v>
      </c>
      <c r="N75" s="132"/>
      <c r="O75" s="132"/>
      <c r="P75" s="132"/>
      <c r="Q75" s="132"/>
      <c r="R75" s="132"/>
      <c r="S75" s="132"/>
      <c r="T75" s="132"/>
      <c r="U75" s="151">
        <v>18</v>
      </c>
      <c r="V75" s="151"/>
      <c r="W75" s="307" t="s">
        <v>193</v>
      </c>
      <c r="X75" s="308"/>
      <c r="Y75" s="38">
        <f t="shared" si="28"/>
        <v>16</v>
      </c>
      <c r="Z75" s="38">
        <f t="shared" si="29"/>
        <v>8</v>
      </c>
      <c r="AA75" s="38">
        <f t="shared" si="30"/>
        <v>0</v>
      </c>
      <c r="AB75" s="38">
        <f t="shared" si="38"/>
        <v>0</v>
      </c>
      <c r="AC75" s="38">
        <f t="shared" si="39"/>
        <v>0</v>
      </c>
      <c r="AD75" s="38">
        <f t="shared" si="40"/>
        <v>0</v>
      </c>
      <c r="AE75" s="38">
        <f t="shared" si="41"/>
        <v>0</v>
      </c>
      <c r="AF75" s="38">
        <f t="shared" si="42"/>
        <v>0</v>
      </c>
      <c r="AG75" s="33">
        <f t="shared" si="43"/>
        <v>16</v>
      </c>
      <c r="AH75" s="33">
        <f t="shared" si="44"/>
        <v>8</v>
      </c>
      <c r="AI75" s="33">
        <f t="shared" si="45"/>
        <v>0</v>
      </c>
      <c r="AJ75" s="33">
        <f t="shared" si="46"/>
        <v>0</v>
      </c>
      <c r="AK75" s="34">
        <f t="shared" si="47"/>
        <v>0.11267605633802817</v>
      </c>
      <c r="AL75" s="35">
        <f t="shared" si="48"/>
        <v>5.6338028169014086E-2</v>
      </c>
      <c r="AM75" s="34">
        <f t="shared" si="31"/>
        <v>0</v>
      </c>
      <c r="AN75" s="36">
        <f t="shared" si="49"/>
        <v>0</v>
      </c>
      <c r="AO75" s="6">
        <f t="shared" si="32"/>
        <v>0</v>
      </c>
      <c r="AP75">
        <f t="shared" si="33"/>
        <v>8</v>
      </c>
      <c r="AQ75" s="6">
        <f t="shared" si="34"/>
        <v>0</v>
      </c>
      <c r="AR75" s="6">
        <f t="shared" si="35"/>
        <v>0</v>
      </c>
      <c r="AS75" s="6"/>
      <c r="AX75" s="95">
        <f t="shared" si="36"/>
        <v>42198</v>
      </c>
      <c r="AY75" s="96" t="str">
        <f t="shared" si="37"/>
        <v>seg</v>
      </c>
      <c r="AZ75" s="97">
        <f>IF(OR(AY75="SÁB",AY75="DOM"),0,IFERROR(8-VLOOKUP(C75,'Dados de consulta'!$A$2:$C$38,3,0),8))</f>
        <v>8</v>
      </c>
      <c r="BA75" s="97">
        <f>IF(OR(AY75="SÁB",AY75="DOM"),0,IFERROR(8-VLOOKUP(D75,'Dados de consulta'!$A$2:$C$38,3,0),8))</f>
        <v>8</v>
      </c>
      <c r="BB75" s="97">
        <f>IF(OR(AY75="SÁB",AY75="DOM"),0,IFERROR(8-VLOOKUP(E75,'Dados de consulta'!$A$2:$C$38,3,0),8))</f>
        <v>8</v>
      </c>
      <c r="BC75" s="97">
        <f>IF(OR(AY75="SÁB",AY75="DOM"),0,IFERROR(8-VLOOKUP(F75,'Dados de consulta'!$A$2:$C$38,3,0),8))</f>
        <v>0</v>
      </c>
      <c r="BD75" s="97">
        <f>IF(OR(AY75="SÁB",AY75="DOM"),0,IFERROR(8-VLOOKUP(G75,'Dados de consulta'!$A$2:$C$38,3,0),8))</f>
        <v>0</v>
      </c>
      <c r="BE75" s="97">
        <f>IF(OR(AY75="SÁB",AY75="DOM"),0,IFERROR(8-VLOOKUP(H75,'Dados de consulta'!$A$2:$C$38,3,0),8))</f>
        <v>0</v>
      </c>
      <c r="BF75" s="97">
        <f>IF(OR(AY75="SÁB",AY75="DOM"),0,IFERROR(8-VLOOKUP(I75,'Dados de consulta'!$A$2:$C$38,3,0),8))</f>
        <v>8</v>
      </c>
      <c r="BG75" s="97">
        <f>IF(OR(AY75="SÁB",AY75="DOM"),0,IFERROR(8-VLOOKUP(J75,'Dados de consulta'!$A$2:$C$38,3,0),8))</f>
        <v>8</v>
      </c>
      <c r="BH75" s="97">
        <f>IF(OR(AY75="SÁB",AY75="DOM"),0,IFERROR(8-VLOOKUP(K75,'Dados de consulta'!$A$2:$C$38,3,0),8))</f>
        <v>8</v>
      </c>
      <c r="BI75" s="97">
        <f>IF(OR(AY75="SÁB",AY75="DOM"),0,IFERROR(8-VLOOKUP(L75,'Dados de consulta'!$A$2:$C$38,3,0),8))</f>
        <v>8</v>
      </c>
      <c r="BJ75" s="97">
        <f>IF(OR(AY75="SÁB",AY75="DOM"),0,IFERROR(8-VLOOKUP(M75,'Dados de consulta'!$A$2:$C$38,3,0),8))</f>
        <v>0</v>
      </c>
      <c r="BK75" s="97">
        <f>IF(OR(AY75="SÁB",AY75="DOM"),0,IFERROR(8-VLOOKUP(N75,'Dados de consulta'!$A$2:$C$38,3,0),8))</f>
        <v>8</v>
      </c>
      <c r="BL75" s="97">
        <f>IF(OR(AY75="SÁB",AY75="DOM"),0,IFERROR(8-VLOOKUP(O75,'Dados de consulta'!$A$2:$C$38,3,0),8))</f>
        <v>8</v>
      </c>
      <c r="BM75" s="97">
        <f>IF(OR(AY75="SÁB",AY75="DOM"),0,IFERROR(8-VLOOKUP(P75,'Dados de consulta'!$A$2:$C$38,3,0),8))</f>
        <v>8</v>
      </c>
      <c r="BN75" s="97">
        <f>IF(OR(AY75="SÁB",AY75="DOM"),0,IFERROR(8-VLOOKUP(Q75,'Dados de consulta'!$A$2:$C$38,3,0),8))</f>
        <v>8</v>
      </c>
      <c r="BO75" s="97">
        <f>IF(OR(AY75="SÁB",AY75="DOM"),0,IFERROR(8-VLOOKUP(R75,'Dados de consulta'!$A$2:$C$38,3,0),8))</f>
        <v>8</v>
      </c>
      <c r="BP75" s="97">
        <f>IF(OR(AY75="SÁB",AY75="DOM"),0,IFERROR(8-VLOOKUP(S75,'Dados de consulta'!$A$2:$C$38,3,0),8))</f>
        <v>8</v>
      </c>
      <c r="BQ75" s="113">
        <f>IFERROR(6-VLOOKUP(T75,'Dados de consulta'!$A$2:$C$38,3,0)+2,6)</f>
        <v>6</v>
      </c>
      <c r="BR75" s="114">
        <f t="shared" si="50"/>
        <v>110</v>
      </c>
      <c r="BS75">
        <f t="shared" si="26"/>
        <v>134</v>
      </c>
      <c r="BU75">
        <f>IFERROR(8-VLOOKUP(U75,'Dados de consulta'!$A:$D,3,0),8)</f>
        <v>0</v>
      </c>
      <c r="BV75">
        <f>IFERROR(8-VLOOKUP(V75,'Dados de consulta'!$A:$D,3,0),8)</f>
        <v>8</v>
      </c>
      <c r="BW75">
        <f t="shared" si="51"/>
        <v>8</v>
      </c>
    </row>
    <row r="76" spans="1:75" ht="15" hidden="1" x14ac:dyDescent="0.2">
      <c r="A76" s="98">
        <v>42199</v>
      </c>
      <c r="B76" s="129" t="str">
        <f t="shared" si="27"/>
        <v>ter</v>
      </c>
      <c r="C76" s="132"/>
      <c r="D76" s="132"/>
      <c r="E76" s="132"/>
      <c r="F76" s="132">
        <v>101</v>
      </c>
      <c r="G76" s="132">
        <v>4</v>
      </c>
      <c r="H76" s="132">
        <v>8</v>
      </c>
      <c r="I76" s="132">
        <v>8</v>
      </c>
      <c r="J76" s="132"/>
      <c r="K76" s="132"/>
      <c r="L76" s="132"/>
      <c r="M76" s="132">
        <v>18</v>
      </c>
      <c r="N76" s="132"/>
      <c r="O76" s="132"/>
      <c r="P76" s="132"/>
      <c r="Q76" s="132"/>
      <c r="R76" s="132"/>
      <c r="S76" s="132"/>
      <c r="T76" s="132"/>
      <c r="U76" s="151">
        <v>18</v>
      </c>
      <c r="V76" s="151"/>
      <c r="W76" s="307" t="s">
        <v>193</v>
      </c>
      <c r="X76" s="308"/>
      <c r="Y76" s="38">
        <f t="shared" si="28"/>
        <v>24</v>
      </c>
      <c r="Z76" s="38">
        <f t="shared" si="29"/>
        <v>8</v>
      </c>
      <c r="AA76" s="38">
        <f t="shared" si="30"/>
        <v>0</v>
      </c>
      <c r="AB76" s="38">
        <f t="shared" si="38"/>
        <v>0</v>
      </c>
      <c r="AC76" s="38">
        <f t="shared" si="39"/>
        <v>0</v>
      </c>
      <c r="AD76" s="38">
        <f t="shared" si="40"/>
        <v>0</v>
      </c>
      <c r="AE76" s="38">
        <f t="shared" si="41"/>
        <v>0</v>
      </c>
      <c r="AF76" s="38">
        <f t="shared" si="42"/>
        <v>0</v>
      </c>
      <c r="AG76" s="33">
        <f t="shared" si="43"/>
        <v>24</v>
      </c>
      <c r="AH76" s="33">
        <f t="shared" si="44"/>
        <v>8</v>
      </c>
      <c r="AI76" s="33">
        <f t="shared" si="45"/>
        <v>0</v>
      </c>
      <c r="AJ76" s="33">
        <f t="shared" si="46"/>
        <v>0</v>
      </c>
      <c r="AK76" s="34">
        <f t="shared" si="47"/>
        <v>0.16901408450704225</v>
      </c>
      <c r="AL76" s="35">
        <f t="shared" si="48"/>
        <v>5.6338028169014086E-2</v>
      </c>
      <c r="AM76" s="34">
        <f t="shared" si="31"/>
        <v>0</v>
      </c>
      <c r="AN76" s="36">
        <f t="shared" si="49"/>
        <v>0</v>
      </c>
      <c r="AO76" s="6">
        <f t="shared" si="32"/>
        <v>0</v>
      </c>
      <c r="AP76">
        <f t="shared" si="33"/>
        <v>8</v>
      </c>
      <c r="AQ76" s="6">
        <f t="shared" si="34"/>
        <v>0</v>
      </c>
      <c r="AR76" s="6">
        <f t="shared" si="35"/>
        <v>0</v>
      </c>
      <c r="AS76" s="6"/>
      <c r="AX76" s="95">
        <f t="shared" si="36"/>
        <v>42199</v>
      </c>
      <c r="AY76" s="96" t="str">
        <f t="shared" si="37"/>
        <v>ter</v>
      </c>
      <c r="AZ76" s="97">
        <f>IF(OR(AY76="SÁB",AY76="DOM"),0,IFERROR(8-VLOOKUP(C76,'Dados de consulta'!$A$2:$C$38,3,0),8))</f>
        <v>8</v>
      </c>
      <c r="BA76" s="97">
        <f>IF(OR(AY76="SÁB",AY76="DOM"),0,IFERROR(8-VLOOKUP(D76,'Dados de consulta'!$A$2:$C$38,3,0),8))</f>
        <v>8</v>
      </c>
      <c r="BB76" s="97">
        <f>IF(OR(AY76="SÁB",AY76="DOM"),0,IFERROR(8-VLOOKUP(E76,'Dados de consulta'!$A$2:$C$38,3,0),8))</f>
        <v>8</v>
      </c>
      <c r="BC76" s="97">
        <f>IF(OR(AY76="SÁB",AY76="DOM"),0,IFERROR(8-VLOOKUP(F76,'Dados de consulta'!$A$2:$C$38,3,0),8))</f>
        <v>0</v>
      </c>
      <c r="BD76" s="97">
        <f>IF(OR(AY76="SÁB",AY76="DOM"),0,IFERROR(8-VLOOKUP(G76,'Dados de consulta'!$A$2:$C$38,3,0),8))</f>
        <v>0</v>
      </c>
      <c r="BE76" s="97">
        <f>IF(OR(AY76="SÁB",AY76="DOM"),0,IFERROR(8-VLOOKUP(H76,'Dados de consulta'!$A$2:$C$38,3,0),8))</f>
        <v>0</v>
      </c>
      <c r="BF76" s="97">
        <f>IF(OR(AY76="SÁB",AY76="DOM"),0,IFERROR(8-VLOOKUP(I76,'Dados de consulta'!$A$2:$C$38,3,0),8))</f>
        <v>0</v>
      </c>
      <c r="BG76" s="97">
        <f>IF(OR(AY76="SÁB",AY76="DOM"),0,IFERROR(8-VLOOKUP(J76,'Dados de consulta'!$A$2:$C$38,3,0),8))</f>
        <v>8</v>
      </c>
      <c r="BH76" s="97">
        <f>IF(OR(AY76="SÁB",AY76="DOM"),0,IFERROR(8-VLOOKUP(K76,'Dados de consulta'!$A$2:$C$38,3,0),8))</f>
        <v>8</v>
      </c>
      <c r="BI76" s="97">
        <f>IF(OR(AY76="SÁB",AY76="DOM"),0,IFERROR(8-VLOOKUP(L76,'Dados de consulta'!$A$2:$C$38,3,0),8))</f>
        <v>8</v>
      </c>
      <c r="BJ76" s="97">
        <f>IF(OR(AY76="SÁB",AY76="DOM"),0,IFERROR(8-VLOOKUP(M76,'Dados de consulta'!$A$2:$C$38,3,0),8))</f>
        <v>0</v>
      </c>
      <c r="BK76" s="97">
        <f>IF(OR(AY76="SÁB",AY76="DOM"),0,IFERROR(8-VLOOKUP(N76,'Dados de consulta'!$A$2:$C$38,3,0),8))</f>
        <v>8</v>
      </c>
      <c r="BL76" s="97">
        <f>IF(OR(AY76="SÁB",AY76="DOM"),0,IFERROR(8-VLOOKUP(O76,'Dados de consulta'!$A$2:$C$38,3,0),8))</f>
        <v>8</v>
      </c>
      <c r="BM76" s="97">
        <f>IF(OR(AY76="SÁB",AY76="DOM"),0,IFERROR(8-VLOOKUP(P76,'Dados de consulta'!$A$2:$C$38,3,0),8))</f>
        <v>8</v>
      </c>
      <c r="BN76" s="97">
        <f>IF(OR(AY76="SÁB",AY76="DOM"),0,IFERROR(8-VLOOKUP(Q76,'Dados de consulta'!$A$2:$C$38,3,0),8))</f>
        <v>8</v>
      </c>
      <c r="BO76" s="97">
        <f>IF(OR(AY76="SÁB",AY76="DOM"),0,IFERROR(8-VLOOKUP(R76,'Dados de consulta'!$A$2:$C$38,3,0),8))</f>
        <v>8</v>
      </c>
      <c r="BP76" s="97">
        <f>IF(OR(AY76="SÁB",AY76="DOM"),0,IFERROR(8-VLOOKUP(S76,'Dados de consulta'!$A$2:$C$38,3,0),8))</f>
        <v>8</v>
      </c>
      <c r="BQ76" s="113">
        <f>IFERROR(6-VLOOKUP(T76,'Dados de consulta'!$A$2:$C$38,3,0)+2,6)</f>
        <v>6</v>
      </c>
      <c r="BR76" s="114">
        <f t="shared" si="50"/>
        <v>102</v>
      </c>
      <c r="BS76">
        <f t="shared" si="26"/>
        <v>134</v>
      </c>
      <c r="BU76">
        <f>IFERROR(8-VLOOKUP(U76,'Dados de consulta'!$A:$D,3,0),8)</f>
        <v>0</v>
      </c>
      <c r="BV76">
        <f>IFERROR(8-VLOOKUP(V76,'Dados de consulta'!$A:$D,3,0),8)</f>
        <v>8</v>
      </c>
      <c r="BW76">
        <f t="shared" si="51"/>
        <v>8</v>
      </c>
    </row>
    <row r="77" spans="1:75" ht="15" hidden="1" x14ac:dyDescent="0.2">
      <c r="A77" s="98">
        <v>42200</v>
      </c>
      <c r="B77" s="129" t="str">
        <f t="shared" si="27"/>
        <v>qua</v>
      </c>
      <c r="C77" s="132"/>
      <c r="D77" s="132"/>
      <c r="E77" s="132"/>
      <c r="F77" s="132">
        <v>101</v>
      </c>
      <c r="G77" s="132">
        <v>4</v>
      </c>
      <c r="H77" s="132">
        <v>8</v>
      </c>
      <c r="I77" s="132">
        <v>8</v>
      </c>
      <c r="J77" s="132"/>
      <c r="K77" s="132"/>
      <c r="L77" s="132"/>
      <c r="M77" s="132">
        <v>1</v>
      </c>
      <c r="N77" s="132"/>
      <c r="O77" s="132"/>
      <c r="P77" s="132"/>
      <c r="Q77" s="132"/>
      <c r="R77" s="132"/>
      <c r="S77" s="132"/>
      <c r="T77" s="132"/>
      <c r="U77" s="151">
        <v>18</v>
      </c>
      <c r="V77" s="151"/>
      <c r="W77" s="307" t="s">
        <v>193</v>
      </c>
      <c r="X77" s="308"/>
      <c r="Y77" s="38">
        <f t="shared" si="28"/>
        <v>24</v>
      </c>
      <c r="Z77" s="38">
        <f t="shared" si="29"/>
        <v>8</v>
      </c>
      <c r="AA77" s="38">
        <f t="shared" si="30"/>
        <v>0</v>
      </c>
      <c r="AB77" s="38">
        <f t="shared" si="38"/>
        <v>0</v>
      </c>
      <c r="AC77" s="38">
        <f t="shared" si="39"/>
        <v>0</v>
      </c>
      <c r="AD77" s="38">
        <f t="shared" si="40"/>
        <v>0</v>
      </c>
      <c r="AE77" s="38">
        <f t="shared" si="41"/>
        <v>0</v>
      </c>
      <c r="AF77" s="38">
        <f t="shared" si="42"/>
        <v>0</v>
      </c>
      <c r="AG77" s="33">
        <f t="shared" si="43"/>
        <v>24</v>
      </c>
      <c r="AH77" s="33">
        <f t="shared" si="44"/>
        <v>8</v>
      </c>
      <c r="AI77" s="33">
        <f t="shared" si="45"/>
        <v>0</v>
      </c>
      <c r="AJ77" s="33">
        <f t="shared" si="46"/>
        <v>0</v>
      </c>
      <c r="AK77" s="34">
        <f t="shared" si="47"/>
        <v>0.16901408450704225</v>
      </c>
      <c r="AL77" s="35">
        <f t="shared" si="48"/>
        <v>5.6338028169014086E-2</v>
      </c>
      <c r="AM77" s="34">
        <f t="shared" si="31"/>
        <v>0</v>
      </c>
      <c r="AN77" s="36">
        <f t="shared" si="49"/>
        <v>0</v>
      </c>
      <c r="AO77" s="6">
        <f t="shared" si="32"/>
        <v>0</v>
      </c>
      <c r="AP77">
        <f t="shared" si="33"/>
        <v>8</v>
      </c>
      <c r="AQ77" s="6">
        <f t="shared" si="34"/>
        <v>0</v>
      </c>
      <c r="AR77" s="6">
        <f t="shared" si="35"/>
        <v>0</v>
      </c>
      <c r="AS77" s="6"/>
      <c r="AX77" s="95">
        <f t="shared" si="36"/>
        <v>42200</v>
      </c>
      <c r="AY77" s="96" t="str">
        <f t="shared" si="37"/>
        <v>qua</v>
      </c>
      <c r="AZ77" s="97">
        <f>IF(OR(AY77="SÁB",AY77="DOM"),0,IFERROR(8-VLOOKUP(C77,'Dados de consulta'!$A$2:$C$38,3,0),8))</f>
        <v>8</v>
      </c>
      <c r="BA77" s="97">
        <f>IF(OR(AY77="SÁB",AY77="DOM"),0,IFERROR(8-VLOOKUP(D77,'Dados de consulta'!$A$2:$C$38,3,0),8))</f>
        <v>8</v>
      </c>
      <c r="BB77" s="97">
        <f>IF(OR(AY77="SÁB",AY77="DOM"),0,IFERROR(8-VLOOKUP(E77,'Dados de consulta'!$A$2:$C$38,3,0),8))</f>
        <v>8</v>
      </c>
      <c r="BC77" s="97">
        <f>IF(OR(AY77="SÁB",AY77="DOM"),0,IFERROR(8-VLOOKUP(F77,'Dados de consulta'!$A$2:$C$38,3,0),8))</f>
        <v>0</v>
      </c>
      <c r="BD77" s="97">
        <f>IF(OR(AY77="SÁB",AY77="DOM"),0,IFERROR(8-VLOOKUP(G77,'Dados de consulta'!$A$2:$C$38,3,0),8))</f>
        <v>0</v>
      </c>
      <c r="BE77" s="97">
        <f>IF(OR(AY77="SÁB",AY77="DOM"),0,IFERROR(8-VLOOKUP(H77,'Dados de consulta'!$A$2:$C$38,3,0),8))</f>
        <v>0</v>
      </c>
      <c r="BF77" s="97">
        <f>IF(OR(AY77="SÁB",AY77="DOM"),0,IFERROR(8-VLOOKUP(I77,'Dados de consulta'!$A$2:$C$38,3,0),8))</f>
        <v>0</v>
      </c>
      <c r="BG77" s="97">
        <f>IF(OR(AY77="SÁB",AY77="DOM"),0,IFERROR(8-VLOOKUP(J77,'Dados de consulta'!$A$2:$C$38,3,0),8))</f>
        <v>8</v>
      </c>
      <c r="BH77" s="97">
        <f>IF(OR(AY77="SÁB",AY77="DOM"),0,IFERROR(8-VLOOKUP(K77,'Dados de consulta'!$A$2:$C$38,3,0),8))</f>
        <v>8</v>
      </c>
      <c r="BI77" s="97">
        <f>IF(OR(AY77="SÁB",AY77="DOM"),0,IFERROR(8-VLOOKUP(L77,'Dados de consulta'!$A$2:$C$38,3,0),8))</f>
        <v>8</v>
      </c>
      <c r="BJ77" s="97">
        <f>IF(OR(AY77="SÁB",AY77="DOM"),0,IFERROR(8-VLOOKUP(M77,'Dados de consulta'!$A$2:$C$38,3,0),8))</f>
        <v>0</v>
      </c>
      <c r="BK77" s="97">
        <f>IF(OR(AY77="SÁB",AY77="DOM"),0,IFERROR(8-VLOOKUP(N77,'Dados de consulta'!$A$2:$C$38,3,0),8))</f>
        <v>8</v>
      </c>
      <c r="BL77" s="97">
        <f>IF(OR(AY77="SÁB",AY77="DOM"),0,IFERROR(8-VLOOKUP(O77,'Dados de consulta'!$A$2:$C$38,3,0),8))</f>
        <v>8</v>
      </c>
      <c r="BM77" s="97">
        <f>IF(OR(AY77="SÁB",AY77="DOM"),0,IFERROR(8-VLOOKUP(P77,'Dados de consulta'!$A$2:$C$38,3,0),8))</f>
        <v>8</v>
      </c>
      <c r="BN77" s="97">
        <f>IF(OR(AY77="SÁB",AY77="DOM"),0,IFERROR(8-VLOOKUP(Q77,'Dados de consulta'!$A$2:$C$38,3,0),8))</f>
        <v>8</v>
      </c>
      <c r="BO77" s="97">
        <f>IF(OR(AY77="SÁB",AY77="DOM"),0,IFERROR(8-VLOOKUP(R77,'Dados de consulta'!$A$2:$C$38,3,0),8))</f>
        <v>8</v>
      </c>
      <c r="BP77" s="97">
        <f>IF(OR(AY77="SÁB",AY77="DOM"),0,IFERROR(8-VLOOKUP(S77,'Dados de consulta'!$A$2:$C$38,3,0),8))</f>
        <v>8</v>
      </c>
      <c r="BQ77" s="113">
        <f>IFERROR(6-VLOOKUP(T77,'Dados de consulta'!$A$2:$C$38,3,0)+2,6)</f>
        <v>6</v>
      </c>
      <c r="BR77" s="114">
        <f t="shared" si="50"/>
        <v>102</v>
      </c>
      <c r="BS77">
        <f t="shared" si="26"/>
        <v>134</v>
      </c>
      <c r="BU77">
        <f>IFERROR(8-VLOOKUP(U77,'Dados de consulta'!$A:$D,3,0),8)</f>
        <v>0</v>
      </c>
      <c r="BV77">
        <f>IFERROR(8-VLOOKUP(V77,'Dados de consulta'!$A:$D,3,0),8)</f>
        <v>8</v>
      </c>
      <c r="BW77">
        <f t="shared" si="51"/>
        <v>8</v>
      </c>
    </row>
    <row r="78" spans="1:75" ht="15" hidden="1" x14ac:dyDescent="0.2">
      <c r="A78" s="98">
        <v>42201</v>
      </c>
      <c r="B78" s="129" t="str">
        <f t="shared" si="27"/>
        <v>qui</v>
      </c>
      <c r="C78" s="132"/>
      <c r="D78" s="132"/>
      <c r="E78" s="132"/>
      <c r="F78" s="132">
        <v>101</v>
      </c>
      <c r="G78" s="132">
        <v>4</v>
      </c>
      <c r="H78" s="132">
        <v>8</v>
      </c>
      <c r="I78" s="132">
        <v>8</v>
      </c>
      <c r="J78" s="132"/>
      <c r="K78" s="132"/>
      <c r="L78" s="132"/>
      <c r="M78" s="132">
        <v>1</v>
      </c>
      <c r="N78" s="132"/>
      <c r="O78" s="132"/>
      <c r="P78" s="132"/>
      <c r="Q78" s="132"/>
      <c r="R78" s="132"/>
      <c r="S78" s="132"/>
      <c r="T78" s="132"/>
      <c r="U78" s="151">
        <v>18</v>
      </c>
      <c r="V78" s="151"/>
      <c r="W78" s="307" t="s">
        <v>193</v>
      </c>
      <c r="X78" s="308"/>
      <c r="Y78" s="38">
        <f t="shared" si="28"/>
        <v>24</v>
      </c>
      <c r="Z78" s="38">
        <f t="shared" si="29"/>
        <v>8</v>
      </c>
      <c r="AA78" s="38">
        <f t="shared" si="30"/>
        <v>0</v>
      </c>
      <c r="AB78" s="38">
        <f t="shared" si="38"/>
        <v>0</v>
      </c>
      <c r="AC78" s="38">
        <f t="shared" si="39"/>
        <v>0</v>
      </c>
      <c r="AD78" s="38">
        <f t="shared" si="40"/>
        <v>0</v>
      </c>
      <c r="AE78" s="38">
        <f t="shared" si="41"/>
        <v>0</v>
      </c>
      <c r="AF78" s="38">
        <f t="shared" si="42"/>
        <v>0</v>
      </c>
      <c r="AG78" s="33">
        <f t="shared" si="43"/>
        <v>24</v>
      </c>
      <c r="AH78" s="33">
        <f t="shared" si="44"/>
        <v>8</v>
      </c>
      <c r="AI78" s="33">
        <f t="shared" si="45"/>
        <v>0</v>
      </c>
      <c r="AJ78" s="33">
        <f t="shared" si="46"/>
        <v>0</v>
      </c>
      <c r="AK78" s="34">
        <f t="shared" si="47"/>
        <v>0.16901408450704225</v>
      </c>
      <c r="AL78" s="35">
        <f t="shared" si="48"/>
        <v>5.6338028169014086E-2</v>
      </c>
      <c r="AM78" s="34">
        <f t="shared" si="31"/>
        <v>0</v>
      </c>
      <c r="AN78" s="36">
        <f t="shared" si="49"/>
        <v>0</v>
      </c>
      <c r="AO78" s="6">
        <f t="shared" si="32"/>
        <v>0</v>
      </c>
      <c r="AP78">
        <f t="shared" si="33"/>
        <v>8</v>
      </c>
      <c r="AQ78" s="6">
        <f t="shared" si="34"/>
        <v>0</v>
      </c>
      <c r="AR78" s="6">
        <f t="shared" si="35"/>
        <v>0</v>
      </c>
      <c r="AS78" s="6"/>
      <c r="AX78" s="95">
        <f t="shared" si="36"/>
        <v>42201</v>
      </c>
      <c r="AY78" s="96" t="str">
        <f t="shared" si="37"/>
        <v>qui</v>
      </c>
      <c r="AZ78" s="97">
        <f>IF(OR(AY78="SÁB",AY78="DOM"),0,IFERROR(8-VLOOKUP(C78,'Dados de consulta'!$A$2:$C$38,3,0),8))</f>
        <v>8</v>
      </c>
      <c r="BA78" s="97">
        <f>IF(OR(AY78="SÁB",AY78="DOM"),0,IFERROR(8-VLOOKUP(D78,'Dados de consulta'!$A$2:$C$38,3,0),8))</f>
        <v>8</v>
      </c>
      <c r="BB78" s="97">
        <f>IF(OR(AY78="SÁB",AY78="DOM"),0,IFERROR(8-VLOOKUP(E78,'Dados de consulta'!$A$2:$C$38,3,0),8))</f>
        <v>8</v>
      </c>
      <c r="BC78" s="97">
        <f>IF(OR(AY78="SÁB",AY78="DOM"),0,IFERROR(8-VLOOKUP(F78,'Dados de consulta'!$A$2:$C$38,3,0),8))</f>
        <v>0</v>
      </c>
      <c r="BD78" s="97">
        <f>IF(OR(AY78="SÁB",AY78="DOM"),0,IFERROR(8-VLOOKUP(G78,'Dados de consulta'!$A$2:$C$38,3,0),8))</f>
        <v>0</v>
      </c>
      <c r="BE78" s="97">
        <f>IF(OR(AY78="SÁB",AY78="DOM"),0,IFERROR(8-VLOOKUP(H78,'Dados de consulta'!$A$2:$C$38,3,0),8))</f>
        <v>0</v>
      </c>
      <c r="BF78" s="97">
        <f>IF(OR(AY78="SÁB",AY78="DOM"),0,IFERROR(8-VLOOKUP(I78,'Dados de consulta'!$A$2:$C$38,3,0),8))</f>
        <v>0</v>
      </c>
      <c r="BG78" s="97">
        <f>IF(OR(AY78="SÁB",AY78="DOM"),0,IFERROR(8-VLOOKUP(J78,'Dados de consulta'!$A$2:$C$38,3,0),8))</f>
        <v>8</v>
      </c>
      <c r="BH78" s="97">
        <f>IF(OR(AY78="SÁB",AY78="DOM"),0,IFERROR(8-VLOOKUP(K78,'Dados de consulta'!$A$2:$C$38,3,0),8))</f>
        <v>8</v>
      </c>
      <c r="BI78" s="97">
        <f>IF(OR(AY78="SÁB",AY78="DOM"),0,IFERROR(8-VLOOKUP(L78,'Dados de consulta'!$A$2:$C$38,3,0),8))</f>
        <v>8</v>
      </c>
      <c r="BJ78" s="97">
        <f>IF(OR(AY78="SÁB",AY78="DOM"),0,IFERROR(8-VLOOKUP(M78,'Dados de consulta'!$A$2:$C$38,3,0),8))</f>
        <v>0</v>
      </c>
      <c r="BK78" s="97">
        <f>IF(OR(AY78="SÁB",AY78="DOM"),0,IFERROR(8-VLOOKUP(N78,'Dados de consulta'!$A$2:$C$38,3,0),8))</f>
        <v>8</v>
      </c>
      <c r="BL78" s="97">
        <f>IF(OR(AY78="SÁB",AY78="DOM"),0,IFERROR(8-VLOOKUP(O78,'Dados de consulta'!$A$2:$C$38,3,0),8))</f>
        <v>8</v>
      </c>
      <c r="BM78" s="97">
        <f>IF(OR(AY78="SÁB",AY78="DOM"),0,IFERROR(8-VLOOKUP(P78,'Dados de consulta'!$A$2:$C$38,3,0),8))</f>
        <v>8</v>
      </c>
      <c r="BN78" s="97">
        <f>IF(OR(AY78="SÁB",AY78="DOM"),0,IFERROR(8-VLOOKUP(Q78,'Dados de consulta'!$A$2:$C$38,3,0),8))</f>
        <v>8</v>
      </c>
      <c r="BO78" s="97">
        <f>IF(OR(AY78="SÁB",AY78="DOM"),0,IFERROR(8-VLOOKUP(R78,'Dados de consulta'!$A$2:$C$38,3,0),8))</f>
        <v>8</v>
      </c>
      <c r="BP78" s="97">
        <f>IF(OR(AY78="SÁB",AY78="DOM"),0,IFERROR(8-VLOOKUP(S78,'Dados de consulta'!$A$2:$C$38,3,0),8))</f>
        <v>8</v>
      </c>
      <c r="BQ78" s="113">
        <f>IFERROR(6-VLOOKUP(T78,'Dados de consulta'!$A$2:$C$38,3,0)+2,6)</f>
        <v>6</v>
      </c>
      <c r="BR78" s="114">
        <f t="shared" si="50"/>
        <v>102</v>
      </c>
      <c r="BS78">
        <f t="shared" si="26"/>
        <v>134</v>
      </c>
      <c r="BU78">
        <f>IFERROR(8-VLOOKUP(U78,'Dados de consulta'!$A:$D,3,0),8)</f>
        <v>0</v>
      </c>
      <c r="BV78">
        <f>IFERROR(8-VLOOKUP(V78,'Dados de consulta'!$A:$D,3,0),8)</f>
        <v>8</v>
      </c>
      <c r="BW78">
        <f t="shared" si="51"/>
        <v>8</v>
      </c>
    </row>
    <row r="79" spans="1:75" ht="15" hidden="1" x14ac:dyDescent="0.2">
      <c r="A79" s="98">
        <v>42202</v>
      </c>
      <c r="B79" s="129" t="str">
        <f t="shared" si="27"/>
        <v>sex</v>
      </c>
      <c r="C79" s="132"/>
      <c r="D79" s="132"/>
      <c r="E79" s="132"/>
      <c r="F79" s="132">
        <v>101</v>
      </c>
      <c r="G79" s="132">
        <v>4</v>
      </c>
      <c r="H79" s="132">
        <v>8</v>
      </c>
      <c r="I79" s="132">
        <v>8</v>
      </c>
      <c r="J79" s="132"/>
      <c r="K79" s="132"/>
      <c r="L79" s="132"/>
      <c r="M79" s="132">
        <v>1</v>
      </c>
      <c r="N79" s="132"/>
      <c r="O79" s="132"/>
      <c r="P79" s="132"/>
      <c r="Q79" s="132"/>
      <c r="R79" s="132"/>
      <c r="S79" s="132"/>
      <c r="T79" s="132"/>
      <c r="U79" s="151">
        <v>18</v>
      </c>
      <c r="V79" s="151"/>
      <c r="W79" s="307" t="s">
        <v>193</v>
      </c>
      <c r="X79" s="308"/>
      <c r="Y79" s="38">
        <f t="shared" si="28"/>
        <v>24</v>
      </c>
      <c r="Z79" s="38">
        <f t="shared" si="29"/>
        <v>8</v>
      </c>
      <c r="AA79" s="38">
        <f t="shared" si="30"/>
        <v>0</v>
      </c>
      <c r="AB79" s="38">
        <f t="shared" si="38"/>
        <v>0</v>
      </c>
      <c r="AC79" s="38">
        <f t="shared" si="39"/>
        <v>0</v>
      </c>
      <c r="AD79" s="38">
        <f t="shared" si="40"/>
        <v>0</v>
      </c>
      <c r="AE79" s="38">
        <f t="shared" si="41"/>
        <v>0</v>
      </c>
      <c r="AF79" s="38">
        <f t="shared" si="42"/>
        <v>0</v>
      </c>
      <c r="AG79" s="33">
        <f t="shared" si="43"/>
        <v>24</v>
      </c>
      <c r="AH79" s="33">
        <f t="shared" si="44"/>
        <v>8</v>
      </c>
      <c r="AI79" s="33">
        <f t="shared" si="45"/>
        <v>0</v>
      </c>
      <c r="AJ79" s="33">
        <f t="shared" si="46"/>
        <v>0</v>
      </c>
      <c r="AK79" s="34">
        <f t="shared" si="47"/>
        <v>0.16901408450704225</v>
      </c>
      <c r="AL79" s="35">
        <f t="shared" si="48"/>
        <v>5.6338028169014086E-2</v>
      </c>
      <c r="AM79" s="34">
        <f t="shared" si="31"/>
        <v>0</v>
      </c>
      <c r="AN79" s="36">
        <f t="shared" si="49"/>
        <v>0</v>
      </c>
      <c r="AO79" s="6">
        <f t="shared" si="32"/>
        <v>0</v>
      </c>
      <c r="AP79">
        <f t="shared" si="33"/>
        <v>8</v>
      </c>
      <c r="AQ79" s="6">
        <f t="shared" si="34"/>
        <v>0</v>
      </c>
      <c r="AR79" s="6">
        <f t="shared" si="35"/>
        <v>0</v>
      </c>
      <c r="AS79" s="6"/>
      <c r="AX79" s="95">
        <f t="shared" si="36"/>
        <v>42202</v>
      </c>
      <c r="AY79" s="96" t="str">
        <f t="shared" si="37"/>
        <v>sex</v>
      </c>
      <c r="AZ79" s="97">
        <f>IF(OR(AY79="SÁB",AY79="DOM"),0,IFERROR(8-VLOOKUP(C79,'Dados de consulta'!$A$2:$C$38,3,0),8))</f>
        <v>8</v>
      </c>
      <c r="BA79" s="97">
        <f>IF(OR(AY79="SÁB",AY79="DOM"),0,IFERROR(8-VLOOKUP(D79,'Dados de consulta'!$A$2:$C$38,3,0),8))</f>
        <v>8</v>
      </c>
      <c r="BB79" s="97">
        <f>IF(OR(AY79="SÁB",AY79="DOM"),0,IFERROR(8-VLOOKUP(E79,'Dados de consulta'!$A$2:$C$38,3,0),8))</f>
        <v>8</v>
      </c>
      <c r="BC79" s="97">
        <f>IF(OR(AY79="SÁB",AY79="DOM"),0,IFERROR(8-VLOOKUP(F79,'Dados de consulta'!$A$2:$C$38,3,0),8))</f>
        <v>0</v>
      </c>
      <c r="BD79" s="97">
        <f>IF(OR(AY79="SÁB",AY79="DOM"),0,IFERROR(8-VLOOKUP(G79,'Dados de consulta'!$A$2:$C$38,3,0),8))</f>
        <v>0</v>
      </c>
      <c r="BE79" s="97">
        <f>IF(OR(AY79="SÁB",AY79="DOM"),0,IFERROR(8-VLOOKUP(H79,'Dados de consulta'!$A$2:$C$38,3,0),8))</f>
        <v>0</v>
      </c>
      <c r="BF79" s="97">
        <f>IF(OR(AY79="SÁB",AY79="DOM"),0,IFERROR(8-VLOOKUP(I79,'Dados de consulta'!$A$2:$C$38,3,0),8))</f>
        <v>0</v>
      </c>
      <c r="BG79" s="97">
        <f>IF(OR(AY79="SÁB",AY79="DOM"),0,IFERROR(8-VLOOKUP(J79,'Dados de consulta'!$A$2:$C$38,3,0),8))</f>
        <v>8</v>
      </c>
      <c r="BH79" s="97">
        <f>IF(OR(AY79="SÁB",AY79="DOM"),0,IFERROR(8-VLOOKUP(K79,'Dados de consulta'!$A$2:$C$38,3,0),8))</f>
        <v>8</v>
      </c>
      <c r="BI79" s="97">
        <f>IF(OR(AY79="SÁB",AY79="DOM"),0,IFERROR(8-VLOOKUP(L79,'Dados de consulta'!$A$2:$C$38,3,0),8))</f>
        <v>8</v>
      </c>
      <c r="BJ79" s="97">
        <f>IF(OR(AY79="SÁB",AY79="DOM"),0,IFERROR(8-VLOOKUP(M79,'Dados de consulta'!$A$2:$C$38,3,0),8))</f>
        <v>0</v>
      </c>
      <c r="BK79" s="97">
        <f>IF(OR(AY79="SÁB",AY79="DOM"),0,IFERROR(8-VLOOKUP(N79,'Dados de consulta'!$A$2:$C$38,3,0),8))</f>
        <v>8</v>
      </c>
      <c r="BL79" s="97">
        <f>IF(OR(AY79="SÁB",AY79="DOM"),0,IFERROR(8-VLOOKUP(O79,'Dados de consulta'!$A$2:$C$38,3,0),8))</f>
        <v>8</v>
      </c>
      <c r="BM79" s="97">
        <f>IF(OR(AY79="SÁB",AY79="DOM"),0,IFERROR(8-VLOOKUP(P79,'Dados de consulta'!$A$2:$C$38,3,0),8))</f>
        <v>8</v>
      </c>
      <c r="BN79" s="97">
        <f>IF(OR(AY79="SÁB",AY79="DOM"),0,IFERROR(8-VLOOKUP(Q79,'Dados de consulta'!$A$2:$C$38,3,0),8))</f>
        <v>8</v>
      </c>
      <c r="BO79" s="97">
        <f>IF(OR(AY79="SÁB",AY79="DOM"),0,IFERROR(8-VLOOKUP(R79,'Dados de consulta'!$A$2:$C$38,3,0),8))</f>
        <v>8</v>
      </c>
      <c r="BP79" s="97">
        <f>IF(OR(AY79="SÁB",AY79="DOM"),0,IFERROR(8-VLOOKUP(S79,'Dados de consulta'!$A$2:$C$38,3,0),8))</f>
        <v>8</v>
      </c>
      <c r="BQ79" s="113">
        <f>IFERROR(6-VLOOKUP(T79,'Dados de consulta'!$A$2:$C$38,3,0)+2,6)</f>
        <v>6</v>
      </c>
      <c r="BR79" s="114">
        <f t="shared" si="50"/>
        <v>102</v>
      </c>
      <c r="BS79">
        <f t="shared" si="26"/>
        <v>134</v>
      </c>
      <c r="BU79">
        <f>IFERROR(8-VLOOKUP(U79,'Dados de consulta'!$A:$D,3,0),8)</f>
        <v>0</v>
      </c>
      <c r="BV79">
        <f>IFERROR(8-VLOOKUP(V79,'Dados de consulta'!$A:$D,3,0),8)</f>
        <v>8</v>
      </c>
      <c r="BW79">
        <f t="shared" si="51"/>
        <v>8</v>
      </c>
    </row>
    <row r="80" spans="1:75" ht="15" hidden="1" x14ac:dyDescent="0.2">
      <c r="A80" s="98">
        <v>42203</v>
      </c>
      <c r="B80" s="129" t="str">
        <f t="shared" si="27"/>
        <v>sáb</v>
      </c>
      <c r="C80" s="132"/>
      <c r="D80" s="132"/>
      <c r="E80" s="132"/>
      <c r="F80" s="132">
        <v>101</v>
      </c>
      <c r="G80" s="132">
        <v>4</v>
      </c>
      <c r="H80" s="132">
        <v>8</v>
      </c>
      <c r="I80" s="132">
        <v>8</v>
      </c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51">
        <v>18</v>
      </c>
      <c r="V80" s="151"/>
      <c r="W80" s="307" t="s">
        <v>193</v>
      </c>
      <c r="X80" s="308"/>
      <c r="Y80" s="38">
        <f t="shared" si="28"/>
        <v>24</v>
      </c>
      <c r="Z80" s="38">
        <f t="shared" si="29"/>
        <v>0</v>
      </c>
      <c r="AA80" s="38">
        <f t="shared" si="30"/>
        <v>0</v>
      </c>
      <c r="AB80" s="38">
        <f t="shared" si="38"/>
        <v>0</v>
      </c>
      <c r="AC80" s="38">
        <f t="shared" si="39"/>
        <v>0</v>
      </c>
      <c r="AD80" s="38">
        <f t="shared" si="40"/>
        <v>0</v>
      </c>
      <c r="AE80" s="38">
        <f t="shared" si="41"/>
        <v>0</v>
      </c>
      <c r="AF80" s="38">
        <f t="shared" si="42"/>
        <v>0</v>
      </c>
      <c r="AG80" s="33">
        <f t="shared" si="43"/>
        <v>0</v>
      </c>
      <c r="AH80" s="33">
        <f t="shared" si="44"/>
        <v>0</v>
      </c>
      <c r="AI80" s="33">
        <f t="shared" si="45"/>
        <v>0</v>
      </c>
      <c r="AJ80" s="33">
        <f t="shared" si="46"/>
        <v>0</v>
      </c>
      <c r="AK80" s="34">
        <f t="shared" si="47"/>
        <v>0</v>
      </c>
      <c r="AL80" s="35">
        <f t="shared" si="48"/>
        <v>0</v>
      </c>
      <c r="AM80" s="34">
        <f t="shared" si="31"/>
        <v>0</v>
      </c>
      <c r="AN80" s="36">
        <f t="shared" si="49"/>
        <v>0</v>
      </c>
      <c r="AO80" s="6">
        <f t="shared" si="32"/>
        <v>0</v>
      </c>
      <c r="AP80">
        <f t="shared" si="33"/>
        <v>8</v>
      </c>
      <c r="AQ80" s="6">
        <f t="shared" si="34"/>
        <v>0</v>
      </c>
      <c r="AR80" s="6">
        <f t="shared" si="35"/>
        <v>0</v>
      </c>
      <c r="AS80" s="6"/>
      <c r="AX80" s="95">
        <f t="shared" si="36"/>
        <v>42203</v>
      </c>
      <c r="AY80" s="96" t="str">
        <f t="shared" si="37"/>
        <v>sáb</v>
      </c>
      <c r="AZ80" s="97">
        <f>IF(OR(AY80="SÁB",AY80="DOM"),0,IFERROR(8-VLOOKUP(C80,'Dados de consulta'!$A$2:$C$38,3,0),8))</f>
        <v>0</v>
      </c>
      <c r="BA80" s="97">
        <f>IF(OR(AY80="SÁB",AY80="DOM"),0,IFERROR(8-VLOOKUP(D80,'Dados de consulta'!$A$2:$C$38,3,0),8))</f>
        <v>0</v>
      </c>
      <c r="BB80" s="97">
        <f>IF(OR(AY80="SÁB",AY80="DOM"),0,IFERROR(8-VLOOKUP(E80,'Dados de consulta'!$A$2:$C$38,3,0),8))</f>
        <v>0</v>
      </c>
      <c r="BC80" s="97">
        <f>IF(OR(AY80="SÁB",AY80="DOM"),0,IFERROR(8-VLOOKUP(F80,'Dados de consulta'!$A$2:$C$38,3,0),8))</f>
        <v>0</v>
      </c>
      <c r="BD80" s="97">
        <f>IF(OR(AY80="SÁB",AY80="DOM"),0,IFERROR(8-VLOOKUP(G80,'Dados de consulta'!$A$2:$C$38,3,0),8))</f>
        <v>0</v>
      </c>
      <c r="BE80" s="97">
        <f>IF(OR(AY80="SÁB",AY80="DOM"),0,IFERROR(8-VLOOKUP(H80,'Dados de consulta'!$A$2:$C$38,3,0),8))</f>
        <v>0</v>
      </c>
      <c r="BF80" s="97">
        <f>IF(OR(AY80="SÁB",AY80="DOM"),0,IFERROR(8-VLOOKUP(I80,'Dados de consulta'!$A$2:$C$38,3,0),8))</f>
        <v>0</v>
      </c>
      <c r="BG80" s="97">
        <f>IF(OR(AY80="SÁB",AY80="DOM"),0,IFERROR(8-VLOOKUP(J80,'Dados de consulta'!$A$2:$C$38,3,0),8))</f>
        <v>0</v>
      </c>
      <c r="BH80" s="97">
        <f>IF(OR(AY80="SÁB",AY80="DOM"),0,IFERROR(8-VLOOKUP(K80,'Dados de consulta'!$A$2:$C$38,3,0),8))</f>
        <v>0</v>
      </c>
      <c r="BI80" s="97">
        <f>IF(OR(AY80="SÁB",AY80="DOM"),0,IFERROR(8-VLOOKUP(L80,'Dados de consulta'!$A$2:$C$38,3,0),8))</f>
        <v>0</v>
      </c>
      <c r="BJ80" s="97">
        <f>IF(OR(AY80="SÁB",AY80="DOM"),0,IFERROR(8-VLOOKUP(M80,'Dados de consulta'!$A$2:$C$38,3,0),8))</f>
        <v>0</v>
      </c>
      <c r="BK80" s="97">
        <f>IF(OR(AY80="SÁB",AY80="DOM"),0,IFERROR(8-VLOOKUP(N80,'Dados de consulta'!$A$2:$C$38,3,0),8))</f>
        <v>0</v>
      </c>
      <c r="BL80" s="97">
        <f>IF(OR(AY80="SÁB",AY80="DOM"),0,IFERROR(8-VLOOKUP(O80,'Dados de consulta'!$A$2:$C$38,3,0),8))</f>
        <v>0</v>
      </c>
      <c r="BM80" s="97">
        <f>IF(OR(AY80="SÁB",AY80="DOM"),0,IFERROR(8-VLOOKUP(P80,'Dados de consulta'!$A$2:$C$38,3,0),8))</f>
        <v>0</v>
      </c>
      <c r="BN80" s="97">
        <f>IF(OR(AY80="SÁB",AY80="DOM"),0,IFERROR(8-VLOOKUP(Q80,'Dados de consulta'!$A$2:$C$38,3,0),8))</f>
        <v>0</v>
      </c>
      <c r="BO80" s="97">
        <f>IF(OR(AY80="SÁB",AY80="DOM"),0,IFERROR(8-VLOOKUP(R80,'Dados de consulta'!$A$2:$C$38,3,0),8))</f>
        <v>0</v>
      </c>
      <c r="BP80" s="97">
        <f>IF(OR(AY80="SÁB",AY80="DOM"),0,IFERROR(8-VLOOKUP(S80,'Dados de consulta'!$A$2:$C$38,3,0),8))</f>
        <v>0</v>
      </c>
      <c r="BQ80" s="113">
        <f>IFERROR(6-VLOOKUP(T80,'Dados de consulta'!$A$2:$C$38,3,0)+2,6)</f>
        <v>6</v>
      </c>
      <c r="BR80" s="114">
        <f t="shared" si="50"/>
        <v>0</v>
      </c>
      <c r="BS80">
        <f t="shared" si="26"/>
        <v>0</v>
      </c>
      <c r="BU80">
        <f>IFERROR(8-VLOOKUP(U80,'Dados de consulta'!$A:$D,3,0),8)</f>
        <v>0</v>
      </c>
      <c r="BV80">
        <f>IFERROR(8-VLOOKUP(V80,'Dados de consulta'!$A:$D,3,0),8)</f>
        <v>8</v>
      </c>
      <c r="BW80">
        <f t="shared" si="51"/>
        <v>8</v>
      </c>
    </row>
    <row r="81" spans="1:75" ht="15" hidden="1" x14ac:dyDescent="0.2">
      <c r="A81" s="98">
        <v>42204</v>
      </c>
      <c r="B81" s="129" t="str">
        <f t="shared" si="27"/>
        <v>dom</v>
      </c>
      <c r="C81" s="132"/>
      <c r="D81" s="132"/>
      <c r="E81" s="132"/>
      <c r="F81" s="132">
        <v>101</v>
      </c>
      <c r="G81" s="132">
        <v>4</v>
      </c>
      <c r="H81" s="132">
        <v>8</v>
      </c>
      <c r="I81" s="132">
        <v>8</v>
      </c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51">
        <v>18</v>
      </c>
      <c r="V81" s="151"/>
      <c r="W81" s="307" t="s">
        <v>193</v>
      </c>
      <c r="X81" s="308"/>
      <c r="Y81" s="38">
        <f t="shared" si="28"/>
        <v>24</v>
      </c>
      <c r="Z81" s="38">
        <f t="shared" si="29"/>
        <v>0</v>
      </c>
      <c r="AA81" s="38">
        <f t="shared" si="30"/>
        <v>0</v>
      </c>
      <c r="AB81" s="38">
        <f t="shared" si="38"/>
        <v>0</v>
      </c>
      <c r="AC81" s="38">
        <f t="shared" si="39"/>
        <v>0</v>
      </c>
      <c r="AD81" s="38">
        <f t="shared" si="40"/>
        <v>0</v>
      </c>
      <c r="AE81" s="38">
        <f t="shared" si="41"/>
        <v>0</v>
      </c>
      <c r="AF81" s="38">
        <f t="shared" si="42"/>
        <v>0</v>
      </c>
      <c r="AG81" s="33">
        <f t="shared" si="43"/>
        <v>0</v>
      </c>
      <c r="AH81" s="33">
        <f t="shared" si="44"/>
        <v>0</v>
      </c>
      <c r="AI81" s="33">
        <f t="shared" si="45"/>
        <v>0</v>
      </c>
      <c r="AJ81" s="33">
        <f t="shared" si="46"/>
        <v>0</v>
      </c>
      <c r="AK81" s="34">
        <f t="shared" si="47"/>
        <v>0</v>
      </c>
      <c r="AL81" s="35">
        <f t="shared" si="48"/>
        <v>0</v>
      </c>
      <c r="AM81" s="34">
        <f t="shared" si="31"/>
        <v>0</v>
      </c>
      <c r="AN81" s="36">
        <f t="shared" si="49"/>
        <v>0</v>
      </c>
      <c r="AO81" s="6">
        <f t="shared" si="32"/>
        <v>0</v>
      </c>
      <c r="AP81">
        <f t="shared" si="33"/>
        <v>8</v>
      </c>
      <c r="AQ81" s="6">
        <f t="shared" si="34"/>
        <v>0</v>
      </c>
      <c r="AR81" s="6">
        <f t="shared" si="35"/>
        <v>0</v>
      </c>
      <c r="AS81" s="6"/>
      <c r="AX81" s="95">
        <f t="shared" si="36"/>
        <v>42204</v>
      </c>
      <c r="AY81" s="96" t="str">
        <f t="shared" si="37"/>
        <v>dom</v>
      </c>
      <c r="AZ81" s="97">
        <f>IF(OR(AY81="SÁB",AY81="DOM"),0,IFERROR(8-VLOOKUP(C81,'Dados de consulta'!$A$2:$C$38,3,0),8))</f>
        <v>0</v>
      </c>
      <c r="BA81" s="97">
        <f>IF(OR(AY81="SÁB",AY81="DOM"),0,IFERROR(8-VLOOKUP(D81,'Dados de consulta'!$A$2:$C$38,3,0),8))</f>
        <v>0</v>
      </c>
      <c r="BB81" s="97">
        <f>IF(OR(AY81="SÁB",AY81="DOM"),0,IFERROR(8-VLOOKUP(E81,'Dados de consulta'!$A$2:$C$38,3,0),8))</f>
        <v>0</v>
      </c>
      <c r="BC81" s="97">
        <f>IF(OR(AY81="SÁB",AY81="DOM"),0,IFERROR(8-VLOOKUP(F81,'Dados de consulta'!$A$2:$C$38,3,0),8))</f>
        <v>0</v>
      </c>
      <c r="BD81" s="97">
        <f>IF(OR(AY81="SÁB",AY81="DOM"),0,IFERROR(8-VLOOKUP(G81,'Dados de consulta'!$A$2:$C$38,3,0),8))</f>
        <v>0</v>
      </c>
      <c r="BE81" s="97">
        <f>IF(OR(AY81="SÁB",AY81="DOM"),0,IFERROR(8-VLOOKUP(H81,'Dados de consulta'!$A$2:$C$38,3,0),8))</f>
        <v>0</v>
      </c>
      <c r="BF81" s="97">
        <f>IF(OR(AY81="SÁB",AY81="DOM"),0,IFERROR(8-VLOOKUP(I81,'Dados de consulta'!$A$2:$C$38,3,0),8))</f>
        <v>0</v>
      </c>
      <c r="BG81" s="97">
        <f>IF(OR(AY81="SÁB",AY81="DOM"),0,IFERROR(8-VLOOKUP(J81,'Dados de consulta'!$A$2:$C$38,3,0),8))</f>
        <v>0</v>
      </c>
      <c r="BH81" s="97">
        <f>IF(OR(AY81="SÁB",AY81="DOM"),0,IFERROR(8-VLOOKUP(K81,'Dados de consulta'!$A$2:$C$38,3,0),8))</f>
        <v>0</v>
      </c>
      <c r="BI81" s="97">
        <f>IF(OR(AY81="SÁB",AY81="DOM"),0,IFERROR(8-VLOOKUP(L81,'Dados de consulta'!$A$2:$C$38,3,0),8))</f>
        <v>0</v>
      </c>
      <c r="BJ81" s="97">
        <f>IF(OR(AY81="SÁB",AY81="DOM"),0,IFERROR(8-VLOOKUP(M81,'Dados de consulta'!$A$2:$C$38,3,0),8))</f>
        <v>0</v>
      </c>
      <c r="BK81" s="97">
        <f>IF(OR(AY81="SÁB",AY81="DOM"),0,IFERROR(8-VLOOKUP(N81,'Dados de consulta'!$A$2:$C$38,3,0),8))</f>
        <v>0</v>
      </c>
      <c r="BL81" s="97">
        <f>IF(OR(AY81="SÁB",AY81="DOM"),0,IFERROR(8-VLOOKUP(O81,'Dados de consulta'!$A$2:$C$38,3,0),8))</f>
        <v>0</v>
      </c>
      <c r="BM81" s="97">
        <f>IF(OR(AY81="SÁB",AY81="DOM"),0,IFERROR(8-VLOOKUP(P81,'Dados de consulta'!$A$2:$C$38,3,0),8))</f>
        <v>0</v>
      </c>
      <c r="BN81" s="97">
        <f>IF(OR(AY81="SÁB",AY81="DOM"),0,IFERROR(8-VLOOKUP(Q81,'Dados de consulta'!$A$2:$C$38,3,0),8))</f>
        <v>0</v>
      </c>
      <c r="BO81" s="97">
        <f>IF(OR(AY81="SÁB",AY81="DOM"),0,IFERROR(8-VLOOKUP(R81,'Dados de consulta'!$A$2:$C$38,3,0),8))</f>
        <v>0</v>
      </c>
      <c r="BP81" s="97">
        <f>IF(OR(AY81="SÁB",AY81="DOM"),0,IFERROR(8-VLOOKUP(S81,'Dados de consulta'!$A$2:$C$38,3,0),8))</f>
        <v>0</v>
      </c>
      <c r="BQ81" s="113">
        <f>IFERROR(6-VLOOKUP(T81,'Dados de consulta'!$A$2:$C$38,3,0)+2,6)</f>
        <v>6</v>
      </c>
      <c r="BR81" s="114">
        <f t="shared" si="50"/>
        <v>0</v>
      </c>
      <c r="BS81">
        <f t="shared" si="26"/>
        <v>0</v>
      </c>
      <c r="BU81">
        <f>IFERROR(8-VLOOKUP(U81,'Dados de consulta'!$A:$D,3,0),8)</f>
        <v>0</v>
      </c>
      <c r="BV81">
        <f>IFERROR(8-VLOOKUP(V81,'Dados de consulta'!$A:$D,3,0),8)</f>
        <v>8</v>
      </c>
      <c r="BW81">
        <f t="shared" si="51"/>
        <v>8</v>
      </c>
    </row>
    <row r="82" spans="1:75" ht="15" hidden="1" x14ac:dyDescent="0.2">
      <c r="A82" s="98">
        <v>42205</v>
      </c>
      <c r="B82" s="129" t="str">
        <f t="shared" si="27"/>
        <v>seg</v>
      </c>
      <c r="C82" s="132"/>
      <c r="D82" s="132"/>
      <c r="E82" s="132"/>
      <c r="F82" s="132">
        <v>101</v>
      </c>
      <c r="G82" s="132">
        <v>4</v>
      </c>
      <c r="H82" s="132">
        <v>8</v>
      </c>
      <c r="I82" s="132">
        <v>8</v>
      </c>
      <c r="J82" s="132"/>
      <c r="K82" s="132">
        <v>1</v>
      </c>
      <c r="L82" s="132"/>
      <c r="M82" s="132"/>
      <c r="N82" s="132"/>
      <c r="O82" s="132"/>
      <c r="P82" s="132"/>
      <c r="Q82" s="132"/>
      <c r="R82" s="132">
        <v>18</v>
      </c>
      <c r="S82" s="132"/>
      <c r="T82" s="132"/>
      <c r="U82" s="151">
        <v>18</v>
      </c>
      <c r="V82" s="151"/>
      <c r="W82" s="307" t="s">
        <v>193</v>
      </c>
      <c r="X82" s="308"/>
      <c r="Y82" s="38">
        <f t="shared" si="28"/>
        <v>24</v>
      </c>
      <c r="Z82" s="38">
        <f t="shared" si="29"/>
        <v>16</v>
      </c>
      <c r="AA82" s="38">
        <f t="shared" si="30"/>
        <v>0</v>
      </c>
      <c r="AB82" s="38">
        <f t="shared" si="38"/>
        <v>0</v>
      </c>
      <c r="AC82" s="38">
        <f t="shared" si="39"/>
        <v>0</v>
      </c>
      <c r="AD82" s="38">
        <f t="shared" si="40"/>
        <v>0</v>
      </c>
      <c r="AE82" s="38">
        <f t="shared" si="41"/>
        <v>0</v>
      </c>
      <c r="AF82" s="38">
        <f t="shared" si="42"/>
        <v>0</v>
      </c>
      <c r="AG82" s="33">
        <f t="shared" si="43"/>
        <v>24</v>
      </c>
      <c r="AH82" s="33">
        <f t="shared" si="44"/>
        <v>16</v>
      </c>
      <c r="AI82" s="33">
        <f t="shared" si="45"/>
        <v>0</v>
      </c>
      <c r="AJ82" s="33">
        <f t="shared" si="46"/>
        <v>0</v>
      </c>
      <c r="AK82" s="34">
        <f t="shared" si="47"/>
        <v>0.16901408450704225</v>
      </c>
      <c r="AL82" s="35">
        <f t="shared" si="48"/>
        <v>0.11267605633802817</v>
      </c>
      <c r="AM82" s="34">
        <f t="shared" si="31"/>
        <v>0</v>
      </c>
      <c r="AN82" s="36">
        <f t="shared" si="49"/>
        <v>0</v>
      </c>
      <c r="AO82" s="6">
        <f t="shared" si="32"/>
        <v>0</v>
      </c>
      <c r="AP82">
        <f t="shared" si="33"/>
        <v>8</v>
      </c>
      <c r="AQ82" s="6">
        <f t="shared" si="34"/>
        <v>0</v>
      </c>
      <c r="AR82" s="6">
        <f t="shared" si="35"/>
        <v>0</v>
      </c>
      <c r="AS82" s="6"/>
      <c r="AX82" s="95">
        <f t="shared" si="36"/>
        <v>42205</v>
      </c>
      <c r="AY82" s="96" t="str">
        <f t="shared" si="37"/>
        <v>seg</v>
      </c>
      <c r="AZ82" s="97">
        <f>IF(OR(AY82="SÁB",AY82="DOM"),0,IFERROR(8-VLOOKUP(C82,'Dados de consulta'!$A$2:$C$38,3,0),8))</f>
        <v>8</v>
      </c>
      <c r="BA82" s="97">
        <f>IF(OR(AY82="SÁB",AY82="DOM"),0,IFERROR(8-VLOOKUP(D82,'Dados de consulta'!$A$2:$C$38,3,0),8))</f>
        <v>8</v>
      </c>
      <c r="BB82" s="97">
        <f>IF(OR(AY82="SÁB",AY82="DOM"),0,IFERROR(8-VLOOKUP(E82,'Dados de consulta'!$A$2:$C$38,3,0),8))</f>
        <v>8</v>
      </c>
      <c r="BC82" s="97">
        <f>IF(OR(AY82="SÁB",AY82="DOM"),0,IFERROR(8-VLOOKUP(F82,'Dados de consulta'!$A$2:$C$38,3,0),8))</f>
        <v>0</v>
      </c>
      <c r="BD82" s="97">
        <f>IF(OR(AY82="SÁB",AY82="DOM"),0,IFERROR(8-VLOOKUP(G82,'Dados de consulta'!$A$2:$C$38,3,0),8))</f>
        <v>0</v>
      </c>
      <c r="BE82" s="97">
        <f>IF(OR(AY82="SÁB",AY82="DOM"),0,IFERROR(8-VLOOKUP(H82,'Dados de consulta'!$A$2:$C$38,3,0),8))</f>
        <v>0</v>
      </c>
      <c r="BF82" s="97">
        <f>IF(OR(AY82="SÁB",AY82="DOM"),0,IFERROR(8-VLOOKUP(I82,'Dados de consulta'!$A$2:$C$38,3,0),8))</f>
        <v>0</v>
      </c>
      <c r="BG82" s="97">
        <f>IF(OR(AY82="SÁB",AY82="DOM"),0,IFERROR(8-VLOOKUP(J82,'Dados de consulta'!$A$2:$C$38,3,0),8))</f>
        <v>8</v>
      </c>
      <c r="BH82" s="97">
        <f>IF(OR(AY82="SÁB",AY82="DOM"),0,IFERROR(8-VLOOKUP(K82,'Dados de consulta'!$A$2:$C$38,3,0),8))</f>
        <v>0</v>
      </c>
      <c r="BI82" s="97">
        <f>IF(OR(AY82="SÁB",AY82="DOM"),0,IFERROR(8-VLOOKUP(L82,'Dados de consulta'!$A$2:$C$38,3,0),8))</f>
        <v>8</v>
      </c>
      <c r="BJ82" s="97">
        <f>IF(OR(AY82="SÁB",AY82="DOM"),0,IFERROR(8-VLOOKUP(M82,'Dados de consulta'!$A$2:$C$38,3,0),8))</f>
        <v>8</v>
      </c>
      <c r="BK82" s="97">
        <f>IF(OR(AY82="SÁB",AY82="DOM"),0,IFERROR(8-VLOOKUP(N82,'Dados de consulta'!$A$2:$C$38,3,0),8))</f>
        <v>8</v>
      </c>
      <c r="BL82" s="97">
        <f>IF(OR(AY82="SÁB",AY82="DOM"),0,IFERROR(8-VLOOKUP(O82,'Dados de consulta'!$A$2:$C$38,3,0),8))</f>
        <v>8</v>
      </c>
      <c r="BM82" s="97">
        <f>IF(OR(AY82="SÁB",AY82="DOM"),0,IFERROR(8-VLOOKUP(P82,'Dados de consulta'!$A$2:$C$38,3,0),8))</f>
        <v>8</v>
      </c>
      <c r="BN82" s="97">
        <f>IF(OR(AY82="SÁB",AY82="DOM"),0,IFERROR(8-VLOOKUP(Q82,'Dados de consulta'!$A$2:$C$38,3,0),8))</f>
        <v>8</v>
      </c>
      <c r="BO82" s="97">
        <f>IF(OR(AY82="SÁB",AY82="DOM"),0,IFERROR(8-VLOOKUP(R82,'Dados de consulta'!$A$2:$C$38,3,0),8))</f>
        <v>0</v>
      </c>
      <c r="BP82" s="97">
        <f>IF(OR(AY82="SÁB",AY82="DOM"),0,IFERROR(8-VLOOKUP(S82,'Dados de consulta'!$A$2:$C$38,3,0),8))</f>
        <v>8</v>
      </c>
      <c r="BQ82" s="113">
        <f>IFERROR(6-VLOOKUP(T82,'Dados de consulta'!$A$2:$C$38,3,0)+2,6)</f>
        <v>6</v>
      </c>
      <c r="BR82" s="114">
        <f t="shared" si="50"/>
        <v>94</v>
      </c>
      <c r="BS82">
        <f t="shared" si="26"/>
        <v>134</v>
      </c>
      <c r="BU82">
        <f>IFERROR(8-VLOOKUP(U82,'Dados de consulta'!$A:$D,3,0),8)</f>
        <v>0</v>
      </c>
      <c r="BV82">
        <f>IFERROR(8-VLOOKUP(V82,'Dados de consulta'!$A:$D,3,0),8)</f>
        <v>8</v>
      </c>
      <c r="BW82">
        <f t="shared" si="51"/>
        <v>8</v>
      </c>
    </row>
    <row r="83" spans="1:75" ht="15" hidden="1" x14ac:dyDescent="0.2">
      <c r="A83" s="98">
        <v>42206</v>
      </c>
      <c r="B83" s="129" t="str">
        <f t="shared" si="27"/>
        <v>ter</v>
      </c>
      <c r="C83" s="132"/>
      <c r="D83" s="132"/>
      <c r="E83" s="132"/>
      <c r="F83" s="132">
        <v>101</v>
      </c>
      <c r="G83" s="132">
        <v>4</v>
      </c>
      <c r="H83" s="132">
        <v>8</v>
      </c>
      <c r="I83" s="132">
        <v>8</v>
      </c>
      <c r="J83" s="132"/>
      <c r="K83" s="132">
        <v>1</v>
      </c>
      <c r="L83" s="132"/>
      <c r="M83" s="132"/>
      <c r="N83" s="132"/>
      <c r="O83" s="132"/>
      <c r="P83" s="132"/>
      <c r="Q83" s="132"/>
      <c r="R83" s="132">
        <v>18</v>
      </c>
      <c r="S83" s="132"/>
      <c r="T83" s="132"/>
      <c r="U83" s="151">
        <v>18</v>
      </c>
      <c r="V83" s="151"/>
      <c r="W83" s="307" t="s">
        <v>193</v>
      </c>
      <c r="X83" s="308"/>
      <c r="Y83" s="38">
        <f t="shared" si="28"/>
        <v>24</v>
      </c>
      <c r="Z83" s="38">
        <f t="shared" si="29"/>
        <v>16</v>
      </c>
      <c r="AA83" s="38">
        <f t="shared" si="30"/>
        <v>0</v>
      </c>
      <c r="AB83" s="38">
        <f t="shared" si="38"/>
        <v>0</v>
      </c>
      <c r="AC83" s="38">
        <f t="shared" si="39"/>
        <v>0</v>
      </c>
      <c r="AD83" s="38">
        <f t="shared" si="40"/>
        <v>0</v>
      </c>
      <c r="AE83" s="38">
        <f t="shared" si="41"/>
        <v>0</v>
      </c>
      <c r="AF83" s="38">
        <f t="shared" si="42"/>
        <v>0</v>
      </c>
      <c r="AG83" s="33">
        <f t="shared" si="43"/>
        <v>24</v>
      </c>
      <c r="AH83" s="33">
        <f t="shared" si="44"/>
        <v>16</v>
      </c>
      <c r="AI83" s="33">
        <f t="shared" si="45"/>
        <v>0</v>
      </c>
      <c r="AJ83" s="33">
        <f t="shared" si="46"/>
        <v>0</v>
      </c>
      <c r="AK83" s="34">
        <f t="shared" si="47"/>
        <v>0.16901408450704225</v>
      </c>
      <c r="AL83" s="35">
        <f t="shared" si="48"/>
        <v>0.11267605633802817</v>
      </c>
      <c r="AM83" s="34">
        <f t="shared" si="31"/>
        <v>0</v>
      </c>
      <c r="AN83" s="36">
        <f t="shared" si="49"/>
        <v>0</v>
      </c>
      <c r="AO83" s="6">
        <f t="shared" si="32"/>
        <v>0</v>
      </c>
      <c r="AP83">
        <f t="shared" si="33"/>
        <v>8</v>
      </c>
      <c r="AQ83" s="6">
        <f t="shared" si="34"/>
        <v>0</v>
      </c>
      <c r="AR83" s="6">
        <f t="shared" si="35"/>
        <v>0</v>
      </c>
      <c r="AS83" s="6"/>
      <c r="AX83" s="95">
        <f t="shared" si="36"/>
        <v>42206</v>
      </c>
      <c r="AY83" s="96" t="str">
        <f t="shared" si="37"/>
        <v>ter</v>
      </c>
      <c r="AZ83" s="97">
        <f>IF(OR(AY83="SÁB",AY83="DOM"),0,IFERROR(8-VLOOKUP(C83,'Dados de consulta'!$A$2:$C$38,3,0),8))</f>
        <v>8</v>
      </c>
      <c r="BA83" s="97">
        <f>IF(OR(AY83="SÁB",AY83="DOM"),0,IFERROR(8-VLOOKUP(D83,'Dados de consulta'!$A$2:$C$38,3,0),8))</f>
        <v>8</v>
      </c>
      <c r="BB83" s="97">
        <f>IF(OR(AY83="SÁB",AY83="DOM"),0,IFERROR(8-VLOOKUP(E83,'Dados de consulta'!$A$2:$C$38,3,0),8))</f>
        <v>8</v>
      </c>
      <c r="BC83" s="97">
        <f>IF(OR(AY83="SÁB",AY83="DOM"),0,IFERROR(8-VLOOKUP(F83,'Dados de consulta'!$A$2:$C$38,3,0),8))</f>
        <v>0</v>
      </c>
      <c r="BD83" s="97">
        <f>IF(OR(AY83="SÁB",AY83="DOM"),0,IFERROR(8-VLOOKUP(G83,'Dados de consulta'!$A$2:$C$38,3,0),8))</f>
        <v>0</v>
      </c>
      <c r="BE83" s="97">
        <f>IF(OR(AY83="SÁB",AY83="DOM"),0,IFERROR(8-VLOOKUP(H83,'Dados de consulta'!$A$2:$C$38,3,0),8))</f>
        <v>0</v>
      </c>
      <c r="BF83" s="97">
        <f>IF(OR(AY83="SÁB",AY83="DOM"),0,IFERROR(8-VLOOKUP(I83,'Dados de consulta'!$A$2:$C$38,3,0),8))</f>
        <v>0</v>
      </c>
      <c r="BG83" s="97">
        <f>IF(OR(AY83="SÁB",AY83="DOM"),0,IFERROR(8-VLOOKUP(J83,'Dados de consulta'!$A$2:$C$38,3,0),8))</f>
        <v>8</v>
      </c>
      <c r="BH83" s="97">
        <f>IF(OR(AY83="SÁB",AY83="DOM"),0,IFERROR(8-VLOOKUP(K83,'Dados de consulta'!$A$2:$C$38,3,0),8))</f>
        <v>0</v>
      </c>
      <c r="BI83" s="97">
        <f>IF(OR(AY83="SÁB",AY83="DOM"),0,IFERROR(8-VLOOKUP(L83,'Dados de consulta'!$A$2:$C$38,3,0),8))</f>
        <v>8</v>
      </c>
      <c r="BJ83" s="97">
        <f>IF(OR(AY83="SÁB",AY83="DOM"),0,IFERROR(8-VLOOKUP(M83,'Dados de consulta'!$A$2:$C$38,3,0),8))</f>
        <v>8</v>
      </c>
      <c r="BK83" s="97">
        <f>IF(OR(AY83="SÁB",AY83="DOM"),0,IFERROR(8-VLOOKUP(N83,'Dados de consulta'!$A$2:$C$38,3,0),8))</f>
        <v>8</v>
      </c>
      <c r="BL83" s="97">
        <f>IF(OR(AY83="SÁB",AY83="DOM"),0,IFERROR(8-VLOOKUP(O83,'Dados de consulta'!$A$2:$C$38,3,0),8))</f>
        <v>8</v>
      </c>
      <c r="BM83" s="97">
        <f>IF(OR(AY83="SÁB",AY83="DOM"),0,IFERROR(8-VLOOKUP(P83,'Dados de consulta'!$A$2:$C$38,3,0),8))</f>
        <v>8</v>
      </c>
      <c r="BN83" s="97">
        <f>IF(OR(AY83="SÁB",AY83="DOM"),0,IFERROR(8-VLOOKUP(Q83,'Dados de consulta'!$A$2:$C$38,3,0),8))</f>
        <v>8</v>
      </c>
      <c r="BO83" s="97">
        <f>IF(OR(AY83="SÁB",AY83="DOM"),0,IFERROR(8-VLOOKUP(R83,'Dados de consulta'!$A$2:$C$38,3,0),8))</f>
        <v>0</v>
      </c>
      <c r="BP83" s="97">
        <f>IF(OR(AY83="SÁB",AY83="DOM"),0,IFERROR(8-VLOOKUP(S83,'Dados de consulta'!$A$2:$C$38,3,0),8))</f>
        <v>8</v>
      </c>
      <c r="BQ83" s="113">
        <f>IFERROR(6-VLOOKUP(T83,'Dados de consulta'!$A$2:$C$38,3,0)+2,6)</f>
        <v>6</v>
      </c>
      <c r="BR83" s="114">
        <f t="shared" si="50"/>
        <v>94</v>
      </c>
      <c r="BS83">
        <f t="shared" si="26"/>
        <v>134</v>
      </c>
      <c r="BU83">
        <f>IFERROR(8-VLOOKUP(U83,'Dados de consulta'!$A:$D,3,0),8)</f>
        <v>0</v>
      </c>
      <c r="BV83">
        <f>IFERROR(8-VLOOKUP(V83,'Dados de consulta'!$A:$D,3,0),8)</f>
        <v>8</v>
      </c>
      <c r="BW83">
        <f t="shared" si="51"/>
        <v>8</v>
      </c>
    </row>
    <row r="84" spans="1:75" ht="15" hidden="1" x14ac:dyDescent="0.2">
      <c r="A84" s="98">
        <v>42207</v>
      </c>
      <c r="B84" s="129" t="str">
        <f t="shared" si="27"/>
        <v>qua</v>
      </c>
      <c r="C84" s="132"/>
      <c r="D84" s="132"/>
      <c r="E84" s="132"/>
      <c r="F84" s="132">
        <v>101</v>
      </c>
      <c r="G84" s="132">
        <v>4</v>
      </c>
      <c r="H84" s="132">
        <v>8</v>
      </c>
      <c r="I84" s="132">
        <v>8</v>
      </c>
      <c r="J84" s="132"/>
      <c r="K84" s="132">
        <v>1</v>
      </c>
      <c r="L84" s="132"/>
      <c r="M84" s="132"/>
      <c r="N84" s="132"/>
      <c r="O84" s="132"/>
      <c r="P84" s="132"/>
      <c r="Q84" s="132"/>
      <c r="R84" s="132">
        <v>18</v>
      </c>
      <c r="S84" s="132"/>
      <c r="T84" s="132"/>
      <c r="U84" s="151">
        <v>18</v>
      </c>
      <c r="V84" s="151"/>
      <c r="W84" s="307" t="s">
        <v>193</v>
      </c>
      <c r="X84" s="308"/>
      <c r="Y84" s="38">
        <f t="shared" si="28"/>
        <v>24</v>
      </c>
      <c r="Z84" s="38">
        <f t="shared" si="29"/>
        <v>16</v>
      </c>
      <c r="AA84" s="38">
        <f t="shared" si="30"/>
        <v>0</v>
      </c>
      <c r="AB84" s="38">
        <f t="shared" si="38"/>
        <v>0</v>
      </c>
      <c r="AC84" s="38">
        <f t="shared" si="39"/>
        <v>0</v>
      </c>
      <c r="AD84" s="38">
        <f t="shared" si="40"/>
        <v>0</v>
      </c>
      <c r="AE84" s="38">
        <f t="shared" si="41"/>
        <v>0</v>
      </c>
      <c r="AF84" s="38">
        <f t="shared" si="42"/>
        <v>0</v>
      </c>
      <c r="AG84" s="33">
        <f t="shared" si="43"/>
        <v>24</v>
      </c>
      <c r="AH84" s="33">
        <f t="shared" si="44"/>
        <v>16</v>
      </c>
      <c r="AI84" s="33">
        <f t="shared" si="45"/>
        <v>0</v>
      </c>
      <c r="AJ84" s="33">
        <f t="shared" si="46"/>
        <v>0</v>
      </c>
      <c r="AK84" s="34">
        <f t="shared" si="47"/>
        <v>0.16901408450704225</v>
      </c>
      <c r="AL84" s="35">
        <f t="shared" si="48"/>
        <v>0.11267605633802817</v>
      </c>
      <c r="AM84" s="34">
        <f t="shared" si="31"/>
        <v>0</v>
      </c>
      <c r="AN84" s="36">
        <f t="shared" si="49"/>
        <v>0</v>
      </c>
      <c r="AO84" s="6">
        <f t="shared" si="32"/>
        <v>0</v>
      </c>
      <c r="AP84">
        <f t="shared" si="33"/>
        <v>8</v>
      </c>
      <c r="AQ84" s="6">
        <f t="shared" si="34"/>
        <v>0</v>
      </c>
      <c r="AR84" s="6">
        <f t="shared" si="35"/>
        <v>0</v>
      </c>
      <c r="AS84" s="6"/>
      <c r="AX84" s="95">
        <f t="shared" si="36"/>
        <v>42207</v>
      </c>
      <c r="AY84" s="96" t="str">
        <f t="shared" si="37"/>
        <v>qua</v>
      </c>
      <c r="AZ84" s="97">
        <f>IF(OR(AY84="SÁB",AY84="DOM"),0,IFERROR(8-VLOOKUP(C84,'Dados de consulta'!$A$2:$C$38,3,0),8))</f>
        <v>8</v>
      </c>
      <c r="BA84" s="97">
        <f>IF(OR(AY84="SÁB",AY84="DOM"),0,IFERROR(8-VLOOKUP(D84,'Dados de consulta'!$A$2:$C$38,3,0),8))</f>
        <v>8</v>
      </c>
      <c r="BB84" s="97">
        <f>IF(OR(AY84="SÁB",AY84="DOM"),0,IFERROR(8-VLOOKUP(E84,'Dados de consulta'!$A$2:$C$38,3,0),8))</f>
        <v>8</v>
      </c>
      <c r="BC84" s="97">
        <f>IF(OR(AY84="SÁB",AY84="DOM"),0,IFERROR(8-VLOOKUP(F84,'Dados de consulta'!$A$2:$C$38,3,0),8))</f>
        <v>0</v>
      </c>
      <c r="BD84" s="97">
        <f>IF(OR(AY84="SÁB",AY84="DOM"),0,IFERROR(8-VLOOKUP(G84,'Dados de consulta'!$A$2:$C$38,3,0),8))</f>
        <v>0</v>
      </c>
      <c r="BE84" s="97">
        <f>IF(OR(AY84="SÁB",AY84="DOM"),0,IFERROR(8-VLOOKUP(H84,'Dados de consulta'!$A$2:$C$38,3,0),8))</f>
        <v>0</v>
      </c>
      <c r="BF84" s="97">
        <f>IF(OR(AY84="SÁB",AY84="DOM"),0,IFERROR(8-VLOOKUP(I84,'Dados de consulta'!$A$2:$C$38,3,0),8))</f>
        <v>0</v>
      </c>
      <c r="BG84" s="97">
        <f>IF(OR(AY84="SÁB",AY84="DOM"),0,IFERROR(8-VLOOKUP(J84,'Dados de consulta'!$A$2:$C$38,3,0),8))</f>
        <v>8</v>
      </c>
      <c r="BH84" s="97">
        <f>IF(OR(AY84="SÁB",AY84="DOM"),0,IFERROR(8-VLOOKUP(K84,'Dados de consulta'!$A$2:$C$38,3,0),8))</f>
        <v>0</v>
      </c>
      <c r="BI84" s="97">
        <f>IF(OR(AY84="SÁB",AY84="DOM"),0,IFERROR(8-VLOOKUP(L84,'Dados de consulta'!$A$2:$C$38,3,0),8))</f>
        <v>8</v>
      </c>
      <c r="BJ84" s="97">
        <f>IF(OR(AY84="SÁB",AY84="DOM"),0,IFERROR(8-VLOOKUP(M84,'Dados de consulta'!$A$2:$C$38,3,0),8))</f>
        <v>8</v>
      </c>
      <c r="BK84" s="97">
        <f>IF(OR(AY84="SÁB",AY84="DOM"),0,IFERROR(8-VLOOKUP(N84,'Dados de consulta'!$A$2:$C$38,3,0),8))</f>
        <v>8</v>
      </c>
      <c r="BL84" s="97">
        <f>IF(OR(AY84="SÁB",AY84="DOM"),0,IFERROR(8-VLOOKUP(O84,'Dados de consulta'!$A$2:$C$38,3,0),8))</f>
        <v>8</v>
      </c>
      <c r="BM84" s="97">
        <f>IF(OR(AY84="SÁB",AY84="DOM"),0,IFERROR(8-VLOOKUP(P84,'Dados de consulta'!$A$2:$C$38,3,0),8))</f>
        <v>8</v>
      </c>
      <c r="BN84" s="97">
        <f>IF(OR(AY84="SÁB",AY84="DOM"),0,IFERROR(8-VLOOKUP(Q84,'Dados de consulta'!$A$2:$C$38,3,0),8))</f>
        <v>8</v>
      </c>
      <c r="BO84" s="97">
        <f>IF(OR(AY84="SÁB",AY84="DOM"),0,IFERROR(8-VLOOKUP(R84,'Dados de consulta'!$A$2:$C$38,3,0),8))</f>
        <v>0</v>
      </c>
      <c r="BP84" s="97">
        <f>IF(OR(AY84="SÁB",AY84="DOM"),0,IFERROR(8-VLOOKUP(S84,'Dados de consulta'!$A$2:$C$38,3,0),8))</f>
        <v>8</v>
      </c>
      <c r="BQ84" s="113">
        <f>IFERROR(6-VLOOKUP(T84,'Dados de consulta'!$A$2:$C$38,3,0)+2,6)</f>
        <v>6</v>
      </c>
      <c r="BR84" s="114">
        <f t="shared" si="50"/>
        <v>94</v>
      </c>
      <c r="BS84">
        <f t="shared" si="26"/>
        <v>134</v>
      </c>
      <c r="BU84">
        <f>IFERROR(8-VLOOKUP(U84,'Dados de consulta'!$A:$D,3,0),8)</f>
        <v>0</v>
      </c>
      <c r="BV84">
        <f>IFERROR(8-VLOOKUP(V84,'Dados de consulta'!$A:$D,3,0),8)</f>
        <v>8</v>
      </c>
      <c r="BW84">
        <f t="shared" si="51"/>
        <v>8</v>
      </c>
    </row>
    <row r="85" spans="1:75" ht="15" hidden="1" x14ac:dyDescent="0.2">
      <c r="A85" s="98">
        <v>42208</v>
      </c>
      <c r="B85" s="129" t="str">
        <f t="shared" si="27"/>
        <v>qui</v>
      </c>
      <c r="C85" s="132"/>
      <c r="D85" s="132"/>
      <c r="E85" s="132"/>
      <c r="F85" s="132">
        <v>101</v>
      </c>
      <c r="G85" s="132">
        <v>4</v>
      </c>
      <c r="H85" s="132">
        <v>8</v>
      </c>
      <c r="I85" s="132">
        <v>8</v>
      </c>
      <c r="J85" s="132"/>
      <c r="K85" s="132">
        <v>1</v>
      </c>
      <c r="L85" s="132"/>
      <c r="M85" s="132"/>
      <c r="N85" s="132"/>
      <c r="O85" s="132"/>
      <c r="P85" s="132"/>
      <c r="Q85" s="132">
        <v>1</v>
      </c>
      <c r="R85" s="132">
        <v>18</v>
      </c>
      <c r="S85" s="132"/>
      <c r="T85" s="132"/>
      <c r="U85" s="151">
        <v>18</v>
      </c>
      <c r="V85" s="151"/>
      <c r="W85" s="307" t="s">
        <v>193</v>
      </c>
      <c r="X85" s="308"/>
      <c r="Y85" s="38">
        <f t="shared" si="28"/>
        <v>24</v>
      </c>
      <c r="Z85" s="38">
        <f t="shared" si="29"/>
        <v>24</v>
      </c>
      <c r="AA85" s="38">
        <f t="shared" si="30"/>
        <v>0</v>
      </c>
      <c r="AB85" s="38">
        <f t="shared" si="38"/>
        <v>0</v>
      </c>
      <c r="AC85" s="38">
        <f t="shared" si="39"/>
        <v>0</v>
      </c>
      <c r="AD85" s="38">
        <f t="shared" si="40"/>
        <v>0</v>
      </c>
      <c r="AE85" s="38">
        <f t="shared" si="41"/>
        <v>0</v>
      </c>
      <c r="AF85" s="38">
        <f t="shared" si="42"/>
        <v>0</v>
      </c>
      <c r="AG85" s="33">
        <f t="shared" si="43"/>
        <v>24</v>
      </c>
      <c r="AH85" s="33">
        <f t="shared" si="44"/>
        <v>24</v>
      </c>
      <c r="AI85" s="33">
        <f t="shared" si="45"/>
        <v>0</v>
      </c>
      <c r="AJ85" s="33">
        <f t="shared" si="46"/>
        <v>0</v>
      </c>
      <c r="AK85" s="34">
        <f t="shared" si="47"/>
        <v>0.16901408450704225</v>
      </c>
      <c r="AL85" s="35">
        <f t="shared" si="48"/>
        <v>0.16901408450704225</v>
      </c>
      <c r="AM85" s="34">
        <f t="shared" si="31"/>
        <v>0</v>
      </c>
      <c r="AN85" s="36">
        <f t="shared" si="49"/>
        <v>0</v>
      </c>
      <c r="AO85" s="6">
        <f t="shared" si="32"/>
        <v>0</v>
      </c>
      <c r="AP85">
        <f t="shared" si="33"/>
        <v>8</v>
      </c>
      <c r="AQ85" s="6">
        <f t="shared" si="34"/>
        <v>0</v>
      </c>
      <c r="AR85" s="6">
        <f t="shared" si="35"/>
        <v>0</v>
      </c>
      <c r="AS85" s="6"/>
      <c r="AX85" s="95">
        <f t="shared" si="36"/>
        <v>42208</v>
      </c>
      <c r="AY85" s="96" t="str">
        <f t="shared" si="37"/>
        <v>qui</v>
      </c>
      <c r="AZ85" s="97">
        <f>IF(OR(AY85="SÁB",AY85="DOM"),0,IFERROR(8-VLOOKUP(C85,'Dados de consulta'!$A$2:$C$38,3,0),8))</f>
        <v>8</v>
      </c>
      <c r="BA85" s="97">
        <f>IF(OR(AY85="SÁB",AY85="DOM"),0,IFERROR(8-VLOOKUP(D85,'Dados de consulta'!$A$2:$C$38,3,0),8))</f>
        <v>8</v>
      </c>
      <c r="BB85" s="97">
        <f>IF(OR(AY85="SÁB",AY85="DOM"),0,IFERROR(8-VLOOKUP(E85,'Dados de consulta'!$A$2:$C$38,3,0),8))</f>
        <v>8</v>
      </c>
      <c r="BC85" s="97">
        <f>IF(OR(AY85="SÁB",AY85="DOM"),0,IFERROR(8-VLOOKUP(F85,'Dados de consulta'!$A$2:$C$38,3,0),8))</f>
        <v>0</v>
      </c>
      <c r="BD85" s="97">
        <f>IF(OR(AY85="SÁB",AY85="DOM"),0,IFERROR(8-VLOOKUP(G85,'Dados de consulta'!$A$2:$C$38,3,0),8))</f>
        <v>0</v>
      </c>
      <c r="BE85" s="97">
        <f>IF(OR(AY85="SÁB",AY85="DOM"),0,IFERROR(8-VLOOKUP(H85,'Dados de consulta'!$A$2:$C$38,3,0),8))</f>
        <v>0</v>
      </c>
      <c r="BF85" s="97">
        <f>IF(OR(AY85="SÁB",AY85="DOM"),0,IFERROR(8-VLOOKUP(I85,'Dados de consulta'!$A$2:$C$38,3,0),8))</f>
        <v>0</v>
      </c>
      <c r="BG85" s="97">
        <f>IF(OR(AY85="SÁB",AY85="DOM"),0,IFERROR(8-VLOOKUP(J85,'Dados de consulta'!$A$2:$C$38,3,0),8))</f>
        <v>8</v>
      </c>
      <c r="BH85" s="97">
        <f>IF(OR(AY85="SÁB",AY85="DOM"),0,IFERROR(8-VLOOKUP(K85,'Dados de consulta'!$A$2:$C$38,3,0),8))</f>
        <v>0</v>
      </c>
      <c r="BI85" s="97">
        <f>IF(OR(AY85="SÁB",AY85="DOM"),0,IFERROR(8-VLOOKUP(L85,'Dados de consulta'!$A$2:$C$38,3,0),8))</f>
        <v>8</v>
      </c>
      <c r="BJ85" s="97">
        <f>IF(OR(AY85="SÁB",AY85="DOM"),0,IFERROR(8-VLOOKUP(M85,'Dados de consulta'!$A$2:$C$38,3,0),8))</f>
        <v>8</v>
      </c>
      <c r="BK85" s="97">
        <f>IF(OR(AY85="SÁB",AY85="DOM"),0,IFERROR(8-VLOOKUP(N85,'Dados de consulta'!$A$2:$C$38,3,0),8))</f>
        <v>8</v>
      </c>
      <c r="BL85" s="97">
        <f>IF(OR(AY85="SÁB",AY85="DOM"),0,IFERROR(8-VLOOKUP(O85,'Dados de consulta'!$A$2:$C$38,3,0),8))</f>
        <v>8</v>
      </c>
      <c r="BM85" s="97">
        <f>IF(OR(AY85="SÁB",AY85="DOM"),0,IFERROR(8-VLOOKUP(P85,'Dados de consulta'!$A$2:$C$38,3,0),8))</f>
        <v>8</v>
      </c>
      <c r="BN85" s="97">
        <f>IF(OR(AY85="SÁB",AY85="DOM"),0,IFERROR(8-VLOOKUP(Q85,'Dados de consulta'!$A$2:$C$38,3,0),8))</f>
        <v>0</v>
      </c>
      <c r="BO85" s="97">
        <f>IF(OR(AY85="SÁB",AY85="DOM"),0,IFERROR(8-VLOOKUP(R85,'Dados de consulta'!$A$2:$C$38,3,0),8))</f>
        <v>0</v>
      </c>
      <c r="BP85" s="97">
        <f>IF(OR(AY85="SÁB",AY85="DOM"),0,IFERROR(8-VLOOKUP(S85,'Dados de consulta'!$A$2:$C$38,3,0),8))</f>
        <v>8</v>
      </c>
      <c r="BQ85" s="113">
        <f>IFERROR(6-VLOOKUP(T85,'Dados de consulta'!$A$2:$C$38,3,0)+2,6)</f>
        <v>6</v>
      </c>
      <c r="BR85" s="114">
        <f t="shared" si="50"/>
        <v>86</v>
      </c>
      <c r="BS85">
        <f t="shared" si="26"/>
        <v>134</v>
      </c>
      <c r="BU85">
        <f>IFERROR(8-VLOOKUP(U85,'Dados de consulta'!$A:$D,3,0),8)</f>
        <v>0</v>
      </c>
      <c r="BV85">
        <f>IFERROR(8-VLOOKUP(V85,'Dados de consulta'!$A:$D,3,0),8)</f>
        <v>8</v>
      </c>
      <c r="BW85">
        <f t="shared" si="51"/>
        <v>8</v>
      </c>
    </row>
    <row r="86" spans="1:75" ht="15" hidden="1" x14ac:dyDescent="0.2">
      <c r="A86" s="98">
        <v>42209</v>
      </c>
      <c r="B86" s="129" t="str">
        <f t="shared" si="27"/>
        <v>sex</v>
      </c>
      <c r="C86" s="132"/>
      <c r="D86" s="132"/>
      <c r="E86" s="132"/>
      <c r="F86" s="132">
        <v>101</v>
      </c>
      <c r="G86" s="132">
        <v>4</v>
      </c>
      <c r="H86" s="132">
        <v>8</v>
      </c>
      <c r="I86" s="132">
        <v>8</v>
      </c>
      <c r="J86" s="132"/>
      <c r="K86" s="132">
        <v>1</v>
      </c>
      <c r="L86" s="132"/>
      <c r="M86" s="132"/>
      <c r="N86" s="132">
        <v>1</v>
      </c>
      <c r="O86" s="132"/>
      <c r="P86" s="132"/>
      <c r="Q86" s="132">
        <v>1</v>
      </c>
      <c r="R86" s="132">
        <v>18</v>
      </c>
      <c r="S86" s="132"/>
      <c r="T86" s="132"/>
      <c r="U86" s="151">
        <v>18</v>
      </c>
      <c r="V86" s="151"/>
      <c r="W86" s="307" t="s">
        <v>193</v>
      </c>
      <c r="X86" s="308"/>
      <c r="Y86" s="38">
        <f t="shared" si="28"/>
        <v>24</v>
      </c>
      <c r="Z86" s="38">
        <f t="shared" si="29"/>
        <v>32</v>
      </c>
      <c r="AA86" s="38">
        <f t="shared" si="30"/>
        <v>0</v>
      </c>
      <c r="AB86" s="38">
        <f t="shared" si="38"/>
        <v>0</v>
      </c>
      <c r="AC86" s="38">
        <f t="shared" si="39"/>
        <v>0</v>
      </c>
      <c r="AD86" s="38">
        <f t="shared" si="40"/>
        <v>0</v>
      </c>
      <c r="AE86" s="38">
        <f t="shared" si="41"/>
        <v>0</v>
      </c>
      <c r="AF86" s="38">
        <f t="shared" si="42"/>
        <v>0</v>
      </c>
      <c r="AG86" s="33">
        <f t="shared" si="43"/>
        <v>24</v>
      </c>
      <c r="AH86" s="33">
        <f t="shared" si="44"/>
        <v>32</v>
      </c>
      <c r="AI86" s="33">
        <f t="shared" si="45"/>
        <v>0</v>
      </c>
      <c r="AJ86" s="33">
        <f t="shared" si="46"/>
        <v>0</v>
      </c>
      <c r="AK86" s="34">
        <f t="shared" si="47"/>
        <v>0.16901408450704225</v>
      </c>
      <c r="AL86" s="35">
        <f t="shared" si="48"/>
        <v>0.22535211267605634</v>
      </c>
      <c r="AM86" s="34">
        <f t="shared" si="31"/>
        <v>0</v>
      </c>
      <c r="AN86" s="36">
        <f t="shared" si="49"/>
        <v>0</v>
      </c>
      <c r="AO86" s="6">
        <f t="shared" si="32"/>
        <v>0</v>
      </c>
      <c r="AP86">
        <f t="shared" si="33"/>
        <v>8</v>
      </c>
      <c r="AQ86" s="6">
        <f t="shared" si="34"/>
        <v>0</v>
      </c>
      <c r="AR86" s="6">
        <f t="shared" si="35"/>
        <v>0</v>
      </c>
      <c r="AS86" s="6"/>
      <c r="AX86" s="95">
        <f t="shared" si="36"/>
        <v>42209</v>
      </c>
      <c r="AY86" s="96" t="str">
        <f t="shared" si="37"/>
        <v>sex</v>
      </c>
      <c r="AZ86" s="97">
        <f>IF(OR(AY86="SÁB",AY86="DOM"),0,IFERROR(8-VLOOKUP(C86,'Dados de consulta'!$A$2:$C$38,3,0),8))</f>
        <v>8</v>
      </c>
      <c r="BA86" s="97">
        <f>IF(OR(AY86="SÁB",AY86="DOM"),0,IFERROR(8-VLOOKUP(D86,'Dados de consulta'!$A$2:$C$38,3,0),8))</f>
        <v>8</v>
      </c>
      <c r="BB86" s="97">
        <f>IF(OR(AY86="SÁB",AY86="DOM"),0,IFERROR(8-VLOOKUP(E86,'Dados de consulta'!$A$2:$C$38,3,0),8))</f>
        <v>8</v>
      </c>
      <c r="BC86" s="97">
        <f>IF(OR(AY86="SÁB",AY86="DOM"),0,IFERROR(8-VLOOKUP(F86,'Dados de consulta'!$A$2:$C$38,3,0),8))</f>
        <v>0</v>
      </c>
      <c r="BD86" s="97">
        <f>IF(OR(AY86="SÁB",AY86="DOM"),0,IFERROR(8-VLOOKUP(G86,'Dados de consulta'!$A$2:$C$38,3,0),8))</f>
        <v>0</v>
      </c>
      <c r="BE86" s="97">
        <f>IF(OR(AY86="SÁB",AY86="DOM"),0,IFERROR(8-VLOOKUP(H86,'Dados de consulta'!$A$2:$C$38,3,0),8))</f>
        <v>0</v>
      </c>
      <c r="BF86" s="97">
        <f>IF(OR(AY86="SÁB",AY86="DOM"),0,IFERROR(8-VLOOKUP(I86,'Dados de consulta'!$A$2:$C$38,3,0),8))</f>
        <v>0</v>
      </c>
      <c r="BG86" s="97">
        <f>IF(OR(AY86="SÁB",AY86="DOM"),0,IFERROR(8-VLOOKUP(J86,'Dados de consulta'!$A$2:$C$38,3,0),8))</f>
        <v>8</v>
      </c>
      <c r="BH86" s="97">
        <f>IF(OR(AY86="SÁB",AY86="DOM"),0,IFERROR(8-VLOOKUP(K86,'Dados de consulta'!$A$2:$C$38,3,0),8))</f>
        <v>0</v>
      </c>
      <c r="BI86" s="97">
        <f>IF(OR(AY86="SÁB",AY86="DOM"),0,IFERROR(8-VLOOKUP(L86,'Dados de consulta'!$A$2:$C$38,3,0),8))</f>
        <v>8</v>
      </c>
      <c r="BJ86" s="97">
        <f>IF(OR(AY86="SÁB",AY86="DOM"),0,IFERROR(8-VLOOKUP(M86,'Dados de consulta'!$A$2:$C$38,3,0),8))</f>
        <v>8</v>
      </c>
      <c r="BK86" s="97">
        <f>IF(OR(AY86="SÁB",AY86="DOM"),0,IFERROR(8-VLOOKUP(N86,'Dados de consulta'!$A$2:$C$38,3,0),8))</f>
        <v>0</v>
      </c>
      <c r="BL86" s="97">
        <f>IF(OR(AY86="SÁB",AY86="DOM"),0,IFERROR(8-VLOOKUP(O86,'Dados de consulta'!$A$2:$C$38,3,0),8))</f>
        <v>8</v>
      </c>
      <c r="BM86" s="97">
        <f>IF(OR(AY86="SÁB",AY86="DOM"),0,IFERROR(8-VLOOKUP(P86,'Dados de consulta'!$A$2:$C$38,3,0),8))</f>
        <v>8</v>
      </c>
      <c r="BN86" s="97">
        <f>IF(OR(AY86="SÁB",AY86="DOM"),0,IFERROR(8-VLOOKUP(Q86,'Dados de consulta'!$A$2:$C$38,3,0),8))</f>
        <v>0</v>
      </c>
      <c r="BO86" s="97">
        <f>IF(OR(AY86="SÁB",AY86="DOM"),0,IFERROR(8-VLOOKUP(R86,'Dados de consulta'!$A$2:$C$38,3,0),8))</f>
        <v>0</v>
      </c>
      <c r="BP86" s="97">
        <f>IF(OR(AY86="SÁB",AY86="DOM"),0,IFERROR(8-VLOOKUP(S86,'Dados de consulta'!$A$2:$C$38,3,0),8))</f>
        <v>8</v>
      </c>
      <c r="BQ86" s="113">
        <f>IFERROR(6-VLOOKUP(T86,'Dados de consulta'!$A$2:$C$38,3,0)+2,6)</f>
        <v>6</v>
      </c>
      <c r="BR86" s="114">
        <f t="shared" si="50"/>
        <v>78</v>
      </c>
      <c r="BS86">
        <f t="shared" si="26"/>
        <v>134</v>
      </c>
      <c r="BU86">
        <f>IFERROR(8-VLOOKUP(U86,'Dados de consulta'!$A:$D,3,0),8)</f>
        <v>0</v>
      </c>
      <c r="BV86">
        <f>IFERROR(8-VLOOKUP(V86,'Dados de consulta'!$A:$D,3,0),8)</f>
        <v>8</v>
      </c>
      <c r="BW86">
        <f t="shared" si="51"/>
        <v>8</v>
      </c>
    </row>
    <row r="87" spans="1:75" ht="15" hidden="1" x14ac:dyDescent="0.2">
      <c r="A87" s="98">
        <v>42210</v>
      </c>
      <c r="B87" s="129" t="str">
        <f t="shared" si="27"/>
        <v>sáb</v>
      </c>
      <c r="C87" s="132"/>
      <c r="D87" s="132"/>
      <c r="E87" s="132"/>
      <c r="F87" s="132">
        <v>101</v>
      </c>
      <c r="G87" s="132">
        <v>4</v>
      </c>
      <c r="H87" s="132">
        <v>8</v>
      </c>
      <c r="I87" s="132">
        <v>8</v>
      </c>
      <c r="J87" s="132"/>
      <c r="K87" s="132"/>
      <c r="L87" s="132"/>
      <c r="M87" s="132"/>
      <c r="N87" s="132"/>
      <c r="O87" s="132"/>
      <c r="P87" s="132"/>
      <c r="Q87" s="132"/>
      <c r="R87" s="132">
        <v>18</v>
      </c>
      <c r="S87" s="132"/>
      <c r="T87" s="132"/>
      <c r="U87" s="151">
        <v>18</v>
      </c>
      <c r="V87" s="151"/>
      <c r="W87" s="307" t="s">
        <v>193</v>
      </c>
      <c r="X87" s="308"/>
      <c r="Y87" s="38">
        <f t="shared" si="28"/>
        <v>24</v>
      </c>
      <c r="Z87" s="38">
        <f t="shared" si="29"/>
        <v>8</v>
      </c>
      <c r="AA87" s="38">
        <f t="shared" si="30"/>
        <v>0</v>
      </c>
      <c r="AB87" s="38">
        <f t="shared" si="38"/>
        <v>0</v>
      </c>
      <c r="AC87" s="38">
        <f t="shared" si="39"/>
        <v>0</v>
      </c>
      <c r="AD87" s="38">
        <f t="shared" si="40"/>
        <v>0</v>
      </c>
      <c r="AE87" s="38">
        <f t="shared" si="41"/>
        <v>0</v>
      </c>
      <c r="AF87" s="38">
        <f t="shared" si="42"/>
        <v>0</v>
      </c>
      <c r="AG87" s="33">
        <f t="shared" si="43"/>
        <v>0</v>
      </c>
      <c r="AH87" s="33">
        <f t="shared" si="44"/>
        <v>0</v>
      </c>
      <c r="AI87" s="33">
        <f t="shared" si="45"/>
        <v>0</v>
      </c>
      <c r="AJ87" s="33">
        <f t="shared" si="46"/>
        <v>0</v>
      </c>
      <c r="AK87" s="34">
        <f t="shared" si="47"/>
        <v>0</v>
      </c>
      <c r="AL87" s="35">
        <f t="shared" si="48"/>
        <v>0</v>
      </c>
      <c r="AM87" s="34">
        <f t="shared" si="31"/>
        <v>0</v>
      </c>
      <c r="AN87" s="36">
        <f t="shared" si="49"/>
        <v>0</v>
      </c>
      <c r="AO87" s="6">
        <f t="shared" si="32"/>
        <v>0</v>
      </c>
      <c r="AP87">
        <f t="shared" si="33"/>
        <v>8</v>
      </c>
      <c r="AQ87" s="6">
        <f t="shared" si="34"/>
        <v>0</v>
      </c>
      <c r="AR87" s="6">
        <f t="shared" si="35"/>
        <v>0</v>
      </c>
      <c r="AS87" s="6"/>
      <c r="AX87" s="95">
        <f t="shared" si="36"/>
        <v>42210</v>
      </c>
      <c r="AY87" s="96" t="str">
        <f t="shared" si="37"/>
        <v>sáb</v>
      </c>
      <c r="AZ87" s="97">
        <f>IF(OR(AY87="SÁB",AY87="DOM"),0,IFERROR(8-VLOOKUP(C87,'Dados de consulta'!$A$2:$C$38,3,0),8))</f>
        <v>0</v>
      </c>
      <c r="BA87" s="97">
        <f>IF(OR(AY87="SÁB",AY87="DOM"),0,IFERROR(8-VLOOKUP(D87,'Dados de consulta'!$A$2:$C$38,3,0),8))</f>
        <v>0</v>
      </c>
      <c r="BB87" s="97">
        <f>IF(OR(AY87="SÁB",AY87="DOM"),0,IFERROR(8-VLOOKUP(E87,'Dados de consulta'!$A$2:$C$38,3,0),8))</f>
        <v>0</v>
      </c>
      <c r="BC87" s="97">
        <f>IF(OR(AY87="SÁB",AY87="DOM"),0,IFERROR(8-VLOOKUP(F87,'Dados de consulta'!$A$2:$C$38,3,0),8))</f>
        <v>0</v>
      </c>
      <c r="BD87" s="97">
        <f>IF(OR(AY87="SÁB",AY87="DOM"),0,IFERROR(8-VLOOKUP(G87,'Dados de consulta'!$A$2:$C$38,3,0),8))</f>
        <v>0</v>
      </c>
      <c r="BE87" s="97">
        <f>IF(OR(AY87="SÁB",AY87="DOM"),0,IFERROR(8-VLOOKUP(H87,'Dados de consulta'!$A$2:$C$38,3,0),8))</f>
        <v>0</v>
      </c>
      <c r="BF87" s="97">
        <f>IF(OR(AY87="SÁB",AY87="DOM"),0,IFERROR(8-VLOOKUP(I87,'Dados de consulta'!$A$2:$C$38,3,0),8))</f>
        <v>0</v>
      </c>
      <c r="BG87" s="97">
        <f>IF(OR(AY87="SÁB",AY87="DOM"),0,IFERROR(8-VLOOKUP(J87,'Dados de consulta'!$A$2:$C$38,3,0),8))</f>
        <v>0</v>
      </c>
      <c r="BH87" s="97">
        <f>IF(OR(AY87="SÁB",AY87="DOM"),0,IFERROR(8-VLOOKUP(K87,'Dados de consulta'!$A$2:$C$38,3,0),8))</f>
        <v>0</v>
      </c>
      <c r="BI87" s="97">
        <f>IF(OR(AY87="SÁB",AY87="DOM"),0,IFERROR(8-VLOOKUP(L87,'Dados de consulta'!$A$2:$C$38,3,0),8))</f>
        <v>0</v>
      </c>
      <c r="BJ87" s="97">
        <f>IF(OR(AY87="SÁB",AY87="DOM"),0,IFERROR(8-VLOOKUP(M87,'Dados de consulta'!$A$2:$C$38,3,0),8))</f>
        <v>0</v>
      </c>
      <c r="BK87" s="97">
        <f>IF(OR(AY87="SÁB",AY87="DOM"),0,IFERROR(8-VLOOKUP(N87,'Dados de consulta'!$A$2:$C$38,3,0),8))</f>
        <v>0</v>
      </c>
      <c r="BL87" s="97">
        <f>IF(OR(AY87="SÁB",AY87="DOM"),0,IFERROR(8-VLOOKUP(O87,'Dados de consulta'!$A$2:$C$38,3,0),8))</f>
        <v>0</v>
      </c>
      <c r="BM87" s="97">
        <f>IF(OR(AY87="SÁB",AY87="DOM"),0,IFERROR(8-VLOOKUP(P87,'Dados de consulta'!$A$2:$C$38,3,0),8))</f>
        <v>0</v>
      </c>
      <c r="BN87" s="97">
        <f>IF(OR(AY87="SÁB",AY87="DOM"),0,IFERROR(8-VLOOKUP(Q87,'Dados de consulta'!$A$2:$C$38,3,0),8))</f>
        <v>0</v>
      </c>
      <c r="BO87" s="97">
        <f>IF(OR(AY87="SÁB",AY87="DOM"),0,IFERROR(8-VLOOKUP(R87,'Dados de consulta'!$A$2:$C$38,3,0),8))</f>
        <v>0</v>
      </c>
      <c r="BP87" s="97">
        <f>IF(OR(AY87="SÁB",AY87="DOM"),0,IFERROR(8-VLOOKUP(S87,'Dados de consulta'!$A$2:$C$38,3,0),8))</f>
        <v>0</v>
      </c>
      <c r="BQ87" s="113">
        <f>IFERROR(6-VLOOKUP(T87,'Dados de consulta'!$A$2:$C$38,3,0)+2,6)</f>
        <v>6</v>
      </c>
      <c r="BR87" s="114">
        <f t="shared" si="50"/>
        <v>0</v>
      </c>
      <c r="BS87">
        <f t="shared" si="26"/>
        <v>0</v>
      </c>
      <c r="BU87">
        <f>IFERROR(8-VLOOKUP(U87,'Dados de consulta'!$A:$D,3,0),8)</f>
        <v>0</v>
      </c>
      <c r="BV87">
        <f>IFERROR(8-VLOOKUP(V87,'Dados de consulta'!$A:$D,3,0),8)</f>
        <v>8</v>
      </c>
      <c r="BW87">
        <f t="shared" si="51"/>
        <v>8</v>
      </c>
    </row>
    <row r="88" spans="1:75" ht="15" hidden="1" x14ac:dyDescent="0.2">
      <c r="A88" s="98">
        <v>42211</v>
      </c>
      <c r="B88" s="129" t="str">
        <f t="shared" si="27"/>
        <v>dom</v>
      </c>
      <c r="C88" s="132"/>
      <c r="D88" s="132"/>
      <c r="E88" s="132"/>
      <c r="F88" s="132">
        <v>101</v>
      </c>
      <c r="G88" s="132">
        <v>4</v>
      </c>
      <c r="H88" s="132">
        <v>8</v>
      </c>
      <c r="I88" s="132">
        <v>8</v>
      </c>
      <c r="J88" s="132"/>
      <c r="K88" s="132"/>
      <c r="L88" s="132"/>
      <c r="M88" s="132"/>
      <c r="N88" s="132"/>
      <c r="O88" s="132"/>
      <c r="P88" s="132"/>
      <c r="Q88" s="132"/>
      <c r="R88" s="132">
        <v>18</v>
      </c>
      <c r="S88" s="132"/>
      <c r="T88" s="132"/>
      <c r="U88" s="151"/>
      <c r="V88" s="151"/>
      <c r="W88" s="307" t="s">
        <v>193</v>
      </c>
      <c r="X88" s="308"/>
      <c r="Y88" s="38">
        <f t="shared" si="28"/>
        <v>24</v>
      </c>
      <c r="Z88" s="38">
        <f t="shared" si="29"/>
        <v>8</v>
      </c>
      <c r="AA88" s="38">
        <f t="shared" si="30"/>
        <v>0</v>
      </c>
      <c r="AB88" s="38">
        <f t="shared" si="38"/>
        <v>0</v>
      </c>
      <c r="AC88" s="38">
        <f t="shared" si="39"/>
        <v>0</v>
      </c>
      <c r="AD88" s="38">
        <f t="shared" si="40"/>
        <v>0</v>
      </c>
      <c r="AE88" s="38">
        <f t="shared" si="41"/>
        <v>0</v>
      </c>
      <c r="AF88" s="38">
        <f t="shared" si="42"/>
        <v>0</v>
      </c>
      <c r="AG88" s="33">
        <f t="shared" si="43"/>
        <v>0</v>
      </c>
      <c r="AH88" s="33">
        <f t="shared" si="44"/>
        <v>0</v>
      </c>
      <c r="AI88" s="33">
        <f t="shared" si="45"/>
        <v>0</v>
      </c>
      <c r="AJ88" s="33">
        <f t="shared" si="46"/>
        <v>0</v>
      </c>
      <c r="AK88" s="34">
        <f t="shared" si="47"/>
        <v>0</v>
      </c>
      <c r="AL88" s="35">
        <f t="shared" si="48"/>
        <v>0</v>
      </c>
      <c r="AM88" s="34">
        <f t="shared" si="31"/>
        <v>0</v>
      </c>
      <c r="AN88" s="36">
        <f t="shared" si="49"/>
        <v>0</v>
      </c>
      <c r="AO88" s="6">
        <f t="shared" si="32"/>
        <v>0</v>
      </c>
      <c r="AP88">
        <f t="shared" si="33"/>
        <v>8</v>
      </c>
      <c r="AQ88" s="6">
        <f t="shared" si="34"/>
        <v>0</v>
      </c>
      <c r="AR88" s="6">
        <f t="shared" si="35"/>
        <v>0</v>
      </c>
      <c r="AS88" s="6"/>
      <c r="AX88" s="95">
        <f t="shared" si="36"/>
        <v>42211</v>
      </c>
      <c r="AY88" s="96" t="str">
        <f t="shared" si="37"/>
        <v>dom</v>
      </c>
      <c r="AZ88" s="97">
        <f>IF(OR(AY88="SÁB",AY88="DOM"),0,IFERROR(8-VLOOKUP(C88,'Dados de consulta'!$A$2:$C$38,3,0),8))</f>
        <v>0</v>
      </c>
      <c r="BA88" s="97">
        <f>IF(OR(AY88="SÁB",AY88="DOM"),0,IFERROR(8-VLOOKUP(D88,'Dados de consulta'!$A$2:$C$38,3,0),8))</f>
        <v>0</v>
      </c>
      <c r="BB88" s="97">
        <f>IF(OR(AY88="SÁB",AY88="DOM"),0,IFERROR(8-VLOOKUP(E88,'Dados de consulta'!$A$2:$C$38,3,0),8))</f>
        <v>0</v>
      </c>
      <c r="BC88" s="97">
        <f>IF(OR(AY88="SÁB",AY88="DOM"),0,IFERROR(8-VLOOKUP(F88,'Dados de consulta'!$A$2:$C$38,3,0),8))</f>
        <v>0</v>
      </c>
      <c r="BD88" s="97">
        <f>IF(OR(AY88="SÁB",AY88="DOM"),0,IFERROR(8-VLOOKUP(G88,'Dados de consulta'!$A$2:$C$38,3,0),8))</f>
        <v>0</v>
      </c>
      <c r="BE88" s="97">
        <f>IF(OR(AY88="SÁB",AY88="DOM"),0,IFERROR(8-VLOOKUP(H88,'Dados de consulta'!$A$2:$C$38,3,0),8))</f>
        <v>0</v>
      </c>
      <c r="BF88" s="97">
        <f>IF(OR(AY88="SÁB",AY88="DOM"),0,IFERROR(8-VLOOKUP(I88,'Dados de consulta'!$A$2:$C$38,3,0),8))</f>
        <v>0</v>
      </c>
      <c r="BG88" s="97">
        <f>IF(OR(AY88="SÁB",AY88="DOM"),0,IFERROR(8-VLOOKUP(J88,'Dados de consulta'!$A$2:$C$38,3,0),8))</f>
        <v>0</v>
      </c>
      <c r="BH88" s="97">
        <f>IF(OR(AY88="SÁB",AY88="DOM"),0,IFERROR(8-VLOOKUP(K88,'Dados de consulta'!$A$2:$C$38,3,0),8))</f>
        <v>0</v>
      </c>
      <c r="BI88" s="97">
        <f>IF(OR(AY88="SÁB",AY88="DOM"),0,IFERROR(8-VLOOKUP(L88,'Dados de consulta'!$A$2:$C$38,3,0),8))</f>
        <v>0</v>
      </c>
      <c r="BJ88" s="97">
        <f>IF(OR(AY88="SÁB",AY88="DOM"),0,IFERROR(8-VLOOKUP(M88,'Dados de consulta'!$A$2:$C$38,3,0),8))</f>
        <v>0</v>
      </c>
      <c r="BK88" s="97">
        <f>IF(OR(AY88="SÁB",AY88="DOM"),0,IFERROR(8-VLOOKUP(N88,'Dados de consulta'!$A$2:$C$38,3,0),8))</f>
        <v>0</v>
      </c>
      <c r="BL88" s="97">
        <f>IF(OR(AY88="SÁB",AY88="DOM"),0,IFERROR(8-VLOOKUP(O88,'Dados de consulta'!$A$2:$C$38,3,0),8))</f>
        <v>0</v>
      </c>
      <c r="BM88" s="97">
        <f>IF(OR(AY88="SÁB",AY88="DOM"),0,IFERROR(8-VLOOKUP(P88,'Dados de consulta'!$A$2:$C$38,3,0),8))</f>
        <v>0</v>
      </c>
      <c r="BN88" s="97">
        <f>IF(OR(AY88="SÁB",AY88="DOM"),0,IFERROR(8-VLOOKUP(Q88,'Dados de consulta'!$A$2:$C$38,3,0),8))</f>
        <v>0</v>
      </c>
      <c r="BO88" s="97">
        <f>IF(OR(AY88="SÁB",AY88="DOM"),0,IFERROR(8-VLOOKUP(R88,'Dados de consulta'!$A$2:$C$38,3,0),8))</f>
        <v>0</v>
      </c>
      <c r="BP88" s="97">
        <f>IF(OR(AY88="SÁB",AY88="DOM"),0,IFERROR(8-VLOOKUP(S88,'Dados de consulta'!$A$2:$C$38,3,0),8))</f>
        <v>0</v>
      </c>
      <c r="BQ88" s="113">
        <f>IFERROR(6-VLOOKUP(T88,'Dados de consulta'!$A$2:$C$38,3,0)+2,6)</f>
        <v>6</v>
      </c>
      <c r="BR88" s="114">
        <f t="shared" si="50"/>
        <v>0</v>
      </c>
      <c r="BS88">
        <f t="shared" si="26"/>
        <v>0</v>
      </c>
      <c r="BU88">
        <f>IFERROR(8-VLOOKUP(U88,'Dados de consulta'!$A:$D,3,0),8)</f>
        <v>8</v>
      </c>
      <c r="BV88">
        <f>IFERROR(8-VLOOKUP(V88,'Dados de consulta'!$A:$D,3,0),8)</f>
        <v>8</v>
      </c>
      <c r="BW88">
        <f t="shared" si="51"/>
        <v>16</v>
      </c>
    </row>
    <row r="89" spans="1:75" ht="15" hidden="1" x14ac:dyDescent="0.2">
      <c r="A89" s="98">
        <v>42212</v>
      </c>
      <c r="B89" s="129" t="str">
        <f t="shared" si="27"/>
        <v>seg</v>
      </c>
      <c r="C89" s="132"/>
      <c r="D89" s="132"/>
      <c r="E89" s="132">
        <v>18</v>
      </c>
      <c r="F89" s="132">
        <v>101</v>
      </c>
      <c r="G89" s="132">
        <v>4</v>
      </c>
      <c r="H89" s="132">
        <v>8</v>
      </c>
      <c r="I89" s="132">
        <v>8</v>
      </c>
      <c r="J89" s="132"/>
      <c r="K89" s="132"/>
      <c r="L89" s="132"/>
      <c r="M89" s="132" t="s">
        <v>195</v>
      </c>
      <c r="N89" s="132"/>
      <c r="O89" s="132"/>
      <c r="P89" s="132"/>
      <c r="Q89" s="132"/>
      <c r="R89" s="132">
        <v>18</v>
      </c>
      <c r="S89" s="132">
        <v>18</v>
      </c>
      <c r="T89" s="132"/>
      <c r="U89" s="151"/>
      <c r="V89" s="151"/>
      <c r="W89" s="307" t="s">
        <v>193</v>
      </c>
      <c r="X89" s="308"/>
      <c r="Y89" s="38">
        <f t="shared" si="28"/>
        <v>24</v>
      </c>
      <c r="Z89" s="38">
        <f t="shared" si="29"/>
        <v>24</v>
      </c>
      <c r="AA89" s="38">
        <f t="shared" si="30"/>
        <v>0</v>
      </c>
      <c r="AB89" s="38">
        <f t="shared" si="38"/>
        <v>4</v>
      </c>
      <c r="AC89" s="38">
        <f t="shared" si="39"/>
        <v>0</v>
      </c>
      <c r="AD89" s="38">
        <f t="shared" si="40"/>
        <v>0</v>
      </c>
      <c r="AE89" s="38">
        <f t="shared" si="41"/>
        <v>0</v>
      </c>
      <c r="AF89" s="38">
        <f t="shared" si="42"/>
        <v>0</v>
      </c>
      <c r="AG89" s="33">
        <f t="shared" si="43"/>
        <v>24</v>
      </c>
      <c r="AH89" s="33">
        <f t="shared" si="44"/>
        <v>24</v>
      </c>
      <c r="AI89" s="33">
        <f t="shared" si="45"/>
        <v>0</v>
      </c>
      <c r="AJ89" s="33">
        <f t="shared" si="46"/>
        <v>4</v>
      </c>
      <c r="AK89" s="34">
        <f t="shared" si="47"/>
        <v>0.16901408450704225</v>
      </c>
      <c r="AL89" s="35">
        <f t="shared" si="48"/>
        <v>0.16901408450704225</v>
      </c>
      <c r="AM89" s="34">
        <f t="shared" si="31"/>
        <v>0</v>
      </c>
      <c r="AN89" s="36">
        <f t="shared" si="49"/>
        <v>2.8169014084507043E-2</v>
      </c>
      <c r="AO89" s="6">
        <f t="shared" si="32"/>
        <v>0</v>
      </c>
      <c r="AP89">
        <f t="shared" si="33"/>
        <v>8</v>
      </c>
      <c r="AQ89" s="6">
        <f t="shared" si="34"/>
        <v>0</v>
      </c>
      <c r="AR89" s="6">
        <f t="shared" si="35"/>
        <v>0</v>
      </c>
      <c r="AS89" s="6"/>
      <c r="AX89" s="95">
        <f t="shared" si="36"/>
        <v>42212</v>
      </c>
      <c r="AY89" s="96" t="str">
        <f t="shared" si="37"/>
        <v>seg</v>
      </c>
      <c r="AZ89" s="97">
        <f>IF(OR(AY89="SÁB",AY89="DOM"),0,IFERROR(8-VLOOKUP(C89,'Dados de consulta'!$A$2:$C$38,3,0),8))</f>
        <v>8</v>
      </c>
      <c r="BA89" s="97">
        <f>IF(OR(AY89="SÁB",AY89="DOM"),0,IFERROR(8-VLOOKUP(D89,'Dados de consulta'!$A$2:$C$38,3,0),8))</f>
        <v>8</v>
      </c>
      <c r="BB89" s="97">
        <f>IF(OR(AY89="SÁB",AY89="DOM"),0,IFERROR(8-VLOOKUP(E89,'Dados de consulta'!$A$2:$C$38,3,0),8))</f>
        <v>0</v>
      </c>
      <c r="BC89" s="97">
        <f>IF(OR(AY89="SÁB",AY89="DOM"),0,IFERROR(8-VLOOKUP(F89,'Dados de consulta'!$A$2:$C$38,3,0),8))</f>
        <v>0</v>
      </c>
      <c r="BD89" s="97">
        <f>IF(OR(AY89="SÁB",AY89="DOM"),0,IFERROR(8-VLOOKUP(G89,'Dados de consulta'!$A$2:$C$38,3,0),8))</f>
        <v>0</v>
      </c>
      <c r="BE89" s="97">
        <f>IF(OR(AY89="SÁB",AY89="DOM"),0,IFERROR(8-VLOOKUP(H89,'Dados de consulta'!$A$2:$C$38,3,0),8))</f>
        <v>0</v>
      </c>
      <c r="BF89" s="97">
        <f>IF(OR(AY89="SÁB",AY89="DOM"),0,IFERROR(8-VLOOKUP(I89,'Dados de consulta'!$A$2:$C$38,3,0),8))</f>
        <v>0</v>
      </c>
      <c r="BG89" s="97">
        <f>IF(OR(AY89="SÁB",AY89="DOM"),0,IFERROR(8-VLOOKUP(J89,'Dados de consulta'!$A$2:$C$38,3,0),8))</f>
        <v>8</v>
      </c>
      <c r="BH89" s="97">
        <f>IF(OR(AY89="SÁB",AY89="DOM"),0,IFERROR(8-VLOOKUP(K89,'Dados de consulta'!$A$2:$C$38,3,0),8))</f>
        <v>8</v>
      </c>
      <c r="BI89" s="97">
        <f>IF(OR(AY89="SÁB",AY89="DOM"),0,IFERROR(8-VLOOKUP(L89,'Dados de consulta'!$A$2:$C$38,3,0),8))</f>
        <v>8</v>
      </c>
      <c r="BJ89" s="97">
        <f>IF(OR(AY89="SÁB",AY89="DOM"),0,IFERROR(8-VLOOKUP(M89,'Dados de consulta'!$A$2:$C$38,3,0),8))</f>
        <v>4</v>
      </c>
      <c r="BK89" s="97">
        <f>IF(OR(AY89="SÁB",AY89="DOM"),0,IFERROR(8-VLOOKUP(N89,'Dados de consulta'!$A$2:$C$38,3,0),8))</f>
        <v>8</v>
      </c>
      <c r="BL89" s="97">
        <f>IF(OR(AY89="SÁB",AY89="DOM"),0,IFERROR(8-VLOOKUP(O89,'Dados de consulta'!$A$2:$C$38,3,0),8))</f>
        <v>8</v>
      </c>
      <c r="BM89" s="97">
        <f>IF(OR(AY89="SÁB",AY89="DOM"),0,IFERROR(8-VLOOKUP(P89,'Dados de consulta'!$A$2:$C$38,3,0),8))</f>
        <v>8</v>
      </c>
      <c r="BN89" s="97">
        <f>IF(OR(AY89="SÁB",AY89="DOM"),0,IFERROR(8-VLOOKUP(Q89,'Dados de consulta'!$A$2:$C$38,3,0),8))</f>
        <v>8</v>
      </c>
      <c r="BO89" s="97">
        <f>IF(OR(AY89="SÁB",AY89="DOM"),0,IFERROR(8-VLOOKUP(R89,'Dados de consulta'!$A$2:$C$38,3,0),8))</f>
        <v>0</v>
      </c>
      <c r="BP89" s="97">
        <f>IF(OR(AY89="SÁB",AY89="DOM"),0,IFERROR(8-VLOOKUP(S89,'Dados de consulta'!$A$2:$C$38,3,0),8))</f>
        <v>0</v>
      </c>
      <c r="BQ89" s="113">
        <f>IFERROR(6-VLOOKUP(T89,'Dados de consulta'!$A$2:$C$38,3,0)+2,6)</f>
        <v>6</v>
      </c>
      <c r="BR89" s="114">
        <f t="shared" si="50"/>
        <v>82</v>
      </c>
      <c r="BS89">
        <f t="shared" si="26"/>
        <v>134</v>
      </c>
      <c r="BU89">
        <f>IFERROR(8-VLOOKUP(U89,'Dados de consulta'!$A:$D,3,0),8)</f>
        <v>8</v>
      </c>
      <c r="BV89">
        <f>IFERROR(8-VLOOKUP(V89,'Dados de consulta'!$A:$D,3,0),8)</f>
        <v>8</v>
      </c>
      <c r="BW89">
        <f t="shared" si="51"/>
        <v>16</v>
      </c>
    </row>
    <row r="90" spans="1:75" ht="15" hidden="1" x14ac:dyDescent="0.2">
      <c r="A90" s="98">
        <v>42213</v>
      </c>
      <c r="B90" s="129" t="str">
        <f t="shared" si="27"/>
        <v>ter</v>
      </c>
      <c r="C90" s="132"/>
      <c r="D90" s="132"/>
      <c r="E90" s="132">
        <v>18</v>
      </c>
      <c r="F90" s="132">
        <v>101</v>
      </c>
      <c r="G90" s="132">
        <v>4</v>
      </c>
      <c r="H90" s="132">
        <v>8</v>
      </c>
      <c r="I90" s="132">
        <v>8</v>
      </c>
      <c r="J90" s="132"/>
      <c r="K90" s="132"/>
      <c r="L90" s="132"/>
      <c r="M90" s="132" t="s">
        <v>195</v>
      </c>
      <c r="N90" s="132"/>
      <c r="O90" s="132"/>
      <c r="P90" s="132"/>
      <c r="Q90" s="132"/>
      <c r="R90" s="132">
        <v>18</v>
      </c>
      <c r="S90" s="132">
        <v>18</v>
      </c>
      <c r="T90" s="132"/>
      <c r="U90" s="151"/>
      <c r="V90" s="151"/>
      <c r="W90" s="307" t="s">
        <v>193</v>
      </c>
      <c r="X90" s="308"/>
      <c r="Y90" s="38">
        <f t="shared" si="28"/>
        <v>24</v>
      </c>
      <c r="Z90" s="38">
        <f t="shared" si="29"/>
        <v>24</v>
      </c>
      <c r="AA90" s="38">
        <f t="shared" si="30"/>
        <v>0</v>
      </c>
      <c r="AB90" s="38">
        <f t="shared" si="38"/>
        <v>4</v>
      </c>
      <c r="AC90" s="38">
        <f t="shared" si="39"/>
        <v>0</v>
      </c>
      <c r="AD90" s="38">
        <f t="shared" si="40"/>
        <v>0</v>
      </c>
      <c r="AE90" s="38">
        <f t="shared" si="41"/>
        <v>0</v>
      </c>
      <c r="AF90" s="38">
        <f t="shared" si="42"/>
        <v>0</v>
      </c>
      <c r="AG90" s="33">
        <f t="shared" si="43"/>
        <v>24</v>
      </c>
      <c r="AH90" s="33">
        <f t="shared" si="44"/>
        <v>24</v>
      </c>
      <c r="AI90" s="33">
        <f t="shared" si="45"/>
        <v>0</v>
      </c>
      <c r="AJ90" s="33">
        <f t="shared" si="46"/>
        <v>4</v>
      </c>
      <c r="AK90" s="34">
        <f t="shared" si="47"/>
        <v>0.16901408450704225</v>
      </c>
      <c r="AL90" s="35">
        <f t="shared" si="48"/>
        <v>0.16901408450704225</v>
      </c>
      <c r="AM90" s="34">
        <f t="shared" si="31"/>
        <v>0</v>
      </c>
      <c r="AN90" s="36">
        <f t="shared" si="49"/>
        <v>2.8169014084507043E-2</v>
      </c>
      <c r="AO90" s="6">
        <f t="shared" si="32"/>
        <v>0</v>
      </c>
      <c r="AP90">
        <f t="shared" si="33"/>
        <v>8</v>
      </c>
      <c r="AQ90" s="6">
        <f t="shared" si="34"/>
        <v>0</v>
      </c>
      <c r="AR90" s="6">
        <f t="shared" si="35"/>
        <v>0</v>
      </c>
      <c r="AS90" s="6"/>
      <c r="AX90" s="95">
        <f t="shared" si="36"/>
        <v>42213</v>
      </c>
      <c r="AY90" s="96" t="str">
        <f t="shared" si="37"/>
        <v>ter</v>
      </c>
      <c r="AZ90" s="97">
        <f>IF(OR(AY90="SÁB",AY90="DOM"),0,IFERROR(8-VLOOKUP(C90,'Dados de consulta'!$A$2:$C$38,3,0),8))</f>
        <v>8</v>
      </c>
      <c r="BA90" s="97">
        <f>IF(OR(AY90="SÁB",AY90="DOM"),0,IFERROR(8-VLOOKUP(D90,'Dados de consulta'!$A$2:$C$38,3,0),8))</f>
        <v>8</v>
      </c>
      <c r="BB90" s="97">
        <f>IF(OR(AY90="SÁB",AY90="DOM"),0,IFERROR(8-VLOOKUP(E90,'Dados de consulta'!$A$2:$C$38,3,0),8))</f>
        <v>0</v>
      </c>
      <c r="BC90" s="97">
        <f>IF(OR(AY90="SÁB",AY90="DOM"),0,IFERROR(8-VLOOKUP(F90,'Dados de consulta'!$A$2:$C$38,3,0),8))</f>
        <v>0</v>
      </c>
      <c r="BD90" s="97">
        <f>IF(OR(AY90="SÁB",AY90="DOM"),0,IFERROR(8-VLOOKUP(G90,'Dados de consulta'!$A$2:$C$38,3,0),8))</f>
        <v>0</v>
      </c>
      <c r="BE90" s="97">
        <f>IF(OR(AY90="SÁB",AY90="DOM"),0,IFERROR(8-VLOOKUP(H90,'Dados de consulta'!$A$2:$C$38,3,0),8))</f>
        <v>0</v>
      </c>
      <c r="BF90" s="97">
        <f>IF(OR(AY90="SÁB",AY90="DOM"),0,IFERROR(8-VLOOKUP(I90,'Dados de consulta'!$A$2:$C$38,3,0),8))</f>
        <v>0</v>
      </c>
      <c r="BG90" s="97">
        <f>IF(OR(AY90="SÁB",AY90="DOM"),0,IFERROR(8-VLOOKUP(J90,'Dados de consulta'!$A$2:$C$38,3,0),8))</f>
        <v>8</v>
      </c>
      <c r="BH90" s="97">
        <f>IF(OR(AY90="SÁB",AY90="DOM"),0,IFERROR(8-VLOOKUP(K90,'Dados de consulta'!$A$2:$C$38,3,0),8))</f>
        <v>8</v>
      </c>
      <c r="BI90" s="97">
        <f>IF(OR(AY90="SÁB",AY90="DOM"),0,IFERROR(8-VLOOKUP(L90,'Dados de consulta'!$A$2:$C$38,3,0),8))</f>
        <v>8</v>
      </c>
      <c r="BJ90" s="97">
        <f>IF(OR(AY90="SÁB",AY90="DOM"),0,IFERROR(8-VLOOKUP(M90,'Dados de consulta'!$A$2:$C$38,3,0),8))</f>
        <v>4</v>
      </c>
      <c r="BK90" s="97">
        <f>IF(OR(AY90="SÁB",AY90="DOM"),0,IFERROR(8-VLOOKUP(N90,'Dados de consulta'!$A$2:$C$38,3,0),8))</f>
        <v>8</v>
      </c>
      <c r="BL90" s="97">
        <f>IF(OR(AY90="SÁB",AY90="DOM"),0,IFERROR(8-VLOOKUP(O90,'Dados de consulta'!$A$2:$C$38,3,0),8))</f>
        <v>8</v>
      </c>
      <c r="BM90" s="97">
        <f>IF(OR(AY90="SÁB",AY90="DOM"),0,IFERROR(8-VLOOKUP(P90,'Dados de consulta'!$A$2:$C$38,3,0),8))</f>
        <v>8</v>
      </c>
      <c r="BN90" s="97">
        <f>IF(OR(AY90="SÁB",AY90="DOM"),0,IFERROR(8-VLOOKUP(Q90,'Dados de consulta'!$A$2:$C$38,3,0),8))</f>
        <v>8</v>
      </c>
      <c r="BO90" s="97">
        <f>IF(OR(AY90="SÁB",AY90="DOM"),0,IFERROR(8-VLOOKUP(R90,'Dados de consulta'!$A$2:$C$38,3,0),8))</f>
        <v>0</v>
      </c>
      <c r="BP90" s="97">
        <f>IF(OR(AY90="SÁB",AY90="DOM"),0,IFERROR(8-VLOOKUP(S90,'Dados de consulta'!$A$2:$C$38,3,0),8))</f>
        <v>0</v>
      </c>
      <c r="BQ90" s="113">
        <f>IFERROR(6-VLOOKUP(T90,'Dados de consulta'!$A$2:$C$38,3,0)+2,6)</f>
        <v>6</v>
      </c>
      <c r="BR90" s="114">
        <f t="shared" si="50"/>
        <v>82</v>
      </c>
      <c r="BS90">
        <f t="shared" si="26"/>
        <v>134</v>
      </c>
      <c r="BU90">
        <f>IFERROR(8-VLOOKUP(U90,'Dados de consulta'!$A:$D,3,0),8)</f>
        <v>8</v>
      </c>
      <c r="BV90">
        <f>IFERROR(8-VLOOKUP(V90,'Dados de consulta'!$A:$D,3,0),8)</f>
        <v>8</v>
      </c>
      <c r="BW90">
        <f t="shared" si="51"/>
        <v>16</v>
      </c>
    </row>
    <row r="91" spans="1:75" ht="15" hidden="1" x14ac:dyDescent="0.2">
      <c r="A91" s="98">
        <v>42214</v>
      </c>
      <c r="B91" s="129" t="str">
        <f t="shared" si="27"/>
        <v>qua</v>
      </c>
      <c r="C91" s="132"/>
      <c r="D91" s="132"/>
      <c r="E91" s="132">
        <v>18</v>
      </c>
      <c r="F91" s="132">
        <v>101</v>
      </c>
      <c r="G91" s="132">
        <v>4</v>
      </c>
      <c r="H91" s="132">
        <v>8</v>
      </c>
      <c r="I91" s="132">
        <v>8</v>
      </c>
      <c r="J91" s="132"/>
      <c r="K91" s="132"/>
      <c r="L91" s="132"/>
      <c r="M91" s="132"/>
      <c r="N91" s="132"/>
      <c r="O91" s="132"/>
      <c r="P91" s="132"/>
      <c r="Q91" s="132"/>
      <c r="R91" s="132">
        <v>18</v>
      </c>
      <c r="S91" s="132">
        <v>18</v>
      </c>
      <c r="T91" s="132"/>
      <c r="U91" s="151"/>
      <c r="V91" s="151"/>
      <c r="W91" s="307" t="s">
        <v>193</v>
      </c>
      <c r="X91" s="308"/>
      <c r="Y91" s="38">
        <f t="shared" si="28"/>
        <v>24</v>
      </c>
      <c r="Z91" s="38">
        <f t="shared" si="29"/>
        <v>24</v>
      </c>
      <c r="AA91" s="38">
        <f t="shared" si="30"/>
        <v>0</v>
      </c>
      <c r="AB91" s="38">
        <f t="shared" si="38"/>
        <v>0</v>
      </c>
      <c r="AC91" s="38">
        <f t="shared" si="39"/>
        <v>0</v>
      </c>
      <c r="AD91" s="38">
        <f t="shared" si="40"/>
        <v>0</v>
      </c>
      <c r="AE91" s="38">
        <f t="shared" si="41"/>
        <v>0</v>
      </c>
      <c r="AF91" s="38">
        <f t="shared" si="42"/>
        <v>0</v>
      </c>
      <c r="AG91" s="33">
        <f t="shared" si="43"/>
        <v>24</v>
      </c>
      <c r="AH91" s="33">
        <f t="shared" si="44"/>
        <v>24</v>
      </c>
      <c r="AI91" s="33">
        <f t="shared" si="45"/>
        <v>0</v>
      </c>
      <c r="AJ91" s="33">
        <f t="shared" si="46"/>
        <v>0</v>
      </c>
      <c r="AK91" s="34">
        <f t="shared" si="47"/>
        <v>0.16901408450704225</v>
      </c>
      <c r="AL91" s="35">
        <f t="shared" si="48"/>
        <v>0.16901408450704225</v>
      </c>
      <c r="AM91" s="34">
        <f t="shared" si="31"/>
        <v>0</v>
      </c>
      <c r="AN91" s="36">
        <f t="shared" si="49"/>
        <v>0</v>
      </c>
      <c r="AO91" s="6">
        <f t="shared" si="32"/>
        <v>0</v>
      </c>
      <c r="AP91">
        <f t="shared" si="33"/>
        <v>8</v>
      </c>
      <c r="AQ91" s="6">
        <f t="shared" si="34"/>
        <v>0</v>
      </c>
      <c r="AR91" s="6">
        <f t="shared" si="35"/>
        <v>0</v>
      </c>
      <c r="AS91" s="6"/>
      <c r="AX91" s="95">
        <f t="shared" si="36"/>
        <v>42214</v>
      </c>
      <c r="AY91" s="96" t="str">
        <f t="shared" si="37"/>
        <v>qua</v>
      </c>
      <c r="AZ91" s="97">
        <f>IF(OR(AY91="SÁB",AY91="DOM"),0,IFERROR(8-VLOOKUP(C91,'Dados de consulta'!$A$2:$C$38,3,0),8))</f>
        <v>8</v>
      </c>
      <c r="BA91" s="97">
        <f>IF(OR(AY91="SÁB",AY91="DOM"),0,IFERROR(8-VLOOKUP(D91,'Dados de consulta'!$A$2:$C$38,3,0),8))</f>
        <v>8</v>
      </c>
      <c r="BB91" s="97">
        <f>IF(OR(AY91="SÁB",AY91="DOM"),0,IFERROR(8-VLOOKUP(E91,'Dados de consulta'!$A$2:$C$38,3,0),8))</f>
        <v>0</v>
      </c>
      <c r="BC91" s="97">
        <f>IF(OR(AY91="SÁB",AY91="DOM"),0,IFERROR(8-VLOOKUP(F91,'Dados de consulta'!$A$2:$C$38,3,0),8))</f>
        <v>0</v>
      </c>
      <c r="BD91" s="97">
        <f>IF(OR(AY91="SÁB",AY91="DOM"),0,IFERROR(8-VLOOKUP(G91,'Dados de consulta'!$A$2:$C$38,3,0),8))</f>
        <v>0</v>
      </c>
      <c r="BE91" s="97">
        <f>IF(OR(AY91="SÁB",AY91="DOM"),0,IFERROR(8-VLOOKUP(H91,'Dados de consulta'!$A$2:$C$38,3,0),8))</f>
        <v>0</v>
      </c>
      <c r="BF91" s="97">
        <f>IF(OR(AY91="SÁB",AY91="DOM"),0,IFERROR(8-VLOOKUP(I91,'Dados de consulta'!$A$2:$C$38,3,0),8))</f>
        <v>0</v>
      </c>
      <c r="BG91" s="97">
        <f>IF(OR(AY91="SÁB",AY91="DOM"),0,IFERROR(8-VLOOKUP(J91,'Dados de consulta'!$A$2:$C$38,3,0),8))</f>
        <v>8</v>
      </c>
      <c r="BH91" s="97">
        <f>IF(OR(AY91="SÁB",AY91="DOM"),0,IFERROR(8-VLOOKUP(K91,'Dados de consulta'!$A$2:$C$38,3,0),8))</f>
        <v>8</v>
      </c>
      <c r="BI91" s="97">
        <f>IF(OR(AY91="SÁB",AY91="DOM"),0,IFERROR(8-VLOOKUP(L91,'Dados de consulta'!$A$2:$C$38,3,0),8))</f>
        <v>8</v>
      </c>
      <c r="BJ91" s="97">
        <f>IF(OR(AY91="SÁB",AY91="DOM"),0,IFERROR(8-VLOOKUP(M91,'Dados de consulta'!$A$2:$C$38,3,0),8))</f>
        <v>8</v>
      </c>
      <c r="BK91" s="97">
        <f>IF(OR(AY91="SÁB",AY91="DOM"),0,IFERROR(8-VLOOKUP(N91,'Dados de consulta'!$A$2:$C$38,3,0),8))</f>
        <v>8</v>
      </c>
      <c r="BL91" s="97">
        <f>IF(OR(AY91="SÁB",AY91="DOM"),0,IFERROR(8-VLOOKUP(O91,'Dados de consulta'!$A$2:$C$38,3,0),8))</f>
        <v>8</v>
      </c>
      <c r="BM91" s="97">
        <f>IF(OR(AY91="SÁB",AY91="DOM"),0,IFERROR(8-VLOOKUP(P91,'Dados de consulta'!$A$2:$C$38,3,0),8))</f>
        <v>8</v>
      </c>
      <c r="BN91" s="97">
        <f>IF(OR(AY91="SÁB",AY91="DOM"),0,IFERROR(8-VLOOKUP(Q91,'Dados de consulta'!$A$2:$C$38,3,0),8))</f>
        <v>8</v>
      </c>
      <c r="BO91" s="97">
        <f>IF(OR(AY91="SÁB",AY91="DOM"),0,IFERROR(8-VLOOKUP(R91,'Dados de consulta'!$A$2:$C$38,3,0),8))</f>
        <v>0</v>
      </c>
      <c r="BP91" s="97">
        <f>IF(OR(AY91="SÁB",AY91="DOM"),0,IFERROR(8-VLOOKUP(S91,'Dados de consulta'!$A$2:$C$38,3,0),8))</f>
        <v>0</v>
      </c>
      <c r="BQ91" s="113">
        <f>IFERROR(6-VLOOKUP(T91,'Dados de consulta'!$A$2:$C$38,3,0)+2,6)</f>
        <v>6</v>
      </c>
      <c r="BR91" s="114">
        <f t="shared" si="50"/>
        <v>86</v>
      </c>
      <c r="BS91">
        <f t="shared" si="26"/>
        <v>134</v>
      </c>
      <c r="BU91">
        <f>IFERROR(8-VLOOKUP(U91,'Dados de consulta'!$A:$D,3,0),8)</f>
        <v>8</v>
      </c>
      <c r="BV91">
        <f>IFERROR(8-VLOOKUP(V91,'Dados de consulta'!$A:$D,3,0),8)</f>
        <v>8</v>
      </c>
      <c r="BW91">
        <f t="shared" si="51"/>
        <v>16</v>
      </c>
    </row>
    <row r="92" spans="1:75" ht="15" hidden="1" x14ac:dyDescent="0.2">
      <c r="A92" s="98">
        <v>42215</v>
      </c>
      <c r="B92" s="129" t="str">
        <f t="shared" si="27"/>
        <v>qui</v>
      </c>
      <c r="C92" s="132">
        <v>6</v>
      </c>
      <c r="D92" s="132"/>
      <c r="E92" s="132">
        <v>18</v>
      </c>
      <c r="F92" s="132">
        <v>101</v>
      </c>
      <c r="G92" s="132">
        <v>4</v>
      </c>
      <c r="H92" s="132">
        <v>8</v>
      </c>
      <c r="I92" s="132">
        <v>8</v>
      </c>
      <c r="J92" s="132">
        <v>6</v>
      </c>
      <c r="K92" s="132">
        <v>6</v>
      </c>
      <c r="L92" s="132">
        <v>6</v>
      </c>
      <c r="M92" s="132">
        <v>6</v>
      </c>
      <c r="N92" s="132">
        <v>6</v>
      </c>
      <c r="O92" s="132">
        <v>6</v>
      </c>
      <c r="P92" s="132">
        <v>6</v>
      </c>
      <c r="Q92" s="132">
        <v>6</v>
      </c>
      <c r="R92" s="132">
        <v>18</v>
      </c>
      <c r="S92" s="132">
        <v>18</v>
      </c>
      <c r="T92" s="132"/>
      <c r="U92" s="151">
        <v>6</v>
      </c>
      <c r="V92" s="151">
        <v>6</v>
      </c>
      <c r="W92" s="307" t="s">
        <v>193</v>
      </c>
      <c r="X92" s="308"/>
      <c r="Y92" s="38">
        <f t="shared" si="28"/>
        <v>24</v>
      </c>
      <c r="Z92" s="38">
        <f t="shared" si="29"/>
        <v>24</v>
      </c>
      <c r="AA92" s="38">
        <f t="shared" si="30"/>
        <v>0</v>
      </c>
      <c r="AB92" s="38">
        <f t="shared" si="38"/>
        <v>72</v>
      </c>
      <c r="AC92" s="38">
        <f t="shared" si="39"/>
        <v>0</v>
      </c>
      <c r="AD92" s="38">
        <f t="shared" si="40"/>
        <v>0</v>
      </c>
      <c r="AE92" s="38">
        <f t="shared" si="41"/>
        <v>0</v>
      </c>
      <c r="AF92" s="38">
        <f t="shared" si="42"/>
        <v>0</v>
      </c>
      <c r="AG92" s="33">
        <f t="shared" si="43"/>
        <v>24</v>
      </c>
      <c r="AH92" s="33">
        <f t="shared" si="44"/>
        <v>24</v>
      </c>
      <c r="AI92" s="33">
        <f t="shared" si="45"/>
        <v>0</v>
      </c>
      <c r="AJ92" s="33">
        <f t="shared" si="46"/>
        <v>72</v>
      </c>
      <c r="AK92" s="34">
        <f t="shared" si="47"/>
        <v>0.16901408450704225</v>
      </c>
      <c r="AL92" s="35">
        <f t="shared" si="48"/>
        <v>0.16901408450704225</v>
      </c>
      <c r="AM92" s="34">
        <f t="shared" si="31"/>
        <v>0</v>
      </c>
      <c r="AN92" s="36">
        <f t="shared" si="49"/>
        <v>0.50704225352112675</v>
      </c>
      <c r="AO92" s="6">
        <f t="shared" si="32"/>
        <v>0</v>
      </c>
      <c r="AP92">
        <f t="shared" si="33"/>
        <v>8</v>
      </c>
      <c r="AQ92" s="6">
        <f t="shared" si="34"/>
        <v>0</v>
      </c>
      <c r="AR92" s="6">
        <f t="shared" si="35"/>
        <v>0</v>
      </c>
      <c r="AS92" s="6"/>
      <c r="AX92" s="95">
        <f t="shared" si="36"/>
        <v>42215</v>
      </c>
      <c r="AY92" s="96" t="str">
        <f t="shared" si="37"/>
        <v>qui</v>
      </c>
      <c r="AZ92" s="97">
        <f>IF(OR(AY92="SÁB",AY92="DOM"),0,IFERROR(8-VLOOKUP(C92,'Dados de consulta'!$A$2:$C$38,3,0),8))</f>
        <v>0</v>
      </c>
      <c r="BA92" s="97">
        <f>IF(OR(AY92="SÁB",AY92="DOM"),0,IFERROR(8-VLOOKUP(D92,'Dados de consulta'!$A$2:$C$38,3,0),8))</f>
        <v>8</v>
      </c>
      <c r="BB92" s="97">
        <f>IF(OR(AY92="SÁB",AY92="DOM"),0,IFERROR(8-VLOOKUP(E92,'Dados de consulta'!$A$2:$C$38,3,0),8))</f>
        <v>0</v>
      </c>
      <c r="BC92" s="97">
        <f>IF(OR(AY92="SÁB",AY92="DOM"),0,IFERROR(8-VLOOKUP(F92,'Dados de consulta'!$A$2:$C$38,3,0),8))</f>
        <v>0</v>
      </c>
      <c r="BD92" s="97">
        <f>IF(OR(AY92="SÁB",AY92="DOM"),0,IFERROR(8-VLOOKUP(G92,'Dados de consulta'!$A$2:$C$38,3,0),8))</f>
        <v>0</v>
      </c>
      <c r="BE92" s="97">
        <f>IF(OR(AY92="SÁB",AY92="DOM"),0,IFERROR(8-VLOOKUP(H92,'Dados de consulta'!$A$2:$C$38,3,0),8))</f>
        <v>0</v>
      </c>
      <c r="BF92" s="97">
        <f>IF(OR(AY92="SÁB",AY92="DOM"),0,IFERROR(8-VLOOKUP(I92,'Dados de consulta'!$A$2:$C$38,3,0),8))</f>
        <v>0</v>
      </c>
      <c r="BG92" s="97">
        <f>IF(OR(AY92="SÁB",AY92="DOM"),0,IFERROR(8-VLOOKUP(J92,'Dados de consulta'!$A$2:$C$38,3,0),8))</f>
        <v>0</v>
      </c>
      <c r="BH92" s="97">
        <f>IF(OR(AY92="SÁB",AY92="DOM"),0,IFERROR(8-VLOOKUP(K92,'Dados de consulta'!$A$2:$C$38,3,0),8))</f>
        <v>0</v>
      </c>
      <c r="BI92" s="97">
        <f>IF(OR(AY92="SÁB",AY92="DOM"),0,IFERROR(8-VLOOKUP(L92,'Dados de consulta'!$A$2:$C$38,3,0),8))</f>
        <v>0</v>
      </c>
      <c r="BJ92" s="97">
        <f>IF(OR(AY92="SÁB",AY92="DOM"),0,IFERROR(8-VLOOKUP(M92,'Dados de consulta'!$A$2:$C$38,3,0),8))</f>
        <v>0</v>
      </c>
      <c r="BK92" s="97">
        <f>IF(OR(AY92="SÁB",AY92="DOM"),0,IFERROR(8-VLOOKUP(N92,'Dados de consulta'!$A$2:$C$38,3,0),8))</f>
        <v>0</v>
      </c>
      <c r="BL92" s="97">
        <f>IF(OR(AY92="SÁB",AY92="DOM"),0,IFERROR(8-VLOOKUP(O92,'Dados de consulta'!$A$2:$C$38,3,0),8))</f>
        <v>0</v>
      </c>
      <c r="BM92" s="97">
        <f>IF(OR(AY92="SÁB",AY92="DOM"),0,IFERROR(8-VLOOKUP(P92,'Dados de consulta'!$A$2:$C$38,3,0),8))</f>
        <v>0</v>
      </c>
      <c r="BN92" s="97">
        <f>IF(OR(AY92="SÁB",AY92="DOM"),0,IFERROR(8-VLOOKUP(Q92,'Dados de consulta'!$A$2:$C$38,3,0),8))</f>
        <v>0</v>
      </c>
      <c r="BO92" s="97">
        <f>IF(OR(AY92="SÁB",AY92="DOM"),0,IFERROR(8-VLOOKUP(R92,'Dados de consulta'!$A$2:$C$38,3,0),8))</f>
        <v>0</v>
      </c>
      <c r="BP92" s="97">
        <f>IF(OR(AY92="SÁB",AY92="DOM"),0,IFERROR(8-VLOOKUP(S92,'Dados de consulta'!$A$2:$C$38,3,0),8))</f>
        <v>0</v>
      </c>
      <c r="BQ92" s="113">
        <f>IFERROR(6-VLOOKUP(T92,'Dados de consulta'!$A$2:$C$38,3,0)+2,6)</f>
        <v>6</v>
      </c>
      <c r="BR92" s="114">
        <f t="shared" si="50"/>
        <v>14</v>
      </c>
      <c r="BS92">
        <f t="shared" si="26"/>
        <v>134</v>
      </c>
      <c r="BU92">
        <f>IFERROR(8-VLOOKUP(U92,'Dados de consulta'!$A:$D,3,0),8)</f>
        <v>0</v>
      </c>
      <c r="BV92">
        <f>IFERROR(8-VLOOKUP(V92,'Dados de consulta'!$A:$D,3,0),8)</f>
        <v>0</v>
      </c>
      <c r="BW92">
        <f t="shared" si="51"/>
        <v>0</v>
      </c>
    </row>
    <row r="93" spans="1:75" ht="15" hidden="1" x14ac:dyDescent="0.2">
      <c r="A93" s="98">
        <v>42216</v>
      </c>
      <c r="B93" s="129" t="str">
        <f t="shared" si="27"/>
        <v>sex</v>
      </c>
      <c r="C93" s="132"/>
      <c r="D93" s="132"/>
      <c r="E93" s="132">
        <v>18</v>
      </c>
      <c r="F93" s="132">
        <v>101</v>
      </c>
      <c r="G93" s="132">
        <v>4</v>
      </c>
      <c r="H93" s="132">
        <v>8</v>
      </c>
      <c r="I93" s="132">
        <v>8</v>
      </c>
      <c r="J93" s="132"/>
      <c r="K93" s="132"/>
      <c r="L93" s="132">
        <v>6</v>
      </c>
      <c r="M93" s="132"/>
      <c r="N93" s="132"/>
      <c r="O93" s="132"/>
      <c r="P93" s="132"/>
      <c r="Q93" s="132"/>
      <c r="R93" s="132">
        <v>18</v>
      </c>
      <c r="S93" s="132">
        <v>18</v>
      </c>
      <c r="T93" s="132"/>
      <c r="U93" s="151"/>
      <c r="V93" s="151"/>
      <c r="W93" s="307" t="s">
        <v>193</v>
      </c>
      <c r="X93" s="308"/>
      <c r="Y93" s="38">
        <f t="shared" si="28"/>
        <v>24</v>
      </c>
      <c r="Z93" s="38">
        <f t="shared" si="29"/>
        <v>24</v>
      </c>
      <c r="AA93" s="38">
        <f t="shared" si="30"/>
        <v>0</v>
      </c>
      <c r="AB93" s="38">
        <f t="shared" si="38"/>
        <v>8</v>
      </c>
      <c r="AC93" s="38">
        <f t="shared" si="39"/>
        <v>0</v>
      </c>
      <c r="AD93" s="38">
        <f t="shared" si="40"/>
        <v>0</v>
      </c>
      <c r="AE93" s="38">
        <f t="shared" si="41"/>
        <v>0</v>
      </c>
      <c r="AF93" s="38">
        <f t="shared" si="42"/>
        <v>0</v>
      </c>
      <c r="AG93" s="33">
        <f t="shared" si="43"/>
        <v>24</v>
      </c>
      <c r="AH93" s="33">
        <f t="shared" si="44"/>
        <v>24</v>
      </c>
      <c r="AI93" s="33">
        <f t="shared" si="45"/>
        <v>0</v>
      </c>
      <c r="AJ93" s="33">
        <f t="shared" si="46"/>
        <v>8</v>
      </c>
      <c r="AK93" s="34">
        <f t="shared" si="47"/>
        <v>0.16901408450704225</v>
      </c>
      <c r="AL93" s="35">
        <f t="shared" si="48"/>
        <v>0.16901408450704225</v>
      </c>
      <c r="AM93" s="34">
        <f t="shared" si="31"/>
        <v>0</v>
      </c>
      <c r="AN93" s="36">
        <f t="shared" si="49"/>
        <v>5.6338028169014086E-2</v>
      </c>
      <c r="AO93" s="6">
        <f t="shared" si="32"/>
        <v>0</v>
      </c>
      <c r="AP93">
        <f t="shared" si="33"/>
        <v>8</v>
      </c>
      <c r="AQ93" s="6">
        <f t="shared" si="34"/>
        <v>0</v>
      </c>
      <c r="AR93" s="6">
        <f t="shared" si="35"/>
        <v>0</v>
      </c>
      <c r="AS93" s="6"/>
      <c r="AX93" s="95">
        <f t="shared" si="36"/>
        <v>42216</v>
      </c>
      <c r="AY93" s="96" t="str">
        <f t="shared" si="37"/>
        <v>sex</v>
      </c>
      <c r="AZ93" s="97">
        <f>IF(OR(AY93="SÁB",AY93="DOM"),0,IFERROR(8-VLOOKUP(C93,'Dados de consulta'!$A$2:$C$38,3,0),8))</f>
        <v>8</v>
      </c>
      <c r="BA93" s="97">
        <f>IF(OR(AY93="SÁB",AY93="DOM"),0,IFERROR(8-VLOOKUP(D93,'Dados de consulta'!$A$2:$C$38,3,0),8))</f>
        <v>8</v>
      </c>
      <c r="BB93" s="97">
        <f>IF(OR(AY93="SÁB",AY93="DOM"),0,IFERROR(8-VLOOKUP(E93,'Dados de consulta'!$A$2:$C$38,3,0),8))</f>
        <v>0</v>
      </c>
      <c r="BC93" s="97">
        <f>IF(OR(AY93="SÁB",AY93="DOM"),0,IFERROR(8-VLOOKUP(F93,'Dados de consulta'!$A$2:$C$38,3,0),8))</f>
        <v>0</v>
      </c>
      <c r="BD93" s="97">
        <f>IF(OR(AY93="SÁB",AY93="DOM"),0,IFERROR(8-VLOOKUP(G93,'Dados de consulta'!$A$2:$C$38,3,0),8))</f>
        <v>0</v>
      </c>
      <c r="BE93" s="97">
        <f>IF(OR(AY93="SÁB",AY93="DOM"),0,IFERROR(8-VLOOKUP(H93,'Dados de consulta'!$A$2:$C$38,3,0),8))</f>
        <v>0</v>
      </c>
      <c r="BF93" s="97">
        <f>IF(OR(AY93="SÁB",AY93="DOM"),0,IFERROR(8-VLOOKUP(I93,'Dados de consulta'!$A$2:$C$38,3,0),8))</f>
        <v>0</v>
      </c>
      <c r="BG93" s="97">
        <f>IF(OR(AY93="SÁB",AY93="DOM"),0,IFERROR(8-VLOOKUP(J93,'Dados de consulta'!$A$2:$C$38,3,0),8))</f>
        <v>8</v>
      </c>
      <c r="BH93" s="97">
        <f>IF(OR(AY93="SÁB",AY93="DOM"),0,IFERROR(8-VLOOKUP(K93,'Dados de consulta'!$A$2:$C$38,3,0),8))</f>
        <v>8</v>
      </c>
      <c r="BI93" s="97">
        <f>IF(OR(AY93="SÁB",AY93="DOM"),0,IFERROR(8-VLOOKUP(L93,'Dados de consulta'!$A$2:$C$38,3,0),8))</f>
        <v>0</v>
      </c>
      <c r="BJ93" s="97">
        <f>IF(OR(AY93="SÁB",AY93="DOM"),0,IFERROR(8-VLOOKUP(M93,'Dados de consulta'!$A$2:$C$38,3,0),8))</f>
        <v>8</v>
      </c>
      <c r="BK93" s="97">
        <f>IF(OR(AY93="SÁB",AY93="DOM"),0,IFERROR(8-VLOOKUP(N93,'Dados de consulta'!$A$2:$C$38,3,0),8))</f>
        <v>8</v>
      </c>
      <c r="BL93" s="97">
        <f>IF(OR(AY93="SÁB",AY93="DOM"),0,IFERROR(8-VLOOKUP(O93,'Dados de consulta'!$A$2:$C$38,3,0),8))</f>
        <v>8</v>
      </c>
      <c r="BM93" s="97">
        <f>IF(OR(AY93="SÁB",AY93="DOM"),0,IFERROR(8-VLOOKUP(P93,'Dados de consulta'!$A$2:$C$38,3,0),8))</f>
        <v>8</v>
      </c>
      <c r="BN93" s="97">
        <f>IF(OR(AY93="SÁB",AY93="DOM"),0,IFERROR(8-VLOOKUP(Q93,'Dados de consulta'!$A$2:$C$38,3,0),8))</f>
        <v>8</v>
      </c>
      <c r="BO93" s="97">
        <f>IF(OR(AY93="SÁB",AY93="DOM"),0,IFERROR(8-VLOOKUP(R93,'Dados de consulta'!$A$2:$C$38,3,0),8))</f>
        <v>0</v>
      </c>
      <c r="BP93" s="97">
        <f>IF(OR(AY93="SÁB",AY93="DOM"),0,IFERROR(8-VLOOKUP(S93,'Dados de consulta'!$A$2:$C$38,3,0),8))</f>
        <v>0</v>
      </c>
      <c r="BQ93" s="113">
        <f>IFERROR(6-VLOOKUP(T93,'Dados de consulta'!$A$2:$C$38,3,0)+2,6)</f>
        <v>6</v>
      </c>
      <c r="BR93" s="114">
        <f t="shared" si="50"/>
        <v>78</v>
      </c>
      <c r="BS93">
        <f t="shared" si="26"/>
        <v>134</v>
      </c>
      <c r="BU93">
        <f>IFERROR(8-VLOOKUP(U93,'Dados de consulta'!$A:$D,3,0),8)</f>
        <v>8</v>
      </c>
      <c r="BV93">
        <f>IFERROR(8-VLOOKUP(V93,'Dados de consulta'!$A:$D,3,0),8)</f>
        <v>8</v>
      </c>
      <c r="BW93">
        <f t="shared" si="51"/>
        <v>16</v>
      </c>
    </row>
    <row r="94" spans="1:75" ht="15" hidden="1" x14ac:dyDescent="0.2">
      <c r="A94" s="98">
        <v>42217</v>
      </c>
      <c r="B94" s="129" t="str">
        <f t="shared" si="27"/>
        <v>sáb</v>
      </c>
      <c r="C94" s="132"/>
      <c r="D94" s="132"/>
      <c r="E94" s="132">
        <v>18</v>
      </c>
      <c r="F94" s="132">
        <v>101</v>
      </c>
      <c r="G94" s="132">
        <v>4</v>
      </c>
      <c r="H94" s="132">
        <v>4</v>
      </c>
      <c r="I94" s="132">
        <v>8</v>
      </c>
      <c r="J94" s="132"/>
      <c r="K94" s="132"/>
      <c r="L94" s="132"/>
      <c r="M94" s="132"/>
      <c r="N94" s="132"/>
      <c r="O94" s="132"/>
      <c r="P94" s="132"/>
      <c r="Q94" s="132"/>
      <c r="R94" s="132"/>
      <c r="S94" s="132">
        <v>18</v>
      </c>
      <c r="T94" s="132"/>
      <c r="U94" s="151"/>
      <c r="V94" s="151"/>
      <c r="W94" s="307" t="s">
        <v>193</v>
      </c>
      <c r="X94" s="308"/>
      <c r="Y94" s="38">
        <f t="shared" si="28"/>
        <v>24</v>
      </c>
      <c r="Z94" s="38">
        <f t="shared" si="29"/>
        <v>16</v>
      </c>
      <c r="AA94" s="38">
        <f t="shared" si="30"/>
        <v>0</v>
      </c>
      <c r="AB94" s="38">
        <f t="shared" si="38"/>
        <v>0</v>
      </c>
      <c r="AC94" s="38">
        <f t="shared" si="39"/>
        <v>0</v>
      </c>
      <c r="AD94" s="38">
        <f t="shared" si="40"/>
        <v>0</v>
      </c>
      <c r="AE94" s="38">
        <f t="shared" si="41"/>
        <v>0</v>
      </c>
      <c r="AF94" s="38">
        <f t="shared" si="42"/>
        <v>0</v>
      </c>
      <c r="AG94" s="33">
        <f t="shared" si="43"/>
        <v>0</v>
      </c>
      <c r="AH94" s="33">
        <f t="shared" si="44"/>
        <v>0</v>
      </c>
      <c r="AI94" s="33">
        <f t="shared" si="45"/>
        <v>0</v>
      </c>
      <c r="AJ94" s="33">
        <f t="shared" si="46"/>
        <v>0</v>
      </c>
      <c r="AK94" s="34">
        <f t="shared" si="47"/>
        <v>0</v>
      </c>
      <c r="AL94" s="35">
        <f t="shared" si="48"/>
        <v>0</v>
      </c>
      <c r="AM94" s="34">
        <f t="shared" si="31"/>
        <v>0</v>
      </c>
      <c r="AN94" s="36">
        <f t="shared" si="49"/>
        <v>0</v>
      </c>
      <c r="AO94" s="6">
        <f t="shared" si="32"/>
        <v>0</v>
      </c>
      <c r="AP94">
        <f t="shared" si="33"/>
        <v>8</v>
      </c>
      <c r="AQ94" s="6">
        <f t="shared" si="34"/>
        <v>0</v>
      </c>
      <c r="AR94" s="6">
        <f t="shared" si="35"/>
        <v>0</v>
      </c>
      <c r="AS94" s="6"/>
      <c r="AX94" s="95">
        <f t="shared" si="36"/>
        <v>42217</v>
      </c>
      <c r="AY94" s="96" t="str">
        <f t="shared" si="37"/>
        <v>sáb</v>
      </c>
      <c r="AZ94" s="97">
        <f>IF(OR(AY94="SÁB",AY94="DOM"),0,IFERROR(8-VLOOKUP(C94,'Dados de consulta'!$A$2:$C$38,3,0),8))</f>
        <v>0</v>
      </c>
      <c r="BA94" s="97">
        <f>IF(OR(AY94="SÁB",AY94="DOM"),0,IFERROR(8-VLOOKUP(D94,'Dados de consulta'!$A$2:$C$38,3,0),8))</f>
        <v>0</v>
      </c>
      <c r="BB94" s="97">
        <f>IF(OR(AY94="SÁB",AY94="DOM"),0,IFERROR(8-VLOOKUP(E94,'Dados de consulta'!$A$2:$C$38,3,0),8))</f>
        <v>0</v>
      </c>
      <c r="BC94" s="97">
        <f>IF(OR(AY94="SÁB",AY94="DOM"),0,IFERROR(8-VLOOKUP(F94,'Dados de consulta'!$A$2:$C$38,3,0),8))</f>
        <v>0</v>
      </c>
      <c r="BD94" s="97">
        <f>IF(OR(AY94="SÁB",AY94="DOM"),0,IFERROR(8-VLOOKUP(G94,'Dados de consulta'!$A$2:$C$38,3,0),8))</f>
        <v>0</v>
      </c>
      <c r="BE94" s="97">
        <f>IF(OR(AY94="SÁB",AY94="DOM"),0,IFERROR(8-VLOOKUP(H94,'Dados de consulta'!$A$2:$C$38,3,0),8))</f>
        <v>0</v>
      </c>
      <c r="BF94" s="97">
        <f>IF(OR(AY94="SÁB",AY94="DOM"),0,IFERROR(8-VLOOKUP(I94,'Dados de consulta'!$A$2:$C$38,3,0),8))</f>
        <v>0</v>
      </c>
      <c r="BG94" s="97">
        <f>IF(OR(AY94="SÁB",AY94="DOM"),0,IFERROR(8-VLOOKUP(J94,'Dados de consulta'!$A$2:$C$38,3,0),8))</f>
        <v>0</v>
      </c>
      <c r="BH94" s="97">
        <f>IF(OR(AY94="SÁB",AY94="DOM"),0,IFERROR(8-VLOOKUP(K94,'Dados de consulta'!$A$2:$C$38,3,0),8))</f>
        <v>0</v>
      </c>
      <c r="BI94" s="97">
        <f>IF(OR(AY94="SÁB",AY94="DOM"),0,IFERROR(8-VLOOKUP(L94,'Dados de consulta'!$A$2:$C$38,3,0),8))</f>
        <v>0</v>
      </c>
      <c r="BJ94" s="97">
        <f>IF(OR(AY94="SÁB",AY94="DOM"),0,IFERROR(8-VLOOKUP(M94,'Dados de consulta'!$A$2:$C$38,3,0),8))</f>
        <v>0</v>
      </c>
      <c r="BK94" s="97">
        <f>IF(OR(AY94="SÁB",AY94="DOM"),0,IFERROR(8-VLOOKUP(N94,'Dados de consulta'!$A$2:$C$38,3,0),8))</f>
        <v>0</v>
      </c>
      <c r="BL94" s="97">
        <f>IF(OR(AY94="SÁB",AY94="DOM"),0,IFERROR(8-VLOOKUP(O94,'Dados de consulta'!$A$2:$C$38,3,0),8))</f>
        <v>0</v>
      </c>
      <c r="BM94" s="97">
        <f>IF(OR(AY94="SÁB",AY94="DOM"),0,IFERROR(8-VLOOKUP(P94,'Dados de consulta'!$A$2:$C$38,3,0),8))</f>
        <v>0</v>
      </c>
      <c r="BN94" s="97">
        <f>IF(OR(AY94="SÁB",AY94="DOM"),0,IFERROR(8-VLOOKUP(Q94,'Dados de consulta'!$A$2:$C$38,3,0),8))</f>
        <v>0</v>
      </c>
      <c r="BO94" s="97">
        <f>IF(OR(AY94="SÁB",AY94="DOM"),0,IFERROR(8-VLOOKUP(R94,'Dados de consulta'!$A$2:$C$38,3,0),8))</f>
        <v>0</v>
      </c>
      <c r="BP94" s="97">
        <f>IF(OR(AY94="SÁB",AY94="DOM"),0,IFERROR(8-VLOOKUP(S94,'Dados de consulta'!$A$2:$C$38,3,0),8))</f>
        <v>0</v>
      </c>
      <c r="BQ94" s="113">
        <f>IFERROR(6-VLOOKUP(T94,'Dados de consulta'!$A$2:$C$38,3,0)+2,6)</f>
        <v>6</v>
      </c>
      <c r="BR94" s="114">
        <f t="shared" si="50"/>
        <v>0</v>
      </c>
      <c r="BS94">
        <f t="shared" si="26"/>
        <v>0</v>
      </c>
      <c r="BU94">
        <f>IFERROR(8-VLOOKUP(U94,'Dados de consulta'!$A:$D,3,0),8)</f>
        <v>8</v>
      </c>
      <c r="BV94">
        <f>IFERROR(8-VLOOKUP(V94,'Dados de consulta'!$A:$D,3,0),8)</f>
        <v>8</v>
      </c>
      <c r="BW94">
        <f t="shared" si="51"/>
        <v>16</v>
      </c>
    </row>
    <row r="95" spans="1:75" ht="15" hidden="1" x14ac:dyDescent="0.2">
      <c r="A95" s="98">
        <v>42218</v>
      </c>
      <c r="B95" s="129" t="str">
        <f t="shared" si="27"/>
        <v>dom</v>
      </c>
      <c r="C95" s="132"/>
      <c r="D95" s="132"/>
      <c r="E95" s="132">
        <v>18</v>
      </c>
      <c r="F95" s="132">
        <v>101</v>
      </c>
      <c r="G95" s="132">
        <v>4</v>
      </c>
      <c r="H95" s="132">
        <v>4</v>
      </c>
      <c r="I95" s="132">
        <v>8</v>
      </c>
      <c r="J95" s="132"/>
      <c r="K95" s="132"/>
      <c r="L95" s="132"/>
      <c r="M95" s="132"/>
      <c r="N95" s="132"/>
      <c r="O95" s="132"/>
      <c r="P95" s="132"/>
      <c r="Q95" s="132"/>
      <c r="R95" s="132"/>
      <c r="S95" s="132">
        <v>18</v>
      </c>
      <c r="T95" s="132"/>
      <c r="U95" s="151"/>
      <c r="V95" s="151"/>
      <c r="W95" s="307" t="s">
        <v>193</v>
      </c>
      <c r="X95" s="308"/>
      <c r="Y95" s="38">
        <f t="shared" si="28"/>
        <v>24</v>
      </c>
      <c r="Z95" s="38">
        <f t="shared" si="29"/>
        <v>16</v>
      </c>
      <c r="AA95" s="38">
        <f t="shared" si="30"/>
        <v>0</v>
      </c>
      <c r="AB95" s="38">
        <f t="shared" si="38"/>
        <v>0</v>
      </c>
      <c r="AC95" s="38">
        <f t="shared" si="39"/>
        <v>0</v>
      </c>
      <c r="AD95" s="38">
        <f t="shared" si="40"/>
        <v>0</v>
      </c>
      <c r="AE95" s="38">
        <f t="shared" si="41"/>
        <v>0</v>
      </c>
      <c r="AF95" s="38">
        <f t="shared" si="42"/>
        <v>0</v>
      </c>
      <c r="AG95" s="33">
        <f t="shared" si="43"/>
        <v>0</v>
      </c>
      <c r="AH95" s="33">
        <f t="shared" si="44"/>
        <v>0</v>
      </c>
      <c r="AI95" s="33">
        <f t="shared" si="45"/>
        <v>0</v>
      </c>
      <c r="AJ95" s="33">
        <f t="shared" si="46"/>
        <v>0</v>
      </c>
      <c r="AK95" s="34">
        <f t="shared" si="47"/>
        <v>0</v>
      </c>
      <c r="AL95" s="35">
        <f t="shared" si="48"/>
        <v>0</v>
      </c>
      <c r="AM95" s="34">
        <f t="shared" si="31"/>
        <v>0</v>
      </c>
      <c r="AN95" s="36">
        <f t="shared" si="49"/>
        <v>0</v>
      </c>
      <c r="AO95" s="6">
        <f t="shared" si="32"/>
        <v>0</v>
      </c>
      <c r="AP95">
        <f t="shared" si="33"/>
        <v>8</v>
      </c>
      <c r="AQ95" s="6">
        <f t="shared" si="34"/>
        <v>0</v>
      </c>
      <c r="AR95" s="6">
        <f t="shared" si="35"/>
        <v>0</v>
      </c>
      <c r="AS95" s="6"/>
      <c r="AX95" s="95">
        <f t="shared" si="36"/>
        <v>42218</v>
      </c>
      <c r="AY95" s="96" t="str">
        <f t="shared" si="37"/>
        <v>dom</v>
      </c>
      <c r="AZ95" s="97">
        <f>IF(OR(AY95="SÁB",AY95="DOM"),0,IFERROR(8-VLOOKUP(C95,'Dados de consulta'!$A$2:$C$38,3,0),8))</f>
        <v>0</v>
      </c>
      <c r="BA95" s="97">
        <f>IF(OR(AY95="SÁB",AY95="DOM"),0,IFERROR(8-VLOOKUP(D95,'Dados de consulta'!$A$2:$C$38,3,0),8))</f>
        <v>0</v>
      </c>
      <c r="BB95" s="97">
        <f>IF(OR(AY95="SÁB",AY95="DOM"),0,IFERROR(8-VLOOKUP(E95,'Dados de consulta'!$A$2:$C$38,3,0),8))</f>
        <v>0</v>
      </c>
      <c r="BC95" s="97">
        <f>IF(OR(AY95="SÁB",AY95="DOM"),0,IFERROR(8-VLOOKUP(F95,'Dados de consulta'!$A$2:$C$38,3,0),8))</f>
        <v>0</v>
      </c>
      <c r="BD95" s="97">
        <f>IF(OR(AY95="SÁB",AY95="DOM"),0,IFERROR(8-VLOOKUP(G95,'Dados de consulta'!$A$2:$C$38,3,0),8))</f>
        <v>0</v>
      </c>
      <c r="BE95" s="97">
        <f>IF(OR(AY95="SÁB",AY95="DOM"),0,IFERROR(8-VLOOKUP(H95,'Dados de consulta'!$A$2:$C$38,3,0),8))</f>
        <v>0</v>
      </c>
      <c r="BF95" s="97">
        <f>IF(OR(AY95="SÁB",AY95="DOM"),0,IFERROR(8-VLOOKUP(I95,'Dados de consulta'!$A$2:$C$38,3,0),8))</f>
        <v>0</v>
      </c>
      <c r="BG95" s="97">
        <f>IF(OR(AY95="SÁB",AY95="DOM"),0,IFERROR(8-VLOOKUP(J95,'Dados de consulta'!$A$2:$C$38,3,0),8))</f>
        <v>0</v>
      </c>
      <c r="BH95" s="97">
        <f>IF(OR(AY95="SÁB",AY95="DOM"),0,IFERROR(8-VLOOKUP(K95,'Dados de consulta'!$A$2:$C$38,3,0),8))</f>
        <v>0</v>
      </c>
      <c r="BI95" s="97">
        <f>IF(OR(AY95="SÁB",AY95="DOM"),0,IFERROR(8-VLOOKUP(L95,'Dados de consulta'!$A$2:$C$38,3,0),8))</f>
        <v>0</v>
      </c>
      <c r="BJ95" s="97">
        <f>IF(OR(AY95="SÁB",AY95="DOM"),0,IFERROR(8-VLOOKUP(M95,'Dados de consulta'!$A$2:$C$38,3,0),8))</f>
        <v>0</v>
      </c>
      <c r="BK95" s="97">
        <f>IF(OR(AY95="SÁB",AY95="DOM"),0,IFERROR(8-VLOOKUP(N95,'Dados de consulta'!$A$2:$C$38,3,0),8))</f>
        <v>0</v>
      </c>
      <c r="BL95" s="97">
        <f>IF(OR(AY95="SÁB",AY95="DOM"),0,IFERROR(8-VLOOKUP(O95,'Dados de consulta'!$A$2:$C$38,3,0),8))</f>
        <v>0</v>
      </c>
      <c r="BM95" s="97">
        <f>IF(OR(AY95="SÁB",AY95="DOM"),0,IFERROR(8-VLOOKUP(P95,'Dados de consulta'!$A$2:$C$38,3,0),8))</f>
        <v>0</v>
      </c>
      <c r="BN95" s="97">
        <f>IF(OR(AY95="SÁB",AY95="DOM"),0,IFERROR(8-VLOOKUP(Q95,'Dados de consulta'!$A$2:$C$38,3,0),8))</f>
        <v>0</v>
      </c>
      <c r="BO95" s="97">
        <f>IF(OR(AY95="SÁB",AY95="DOM"),0,IFERROR(8-VLOOKUP(R95,'Dados de consulta'!$A$2:$C$38,3,0),8))</f>
        <v>0</v>
      </c>
      <c r="BP95" s="97">
        <f>IF(OR(AY95="SÁB",AY95="DOM"),0,IFERROR(8-VLOOKUP(S95,'Dados de consulta'!$A$2:$C$38,3,0),8))</f>
        <v>0</v>
      </c>
      <c r="BQ95" s="113">
        <f>IFERROR(6-VLOOKUP(T95,'Dados de consulta'!$A$2:$C$38,3,0)+2,6)</f>
        <v>6</v>
      </c>
      <c r="BR95" s="114">
        <f t="shared" si="50"/>
        <v>0</v>
      </c>
      <c r="BS95">
        <f t="shared" si="26"/>
        <v>0</v>
      </c>
      <c r="BU95">
        <f>IFERROR(8-VLOOKUP(U95,'Dados de consulta'!$A:$D,3,0),8)</f>
        <v>8</v>
      </c>
      <c r="BV95">
        <f>IFERROR(8-VLOOKUP(V95,'Dados de consulta'!$A:$D,3,0),8)</f>
        <v>8</v>
      </c>
      <c r="BW95">
        <f t="shared" si="51"/>
        <v>16</v>
      </c>
    </row>
    <row r="96" spans="1:75" ht="15" hidden="1" x14ac:dyDescent="0.2">
      <c r="A96" s="98">
        <v>42219</v>
      </c>
      <c r="B96" s="129" t="str">
        <f t="shared" si="27"/>
        <v>seg</v>
      </c>
      <c r="C96" s="132"/>
      <c r="D96" s="132"/>
      <c r="E96" s="132">
        <v>18</v>
      </c>
      <c r="F96" s="132">
        <v>101</v>
      </c>
      <c r="G96" s="132">
        <v>4</v>
      </c>
      <c r="H96" s="132">
        <v>4</v>
      </c>
      <c r="I96" s="132">
        <v>8</v>
      </c>
      <c r="J96" s="132"/>
      <c r="K96" s="132"/>
      <c r="L96" s="132"/>
      <c r="M96" s="132"/>
      <c r="N96" s="132"/>
      <c r="O96" s="132"/>
      <c r="P96" s="132"/>
      <c r="Q96" s="132"/>
      <c r="R96" s="132"/>
      <c r="S96" s="132">
        <v>18</v>
      </c>
      <c r="T96" s="132"/>
      <c r="U96" s="151"/>
      <c r="V96" s="151"/>
      <c r="W96" s="307" t="s">
        <v>193</v>
      </c>
      <c r="X96" s="308"/>
      <c r="Y96" s="38">
        <f t="shared" si="28"/>
        <v>24</v>
      </c>
      <c r="Z96" s="38">
        <f t="shared" si="29"/>
        <v>16</v>
      </c>
      <c r="AA96" s="38">
        <f t="shared" si="30"/>
        <v>0</v>
      </c>
      <c r="AB96" s="38">
        <f t="shared" si="38"/>
        <v>0</v>
      </c>
      <c r="AC96" s="38">
        <f t="shared" si="39"/>
        <v>0</v>
      </c>
      <c r="AD96" s="38">
        <f t="shared" si="40"/>
        <v>0</v>
      </c>
      <c r="AE96" s="38">
        <f t="shared" si="41"/>
        <v>0</v>
      </c>
      <c r="AF96" s="38">
        <f t="shared" si="42"/>
        <v>0</v>
      </c>
      <c r="AG96" s="33">
        <f t="shared" si="43"/>
        <v>24</v>
      </c>
      <c r="AH96" s="33">
        <f t="shared" si="44"/>
        <v>16</v>
      </c>
      <c r="AI96" s="33">
        <f t="shared" si="45"/>
        <v>0</v>
      </c>
      <c r="AJ96" s="33">
        <f t="shared" si="46"/>
        <v>0</v>
      </c>
      <c r="AK96" s="34">
        <f t="shared" si="47"/>
        <v>0.16901408450704225</v>
      </c>
      <c r="AL96" s="35">
        <f t="shared" si="48"/>
        <v>0.11267605633802817</v>
      </c>
      <c r="AM96" s="34">
        <f t="shared" si="31"/>
        <v>0</v>
      </c>
      <c r="AN96" s="36">
        <f t="shared" si="49"/>
        <v>0</v>
      </c>
      <c r="AO96" s="6">
        <f t="shared" si="32"/>
        <v>0</v>
      </c>
      <c r="AP96">
        <f t="shared" si="33"/>
        <v>8</v>
      </c>
      <c r="AQ96" s="6">
        <f t="shared" si="34"/>
        <v>0</v>
      </c>
      <c r="AR96" s="6">
        <f t="shared" si="35"/>
        <v>0</v>
      </c>
      <c r="AS96" s="6"/>
      <c r="AX96" s="95">
        <f t="shared" si="36"/>
        <v>42219</v>
      </c>
      <c r="AY96" s="96" t="str">
        <f t="shared" si="37"/>
        <v>seg</v>
      </c>
      <c r="AZ96" s="97">
        <f>IF(OR(AY96="SÁB",AY96="DOM"),0,IFERROR(8-VLOOKUP(C96,'Dados de consulta'!$A$2:$C$38,3,0),8))</f>
        <v>8</v>
      </c>
      <c r="BA96" s="97">
        <f>IF(OR(AY96="SÁB",AY96="DOM"),0,IFERROR(8-VLOOKUP(D96,'Dados de consulta'!$A$2:$C$38,3,0),8))</f>
        <v>8</v>
      </c>
      <c r="BB96" s="97">
        <f>IF(OR(AY96="SÁB",AY96="DOM"),0,IFERROR(8-VLOOKUP(E96,'Dados de consulta'!$A$2:$C$38,3,0),8))</f>
        <v>0</v>
      </c>
      <c r="BC96" s="97">
        <f>IF(OR(AY96="SÁB",AY96="DOM"),0,IFERROR(8-VLOOKUP(F96,'Dados de consulta'!$A$2:$C$38,3,0),8))</f>
        <v>0</v>
      </c>
      <c r="BD96" s="97">
        <f>IF(OR(AY96="SÁB",AY96="DOM"),0,IFERROR(8-VLOOKUP(G96,'Dados de consulta'!$A$2:$C$38,3,0),8))</f>
        <v>0</v>
      </c>
      <c r="BE96" s="97">
        <f>IF(OR(AY96="SÁB",AY96="DOM"),0,IFERROR(8-VLOOKUP(H96,'Dados de consulta'!$A$2:$C$38,3,0),8))</f>
        <v>0</v>
      </c>
      <c r="BF96" s="97">
        <f>IF(OR(AY96="SÁB",AY96="DOM"),0,IFERROR(8-VLOOKUP(I96,'Dados de consulta'!$A$2:$C$38,3,0),8))</f>
        <v>0</v>
      </c>
      <c r="BG96" s="97">
        <f>IF(OR(AY96="SÁB",AY96="DOM"),0,IFERROR(8-VLOOKUP(J96,'Dados de consulta'!$A$2:$C$38,3,0),8))</f>
        <v>8</v>
      </c>
      <c r="BH96" s="97">
        <f>IF(OR(AY96="SÁB",AY96="DOM"),0,IFERROR(8-VLOOKUP(K96,'Dados de consulta'!$A$2:$C$38,3,0),8))</f>
        <v>8</v>
      </c>
      <c r="BI96" s="97">
        <f>IF(OR(AY96="SÁB",AY96="DOM"),0,IFERROR(8-VLOOKUP(L96,'Dados de consulta'!$A$2:$C$38,3,0),8))</f>
        <v>8</v>
      </c>
      <c r="BJ96" s="97">
        <f>IF(OR(AY96="SÁB",AY96="DOM"),0,IFERROR(8-VLOOKUP(M96,'Dados de consulta'!$A$2:$C$38,3,0),8))</f>
        <v>8</v>
      </c>
      <c r="BK96" s="97">
        <f>IF(OR(AY96="SÁB",AY96="DOM"),0,IFERROR(8-VLOOKUP(N96,'Dados de consulta'!$A$2:$C$38,3,0),8))</f>
        <v>8</v>
      </c>
      <c r="BL96" s="97">
        <f>IF(OR(AY96="SÁB",AY96="DOM"),0,IFERROR(8-VLOOKUP(O96,'Dados de consulta'!$A$2:$C$38,3,0),8))</f>
        <v>8</v>
      </c>
      <c r="BM96" s="97">
        <f>IF(OR(AY96="SÁB",AY96="DOM"),0,IFERROR(8-VLOOKUP(P96,'Dados de consulta'!$A$2:$C$38,3,0),8))</f>
        <v>8</v>
      </c>
      <c r="BN96" s="97">
        <f>IF(OR(AY96="SÁB",AY96="DOM"),0,IFERROR(8-VLOOKUP(Q96,'Dados de consulta'!$A$2:$C$38,3,0),8))</f>
        <v>8</v>
      </c>
      <c r="BO96" s="97">
        <f>IF(OR(AY96="SÁB",AY96="DOM"),0,IFERROR(8-VLOOKUP(R96,'Dados de consulta'!$A$2:$C$38,3,0),8))</f>
        <v>8</v>
      </c>
      <c r="BP96" s="97">
        <f>IF(OR(AY96="SÁB",AY96="DOM"),0,IFERROR(8-VLOOKUP(S96,'Dados de consulta'!$A$2:$C$38,3,0),8))</f>
        <v>0</v>
      </c>
      <c r="BQ96" s="113">
        <f>IFERROR(6-VLOOKUP(T96,'Dados de consulta'!$A$2:$C$38,3,0)+2,6)</f>
        <v>6</v>
      </c>
      <c r="BR96" s="114">
        <f t="shared" si="50"/>
        <v>94</v>
      </c>
      <c r="BS96">
        <f t="shared" si="26"/>
        <v>134</v>
      </c>
      <c r="BU96">
        <f>IFERROR(8-VLOOKUP(U96,'Dados de consulta'!$A:$D,3,0),8)</f>
        <v>8</v>
      </c>
      <c r="BV96">
        <f>IFERROR(8-VLOOKUP(V96,'Dados de consulta'!$A:$D,3,0),8)</f>
        <v>8</v>
      </c>
      <c r="BW96">
        <f t="shared" si="51"/>
        <v>16</v>
      </c>
    </row>
    <row r="97" spans="1:75" ht="15" hidden="1" x14ac:dyDescent="0.2">
      <c r="A97" s="98">
        <v>42220</v>
      </c>
      <c r="B97" s="129" t="str">
        <f t="shared" si="27"/>
        <v>ter</v>
      </c>
      <c r="C97" s="132"/>
      <c r="D97" s="132"/>
      <c r="E97" s="132">
        <v>18</v>
      </c>
      <c r="F97" s="132">
        <v>101</v>
      </c>
      <c r="G97" s="132">
        <v>4</v>
      </c>
      <c r="H97" s="132">
        <v>4</v>
      </c>
      <c r="I97" s="132">
        <v>8</v>
      </c>
      <c r="J97" s="132"/>
      <c r="K97" s="132"/>
      <c r="L97" s="132"/>
      <c r="M97" s="132"/>
      <c r="N97" s="132"/>
      <c r="O97" s="132"/>
      <c r="P97" s="132"/>
      <c r="Q97" s="132"/>
      <c r="R97" s="132"/>
      <c r="S97" s="132">
        <v>18</v>
      </c>
      <c r="T97" s="132"/>
      <c r="U97" s="151"/>
      <c r="V97" s="151"/>
      <c r="W97" s="307" t="s">
        <v>193</v>
      </c>
      <c r="X97" s="308"/>
      <c r="Y97" s="38">
        <f t="shared" si="28"/>
        <v>24</v>
      </c>
      <c r="Z97" s="38">
        <f t="shared" si="29"/>
        <v>16</v>
      </c>
      <c r="AA97" s="38">
        <f t="shared" si="30"/>
        <v>0</v>
      </c>
      <c r="AB97" s="38">
        <f t="shared" si="38"/>
        <v>0</v>
      </c>
      <c r="AC97" s="38">
        <f t="shared" si="39"/>
        <v>0</v>
      </c>
      <c r="AD97" s="38">
        <f t="shared" si="40"/>
        <v>0</v>
      </c>
      <c r="AE97" s="38">
        <f t="shared" si="41"/>
        <v>0</v>
      </c>
      <c r="AF97" s="38">
        <f t="shared" si="42"/>
        <v>0</v>
      </c>
      <c r="AG97" s="33">
        <f t="shared" si="43"/>
        <v>24</v>
      </c>
      <c r="AH97" s="33">
        <f t="shared" si="44"/>
        <v>16</v>
      </c>
      <c r="AI97" s="33">
        <f t="shared" si="45"/>
        <v>0</v>
      </c>
      <c r="AJ97" s="33">
        <f t="shared" si="46"/>
        <v>0</v>
      </c>
      <c r="AK97" s="34">
        <f t="shared" si="47"/>
        <v>0.16901408450704225</v>
      </c>
      <c r="AL97" s="35">
        <f t="shared" si="48"/>
        <v>0.11267605633802817</v>
      </c>
      <c r="AM97" s="34">
        <f t="shared" si="31"/>
        <v>0</v>
      </c>
      <c r="AN97" s="36">
        <f t="shared" si="49"/>
        <v>0</v>
      </c>
      <c r="AO97" s="6">
        <f t="shared" si="32"/>
        <v>0</v>
      </c>
      <c r="AP97">
        <f t="shared" si="33"/>
        <v>8</v>
      </c>
      <c r="AQ97" s="6">
        <f t="shared" si="34"/>
        <v>0</v>
      </c>
      <c r="AR97" s="6">
        <f t="shared" si="35"/>
        <v>0</v>
      </c>
      <c r="AS97" s="6"/>
      <c r="AX97" s="95">
        <f t="shared" si="36"/>
        <v>42220</v>
      </c>
      <c r="AY97" s="96" t="str">
        <f t="shared" si="37"/>
        <v>ter</v>
      </c>
      <c r="AZ97" s="97">
        <f>IF(OR(AY97="SÁB",AY97="DOM"),0,IFERROR(8-VLOOKUP(C97,'Dados de consulta'!$A$2:$C$38,3,0),8))</f>
        <v>8</v>
      </c>
      <c r="BA97" s="97">
        <f>IF(OR(AY97="SÁB",AY97="DOM"),0,IFERROR(8-VLOOKUP(D97,'Dados de consulta'!$A$2:$C$38,3,0),8))</f>
        <v>8</v>
      </c>
      <c r="BB97" s="97">
        <f>IF(OR(AY97="SÁB",AY97="DOM"),0,IFERROR(8-VLOOKUP(E97,'Dados de consulta'!$A$2:$C$38,3,0),8))</f>
        <v>0</v>
      </c>
      <c r="BC97" s="97">
        <f>IF(OR(AY97="SÁB",AY97="DOM"),0,IFERROR(8-VLOOKUP(F97,'Dados de consulta'!$A$2:$C$38,3,0),8))</f>
        <v>0</v>
      </c>
      <c r="BD97" s="97">
        <f>IF(OR(AY97="SÁB",AY97="DOM"),0,IFERROR(8-VLOOKUP(G97,'Dados de consulta'!$A$2:$C$38,3,0),8))</f>
        <v>0</v>
      </c>
      <c r="BE97" s="97">
        <f>IF(OR(AY97="SÁB",AY97="DOM"),0,IFERROR(8-VLOOKUP(H97,'Dados de consulta'!$A$2:$C$38,3,0),8))</f>
        <v>0</v>
      </c>
      <c r="BF97" s="97">
        <f>IF(OR(AY97="SÁB",AY97="DOM"),0,IFERROR(8-VLOOKUP(I97,'Dados de consulta'!$A$2:$C$38,3,0),8))</f>
        <v>0</v>
      </c>
      <c r="BG97" s="97">
        <f>IF(OR(AY97="SÁB",AY97="DOM"),0,IFERROR(8-VLOOKUP(J97,'Dados de consulta'!$A$2:$C$38,3,0),8))</f>
        <v>8</v>
      </c>
      <c r="BH97" s="97">
        <f>IF(OR(AY97="SÁB",AY97="DOM"),0,IFERROR(8-VLOOKUP(K97,'Dados de consulta'!$A$2:$C$38,3,0),8))</f>
        <v>8</v>
      </c>
      <c r="BI97" s="97">
        <f>IF(OR(AY97="SÁB",AY97="DOM"),0,IFERROR(8-VLOOKUP(L97,'Dados de consulta'!$A$2:$C$38,3,0),8))</f>
        <v>8</v>
      </c>
      <c r="BJ97" s="97">
        <f>IF(OR(AY97="SÁB",AY97="DOM"),0,IFERROR(8-VLOOKUP(M97,'Dados de consulta'!$A$2:$C$38,3,0),8))</f>
        <v>8</v>
      </c>
      <c r="BK97" s="97">
        <f>IF(OR(AY97="SÁB",AY97="DOM"),0,IFERROR(8-VLOOKUP(N97,'Dados de consulta'!$A$2:$C$38,3,0),8))</f>
        <v>8</v>
      </c>
      <c r="BL97" s="97">
        <f>IF(OR(AY97="SÁB",AY97="DOM"),0,IFERROR(8-VLOOKUP(O97,'Dados de consulta'!$A$2:$C$38,3,0),8))</f>
        <v>8</v>
      </c>
      <c r="BM97" s="97">
        <f>IF(OR(AY97="SÁB",AY97="DOM"),0,IFERROR(8-VLOOKUP(P97,'Dados de consulta'!$A$2:$C$38,3,0),8))</f>
        <v>8</v>
      </c>
      <c r="BN97" s="97">
        <f>IF(OR(AY97="SÁB",AY97="DOM"),0,IFERROR(8-VLOOKUP(Q97,'Dados de consulta'!$A$2:$C$38,3,0),8))</f>
        <v>8</v>
      </c>
      <c r="BO97" s="97">
        <f>IF(OR(AY97="SÁB",AY97="DOM"),0,IFERROR(8-VLOOKUP(R97,'Dados de consulta'!$A$2:$C$38,3,0),8))</f>
        <v>8</v>
      </c>
      <c r="BP97" s="97">
        <f>IF(OR(AY97="SÁB",AY97="DOM"),0,IFERROR(8-VLOOKUP(S97,'Dados de consulta'!$A$2:$C$38,3,0),8))</f>
        <v>0</v>
      </c>
      <c r="BQ97" s="113">
        <f>IFERROR(6-VLOOKUP(T97,'Dados de consulta'!$A$2:$C$38,3,0)+2,6)</f>
        <v>6</v>
      </c>
      <c r="BR97" s="114">
        <f t="shared" si="50"/>
        <v>94</v>
      </c>
      <c r="BS97">
        <f t="shared" si="26"/>
        <v>134</v>
      </c>
      <c r="BU97">
        <f>IFERROR(8-VLOOKUP(U97,'Dados de consulta'!$A:$D,3,0),8)</f>
        <v>8</v>
      </c>
      <c r="BV97">
        <f>IFERROR(8-VLOOKUP(V97,'Dados de consulta'!$A:$D,3,0),8)</f>
        <v>8</v>
      </c>
      <c r="BW97">
        <f t="shared" si="51"/>
        <v>16</v>
      </c>
    </row>
    <row r="98" spans="1:75" ht="15" hidden="1" x14ac:dyDescent="0.2">
      <c r="A98" s="98">
        <v>42221</v>
      </c>
      <c r="B98" s="129" t="str">
        <f t="shared" si="27"/>
        <v>qua</v>
      </c>
      <c r="C98" s="132"/>
      <c r="D98" s="132"/>
      <c r="E98" s="132">
        <v>18</v>
      </c>
      <c r="F98" s="132">
        <v>101</v>
      </c>
      <c r="G98" s="132">
        <v>4</v>
      </c>
      <c r="H98" s="132">
        <v>4</v>
      </c>
      <c r="I98" s="132">
        <v>8</v>
      </c>
      <c r="J98" s="132"/>
      <c r="K98" s="132"/>
      <c r="L98" s="132"/>
      <c r="M98" s="132"/>
      <c r="N98" s="132">
        <v>1</v>
      </c>
      <c r="O98" s="132"/>
      <c r="P98" s="132"/>
      <c r="Q98" s="132"/>
      <c r="R98" s="132"/>
      <c r="S98" s="132">
        <v>18</v>
      </c>
      <c r="T98" s="132"/>
      <c r="U98" s="151"/>
      <c r="V98" s="151"/>
      <c r="W98" s="307" t="s">
        <v>193</v>
      </c>
      <c r="X98" s="308"/>
      <c r="Y98" s="38">
        <f t="shared" si="28"/>
        <v>24</v>
      </c>
      <c r="Z98" s="38">
        <f t="shared" si="29"/>
        <v>24</v>
      </c>
      <c r="AA98" s="38">
        <f t="shared" si="30"/>
        <v>0</v>
      </c>
      <c r="AB98" s="38">
        <f t="shared" si="38"/>
        <v>0</v>
      </c>
      <c r="AC98" s="38">
        <f t="shared" si="39"/>
        <v>0</v>
      </c>
      <c r="AD98" s="38">
        <f t="shared" si="40"/>
        <v>0</v>
      </c>
      <c r="AE98" s="38">
        <f t="shared" si="41"/>
        <v>0</v>
      </c>
      <c r="AF98" s="38">
        <f t="shared" si="42"/>
        <v>0</v>
      </c>
      <c r="AG98" s="33">
        <f t="shared" si="43"/>
        <v>24</v>
      </c>
      <c r="AH98" s="33">
        <f t="shared" si="44"/>
        <v>24</v>
      </c>
      <c r="AI98" s="33">
        <f t="shared" si="45"/>
        <v>0</v>
      </c>
      <c r="AJ98" s="33">
        <f t="shared" si="46"/>
        <v>0</v>
      </c>
      <c r="AK98" s="34">
        <f t="shared" si="47"/>
        <v>0.16901408450704225</v>
      </c>
      <c r="AL98" s="35">
        <f t="shared" si="48"/>
        <v>0.16901408450704225</v>
      </c>
      <c r="AM98" s="34">
        <f t="shared" si="31"/>
        <v>0</v>
      </c>
      <c r="AN98" s="36">
        <f t="shared" si="49"/>
        <v>0</v>
      </c>
      <c r="AO98" s="6">
        <f t="shared" si="32"/>
        <v>0</v>
      </c>
      <c r="AP98">
        <f t="shared" si="33"/>
        <v>8</v>
      </c>
      <c r="AQ98" s="6">
        <f t="shared" si="34"/>
        <v>0</v>
      </c>
      <c r="AR98" s="6">
        <f t="shared" si="35"/>
        <v>0</v>
      </c>
      <c r="AS98" s="6"/>
      <c r="AX98" s="95">
        <f t="shared" si="36"/>
        <v>42221</v>
      </c>
      <c r="AY98" s="96" t="str">
        <f t="shared" si="37"/>
        <v>qua</v>
      </c>
      <c r="AZ98" s="97">
        <f>IF(OR(AY98="SÁB",AY98="DOM"),0,IFERROR(8-VLOOKUP(C98,'Dados de consulta'!$A$2:$C$38,3,0),8))</f>
        <v>8</v>
      </c>
      <c r="BA98" s="97">
        <f>IF(OR(AY98="SÁB",AY98="DOM"),0,IFERROR(8-VLOOKUP(D98,'Dados de consulta'!$A$2:$C$38,3,0),8))</f>
        <v>8</v>
      </c>
      <c r="BB98" s="97">
        <f>IF(OR(AY98="SÁB",AY98="DOM"),0,IFERROR(8-VLOOKUP(E98,'Dados de consulta'!$A$2:$C$38,3,0),8))</f>
        <v>0</v>
      </c>
      <c r="BC98" s="97">
        <f>IF(OR(AY98="SÁB",AY98="DOM"),0,IFERROR(8-VLOOKUP(F98,'Dados de consulta'!$A$2:$C$38,3,0),8))</f>
        <v>0</v>
      </c>
      <c r="BD98" s="97">
        <f>IF(OR(AY98="SÁB",AY98="DOM"),0,IFERROR(8-VLOOKUP(G98,'Dados de consulta'!$A$2:$C$38,3,0),8))</f>
        <v>0</v>
      </c>
      <c r="BE98" s="97">
        <f>IF(OR(AY98="SÁB",AY98="DOM"),0,IFERROR(8-VLOOKUP(H98,'Dados de consulta'!$A$2:$C$38,3,0),8))</f>
        <v>0</v>
      </c>
      <c r="BF98" s="97">
        <f>IF(OR(AY98="SÁB",AY98="DOM"),0,IFERROR(8-VLOOKUP(I98,'Dados de consulta'!$A$2:$C$38,3,0),8))</f>
        <v>0</v>
      </c>
      <c r="BG98" s="97">
        <f>IF(OR(AY98="SÁB",AY98="DOM"),0,IFERROR(8-VLOOKUP(J98,'Dados de consulta'!$A$2:$C$38,3,0),8))</f>
        <v>8</v>
      </c>
      <c r="BH98" s="97">
        <f>IF(OR(AY98="SÁB",AY98="DOM"),0,IFERROR(8-VLOOKUP(K98,'Dados de consulta'!$A$2:$C$38,3,0),8))</f>
        <v>8</v>
      </c>
      <c r="BI98" s="97">
        <f>IF(OR(AY98="SÁB",AY98="DOM"),0,IFERROR(8-VLOOKUP(L98,'Dados de consulta'!$A$2:$C$38,3,0),8))</f>
        <v>8</v>
      </c>
      <c r="BJ98" s="97">
        <f>IF(OR(AY98="SÁB",AY98="DOM"),0,IFERROR(8-VLOOKUP(M98,'Dados de consulta'!$A$2:$C$38,3,0),8))</f>
        <v>8</v>
      </c>
      <c r="BK98" s="97">
        <f>IF(OR(AY98="SÁB",AY98="DOM"),0,IFERROR(8-VLOOKUP(N98,'Dados de consulta'!$A$2:$C$38,3,0),8))</f>
        <v>0</v>
      </c>
      <c r="BL98" s="97">
        <f>IF(OR(AY98="SÁB",AY98="DOM"),0,IFERROR(8-VLOOKUP(O98,'Dados de consulta'!$A$2:$C$38,3,0),8))</f>
        <v>8</v>
      </c>
      <c r="BM98" s="97">
        <f>IF(OR(AY98="SÁB",AY98="DOM"),0,IFERROR(8-VLOOKUP(P98,'Dados de consulta'!$A$2:$C$38,3,0),8))</f>
        <v>8</v>
      </c>
      <c r="BN98" s="97">
        <f>IF(OR(AY98="SÁB",AY98="DOM"),0,IFERROR(8-VLOOKUP(Q98,'Dados de consulta'!$A$2:$C$38,3,0),8))</f>
        <v>8</v>
      </c>
      <c r="BO98" s="97">
        <f>IF(OR(AY98="SÁB",AY98="DOM"),0,IFERROR(8-VLOOKUP(R98,'Dados de consulta'!$A$2:$C$38,3,0),8))</f>
        <v>8</v>
      </c>
      <c r="BP98" s="97">
        <f>IF(OR(AY98="SÁB",AY98="DOM"),0,IFERROR(8-VLOOKUP(S98,'Dados de consulta'!$A$2:$C$38,3,0),8))</f>
        <v>0</v>
      </c>
      <c r="BQ98" s="113">
        <f>IFERROR(6-VLOOKUP(T98,'Dados de consulta'!$A$2:$C$38,3,0)+2,6)</f>
        <v>6</v>
      </c>
      <c r="BR98" s="114">
        <f t="shared" si="50"/>
        <v>86</v>
      </c>
      <c r="BS98">
        <f t="shared" si="26"/>
        <v>134</v>
      </c>
      <c r="BU98">
        <f>IFERROR(8-VLOOKUP(U98,'Dados de consulta'!$A:$D,3,0),8)</f>
        <v>8</v>
      </c>
      <c r="BV98">
        <f>IFERROR(8-VLOOKUP(V98,'Dados de consulta'!$A:$D,3,0),8)</f>
        <v>8</v>
      </c>
      <c r="BW98">
        <f t="shared" si="51"/>
        <v>16</v>
      </c>
    </row>
    <row r="99" spans="1:75" ht="15" hidden="1" x14ac:dyDescent="0.2">
      <c r="A99" s="98">
        <v>42222</v>
      </c>
      <c r="B99" s="129" t="str">
        <f t="shared" si="27"/>
        <v>qui</v>
      </c>
      <c r="C99" s="132"/>
      <c r="D99" s="132"/>
      <c r="E99" s="132">
        <v>18</v>
      </c>
      <c r="F99" s="132">
        <v>101</v>
      </c>
      <c r="G99" s="132">
        <v>4</v>
      </c>
      <c r="H99" s="132">
        <v>4</v>
      </c>
      <c r="I99" s="132">
        <v>8</v>
      </c>
      <c r="J99" s="132">
        <v>6</v>
      </c>
      <c r="K99" s="132">
        <v>6</v>
      </c>
      <c r="L99" s="132"/>
      <c r="M99" s="132"/>
      <c r="N99" s="132"/>
      <c r="O99" s="132">
        <v>6</v>
      </c>
      <c r="P99" s="132">
        <v>6</v>
      </c>
      <c r="Q99" s="132">
        <v>6</v>
      </c>
      <c r="R99" s="132">
        <v>6</v>
      </c>
      <c r="S99" s="132">
        <v>18</v>
      </c>
      <c r="T99" s="132"/>
      <c r="U99" s="151">
        <v>6</v>
      </c>
      <c r="V99" s="151">
        <v>6</v>
      </c>
      <c r="W99" s="307" t="s">
        <v>193</v>
      </c>
      <c r="X99" s="308"/>
      <c r="Y99" s="38">
        <f t="shared" si="28"/>
        <v>24</v>
      </c>
      <c r="Z99" s="38">
        <f t="shared" si="29"/>
        <v>16</v>
      </c>
      <c r="AA99" s="38">
        <f t="shared" si="30"/>
        <v>0</v>
      </c>
      <c r="AB99" s="38">
        <f t="shared" si="38"/>
        <v>48</v>
      </c>
      <c r="AC99" s="38">
        <f t="shared" si="39"/>
        <v>0</v>
      </c>
      <c r="AD99" s="38">
        <f t="shared" si="40"/>
        <v>0</v>
      </c>
      <c r="AE99" s="38">
        <f t="shared" si="41"/>
        <v>0</v>
      </c>
      <c r="AF99" s="38">
        <f t="shared" si="42"/>
        <v>0</v>
      </c>
      <c r="AG99" s="33">
        <f t="shared" si="43"/>
        <v>24</v>
      </c>
      <c r="AH99" s="33">
        <f t="shared" si="44"/>
        <v>16</v>
      </c>
      <c r="AI99" s="33">
        <f t="shared" si="45"/>
        <v>0</v>
      </c>
      <c r="AJ99" s="33">
        <f t="shared" si="46"/>
        <v>48</v>
      </c>
      <c r="AK99" s="34">
        <f t="shared" si="47"/>
        <v>0.16901408450704225</v>
      </c>
      <c r="AL99" s="35">
        <f t="shared" si="48"/>
        <v>0.11267605633802817</v>
      </c>
      <c r="AM99" s="34">
        <f t="shared" si="31"/>
        <v>0</v>
      </c>
      <c r="AN99" s="36">
        <f t="shared" si="49"/>
        <v>0.3380281690140845</v>
      </c>
      <c r="AO99" s="6">
        <f t="shared" si="32"/>
        <v>0</v>
      </c>
      <c r="AP99">
        <f t="shared" si="33"/>
        <v>8</v>
      </c>
      <c r="AQ99" s="6">
        <f t="shared" si="34"/>
        <v>0</v>
      </c>
      <c r="AR99" s="6">
        <f t="shared" si="35"/>
        <v>0</v>
      </c>
      <c r="AS99" s="6"/>
      <c r="AX99" s="95">
        <f t="shared" si="36"/>
        <v>42222</v>
      </c>
      <c r="AY99" s="96" t="str">
        <f t="shared" si="37"/>
        <v>qui</v>
      </c>
      <c r="AZ99" s="97">
        <f>IF(OR(AY99="SÁB",AY99="DOM"),0,IFERROR(8-VLOOKUP(C99,'Dados de consulta'!$A$2:$C$38,3,0),8))</f>
        <v>8</v>
      </c>
      <c r="BA99" s="97">
        <f>IF(OR(AY99="SÁB",AY99="DOM"),0,IFERROR(8-VLOOKUP(D99,'Dados de consulta'!$A$2:$C$38,3,0),8))</f>
        <v>8</v>
      </c>
      <c r="BB99" s="97">
        <f>IF(OR(AY99="SÁB",AY99="DOM"),0,IFERROR(8-VLOOKUP(E99,'Dados de consulta'!$A$2:$C$38,3,0),8))</f>
        <v>0</v>
      </c>
      <c r="BC99" s="97">
        <f>IF(OR(AY99="SÁB",AY99="DOM"),0,IFERROR(8-VLOOKUP(F99,'Dados de consulta'!$A$2:$C$38,3,0),8))</f>
        <v>0</v>
      </c>
      <c r="BD99" s="97">
        <f>IF(OR(AY99="SÁB",AY99="DOM"),0,IFERROR(8-VLOOKUP(G99,'Dados de consulta'!$A$2:$C$38,3,0),8))</f>
        <v>0</v>
      </c>
      <c r="BE99" s="97">
        <f>IF(OR(AY99="SÁB",AY99="DOM"),0,IFERROR(8-VLOOKUP(H99,'Dados de consulta'!$A$2:$C$38,3,0),8))</f>
        <v>0</v>
      </c>
      <c r="BF99" s="97">
        <f>IF(OR(AY99="SÁB",AY99="DOM"),0,IFERROR(8-VLOOKUP(I99,'Dados de consulta'!$A$2:$C$38,3,0),8))</f>
        <v>0</v>
      </c>
      <c r="BG99" s="97">
        <f>IF(OR(AY99="SÁB",AY99="DOM"),0,IFERROR(8-VLOOKUP(J99,'Dados de consulta'!$A$2:$C$38,3,0),8))</f>
        <v>0</v>
      </c>
      <c r="BH99" s="97">
        <f>IF(OR(AY99="SÁB",AY99="DOM"),0,IFERROR(8-VLOOKUP(K99,'Dados de consulta'!$A$2:$C$38,3,0),8))</f>
        <v>0</v>
      </c>
      <c r="BI99" s="97">
        <f>IF(OR(AY99="SÁB",AY99="DOM"),0,IFERROR(8-VLOOKUP(L99,'Dados de consulta'!$A$2:$C$38,3,0),8))</f>
        <v>8</v>
      </c>
      <c r="BJ99" s="97">
        <f>IF(OR(AY99="SÁB",AY99="DOM"),0,IFERROR(8-VLOOKUP(M99,'Dados de consulta'!$A$2:$C$38,3,0),8))</f>
        <v>8</v>
      </c>
      <c r="BK99" s="97">
        <f>IF(OR(AY99="SÁB",AY99="DOM"),0,IFERROR(8-VLOOKUP(N99,'Dados de consulta'!$A$2:$C$38,3,0),8))</f>
        <v>8</v>
      </c>
      <c r="BL99" s="97">
        <f>IF(OR(AY99="SÁB",AY99="DOM"),0,IFERROR(8-VLOOKUP(O99,'Dados de consulta'!$A$2:$C$38,3,0),8))</f>
        <v>0</v>
      </c>
      <c r="BM99" s="97">
        <f>IF(OR(AY99="SÁB",AY99="DOM"),0,IFERROR(8-VLOOKUP(P99,'Dados de consulta'!$A$2:$C$38,3,0),8))</f>
        <v>0</v>
      </c>
      <c r="BN99" s="97">
        <f>IF(OR(AY99="SÁB",AY99="DOM"),0,IFERROR(8-VLOOKUP(Q99,'Dados de consulta'!$A$2:$C$38,3,0),8))</f>
        <v>0</v>
      </c>
      <c r="BO99" s="97">
        <f>IF(OR(AY99="SÁB",AY99="DOM"),0,IFERROR(8-VLOOKUP(R99,'Dados de consulta'!$A$2:$C$38,3,0),8))</f>
        <v>0</v>
      </c>
      <c r="BP99" s="97">
        <f>IF(OR(AY99="SÁB",AY99="DOM"),0,IFERROR(8-VLOOKUP(S99,'Dados de consulta'!$A$2:$C$38,3,0),8))</f>
        <v>0</v>
      </c>
      <c r="BQ99" s="113">
        <f>IFERROR(6-VLOOKUP(T99,'Dados de consulta'!$A$2:$C$38,3,0)+2,6)</f>
        <v>6</v>
      </c>
      <c r="BR99" s="114">
        <f t="shared" si="50"/>
        <v>46</v>
      </c>
      <c r="BS99">
        <f t="shared" si="26"/>
        <v>134</v>
      </c>
      <c r="BU99">
        <f>IFERROR(8-VLOOKUP(U99,'Dados de consulta'!$A:$D,3,0),8)</f>
        <v>0</v>
      </c>
      <c r="BV99">
        <f>IFERROR(8-VLOOKUP(V99,'Dados de consulta'!$A:$D,3,0),8)</f>
        <v>0</v>
      </c>
      <c r="BW99">
        <f t="shared" si="51"/>
        <v>0</v>
      </c>
    </row>
    <row r="100" spans="1:75" ht="15" hidden="1" x14ac:dyDescent="0.2">
      <c r="A100" s="98">
        <v>42223</v>
      </c>
      <c r="B100" s="129" t="str">
        <f t="shared" si="27"/>
        <v>sex</v>
      </c>
      <c r="C100" s="132"/>
      <c r="D100" s="132"/>
      <c r="E100" s="132">
        <v>18</v>
      </c>
      <c r="F100" s="132">
        <v>101</v>
      </c>
      <c r="G100" s="132">
        <v>4</v>
      </c>
      <c r="H100" s="132">
        <v>4</v>
      </c>
      <c r="I100" s="132">
        <v>8</v>
      </c>
      <c r="J100" s="132">
        <v>6</v>
      </c>
      <c r="K100" s="132"/>
      <c r="L100" s="132"/>
      <c r="M100" s="132"/>
      <c r="N100" s="132"/>
      <c r="O100" s="132">
        <v>6</v>
      </c>
      <c r="P100" s="132">
        <v>8</v>
      </c>
      <c r="Q100" s="132">
        <v>6</v>
      </c>
      <c r="R100" s="132"/>
      <c r="S100" s="132">
        <v>18</v>
      </c>
      <c r="T100" s="132"/>
      <c r="U100" s="151">
        <v>6</v>
      </c>
      <c r="V100" s="151"/>
      <c r="W100" s="307" t="s">
        <v>193</v>
      </c>
      <c r="X100" s="308"/>
      <c r="Y100" s="38">
        <f t="shared" si="28"/>
        <v>32</v>
      </c>
      <c r="Z100" s="38">
        <f t="shared" si="29"/>
        <v>16</v>
      </c>
      <c r="AA100" s="38">
        <f t="shared" si="30"/>
        <v>0</v>
      </c>
      <c r="AB100" s="38">
        <f t="shared" si="38"/>
        <v>24</v>
      </c>
      <c r="AC100" s="38">
        <f t="shared" si="39"/>
        <v>0</v>
      </c>
      <c r="AD100" s="38">
        <f t="shared" si="40"/>
        <v>0</v>
      </c>
      <c r="AE100" s="38">
        <f t="shared" si="41"/>
        <v>0</v>
      </c>
      <c r="AF100" s="38">
        <f t="shared" si="42"/>
        <v>0</v>
      </c>
      <c r="AG100" s="33">
        <f t="shared" si="43"/>
        <v>32</v>
      </c>
      <c r="AH100" s="33">
        <f t="shared" si="44"/>
        <v>16</v>
      </c>
      <c r="AI100" s="33">
        <f t="shared" si="45"/>
        <v>0</v>
      </c>
      <c r="AJ100" s="33">
        <f t="shared" si="46"/>
        <v>24</v>
      </c>
      <c r="AK100" s="34">
        <f t="shared" si="47"/>
        <v>0.22535211267605634</v>
      </c>
      <c r="AL100" s="35">
        <f t="shared" si="48"/>
        <v>0.11267605633802817</v>
      </c>
      <c r="AM100" s="34">
        <f t="shared" si="31"/>
        <v>0</v>
      </c>
      <c r="AN100" s="36">
        <f t="shared" si="49"/>
        <v>0.16901408450704225</v>
      </c>
      <c r="AO100" s="6">
        <f t="shared" si="32"/>
        <v>0</v>
      </c>
      <c r="AP100">
        <f t="shared" si="33"/>
        <v>8</v>
      </c>
      <c r="AQ100" s="6">
        <f t="shared" si="34"/>
        <v>0</v>
      </c>
      <c r="AR100" s="6">
        <f t="shared" si="35"/>
        <v>0</v>
      </c>
      <c r="AS100" s="6"/>
      <c r="AX100" s="95">
        <f t="shared" si="36"/>
        <v>42223</v>
      </c>
      <c r="AY100" s="96" t="str">
        <f t="shared" si="37"/>
        <v>sex</v>
      </c>
      <c r="AZ100" s="97">
        <f>IF(OR(AY100="SÁB",AY100="DOM"),0,IFERROR(8-VLOOKUP(C100,'Dados de consulta'!$A$2:$C$38,3,0),8))</f>
        <v>8</v>
      </c>
      <c r="BA100" s="97">
        <f>IF(OR(AY100="SÁB",AY100="DOM"),0,IFERROR(8-VLOOKUP(D100,'Dados de consulta'!$A$2:$C$38,3,0),8))</f>
        <v>8</v>
      </c>
      <c r="BB100" s="97">
        <f>IF(OR(AY100="SÁB",AY100="DOM"),0,IFERROR(8-VLOOKUP(E100,'Dados de consulta'!$A$2:$C$38,3,0),8))</f>
        <v>0</v>
      </c>
      <c r="BC100" s="97">
        <f>IF(OR(AY100="SÁB",AY100="DOM"),0,IFERROR(8-VLOOKUP(F100,'Dados de consulta'!$A$2:$C$38,3,0),8))</f>
        <v>0</v>
      </c>
      <c r="BD100" s="97">
        <f>IF(OR(AY100="SÁB",AY100="DOM"),0,IFERROR(8-VLOOKUP(G100,'Dados de consulta'!$A$2:$C$38,3,0),8))</f>
        <v>0</v>
      </c>
      <c r="BE100" s="97">
        <f>IF(OR(AY100="SÁB",AY100="DOM"),0,IFERROR(8-VLOOKUP(H100,'Dados de consulta'!$A$2:$C$38,3,0),8))</f>
        <v>0</v>
      </c>
      <c r="BF100" s="97">
        <f>IF(OR(AY100="SÁB",AY100="DOM"),0,IFERROR(8-VLOOKUP(I100,'Dados de consulta'!$A$2:$C$38,3,0),8))</f>
        <v>0</v>
      </c>
      <c r="BG100" s="97">
        <f>IF(OR(AY100="SÁB",AY100="DOM"),0,IFERROR(8-VLOOKUP(J100,'Dados de consulta'!$A$2:$C$38,3,0),8))</f>
        <v>0</v>
      </c>
      <c r="BH100" s="97">
        <f>IF(OR(AY100="SÁB",AY100="DOM"),0,IFERROR(8-VLOOKUP(K100,'Dados de consulta'!$A$2:$C$38,3,0),8))</f>
        <v>8</v>
      </c>
      <c r="BI100" s="97">
        <f>IF(OR(AY100="SÁB",AY100="DOM"),0,IFERROR(8-VLOOKUP(L100,'Dados de consulta'!$A$2:$C$38,3,0),8))</f>
        <v>8</v>
      </c>
      <c r="BJ100" s="97">
        <f>IF(OR(AY100="SÁB",AY100="DOM"),0,IFERROR(8-VLOOKUP(M100,'Dados de consulta'!$A$2:$C$38,3,0),8))</f>
        <v>8</v>
      </c>
      <c r="BK100" s="97">
        <f>IF(OR(AY100="SÁB",AY100="DOM"),0,IFERROR(8-VLOOKUP(N100,'Dados de consulta'!$A$2:$C$38,3,0),8))</f>
        <v>8</v>
      </c>
      <c r="BL100" s="97">
        <f>IF(OR(AY100="SÁB",AY100="DOM"),0,IFERROR(8-VLOOKUP(O100,'Dados de consulta'!$A$2:$C$38,3,0),8))</f>
        <v>0</v>
      </c>
      <c r="BM100" s="97">
        <f>IF(OR(AY100="SÁB",AY100="DOM"),0,IFERROR(8-VLOOKUP(P100,'Dados de consulta'!$A$2:$C$38,3,0),8))</f>
        <v>0</v>
      </c>
      <c r="BN100" s="97">
        <f>IF(OR(AY100="SÁB",AY100="DOM"),0,IFERROR(8-VLOOKUP(Q100,'Dados de consulta'!$A$2:$C$38,3,0),8))</f>
        <v>0</v>
      </c>
      <c r="BO100" s="97">
        <f>IF(OR(AY100="SÁB",AY100="DOM"),0,IFERROR(8-VLOOKUP(R100,'Dados de consulta'!$A$2:$C$38,3,0),8))</f>
        <v>8</v>
      </c>
      <c r="BP100" s="97">
        <f>IF(OR(AY100="SÁB",AY100="DOM"),0,IFERROR(8-VLOOKUP(S100,'Dados de consulta'!$A$2:$C$38,3,0),8))</f>
        <v>0</v>
      </c>
      <c r="BQ100" s="113">
        <f>IFERROR(6-VLOOKUP(T100,'Dados de consulta'!$A$2:$C$38,3,0)+2,6)</f>
        <v>6</v>
      </c>
      <c r="BR100" s="114">
        <f t="shared" si="50"/>
        <v>62</v>
      </c>
      <c r="BS100">
        <f t="shared" si="26"/>
        <v>134</v>
      </c>
      <c r="BU100">
        <f>IFERROR(8-VLOOKUP(U100,'Dados de consulta'!$A:$D,3,0),8)</f>
        <v>0</v>
      </c>
      <c r="BV100">
        <f>IFERROR(8-VLOOKUP(V100,'Dados de consulta'!$A:$D,3,0),8)</f>
        <v>8</v>
      </c>
      <c r="BW100">
        <f t="shared" si="51"/>
        <v>8</v>
      </c>
    </row>
    <row r="101" spans="1:75" ht="15" hidden="1" x14ac:dyDescent="0.2">
      <c r="A101" s="98">
        <v>42224</v>
      </c>
      <c r="B101" s="129" t="str">
        <f t="shared" si="27"/>
        <v>sáb</v>
      </c>
      <c r="C101" s="132"/>
      <c r="D101" s="132"/>
      <c r="E101" s="132">
        <v>18</v>
      </c>
      <c r="F101" s="132">
        <v>101</v>
      </c>
      <c r="G101" s="132">
        <v>4</v>
      </c>
      <c r="H101" s="132">
        <v>4</v>
      </c>
      <c r="I101" s="132">
        <v>8</v>
      </c>
      <c r="J101" s="132"/>
      <c r="K101" s="132"/>
      <c r="L101" s="132"/>
      <c r="M101" s="132"/>
      <c r="N101" s="132"/>
      <c r="O101" s="132"/>
      <c r="P101" s="132"/>
      <c r="Q101" s="132"/>
      <c r="R101" s="132"/>
      <c r="S101" s="132">
        <v>18</v>
      </c>
      <c r="T101" s="132"/>
      <c r="U101" s="151"/>
      <c r="V101" s="151"/>
      <c r="W101" s="307" t="s">
        <v>193</v>
      </c>
      <c r="X101" s="308"/>
      <c r="Y101" s="38">
        <f t="shared" si="28"/>
        <v>24</v>
      </c>
      <c r="Z101" s="38">
        <f t="shared" si="29"/>
        <v>16</v>
      </c>
      <c r="AA101" s="38">
        <f t="shared" si="30"/>
        <v>0</v>
      </c>
      <c r="AB101" s="38">
        <f t="shared" si="38"/>
        <v>0</v>
      </c>
      <c r="AC101" s="38">
        <f t="shared" si="39"/>
        <v>0</v>
      </c>
      <c r="AD101" s="38">
        <f t="shared" si="40"/>
        <v>0</v>
      </c>
      <c r="AE101" s="38">
        <f t="shared" si="41"/>
        <v>0</v>
      </c>
      <c r="AF101" s="38">
        <f t="shared" si="42"/>
        <v>0</v>
      </c>
      <c r="AG101" s="33">
        <f t="shared" si="43"/>
        <v>0</v>
      </c>
      <c r="AH101" s="33">
        <f t="shared" si="44"/>
        <v>0</v>
      </c>
      <c r="AI101" s="33">
        <f t="shared" si="45"/>
        <v>0</v>
      </c>
      <c r="AJ101" s="33">
        <f t="shared" si="46"/>
        <v>0</v>
      </c>
      <c r="AK101" s="34">
        <f t="shared" si="47"/>
        <v>0</v>
      </c>
      <c r="AL101" s="35">
        <f t="shared" si="48"/>
        <v>0</v>
      </c>
      <c r="AM101" s="34">
        <f t="shared" si="31"/>
        <v>0</v>
      </c>
      <c r="AN101" s="36">
        <f t="shared" si="49"/>
        <v>0</v>
      </c>
      <c r="AO101" s="6">
        <f t="shared" si="32"/>
        <v>0</v>
      </c>
      <c r="AP101">
        <f t="shared" si="33"/>
        <v>8</v>
      </c>
      <c r="AQ101" s="6">
        <f t="shared" si="34"/>
        <v>0</v>
      </c>
      <c r="AR101" s="6">
        <f t="shared" si="35"/>
        <v>0</v>
      </c>
      <c r="AS101" s="6"/>
      <c r="AX101" s="95">
        <f t="shared" si="36"/>
        <v>42224</v>
      </c>
      <c r="AY101" s="96" t="str">
        <f t="shared" si="37"/>
        <v>sáb</v>
      </c>
      <c r="AZ101" s="97">
        <f>IF(OR(AY101="SÁB",AY101="DOM"),0,IFERROR(8-VLOOKUP(C101,'Dados de consulta'!$A$2:$C$38,3,0),8))</f>
        <v>0</v>
      </c>
      <c r="BA101" s="97">
        <f>IF(OR(AY101="SÁB",AY101="DOM"),0,IFERROR(8-VLOOKUP(D101,'Dados de consulta'!$A$2:$C$38,3,0),8))</f>
        <v>0</v>
      </c>
      <c r="BB101" s="97">
        <f>IF(OR(AY101="SÁB",AY101="DOM"),0,IFERROR(8-VLOOKUP(E101,'Dados de consulta'!$A$2:$C$38,3,0),8))</f>
        <v>0</v>
      </c>
      <c r="BC101" s="97">
        <f>IF(OR(AY101="SÁB",AY101="DOM"),0,IFERROR(8-VLOOKUP(F101,'Dados de consulta'!$A$2:$C$38,3,0),8))</f>
        <v>0</v>
      </c>
      <c r="BD101" s="97">
        <f>IF(OR(AY101="SÁB",AY101="DOM"),0,IFERROR(8-VLOOKUP(G101,'Dados de consulta'!$A$2:$C$38,3,0),8))</f>
        <v>0</v>
      </c>
      <c r="BE101" s="97">
        <f>IF(OR(AY101="SÁB",AY101="DOM"),0,IFERROR(8-VLOOKUP(H101,'Dados de consulta'!$A$2:$C$38,3,0),8))</f>
        <v>0</v>
      </c>
      <c r="BF101" s="97">
        <f>IF(OR(AY101="SÁB",AY101="DOM"),0,IFERROR(8-VLOOKUP(I101,'Dados de consulta'!$A$2:$C$38,3,0),8))</f>
        <v>0</v>
      </c>
      <c r="BG101" s="97">
        <f>IF(OR(AY101="SÁB",AY101="DOM"),0,IFERROR(8-VLOOKUP(J101,'Dados de consulta'!$A$2:$C$38,3,0),8))</f>
        <v>0</v>
      </c>
      <c r="BH101" s="97">
        <f>IF(OR(AY101="SÁB",AY101="DOM"),0,IFERROR(8-VLOOKUP(K101,'Dados de consulta'!$A$2:$C$38,3,0),8))</f>
        <v>0</v>
      </c>
      <c r="BI101" s="97">
        <f>IF(OR(AY101="SÁB",AY101="DOM"),0,IFERROR(8-VLOOKUP(L101,'Dados de consulta'!$A$2:$C$38,3,0),8))</f>
        <v>0</v>
      </c>
      <c r="BJ101" s="97">
        <f>IF(OR(AY101="SÁB",AY101="DOM"),0,IFERROR(8-VLOOKUP(M101,'Dados de consulta'!$A$2:$C$38,3,0),8))</f>
        <v>0</v>
      </c>
      <c r="BK101" s="97">
        <f>IF(OR(AY101="SÁB",AY101="DOM"),0,IFERROR(8-VLOOKUP(N101,'Dados de consulta'!$A$2:$C$38,3,0),8))</f>
        <v>0</v>
      </c>
      <c r="BL101" s="97">
        <f>IF(OR(AY101="SÁB",AY101="DOM"),0,IFERROR(8-VLOOKUP(O101,'Dados de consulta'!$A$2:$C$38,3,0),8))</f>
        <v>0</v>
      </c>
      <c r="BM101" s="97">
        <f>IF(OR(AY101="SÁB",AY101="DOM"),0,IFERROR(8-VLOOKUP(P101,'Dados de consulta'!$A$2:$C$38,3,0),8))</f>
        <v>0</v>
      </c>
      <c r="BN101" s="97">
        <f>IF(OR(AY101="SÁB",AY101="DOM"),0,IFERROR(8-VLOOKUP(Q101,'Dados de consulta'!$A$2:$C$38,3,0),8))</f>
        <v>0</v>
      </c>
      <c r="BO101" s="97">
        <f>IF(OR(AY101="SÁB",AY101="DOM"),0,IFERROR(8-VLOOKUP(R101,'Dados de consulta'!$A$2:$C$38,3,0),8))</f>
        <v>0</v>
      </c>
      <c r="BP101" s="97">
        <f>IF(OR(AY101="SÁB",AY101="DOM"),0,IFERROR(8-VLOOKUP(S101,'Dados de consulta'!$A$2:$C$38,3,0),8))</f>
        <v>0</v>
      </c>
      <c r="BQ101" s="113">
        <f>IFERROR(6-VLOOKUP(T101,'Dados de consulta'!$A$2:$C$38,3,0)+2,6)</f>
        <v>6</v>
      </c>
      <c r="BR101" s="114">
        <f t="shared" si="50"/>
        <v>0</v>
      </c>
      <c r="BS101">
        <f t="shared" si="26"/>
        <v>0</v>
      </c>
      <c r="BU101">
        <f>IFERROR(8-VLOOKUP(U101,'Dados de consulta'!$A:$D,3,0),8)</f>
        <v>8</v>
      </c>
      <c r="BV101">
        <f>IFERROR(8-VLOOKUP(V101,'Dados de consulta'!$A:$D,3,0),8)</f>
        <v>8</v>
      </c>
      <c r="BW101">
        <f t="shared" si="51"/>
        <v>16</v>
      </c>
    </row>
    <row r="102" spans="1:75" ht="15" hidden="1" x14ac:dyDescent="0.2">
      <c r="A102" s="98">
        <v>42225</v>
      </c>
      <c r="B102" s="129" t="str">
        <f t="shared" si="27"/>
        <v>dom</v>
      </c>
      <c r="C102" s="132"/>
      <c r="D102" s="132"/>
      <c r="E102" s="132">
        <v>18</v>
      </c>
      <c r="F102" s="132">
        <v>101</v>
      </c>
      <c r="G102" s="132">
        <v>4</v>
      </c>
      <c r="H102" s="132">
        <v>4</v>
      </c>
      <c r="I102" s="132">
        <v>8</v>
      </c>
      <c r="J102" s="132"/>
      <c r="K102" s="132"/>
      <c r="L102" s="132"/>
      <c r="M102" s="132"/>
      <c r="N102" s="132"/>
      <c r="O102" s="132"/>
      <c r="P102" s="132"/>
      <c r="Q102" s="132"/>
      <c r="R102" s="132"/>
      <c r="S102" s="132">
        <v>18</v>
      </c>
      <c r="T102" s="132"/>
      <c r="U102" s="151"/>
      <c r="V102" s="151"/>
      <c r="W102" s="307" t="s">
        <v>193</v>
      </c>
      <c r="X102" s="308"/>
      <c r="Y102" s="38">
        <f t="shared" si="28"/>
        <v>24</v>
      </c>
      <c r="Z102" s="38">
        <f t="shared" si="29"/>
        <v>16</v>
      </c>
      <c r="AA102" s="38">
        <f t="shared" si="30"/>
        <v>0</v>
      </c>
      <c r="AB102" s="38">
        <f t="shared" si="38"/>
        <v>0</v>
      </c>
      <c r="AC102" s="38">
        <f t="shared" si="39"/>
        <v>0</v>
      </c>
      <c r="AD102" s="38">
        <f t="shared" si="40"/>
        <v>0</v>
      </c>
      <c r="AE102" s="38">
        <f t="shared" si="41"/>
        <v>0</v>
      </c>
      <c r="AF102" s="38">
        <f t="shared" si="42"/>
        <v>0</v>
      </c>
      <c r="AG102" s="33">
        <f t="shared" si="43"/>
        <v>0</v>
      </c>
      <c r="AH102" s="33">
        <f t="shared" si="44"/>
        <v>0</v>
      </c>
      <c r="AI102" s="33">
        <f t="shared" si="45"/>
        <v>0</v>
      </c>
      <c r="AJ102" s="33">
        <f t="shared" si="46"/>
        <v>0</v>
      </c>
      <c r="AK102" s="34">
        <f t="shared" si="47"/>
        <v>0</v>
      </c>
      <c r="AL102" s="35">
        <f t="shared" si="48"/>
        <v>0</v>
      </c>
      <c r="AM102" s="34">
        <f t="shared" si="31"/>
        <v>0</v>
      </c>
      <c r="AN102" s="36">
        <f t="shared" si="49"/>
        <v>0</v>
      </c>
      <c r="AO102" s="6">
        <f t="shared" si="32"/>
        <v>0</v>
      </c>
      <c r="AP102">
        <f t="shared" si="33"/>
        <v>8</v>
      </c>
      <c r="AQ102" s="6">
        <f t="shared" si="34"/>
        <v>0</v>
      </c>
      <c r="AR102" s="6">
        <f t="shared" si="35"/>
        <v>0</v>
      </c>
      <c r="AS102" s="6"/>
      <c r="AX102" s="95">
        <f t="shared" si="36"/>
        <v>42225</v>
      </c>
      <c r="AY102" s="96" t="str">
        <f t="shared" si="37"/>
        <v>dom</v>
      </c>
      <c r="AZ102" s="97">
        <f>IF(OR(AY102="SÁB",AY102="DOM"),0,IFERROR(8-VLOOKUP(C102,'Dados de consulta'!$A$2:$C$38,3,0),8))</f>
        <v>0</v>
      </c>
      <c r="BA102" s="97">
        <f>IF(OR(AY102="SÁB",AY102="DOM"),0,IFERROR(8-VLOOKUP(D102,'Dados de consulta'!$A$2:$C$38,3,0),8))</f>
        <v>0</v>
      </c>
      <c r="BB102" s="97">
        <f>IF(OR(AY102="SÁB",AY102="DOM"),0,IFERROR(8-VLOOKUP(E102,'Dados de consulta'!$A$2:$C$38,3,0),8))</f>
        <v>0</v>
      </c>
      <c r="BC102" s="97">
        <f>IF(OR(AY102="SÁB",AY102="DOM"),0,IFERROR(8-VLOOKUP(F102,'Dados de consulta'!$A$2:$C$38,3,0),8))</f>
        <v>0</v>
      </c>
      <c r="BD102" s="97">
        <f>IF(OR(AY102="SÁB",AY102="DOM"),0,IFERROR(8-VLOOKUP(G102,'Dados de consulta'!$A$2:$C$38,3,0),8))</f>
        <v>0</v>
      </c>
      <c r="BE102" s="97">
        <f>IF(OR(AY102="SÁB",AY102="DOM"),0,IFERROR(8-VLOOKUP(H102,'Dados de consulta'!$A$2:$C$38,3,0),8))</f>
        <v>0</v>
      </c>
      <c r="BF102" s="97">
        <f>IF(OR(AY102="SÁB",AY102="DOM"),0,IFERROR(8-VLOOKUP(I102,'Dados de consulta'!$A$2:$C$38,3,0),8))</f>
        <v>0</v>
      </c>
      <c r="BG102" s="97">
        <f>IF(OR(AY102="SÁB",AY102="DOM"),0,IFERROR(8-VLOOKUP(J102,'Dados de consulta'!$A$2:$C$38,3,0),8))</f>
        <v>0</v>
      </c>
      <c r="BH102" s="97">
        <f>IF(OR(AY102="SÁB",AY102="DOM"),0,IFERROR(8-VLOOKUP(K102,'Dados de consulta'!$A$2:$C$38,3,0),8))</f>
        <v>0</v>
      </c>
      <c r="BI102" s="97">
        <f>IF(OR(AY102="SÁB",AY102="DOM"),0,IFERROR(8-VLOOKUP(L102,'Dados de consulta'!$A$2:$C$38,3,0),8))</f>
        <v>0</v>
      </c>
      <c r="BJ102" s="97">
        <f>IF(OR(AY102="SÁB",AY102="DOM"),0,IFERROR(8-VLOOKUP(M102,'Dados de consulta'!$A$2:$C$38,3,0),8))</f>
        <v>0</v>
      </c>
      <c r="BK102" s="97">
        <f>IF(OR(AY102="SÁB",AY102="DOM"),0,IFERROR(8-VLOOKUP(N102,'Dados de consulta'!$A$2:$C$38,3,0),8))</f>
        <v>0</v>
      </c>
      <c r="BL102" s="97">
        <f>IF(OR(AY102="SÁB",AY102="DOM"),0,IFERROR(8-VLOOKUP(O102,'Dados de consulta'!$A$2:$C$38,3,0),8))</f>
        <v>0</v>
      </c>
      <c r="BM102" s="97">
        <f>IF(OR(AY102="SÁB",AY102="DOM"),0,IFERROR(8-VLOOKUP(P102,'Dados de consulta'!$A$2:$C$38,3,0),8))</f>
        <v>0</v>
      </c>
      <c r="BN102" s="97">
        <f>IF(OR(AY102="SÁB",AY102="DOM"),0,IFERROR(8-VLOOKUP(Q102,'Dados de consulta'!$A$2:$C$38,3,0),8))</f>
        <v>0</v>
      </c>
      <c r="BO102" s="97">
        <f>IF(OR(AY102="SÁB",AY102="DOM"),0,IFERROR(8-VLOOKUP(R102,'Dados de consulta'!$A$2:$C$38,3,0),8))</f>
        <v>0</v>
      </c>
      <c r="BP102" s="97">
        <f>IF(OR(AY102="SÁB",AY102="DOM"),0,IFERROR(8-VLOOKUP(S102,'Dados de consulta'!$A$2:$C$38,3,0),8))</f>
        <v>0</v>
      </c>
      <c r="BQ102" s="113">
        <f>IFERROR(6-VLOOKUP(T102,'Dados de consulta'!$A$2:$C$38,3,0)+2,6)</f>
        <v>6</v>
      </c>
      <c r="BR102" s="114">
        <f t="shared" si="50"/>
        <v>0</v>
      </c>
      <c r="BS102">
        <f t="shared" si="26"/>
        <v>0</v>
      </c>
      <c r="BU102">
        <f>IFERROR(8-VLOOKUP(U102,'Dados de consulta'!$A:$D,3,0),8)</f>
        <v>8</v>
      </c>
      <c r="BV102">
        <f>IFERROR(8-VLOOKUP(V102,'Dados de consulta'!$A:$D,3,0),8)</f>
        <v>8</v>
      </c>
      <c r="BW102">
        <f t="shared" si="51"/>
        <v>16</v>
      </c>
    </row>
    <row r="103" spans="1:75" ht="15" hidden="1" x14ac:dyDescent="0.2">
      <c r="A103" s="98">
        <v>42226</v>
      </c>
      <c r="B103" s="129" t="str">
        <f t="shared" si="27"/>
        <v>seg</v>
      </c>
      <c r="C103" s="132"/>
      <c r="D103" s="132"/>
      <c r="E103" s="132">
        <v>18</v>
      </c>
      <c r="F103" s="132">
        <v>101</v>
      </c>
      <c r="G103" s="132">
        <v>4</v>
      </c>
      <c r="H103" s="132">
        <v>4</v>
      </c>
      <c r="I103" s="132">
        <v>8</v>
      </c>
      <c r="J103" s="132"/>
      <c r="K103" s="132"/>
      <c r="L103" s="132"/>
      <c r="M103" s="132"/>
      <c r="N103" s="132"/>
      <c r="O103" s="132"/>
      <c r="P103" s="132">
        <v>18</v>
      </c>
      <c r="Q103" s="132"/>
      <c r="R103" s="132"/>
      <c r="S103" s="132">
        <v>18</v>
      </c>
      <c r="T103" s="132"/>
      <c r="U103" s="151"/>
      <c r="V103" s="151"/>
      <c r="W103" s="307" t="s">
        <v>193</v>
      </c>
      <c r="X103" s="308"/>
      <c r="Y103" s="38">
        <f t="shared" si="28"/>
        <v>24</v>
      </c>
      <c r="Z103" s="38">
        <f t="shared" si="29"/>
        <v>24</v>
      </c>
      <c r="AA103" s="38">
        <f t="shared" si="30"/>
        <v>0</v>
      </c>
      <c r="AB103" s="38">
        <f t="shared" si="38"/>
        <v>0</v>
      </c>
      <c r="AC103" s="38">
        <f t="shared" si="39"/>
        <v>0</v>
      </c>
      <c r="AD103" s="38">
        <f t="shared" si="40"/>
        <v>0</v>
      </c>
      <c r="AE103" s="38">
        <f t="shared" si="41"/>
        <v>0</v>
      </c>
      <c r="AF103" s="38">
        <f t="shared" si="42"/>
        <v>0</v>
      </c>
      <c r="AG103" s="33">
        <f t="shared" si="43"/>
        <v>24</v>
      </c>
      <c r="AH103" s="33">
        <f t="shared" si="44"/>
        <v>24</v>
      </c>
      <c r="AI103" s="33">
        <f t="shared" si="45"/>
        <v>0</v>
      </c>
      <c r="AJ103" s="33">
        <f t="shared" si="46"/>
        <v>0</v>
      </c>
      <c r="AK103" s="34">
        <f t="shared" si="47"/>
        <v>0.16901408450704225</v>
      </c>
      <c r="AL103" s="35">
        <f t="shared" si="48"/>
        <v>0.16901408450704225</v>
      </c>
      <c r="AM103" s="34">
        <f t="shared" si="31"/>
        <v>0</v>
      </c>
      <c r="AN103" s="36">
        <f t="shared" si="49"/>
        <v>0</v>
      </c>
      <c r="AO103" s="6">
        <f t="shared" si="32"/>
        <v>0</v>
      </c>
      <c r="AP103">
        <f t="shared" si="33"/>
        <v>8</v>
      </c>
      <c r="AQ103" s="6">
        <f t="shared" si="34"/>
        <v>0</v>
      </c>
      <c r="AR103" s="6">
        <f t="shared" si="35"/>
        <v>0</v>
      </c>
      <c r="AS103" s="6"/>
      <c r="AX103" s="95">
        <f t="shared" si="36"/>
        <v>42226</v>
      </c>
      <c r="AY103" s="96" t="str">
        <f t="shared" si="37"/>
        <v>seg</v>
      </c>
      <c r="AZ103" s="97">
        <f>IF(OR(AY103="SÁB",AY103="DOM"),0,IFERROR(8-VLOOKUP(C103,'Dados de consulta'!$A$2:$C$38,3,0),8))</f>
        <v>8</v>
      </c>
      <c r="BA103" s="97">
        <f>IF(OR(AY103="SÁB",AY103="DOM"),0,IFERROR(8-VLOOKUP(D103,'Dados de consulta'!$A$2:$C$38,3,0),8))</f>
        <v>8</v>
      </c>
      <c r="BB103" s="97">
        <f>IF(OR(AY103="SÁB",AY103="DOM"),0,IFERROR(8-VLOOKUP(E103,'Dados de consulta'!$A$2:$C$38,3,0),8))</f>
        <v>0</v>
      </c>
      <c r="BC103" s="97">
        <f>IF(OR(AY103="SÁB",AY103="DOM"),0,IFERROR(8-VLOOKUP(F103,'Dados de consulta'!$A$2:$C$38,3,0),8))</f>
        <v>0</v>
      </c>
      <c r="BD103" s="97">
        <f>IF(OR(AY103="SÁB",AY103="DOM"),0,IFERROR(8-VLOOKUP(G103,'Dados de consulta'!$A$2:$C$38,3,0),8))</f>
        <v>0</v>
      </c>
      <c r="BE103" s="97">
        <f>IF(OR(AY103="SÁB",AY103="DOM"),0,IFERROR(8-VLOOKUP(H103,'Dados de consulta'!$A$2:$C$38,3,0),8))</f>
        <v>0</v>
      </c>
      <c r="BF103" s="97">
        <f>IF(OR(AY103="SÁB",AY103="DOM"),0,IFERROR(8-VLOOKUP(I103,'Dados de consulta'!$A$2:$C$38,3,0),8))</f>
        <v>0</v>
      </c>
      <c r="BG103" s="97">
        <f>IF(OR(AY103="SÁB",AY103="DOM"),0,IFERROR(8-VLOOKUP(J103,'Dados de consulta'!$A$2:$C$38,3,0),8))</f>
        <v>8</v>
      </c>
      <c r="BH103" s="97">
        <f>IF(OR(AY103="SÁB",AY103="DOM"),0,IFERROR(8-VLOOKUP(K103,'Dados de consulta'!$A$2:$C$38,3,0),8))</f>
        <v>8</v>
      </c>
      <c r="BI103" s="97">
        <f>IF(OR(AY103="SÁB",AY103="DOM"),0,IFERROR(8-VLOOKUP(L103,'Dados de consulta'!$A$2:$C$38,3,0),8))</f>
        <v>8</v>
      </c>
      <c r="BJ103" s="97">
        <f>IF(OR(AY103="SÁB",AY103="DOM"),0,IFERROR(8-VLOOKUP(M103,'Dados de consulta'!$A$2:$C$38,3,0),8))</f>
        <v>8</v>
      </c>
      <c r="BK103" s="97">
        <f>IF(OR(AY103="SÁB",AY103="DOM"),0,IFERROR(8-VLOOKUP(N103,'Dados de consulta'!$A$2:$C$38,3,0),8))</f>
        <v>8</v>
      </c>
      <c r="BL103" s="97">
        <f>IF(OR(AY103="SÁB",AY103="DOM"),0,IFERROR(8-VLOOKUP(O103,'Dados de consulta'!$A$2:$C$38,3,0),8))</f>
        <v>8</v>
      </c>
      <c r="BM103" s="97">
        <f>IF(OR(AY103="SÁB",AY103="DOM"),0,IFERROR(8-VLOOKUP(P103,'Dados de consulta'!$A$2:$C$38,3,0),8))</f>
        <v>0</v>
      </c>
      <c r="BN103" s="97">
        <f>IF(OR(AY103="SÁB",AY103="DOM"),0,IFERROR(8-VLOOKUP(Q103,'Dados de consulta'!$A$2:$C$38,3,0),8))</f>
        <v>8</v>
      </c>
      <c r="BO103" s="97">
        <f>IF(OR(AY103="SÁB",AY103="DOM"),0,IFERROR(8-VLOOKUP(R103,'Dados de consulta'!$A$2:$C$38,3,0),8))</f>
        <v>8</v>
      </c>
      <c r="BP103" s="97">
        <f>IF(OR(AY103="SÁB",AY103="DOM"),0,IFERROR(8-VLOOKUP(S103,'Dados de consulta'!$A$2:$C$38,3,0),8))</f>
        <v>0</v>
      </c>
      <c r="BQ103" s="113">
        <f>IFERROR(6-VLOOKUP(T103,'Dados de consulta'!$A$2:$C$38,3,0)+2,6)</f>
        <v>6</v>
      </c>
      <c r="BR103" s="114">
        <f t="shared" si="50"/>
        <v>86</v>
      </c>
      <c r="BS103">
        <f t="shared" si="26"/>
        <v>134</v>
      </c>
      <c r="BU103">
        <f>IFERROR(8-VLOOKUP(U103,'Dados de consulta'!$A:$D,3,0),8)</f>
        <v>8</v>
      </c>
      <c r="BV103">
        <f>IFERROR(8-VLOOKUP(V103,'Dados de consulta'!$A:$D,3,0),8)</f>
        <v>8</v>
      </c>
      <c r="BW103">
        <f t="shared" si="51"/>
        <v>16</v>
      </c>
    </row>
    <row r="104" spans="1:75" ht="15" hidden="1" x14ac:dyDescent="0.2">
      <c r="A104" s="98">
        <v>42227</v>
      </c>
      <c r="B104" s="129" t="str">
        <f t="shared" si="27"/>
        <v>ter</v>
      </c>
      <c r="C104" s="132"/>
      <c r="D104" s="132"/>
      <c r="E104" s="132">
        <v>18</v>
      </c>
      <c r="F104" s="132">
        <v>101</v>
      </c>
      <c r="G104" s="132">
        <v>4</v>
      </c>
      <c r="H104" s="132">
        <v>4</v>
      </c>
      <c r="I104" s="132">
        <v>8</v>
      </c>
      <c r="J104" s="132"/>
      <c r="K104" s="132"/>
      <c r="L104" s="132"/>
      <c r="M104" s="132"/>
      <c r="N104" s="132"/>
      <c r="O104" s="132"/>
      <c r="P104" s="132">
        <v>18</v>
      </c>
      <c r="Q104" s="132"/>
      <c r="R104" s="132"/>
      <c r="S104" s="132">
        <v>18</v>
      </c>
      <c r="T104" s="132"/>
      <c r="U104" s="151"/>
      <c r="V104" s="151"/>
      <c r="W104" s="307" t="s">
        <v>193</v>
      </c>
      <c r="X104" s="308"/>
      <c r="Y104" s="38">
        <f t="shared" si="28"/>
        <v>24</v>
      </c>
      <c r="Z104" s="38">
        <f t="shared" si="29"/>
        <v>24</v>
      </c>
      <c r="AA104" s="38">
        <f t="shared" si="30"/>
        <v>0</v>
      </c>
      <c r="AB104" s="38">
        <f t="shared" si="38"/>
        <v>0</v>
      </c>
      <c r="AC104" s="38">
        <f t="shared" si="39"/>
        <v>0</v>
      </c>
      <c r="AD104" s="38">
        <f t="shared" si="40"/>
        <v>0</v>
      </c>
      <c r="AE104" s="38">
        <f t="shared" si="41"/>
        <v>0</v>
      </c>
      <c r="AF104" s="38">
        <f t="shared" si="42"/>
        <v>0</v>
      </c>
      <c r="AG104" s="33">
        <f t="shared" si="43"/>
        <v>24</v>
      </c>
      <c r="AH104" s="33">
        <f t="shared" si="44"/>
        <v>24</v>
      </c>
      <c r="AI104" s="33">
        <f t="shared" si="45"/>
        <v>0</v>
      </c>
      <c r="AJ104" s="33">
        <f t="shared" si="46"/>
        <v>0</v>
      </c>
      <c r="AK104" s="34">
        <f t="shared" si="47"/>
        <v>0.16901408450704225</v>
      </c>
      <c r="AL104" s="35">
        <f t="shared" si="48"/>
        <v>0.16901408450704225</v>
      </c>
      <c r="AM104" s="34">
        <f t="shared" si="31"/>
        <v>0</v>
      </c>
      <c r="AN104" s="36">
        <f t="shared" si="49"/>
        <v>0</v>
      </c>
      <c r="AO104" s="6">
        <f t="shared" si="32"/>
        <v>0</v>
      </c>
      <c r="AP104">
        <f t="shared" si="33"/>
        <v>8</v>
      </c>
      <c r="AQ104" s="6">
        <f t="shared" si="34"/>
        <v>0</v>
      </c>
      <c r="AR104" s="6">
        <f t="shared" si="35"/>
        <v>0</v>
      </c>
      <c r="AS104" s="6"/>
      <c r="AX104" s="95">
        <f t="shared" si="36"/>
        <v>42227</v>
      </c>
      <c r="AY104" s="96" t="str">
        <f t="shared" si="37"/>
        <v>ter</v>
      </c>
      <c r="AZ104" s="97">
        <f>IF(OR(AY104="SÁB",AY104="DOM"),0,IFERROR(8-VLOOKUP(C104,'Dados de consulta'!$A$2:$C$38,3,0),8))</f>
        <v>8</v>
      </c>
      <c r="BA104" s="97">
        <f>IF(OR(AY104="SÁB",AY104="DOM"),0,IFERROR(8-VLOOKUP(D104,'Dados de consulta'!$A$2:$C$38,3,0),8))</f>
        <v>8</v>
      </c>
      <c r="BB104" s="97">
        <f>IF(OR(AY104="SÁB",AY104="DOM"),0,IFERROR(8-VLOOKUP(E104,'Dados de consulta'!$A$2:$C$38,3,0),8))</f>
        <v>0</v>
      </c>
      <c r="BC104" s="97">
        <f>IF(OR(AY104="SÁB",AY104="DOM"),0,IFERROR(8-VLOOKUP(F104,'Dados de consulta'!$A$2:$C$38,3,0),8))</f>
        <v>0</v>
      </c>
      <c r="BD104" s="97">
        <f>IF(OR(AY104="SÁB",AY104="DOM"),0,IFERROR(8-VLOOKUP(G104,'Dados de consulta'!$A$2:$C$38,3,0),8))</f>
        <v>0</v>
      </c>
      <c r="BE104" s="97">
        <f>IF(OR(AY104="SÁB",AY104="DOM"),0,IFERROR(8-VLOOKUP(H104,'Dados de consulta'!$A$2:$C$38,3,0),8))</f>
        <v>0</v>
      </c>
      <c r="BF104" s="97">
        <f>IF(OR(AY104="SÁB",AY104="DOM"),0,IFERROR(8-VLOOKUP(I104,'Dados de consulta'!$A$2:$C$38,3,0),8))</f>
        <v>0</v>
      </c>
      <c r="BG104" s="97">
        <f>IF(OR(AY104="SÁB",AY104="DOM"),0,IFERROR(8-VLOOKUP(J104,'Dados de consulta'!$A$2:$C$38,3,0),8))</f>
        <v>8</v>
      </c>
      <c r="BH104" s="97">
        <f>IF(OR(AY104="SÁB",AY104="DOM"),0,IFERROR(8-VLOOKUP(K104,'Dados de consulta'!$A$2:$C$38,3,0),8))</f>
        <v>8</v>
      </c>
      <c r="BI104" s="97">
        <f>IF(OR(AY104="SÁB",AY104="DOM"),0,IFERROR(8-VLOOKUP(L104,'Dados de consulta'!$A$2:$C$38,3,0),8))</f>
        <v>8</v>
      </c>
      <c r="BJ104" s="97">
        <f>IF(OR(AY104="SÁB",AY104="DOM"),0,IFERROR(8-VLOOKUP(M104,'Dados de consulta'!$A$2:$C$38,3,0),8))</f>
        <v>8</v>
      </c>
      <c r="BK104" s="97">
        <f>IF(OR(AY104="SÁB",AY104="DOM"),0,IFERROR(8-VLOOKUP(N104,'Dados de consulta'!$A$2:$C$38,3,0),8))</f>
        <v>8</v>
      </c>
      <c r="BL104" s="97">
        <f>IF(OR(AY104="SÁB",AY104="DOM"),0,IFERROR(8-VLOOKUP(O104,'Dados de consulta'!$A$2:$C$38,3,0),8))</f>
        <v>8</v>
      </c>
      <c r="BM104" s="97">
        <f>IF(OR(AY104="SÁB",AY104="DOM"),0,IFERROR(8-VLOOKUP(P104,'Dados de consulta'!$A$2:$C$38,3,0),8))</f>
        <v>0</v>
      </c>
      <c r="BN104" s="97">
        <f>IF(OR(AY104="SÁB",AY104="DOM"),0,IFERROR(8-VLOOKUP(Q104,'Dados de consulta'!$A$2:$C$38,3,0),8))</f>
        <v>8</v>
      </c>
      <c r="BO104" s="97">
        <f>IF(OR(AY104="SÁB",AY104="DOM"),0,IFERROR(8-VLOOKUP(R104,'Dados de consulta'!$A$2:$C$38,3,0),8))</f>
        <v>8</v>
      </c>
      <c r="BP104" s="97">
        <f>IF(OR(AY104="SÁB",AY104="DOM"),0,IFERROR(8-VLOOKUP(S104,'Dados de consulta'!$A$2:$C$38,3,0),8))</f>
        <v>0</v>
      </c>
      <c r="BQ104" s="113">
        <f>IFERROR(6-VLOOKUP(T104,'Dados de consulta'!$A$2:$C$38,3,0)+2,6)</f>
        <v>6</v>
      </c>
      <c r="BR104" s="114">
        <f t="shared" si="50"/>
        <v>86</v>
      </c>
      <c r="BS104">
        <f t="shared" si="26"/>
        <v>134</v>
      </c>
      <c r="BU104">
        <f>IFERROR(8-VLOOKUP(U104,'Dados de consulta'!$A:$D,3,0),8)</f>
        <v>8</v>
      </c>
      <c r="BV104">
        <f>IFERROR(8-VLOOKUP(V104,'Dados de consulta'!$A:$D,3,0),8)</f>
        <v>8</v>
      </c>
      <c r="BW104">
        <f t="shared" si="51"/>
        <v>16</v>
      </c>
    </row>
    <row r="105" spans="1:75" ht="15" hidden="1" x14ac:dyDescent="0.2">
      <c r="A105" s="98">
        <v>42228</v>
      </c>
      <c r="B105" s="129" t="str">
        <f t="shared" si="27"/>
        <v>qua</v>
      </c>
      <c r="C105" s="132"/>
      <c r="D105" s="132"/>
      <c r="E105" s="132">
        <v>18</v>
      </c>
      <c r="F105" s="132">
        <v>101</v>
      </c>
      <c r="G105" s="132">
        <v>4</v>
      </c>
      <c r="H105" s="132">
        <v>4</v>
      </c>
      <c r="I105" s="132">
        <v>8</v>
      </c>
      <c r="J105" s="132"/>
      <c r="K105" s="132"/>
      <c r="L105" s="132"/>
      <c r="M105" s="132"/>
      <c r="N105" s="132"/>
      <c r="O105" s="132"/>
      <c r="P105" s="132">
        <v>18</v>
      </c>
      <c r="Q105" s="132"/>
      <c r="R105" s="132"/>
      <c r="S105" s="132">
        <v>18</v>
      </c>
      <c r="T105" s="132"/>
      <c r="U105" s="151"/>
      <c r="V105" s="151"/>
      <c r="W105" s="307" t="s">
        <v>193</v>
      </c>
      <c r="X105" s="308"/>
      <c r="Y105" s="38">
        <f t="shared" si="28"/>
        <v>24</v>
      </c>
      <c r="Z105" s="38">
        <f t="shared" si="29"/>
        <v>24</v>
      </c>
      <c r="AA105" s="38">
        <f t="shared" si="30"/>
        <v>0</v>
      </c>
      <c r="AB105" s="38">
        <f t="shared" si="38"/>
        <v>0</v>
      </c>
      <c r="AC105" s="38">
        <f t="shared" si="39"/>
        <v>0</v>
      </c>
      <c r="AD105" s="38">
        <f t="shared" si="40"/>
        <v>0</v>
      </c>
      <c r="AE105" s="38">
        <f t="shared" si="41"/>
        <v>0</v>
      </c>
      <c r="AF105" s="38">
        <f t="shared" si="42"/>
        <v>0</v>
      </c>
      <c r="AG105" s="33">
        <f t="shared" si="43"/>
        <v>24</v>
      </c>
      <c r="AH105" s="33">
        <f t="shared" si="44"/>
        <v>24</v>
      </c>
      <c r="AI105" s="33">
        <f t="shared" si="45"/>
        <v>0</v>
      </c>
      <c r="AJ105" s="33">
        <f t="shared" si="46"/>
        <v>0</v>
      </c>
      <c r="AK105" s="34">
        <f t="shared" si="47"/>
        <v>0.16901408450704225</v>
      </c>
      <c r="AL105" s="35">
        <f t="shared" si="48"/>
        <v>0.16901408450704225</v>
      </c>
      <c r="AM105" s="34">
        <f t="shared" si="31"/>
        <v>0</v>
      </c>
      <c r="AN105" s="36">
        <f t="shared" si="49"/>
        <v>0</v>
      </c>
      <c r="AO105" s="6">
        <f t="shared" si="32"/>
        <v>0</v>
      </c>
      <c r="AP105">
        <f t="shared" si="33"/>
        <v>8</v>
      </c>
      <c r="AQ105" s="6">
        <f t="shared" si="34"/>
        <v>0</v>
      </c>
      <c r="AR105" s="6">
        <f t="shared" si="35"/>
        <v>0</v>
      </c>
      <c r="AS105" s="6"/>
      <c r="AX105" s="95">
        <f t="shared" si="36"/>
        <v>42228</v>
      </c>
      <c r="AY105" s="96" t="str">
        <f t="shared" si="37"/>
        <v>qua</v>
      </c>
      <c r="AZ105" s="97">
        <f>IF(OR(AY105="SÁB",AY105="DOM"),0,IFERROR(8-VLOOKUP(C105,'Dados de consulta'!$A$2:$C$38,3,0),8))</f>
        <v>8</v>
      </c>
      <c r="BA105" s="97">
        <f>IF(OR(AY105="SÁB",AY105="DOM"),0,IFERROR(8-VLOOKUP(D105,'Dados de consulta'!$A$2:$C$38,3,0),8))</f>
        <v>8</v>
      </c>
      <c r="BB105" s="97">
        <f>IF(OR(AY105="SÁB",AY105="DOM"),0,IFERROR(8-VLOOKUP(E105,'Dados de consulta'!$A$2:$C$38,3,0),8))</f>
        <v>0</v>
      </c>
      <c r="BC105" s="97">
        <f>IF(OR(AY105="SÁB",AY105="DOM"),0,IFERROR(8-VLOOKUP(F105,'Dados de consulta'!$A$2:$C$38,3,0),8))</f>
        <v>0</v>
      </c>
      <c r="BD105" s="97">
        <f>IF(OR(AY105="SÁB",AY105="DOM"),0,IFERROR(8-VLOOKUP(G105,'Dados de consulta'!$A$2:$C$38,3,0),8))</f>
        <v>0</v>
      </c>
      <c r="BE105" s="97">
        <f>IF(OR(AY105="SÁB",AY105="DOM"),0,IFERROR(8-VLOOKUP(H105,'Dados de consulta'!$A$2:$C$38,3,0),8))</f>
        <v>0</v>
      </c>
      <c r="BF105" s="97">
        <f>IF(OR(AY105="SÁB",AY105="DOM"),0,IFERROR(8-VLOOKUP(I105,'Dados de consulta'!$A$2:$C$38,3,0),8))</f>
        <v>0</v>
      </c>
      <c r="BG105" s="97">
        <f>IF(OR(AY105="SÁB",AY105="DOM"),0,IFERROR(8-VLOOKUP(J105,'Dados de consulta'!$A$2:$C$38,3,0),8))</f>
        <v>8</v>
      </c>
      <c r="BH105" s="97">
        <f>IF(OR(AY105="SÁB",AY105="DOM"),0,IFERROR(8-VLOOKUP(K105,'Dados de consulta'!$A$2:$C$38,3,0),8))</f>
        <v>8</v>
      </c>
      <c r="BI105" s="97">
        <f>IF(OR(AY105="SÁB",AY105="DOM"),0,IFERROR(8-VLOOKUP(L105,'Dados de consulta'!$A$2:$C$38,3,0),8))</f>
        <v>8</v>
      </c>
      <c r="BJ105" s="97">
        <f>IF(OR(AY105="SÁB",AY105="DOM"),0,IFERROR(8-VLOOKUP(M105,'Dados de consulta'!$A$2:$C$38,3,0),8))</f>
        <v>8</v>
      </c>
      <c r="BK105" s="97">
        <f>IF(OR(AY105="SÁB",AY105="DOM"),0,IFERROR(8-VLOOKUP(N105,'Dados de consulta'!$A$2:$C$38,3,0),8))</f>
        <v>8</v>
      </c>
      <c r="BL105" s="97">
        <f>IF(OR(AY105="SÁB",AY105="DOM"),0,IFERROR(8-VLOOKUP(O105,'Dados de consulta'!$A$2:$C$38,3,0),8))</f>
        <v>8</v>
      </c>
      <c r="BM105" s="97">
        <f>IF(OR(AY105="SÁB",AY105="DOM"),0,IFERROR(8-VLOOKUP(P105,'Dados de consulta'!$A$2:$C$38,3,0),8))</f>
        <v>0</v>
      </c>
      <c r="BN105" s="97">
        <f>IF(OR(AY105="SÁB",AY105="DOM"),0,IFERROR(8-VLOOKUP(Q105,'Dados de consulta'!$A$2:$C$38,3,0),8))</f>
        <v>8</v>
      </c>
      <c r="BO105" s="97">
        <f>IF(OR(AY105="SÁB",AY105="DOM"),0,IFERROR(8-VLOOKUP(R105,'Dados de consulta'!$A$2:$C$38,3,0),8))</f>
        <v>8</v>
      </c>
      <c r="BP105" s="97">
        <f>IF(OR(AY105="SÁB",AY105="DOM"),0,IFERROR(8-VLOOKUP(S105,'Dados de consulta'!$A$2:$C$38,3,0),8))</f>
        <v>0</v>
      </c>
      <c r="BQ105" s="113">
        <f>IFERROR(6-VLOOKUP(T105,'Dados de consulta'!$A$2:$C$38,3,0)+2,6)</f>
        <v>6</v>
      </c>
      <c r="BR105" s="114">
        <f t="shared" si="50"/>
        <v>86</v>
      </c>
      <c r="BS105">
        <f t="shared" si="26"/>
        <v>134</v>
      </c>
      <c r="BU105">
        <f>IFERROR(8-VLOOKUP(U105,'Dados de consulta'!$A:$D,3,0),8)</f>
        <v>8</v>
      </c>
      <c r="BV105">
        <f>IFERROR(8-VLOOKUP(V105,'Dados de consulta'!$A:$D,3,0),8)</f>
        <v>8</v>
      </c>
      <c r="BW105">
        <f t="shared" si="51"/>
        <v>16</v>
      </c>
    </row>
    <row r="106" spans="1:75" ht="15" hidden="1" x14ac:dyDescent="0.2">
      <c r="A106" s="98">
        <v>42229</v>
      </c>
      <c r="B106" s="129" t="str">
        <f t="shared" si="27"/>
        <v>qui</v>
      </c>
      <c r="C106" s="132"/>
      <c r="D106" s="132"/>
      <c r="E106" s="132">
        <v>18</v>
      </c>
      <c r="F106" s="132">
        <v>101</v>
      </c>
      <c r="G106" s="132">
        <v>4</v>
      </c>
      <c r="H106" s="132">
        <v>4</v>
      </c>
      <c r="I106" s="132">
        <v>8</v>
      </c>
      <c r="J106" s="132">
        <v>6</v>
      </c>
      <c r="K106" s="132"/>
      <c r="L106" s="132"/>
      <c r="M106" s="132"/>
      <c r="N106" s="132"/>
      <c r="O106" s="132">
        <v>6</v>
      </c>
      <c r="P106" s="132">
        <v>18</v>
      </c>
      <c r="Q106" s="132">
        <v>6</v>
      </c>
      <c r="R106" s="132"/>
      <c r="S106" s="132">
        <v>18</v>
      </c>
      <c r="T106" s="132"/>
      <c r="U106" s="151">
        <v>6</v>
      </c>
      <c r="V106" s="151"/>
      <c r="W106" s="307" t="s">
        <v>193</v>
      </c>
      <c r="X106" s="308"/>
      <c r="Y106" s="38">
        <f t="shared" si="28"/>
        <v>24</v>
      </c>
      <c r="Z106" s="38">
        <f t="shared" si="29"/>
        <v>24</v>
      </c>
      <c r="AA106" s="38">
        <f t="shared" si="30"/>
        <v>0</v>
      </c>
      <c r="AB106" s="38">
        <f t="shared" si="38"/>
        <v>24</v>
      </c>
      <c r="AC106" s="38">
        <f t="shared" si="39"/>
        <v>0</v>
      </c>
      <c r="AD106" s="38">
        <f t="shared" si="40"/>
        <v>0</v>
      </c>
      <c r="AE106" s="38">
        <f t="shared" si="41"/>
        <v>0</v>
      </c>
      <c r="AF106" s="38">
        <f t="shared" si="42"/>
        <v>0</v>
      </c>
      <c r="AG106" s="33">
        <f t="shared" si="43"/>
        <v>24</v>
      </c>
      <c r="AH106" s="33">
        <f t="shared" si="44"/>
        <v>24</v>
      </c>
      <c r="AI106" s="33">
        <f t="shared" si="45"/>
        <v>0</v>
      </c>
      <c r="AJ106" s="33">
        <f t="shared" si="46"/>
        <v>24</v>
      </c>
      <c r="AK106" s="34">
        <f t="shared" si="47"/>
        <v>0.16901408450704225</v>
      </c>
      <c r="AL106" s="35">
        <f t="shared" si="48"/>
        <v>0.16901408450704225</v>
      </c>
      <c r="AM106" s="34">
        <f t="shared" si="31"/>
        <v>0</v>
      </c>
      <c r="AN106" s="36">
        <f t="shared" si="49"/>
        <v>0.16901408450704225</v>
      </c>
      <c r="AO106" s="6">
        <f t="shared" si="32"/>
        <v>0</v>
      </c>
      <c r="AP106">
        <f t="shared" si="33"/>
        <v>8</v>
      </c>
      <c r="AQ106" s="6">
        <f t="shared" si="34"/>
        <v>0</v>
      </c>
      <c r="AR106" s="6">
        <f t="shared" si="35"/>
        <v>0</v>
      </c>
      <c r="AS106" s="6"/>
      <c r="AX106" s="95">
        <f t="shared" si="36"/>
        <v>42229</v>
      </c>
      <c r="AY106" s="96" t="str">
        <f t="shared" si="37"/>
        <v>qui</v>
      </c>
      <c r="AZ106" s="97">
        <f>IF(OR(AY106="SÁB",AY106="DOM"),0,IFERROR(8-VLOOKUP(C106,'Dados de consulta'!$A$2:$C$38,3,0),8))</f>
        <v>8</v>
      </c>
      <c r="BA106" s="97">
        <f>IF(OR(AY106="SÁB",AY106="DOM"),0,IFERROR(8-VLOOKUP(D106,'Dados de consulta'!$A$2:$C$38,3,0),8))</f>
        <v>8</v>
      </c>
      <c r="BB106" s="97">
        <f>IF(OR(AY106="SÁB",AY106="DOM"),0,IFERROR(8-VLOOKUP(E106,'Dados de consulta'!$A$2:$C$38,3,0),8))</f>
        <v>0</v>
      </c>
      <c r="BC106" s="97">
        <f>IF(OR(AY106="SÁB",AY106="DOM"),0,IFERROR(8-VLOOKUP(F106,'Dados de consulta'!$A$2:$C$38,3,0),8))</f>
        <v>0</v>
      </c>
      <c r="BD106" s="97">
        <f>IF(OR(AY106="SÁB",AY106="DOM"),0,IFERROR(8-VLOOKUP(G106,'Dados de consulta'!$A$2:$C$38,3,0),8))</f>
        <v>0</v>
      </c>
      <c r="BE106" s="97">
        <f>IF(OR(AY106="SÁB",AY106="DOM"),0,IFERROR(8-VLOOKUP(H106,'Dados de consulta'!$A$2:$C$38,3,0),8))</f>
        <v>0</v>
      </c>
      <c r="BF106" s="97">
        <f>IF(OR(AY106="SÁB",AY106="DOM"),0,IFERROR(8-VLOOKUP(I106,'Dados de consulta'!$A$2:$C$38,3,0),8))</f>
        <v>0</v>
      </c>
      <c r="BG106" s="97">
        <f>IF(OR(AY106="SÁB",AY106="DOM"),0,IFERROR(8-VLOOKUP(J106,'Dados de consulta'!$A$2:$C$38,3,0),8))</f>
        <v>0</v>
      </c>
      <c r="BH106" s="97">
        <f>IF(OR(AY106="SÁB",AY106="DOM"),0,IFERROR(8-VLOOKUP(K106,'Dados de consulta'!$A$2:$C$38,3,0),8))</f>
        <v>8</v>
      </c>
      <c r="BI106" s="97">
        <f>IF(OR(AY106="SÁB",AY106="DOM"),0,IFERROR(8-VLOOKUP(L106,'Dados de consulta'!$A$2:$C$38,3,0),8))</f>
        <v>8</v>
      </c>
      <c r="BJ106" s="97">
        <f>IF(OR(AY106="SÁB",AY106="DOM"),0,IFERROR(8-VLOOKUP(M106,'Dados de consulta'!$A$2:$C$38,3,0),8))</f>
        <v>8</v>
      </c>
      <c r="BK106" s="97">
        <f>IF(OR(AY106="SÁB",AY106="DOM"),0,IFERROR(8-VLOOKUP(N106,'Dados de consulta'!$A$2:$C$38,3,0),8))</f>
        <v>8</v>
      </c>
      <c r="BL106" s="97">
        <f>IF(OR(AY106="SÁB",AY106="DOM"),0,IFERROR(8-VLOOKUP(O106,'Dados de consulta'!$A$2:$C$38,3,0),8))</f>
        <v>0</v>
      </c>
      <c r="BM106" s="97">
        <f>IF(OR(AY106="SÁB",AY106="DOM"),0,IFERROR(8-VLOOKUP(P106,'Dados de consulta'!$A$2:$C$38,3,0),8))</f>
        <v>0</v>
      </c>
      <c r="BN106" s="97">
        <f>IF(OR(AY106="SÁB",AY106="DOM"),0,IFERROR(8-VLOOKUP(Q106,'Dados de consulta'!$A$2:$C$38,3,0),8))</f>
        <v>0</v>
      </c>
      <c r="BO106" s="97">
        <f>IF(OR(AY106="SÁB",AY106="DOM"),0,IFERROR(8-VLOOKUP(R106,'Dados de consulta'!$A$2:$C$38,3,0),8))</f>
        <v>8</v>
      </c>
      <c r="BP106" s="97">
        <f>IF(OR(AY106="SÁB",AY106="DOM"),0,IFERROR(8-VLOOKUP(S106,'Dados de consulta'!$A$2:$C$38,3,0),8))</f>
        <v>0</v>
      </c>
      <c r="BQ106" s="113">
        <f>IFERROR(6-VLOOKUP(T106,'Dados de consulta'!$A$2:$C$38,3,0)+2,6)</f>
        <v>6</v>
      </c>
      <c r="BR106" s="114">
        <f t="shared" si="50"/>
        <v>62</v>
      </c>
      <c r="BS106">
        <f t="shared" si="26"/>
        <v>134</v>
      </c>
      <c r="BU106">
        <f>IFERROR(8-VLOOKUP(U106,'Dados de consulta'!$A:$D,3,0),8)</f>
        <v>0</v>
      </c>
      <c r="BV106">
        <f>IFERROR(8-VLOOKUP(V106,'Dados de consulta'!$A:$D,3,0),8)</f>
        <v>8</v>
      </c>
      <c r="BW106">
        <f t="shared" si="51"/>
        <v>8</v>
      </c>
    </row>
    <row r="107" spans="1:75" ht="15" hidden="1" x14ac:dyDescent="0.2">
      <c r="A107" s="98">
        <v>42230</v>
      </c>
      <c r="B107" s="129" t="str">
        <f t="shared" si="27"/>
        <v>sex</v>
      </c>
      <c r="C107" s="132"/>
      <c r="D107" s="132"/>
      <c r="E107" s="132">
        <v>18</v>
      </c>
      <c r="F107" s="132">
        <v>101</v>
      </c>
      <c r="G107" s="132">
        <v>4</v>
      </c>
      <c r="H107" s="132">
        <v>4</v>
      </c>
      <c r="I107" s="132"/>
      <c r="J107" s="132">
        <v>6</v>
      </c>
      <c r="K107" s="132"/>
      <c r="L107" s="132"/>
      <c r="M107" s="132"/>
      <c r="N107" s="132"/>
      <c r="O107" s="132">
        <v>6</v>
      </c>
      <c r="P107" s="132">
        <v>18</v>
      </c>
      <c r="Q107" s="132">
        <v>6</v>
      </c>
      <c r="R107" s="132"/>
      <c r="S107" s="132">
        <v>18</v>
      </c>
      <c r="T107" s="132"/>
      <c r="U107" s="151">
        <v>6</v>
      </c>
      <c r="V107" s="151"/>
      <c r="W107" s="307" t="s">
        <v>193</v>
      </c>
      <c r="X107" s="308"/>
      <c r="Y107" s="38">
        <f t="shared" si="28"/>
        <v>16</v>
      </c>
      <c r="Z107" s="38">
        <f t="shared" si="29"/>
        <v>24</v>
      </c>
      <c r="AA107" s="38">
        <f t="shared" si="30"/>
        <v>0</v>
      </c>
      <c r="AB107" s="38">
        <f t="shared" si="38"/>
        <v>24</v>
      </c>
      <c r="AC107" s="38">
        <f t="shared" si="39"/>
        <v>0</v>
      </c>
      <c r="AD107" s="38">
        <f t="shared" si="40"/>
        <v>0</v>
      </c>
      <c r="AE107" s="38">
        <f t="shared" si="41"/>
        <v>0</v>
      </c>
      <c r="AF107" s="38">
        <f t="shared" si="42"/>
        <v>0</v>
      </c>
      <c r="AG107" s="33">
        <f t="shared" si="43"/>
        <v>16</v>
      </c>
      <c r="AH107" s="33">
        <f t="shared" si="44"/>
        <v>24</v>
      </c>
      <c r="AI107" s="33">
        <f t="shared" si="45"/>
        <v>0</v>
      </c>
      <c r="AJ107" s="33">
        <f t="shared" si="46"/>
        <v>24</v>
      </c>
      <c r="AK107" s="34">
        <f t="shared" si="47"/>
        <v>0.11267605633802817</v>
      </c>
      <c r="AL107" s="35">
        <f t="shared" si="48"/>
        <v>0.16901408450704225</v>
      </c>
      <c r="AM107" s="34">
        <f t="shared" si="31"/>
        <v>0</v>
      </c>
      <c r="AN107" s="36">
        <f t="shared" si="49"/>
        <v>0.16901408450704225</v>
      </c>
      <c r="AO107" s="6">
        <f t="shared" si="32"/>
        <v>0</v>
      </c>
      <c r="AP107">
        <f t="shared" si="33"/>
        <v>8</v>
      </c>
      <c r="AQ107" s="6">
        <f t="shared" si="34"/>
        <v>0</v>
      </c>
      <c r="AR107" s="6">
        <f t="shared" si="35"/>
        <v>0</v>
      </c>
      <c r="AS107" s="6"/>
      <c r="AX107" s="95">
        <f t="shared" si="36"/>
        <v>42230</v>
      </c>
      <c r="AY107" s="96" t="str">
        <f t="shared" si="37"/>
        <v>sex</v>
      </c>
      <c r="AZ107" s="97">
        <f>IF(OR(AY107="SÁB",AY107="DOM"),0,IFERROR(8-VLOOKUP(C107,'Dados de consulta'!$A$2:$C$38,3,0),8))</f>
        <v>8</v>
      </c>
      <c r="BA107" s="97">
        <f>IF(OR(AY107="SÁB",AY107="DOM"),0,IFERROR(8-VLOOKUP(D107,'Dados de consulta'!$A$2:$C$38,3,0),8))</f>
        <v>8</v>
      </c>
      <c r="BB107" s="97">
        <f>IF(OR(AY107="SÁB",AY107="DOM"),0,IFERROR(8-VLOOKUP(E107,'Dados de consulta'!$A$2:$C$38,3,0),8))</f>
        <v>0</v>
      </c>
      <c r="BC107" s="97">
        <f>IF(OR(AY107="SÁB",AY107="DOM"),0,IFERROR(8-VLOOKUP(F107,'Dados de consulta'!$A$2:$C$38,3,0),8))</f>
        <v>0</v>
      </c>
      <c r="BD107" s="97">
        <f>IF(OR(AY107="SÁB",AY107="DOM"),0,IFERROR(8-VLOOKUP(G107,'Dados de consulta'!$A$2:$C$38,3,0),8))</f>
        <v>0</v>
      </c>
      <c r="BE107" s="97">
        <f>IF(OR(AY107="SÁB",AY107="DOM"),0,IFERROR(8-VLOOKUP(H107,'Dados de consulta'!$A$2:$C$38,3,0),8))</f>
        <v>0</v>
      </c>
      <c r="BF107" s="97">
        <f>IF(OR(AY107="SÁB",AY107="DOM"),0,IFERROR(8-VLOOKUP(I107,'Dados de consulta'!$A$2:$C$38,3,0),8))</f>
        <v>8</v>
      </c>
      <c r="BG107" s="97">
        <f>IF(OR(AY107="SÁB",AY107="DOM"),0,IFERROR(8-VLOOKUP(J107,'Dados de consulta'!$A$2:$C$38,3,0),8))</f>
        <v>0</v>
      </c>
      <c r="BH107" s="97">
        <f>IF(OR(AY107="SÁB",AY107="DOM"),0,IFERROR(8-VLOOKUP(K107,'Dados de consulta'!$A$2:$C$38,3,0),8))</f>
        <v>8</v>
      </c>
      <c r="BI107" s="97">
        <f>IF(OR(AY107="SÁB",AY107="DOM"),0,IFERROR(8-VLOOKUP(L107,'Dados de consulta'!$A$2:$C$38,3,0),8))</f>
        <v>8</v>
      </c>
      <c r="BJ107" s="97">
        <f>IF(OR(AY107="SÁB",AY107="DOM"),0,IFERROR(8-VLOOKUP(M107,'Dados de consulta'!$A$2:$C$38,3,0),8))</f>
        <v>8</v>
      </c>
      <c r="BK107" s="97">
        <f>IF(OR(AY107="SÁB",AY107="DOM"),0,IFERROR(8-VLOOKUP(N107,'Dados de consulta'!$A$2:$C$38,3,0),8))</f>
        <v>8</v>
      </c>
      <c r="BL107" s="97">
        <f>IF(OR(AY107="SÁB",AY107="DOM"),0,IFERROR(8-VLOOKUP(O107,'Dados de consulta'!$A$2:$C$38,3,0),8))</f>
        <v>0</v>
      </c>
      <c r="BM107" s="97">
        <f>IF(OR(AY107="SÁB",AY107="DOM"),0,IFERROR(8-VLOOKUP(P107,'Dados de consulta'!$A$2:$C$38,3,0),8))</f>
        <v>0</v>
      </c>
      <c r="BN107" s="97">
        <f>IF(OR(AY107="SÁB",AY107="DOM"),0,IFERROR(8-VLOOKUP(Q107,'Dados de consulta'!$A$2:$C$38,3,0),8))</f>
        <v>0</v>
      </c>
      <c r="BO107" s="97">
        <f>IF(OR(AY107="SÁB",AY107="DOM"),0,IFERROR(8-VLOOKUP(R107,'Dados de consulta'!$A$2:$C$38,3,0),8))</f>
        <v>8</v>
      </c>
      <c r="BP107" s="97">
        <f>IF(OR(AY107="SÁB",AY107="DOM"),0,IFERROR(8-VLOOKUP(S107,'Dados de consulta'!$A$2:$C$38,3,0),8))</f>
        <v>0</v>
      </c>
      <c r="BQ107" s="113">
        <f>IFERROR(6-VLOOKUP(T107,'Dados de consulta'!$A$2:$C$38,3,0)+2,6)</f>
        <v>6</v>
      </c>
      <c r="BR107" s="114">
        <f t="shared" si="50"/>
        <v>70</v>
      </c>
      <c r="BS107">
        <f t="shared" si="26"/>
        <v>134</v>
      </c>
      <c r="BU107">
        <f>IFERROR(8-VLOOKUP(U107,'Dados de consulta'!$A:$D,3,0),8)</f>
        <v>0</v>
      </c>
      <c r="BV107">
        <f>IFERROR(8-VLOOKUP(V107,'Dados de consulta'!$A:$D,3,0),8)</f>
        <v>8</v>
      </c>
      <c r="BW107">
        <f t="shared" si="51"/>
        <v>8</v>
      </c>
    </row>
    <row r="108" spans="1:75" ht="15" hidden="1" x14ac:dyDescent="0.2">
      <c r="A108" s="98">
        <v>42231</v>
      </c>
      <c r="B108" s="129" t="str">
        <f t="shared" si="27"/>
        <v>sáb</v>
      </c>
      <c r="C108" s="132"/>
      <c r="D108" s="132"/>
      <c r="E108" s="132">
        <v>18</v>
      </c>
      <c r="F108" s="132">
        <v>101</v>
      </c>
      <c r="G108" s="132">
        <v>4</v>
      </c>
      <c r="H108" s="132">
        <v>4</v>
      </c>
      <c r="I108" s="132"/>
      <c r="J108" s="132"/>
      <c r="K108" s="132"/>
      <c r="L108" s="132"/>
      <c r="M108" s="132"/>
      <c r="N108" s="132"/>
      <c r="O108" s="132"/>
      <c r="P108" s="132">
        <v>18</v>
      </c>
      <c r="Q108" s="132"/>
      <c r="R108" s="132"/>
      <c r="S108" s="132"/>
      <c r="T108" s="132"/>
      <c r="U108" s="151"/>
      <c r="V108" s="151"/>
      <c r="W108" s="307" t="s">
        <v>193</v>
      </c>
      <c r="X108" s="308"/>
      <c r="Y108" s="38">
        <f t="shared" si="28"/>
        <v>16</v>
      </c>
      <c r="Z108" s="38">
        <f t="shared" si="29"/>
        <v>16</v>
      </c>
      <c r="AA108" s="38">
        <f t="shared" si="30"/>
        <v>0</v>
      </c>
      <c r="AB108" s="38">
        <f t="shared" si="38"/>
        <v>0</v>
      </c>
      <c r="AC108" s="38">
        <f t="shared" si="39"/>
        <v>0</v>
      </c>
      <c r="AD108" s="38">
        <f t="shared" si="40"/>
        <v>0</v>
      </c>
      <c r="AE108" s="38">
        <f t="shared" si="41"/>
        <v>0</v>
      </c>
      <c r="AF108" s="38">
        <f t="shared" si="42"/>
        <v>0</v>
      </c>
      <c r="AG108" s="33">
        <f t="shared" si="43"/>
        <v>0</v>
      </c>
      <c r="AH108" s="33">
        <f t="shared" si="44"/>
        <v>0</v>
      </c>
      <c r="AI108" s="33">
        <f t="shared" si="45"/>
        <v>0</v>
      </c>
      <c r="AJ108" s="33">
        <f t="shared" si="46"/>
        <v>0</v>
      </c>
      <c r="AK108" s="34">
        <f t="shared" si="47"/>
        <v>0</v>
      </c>
      <c r="AL108" s="35">
        <f t="shared" si="48"/>
        <v>0</v>
      </c>
      <c r="AM108" s="34">
        <f t="shared" si="31"/>
        <v>0</v>
      </c>
      <c r="AN108" s="36">
        <f t="shared" si="49"/>
        <v>0</v>
      </c>
      <c r="AO108" s="6">
        <f t="shared" si="32"/>
        <v>0</v>
      </c>
      <c r="AP108">
        <f t="shared" si="33"/>
        <v>8</v>
      </c>
      <c r="AQ108" s="6">
        <f t="shared" si="34"/>
        <v>0</v>
      </c>
      <c r="AR108" s="6">
        <f t="shared" si="35"/>
        <v>0</v>
      </c>
      <c r="AS108" s="6"/>
      <c r="AX108" s="95">
        <f t="shared" si="36"/>
        <v>42231</v>
      </c>
      <c r="AY108" s="96" t="str">
        <f t="shared" si="37"/>
        <v>sáb</v>
      </c>
      <c r="AZ108" s="97">
        <f>IF(OR(AY108="SÁB",AY108="DOM"),0,IFERROR(8-VLOOKUP(C108,'Dados de consulta'!$A$2:$C$38,3,0),8))</f>
        <v>0</v>
      </c>
      <c r="BA108" s="97">
        <f>IF(OR(AY108="SÁB",AY108="DOM"),0,IFERROR(8-VLOOKUP(D108,'Dados de consulta'!$A$2:$C$38,3,0),8))</f>
        <v>0</v>
      </c>
      <c r="BB108" s="97">
        <f>IF(OR(AY108="SÁB",AY108="DOM"),0,IFERROR(8-VLOOKUP(E108,'Dados de consulta'!$A$2:$C$38,3,0),8))</f>
        <v>0</v>
      </c>
      <c r="BC108" s="97">
        <f>IF(OR(AY108="SÁB",AY108="DOM"),0,IFERROR(8-VLOOKUP(F108,'Dados de consulta'!$A$2:$C$38,3,0),8))</f>
        <v>0</v>
      </c>
      <c r="BD108" s="97">
        <f>IF(OR(AY108="SÁB",AY108="DOM"),0,IFERROR(8-VLOOKUP(G108,'Dados de consulta'!$A$2:$C$38,3,0),8))</f>
        <v>0</v>
      </c>
      <c r="BE108" s="97">
        <f>IF(OR(AY108="SÁB",AY108="DOM"),0,IFERROR(8-VLOOKUP(H108,'Dados de consulta'!$A$2:$C$38,3,0),8))</f>
        <v>0</v>
      </c>
      <c r="BF108" s="97">
        <f>IF(OR(AY108="SÁB",AY108="DOM"),0,IFERROR(8-VLOOKUP(I108,'Dados de consulta'!$A$2:$C$38,3,0),8))</f>
        <v>0</v>
      </c>
      <c r="BG108" s="97">
        <f>IF(OR(AY108="SÁB",AY108="DOM"),0,IFERROR(8-VLOOKUP(J108,'Dados de consulta'!$A$2:$C$38,3,0),8))</f>
        <v>0</v>
      </c>
      <c r="BH108" s="97">
        <f>IF(OR(AY108="SÁB",AY108="DOM"),0,IFERROR(8-VLOOKUP(K108,'Dados de consulta'!$A$2:$C$38,3,0),8))</f>
        <v>0</v>
      </c>
      <c r="BI108" s="97">
        <f>IF(OR(AY108="SÁB",AY108="DOM"),0,IFERROR(8-VLOOKUP(L108,'Dados de consulta'!$A$2:$C$38,3,0),8))</f>
        <v>0</v>
      </c>
      <c r="BJ108" s="97">
        <f>IF(OR(AY108="SÁB",AY108="DOM"),0,IFERROR(8-VLOOKUP(M108,'Dados de consulta'!$A$2:$C$38,3,0),8))</f>
        <v>0</v>
      </c>
      <c r="BK108" s="97">
        <f>IF(OR(AY108="SÁB",AY108="DOM"),0,IFERROR(8-VLOOKUP(N108,'Dados de consulta'!$A$2:$C$38,3,0),8))</f>
        <v>0</v>
      </c>
      <c r="BL108" s="97">
        <f>IF(OR(AY108="SÁB",AY108="DOM"),0,IFERROR(8-VLOOKUP(O108,'Dados de consulta'!$A$2:$C$38,3,0),8))</f>
        <v>0</v>
      </c>
      <c r="BM108" s="97">
        <f>IF(OR(AY108="SÁB",AY108="DOM"),0,IFERROR(8-VLOOKUP(P108,'Dados de consulta'!$A$2:$C$38,3,0),8))</f>
        <v>0</v>
      </c>
      <c r="BN108" s="97">
        <f>IF(OR(AY108="SÁB",AY108="DOM"),0,IFERROR(8-VLOOKUP(Q108,'Dados de consulta'!$A$2:$C$38,3,0),8))</f>
        <v>0</v>
      </c>
      <c r="BO108" s="97">
        <f>IF(OR(AY108="SÁB",AY108="DOM"),0,IFERROR(8-VLOOKUP(R108,'Dados de consulta'!$A$2:$C$38,3,0),8))</f>
        <v>0</v>
      </c>
      <c r="BP108" s="97">
        <f>IF(OR(AY108="SÁB",AY108="DOM"),0,IFERROR(8-VLOOKUP(S108,'Dados de consulta'!$A$2:$C$38,3,0),8))</f>
        <v>0</v>
      </c>
      <c r="BQ108" s="113">
        <f>IFERROR(6-VLOOKUP(T108,'Dados de consulta'!$A$2:$C$38,3,0)+2,6)</f>
        <v>6</v>
      </c>
      <c r="BR108" s="114">
        <f t="shared" si="50"/>
        <v>0</v>
      </c>
      <c r="BS108">
        <f t="shared" si="26"/>
        <v>0</v>
      </c>
      <c r="BU108">
        <f>IFERROR(8-VLOOKUP(U108,'Dados de consulta'!$A:$D,3,0),8)</f>
        <v>8</v>
      </c>
      <c r="BV108">
        <f>IFERROR(8-VLOOKUP(V108,'Dados de consulta'!$A:$D,3,0),8)</f>
        <v>8</v>
      </c>
      <c r="BW108">
        <f t="shared" si="51"/>
        <v>16</v>
      </c>
    </row>
    <row r="109" spans="1:75" ht="15" hidden="1" x14ac:dyDescent="0.2">
      <c r="A109" s="98">
        <v>42232</v>
      </c>
      <c r="B109" s="129" t="str">
        <f t="shared" si="27"/>
        <v>dom</v>
      </c>
      <c r="C109" s="132"/>
      <c r="D109" s="132"/>
      <c r="E109" s="132">
        <v>18</v>
      </c>
      <c r="F109" s="132">
        <v>101</v>
      </c>
      <c r="G109" s="132">
        <v>4</v>
      </c>
      <c r="H109" s="132">
        <v>4</v>
      </c>
      <c r="I109" s="132"/>
      <c r="J109" s="132"/>
      <c r="K109" s="132"/>
      <c r="L109" s="132"/>
      <c r="M109" s="132"/>
      <c r="N109" s="132"/>
      <c r="O109" s="132"/>
      <c r="P109" s="132">
        <v>18</v>
      </c>
      <c r="Q109" s="132"/>
      <c r="R109" s="132"/>
      <c r="S109" s="132"/>
      <c r="T109" s="132"/>
      <c r="U109" s="151"/>
      <c r="V109" s="151"/>
      <c r="W109" s="307" t="s">
        <v>193</v>
      </c>
      <c r="X109" s="308"/>
      <c r="Y109" s="38">
        <f t="shared" si="28"/>
        <v>16</v>
      </c>
      <c r="Z109" s="38">
        <f t="shared" si="29"/>
        <v>16</v>
      </c>
      <c r="AA109" s="38">
        <f t="shared" si="30"/>
        <v>0</v>
      </c>
      <c r="AB109" s="38">
        <f t="shared" si="38"/>
        <v>0</v>
      </c>
      <c r="AC109" s="38">
        <f t="shared" si="39"/>
        <v>0</v>
      </c>
      <c r="AD109" s="38">
        <f t="shared" si="40"/>
        <v>0</v>
      </c>
      <c r="AE109" s="38">
        <f t="shared" si="41"/>
        <v>0</v>
      </c>
      <c r="AF109" s="38">
        <f t="shared" si="42"/>
        <v>0</v>
      </c>
      <c r="AG109" s="33">
        <f t="shared" si="43"/>
        <v>0</v>
      </c>
      <c r="AH109" s="33">
        <f t="shared" si="44"/>
        <v>0</v>
      </c>
      <c r="AI109" s="33">
        <f t="shared" si="45"/>
        <v>0</v>
      </c>
      <c r="AJ109" s="33">
        <f t="shared" si="46"/>
        <v>0</v>
      </c>
      <c r="AK109" s="34">
        <f t="shared" si="47"/>
        <v>0</v>
      </c>
      <c r="AL109" s="35">
        <f t="shared" si="48"/>
        <v>0</v>
      </c>
      <c r="AM109" s="34">
        <f t="shared" si="31"/>
        <v>0</v>
      </c>
      <c r="AN109" s="36">
        <f t="shared" si="49"/>
        <v>0</v>
      </c>
      <c r="AO109" s="6">
        <f t="shared" si="32"/>
        <v>0</v>
      </c>
      <c r="AP109">
        <f t="shared" si="33"/>
        <v>8</v>
      </c>
      <c r="AQ109" s="6">
        <f t="shared" si="34"/>
        <v>0</v>
      </c>
      <c r="AR109" s="6">
        <f t="shared" si="35"/>
        <v>0</v>
      </c>
      <c r="AS109" s="6"/>
      <c r="AX109" s="95">
        <f t="shared" si="36"/>
        <v>42232</v>
      </c>
      <c r="AY109" s="96" t="str">
        <f t="shared" si="37"/>
        <v>dom</v>
      </c>
      <c r="AZ109" s="97">
        <f>IF(OR(AY109="SÁB",AY109="DOM"),0,IFERROR(8-VLOOKUP(C109,'Dados de consulta'!$A$2:$C$38,3,0),8))</f>
        <v>0</v>
      </c>
      <c r="BA109" s="97">
        <f>IF(OR(AY109="SÁB",AY109="DOM"),0,IFERROR(8-VLOOKUP(D109,'Dados de consulta'!$A$2:$C$38,3,0),8))</f>
        <v>0</v>
      </c>
      <c r="BB109" s="97">
        <f>IF(OR(AY109="SÁB",AY109="DOM"),0,IFERROR(8-VLOOKUP(E109,'Dados de consulta'!$A$2:$C$38,3,0),8))</f>
        <v>0</v>
      </c>
      <c r="BC109" s="97">
        <f>IF(OR(AY109="SÁB",AY109="DOM"),0,IFERROR(8-VLOOKUP(F109,'Dados de consulta'!$A$2:$C$38,3,0),8))</f>
        <v>0</v>
      </c>
      <c r="BD109" s="97">
        <f>IF(OR(AY109="SÁB",AY109="DOM"),0,IFERROR(8-VLOOKUP(G109,'Dados de consulta'!$A$2:$C$38,3,0),8))</f>
        <v>0</v>
      </c>
      <c r="BE109" s="97">
        <f>IF(OR(AY109="SÁB",AY109="DOM"),0,IFERROR(8-VLOOKUP(H109,'Dados de consulta'!$A$2:$C$38,3,0),8))</f>
        <v>0</v>
      </c>
      <c r="BF109" s="97">
        <f>IF(OR(AY109="SÁB",AY109="DOM"),0,IFERROR(8-VLOOKUP(I109,'Dados de consulta'!$A$2:$C$38,3,0),8))</f>
        <v>0</v>
      </c>
      <c r="BG109" s="97">
        <f>IF(OR(AY109="SÁB",AY109="DOM"),0,IFERROR(8-VLOOKUP(J109,'Dados de consulta'!$A$2:$C$38,3,0),8))</f>
        <v>0</v>
      </c>
      <c r="BH109" s="97">
        <f>IF(OR(AY109="SÁB",AY109="DOM"),0,IFERROR(8-VLOOKUP(K109,'Dados de consulta'!$A$2:$C$38,3,0),8))</f>
        <v>0</v>
      </c>
      <c r="BI109" s="97">
        <f>IF(OR(AY109="SÁB",AY109="DOM"),0,IFERROR(8-VLOOKUP(L109,'Dados de consulta'!$A$2:$C$38,3,0),8))</f>
        <v>0</v>
      </c>
      <c r="BJ109" s="97">
        <f>IF(OR(AY109="SÁB",AY109="DOM"),0,IFERROR(8-VLOOKUP(M109,'Dados de consulta'!$A$2:$C$38,3,0),8))</f>
        <v>0</v>
      </c>
      <c r="BK109" s="97">
        <f>IF(OR(AY109="SÁB",AY109="DOM"),0,IFERROR(8-VLOOKUP(N109,'Dados de consulta'!$A$2:$C$38,3,0),8))</f>
        <v>0</v>
      </c>
      <c r="BL109" s="97">
        <f>IF(OR(AY109="SÁB",AY109="DOM"),0,IFERROR(8-VLOOKUP(O109,'Dados de consulta'!$A$2:$C$38,3,0),8))</f>
        <v>0</v>
      </c>
      <c r="BM109" s="97">
        <f>IF(OR(AY109="SÁB",AY109="DOM"),0,IFERROR(8-VLOOKUP(P109,'Dados de consulta'!$A$2:$C$38,3,0),8))</f>
        <v>0</v>
      </c>
      <c r="BN109" s="97">
        <f>IF(OR(AY109="SÁB",AY109="DOM"),0,IFERROR(8-VLOOKUP(Q109,'Dados de consulta'!$A$2:$C$38,3,0),8))</f>
        <v>0</v>
      </c>
      <c r="BO109" s="97">
        <f>IF(OR(AY109="SÁB",AY109="DOM"),0,IFERROR(8-VLOOKUP(R109,'Dados de consulta'!$A$2:$C$38,3,0),8))</f>
        <v>0</v>
      </c>
      <c r="BP109" s="97">
        <f>IF(OR(AY109="SÁB",AY109="DOM"),0,IFERROR(8-VLOOKUP(S109,'Dados de consulta'!$A$2:$C$38,3,0),8))</f>
        <v>0</v>
      </c>
      <c r="BQ109" s="113">
        <f>IFERROR(6-VLOOKUP(T109,'Dados de consulta'!$A$2:$C$38,3,0)+2,6)</f>
        <v>6</v>
      </c>
      <c r="BR109" s="114">
        <f t="shared" si="50"/>
        <v>0</v>
      </c>
      <c r="BS109">
        <f t="shared" si="26"/>
        <v>0</v>
      </c>
      <c r="BU109">
        <f>IFERROR(8-VLOOKUP(U109,'Dados de consulta'!$A:$D,3,0),8)</f>
        <v>8</v>
      </c>
      <c r="BV109">
        <f>IFERROR(8-VLOOKUP(V109,'Dados de consulta'!$A:$D,3,0),8)</f>
        <v>8</v>
      </c>
      <c r="BW109">
        <f t="shared" si="51"/>
        <v>16</v>
      </c>
    </row>
    <row r="110" spans="1:75" ht="15" hidden="1" x14ac:dyDescent="0.2">
      <c r="A110" s="98">
        <v>42233</v>
      </c>
      <c r="B110" s="129" t="str">
        <f t="shared" si="27"/>
        <v>seg</v>
      </c>
      <c r="C110" s="132"/>
      <c r="D110" s="132"/>
      <c r="E110" s="132">
        <v>18</v>
      </c>
      <c r="F110" s="132">
        <v>101</v>
      </c>
      <c r="G110" s="132">
        <v>4</v>
      </c>
      <c r="H110" s="132">
        <v>4</v>
      </c>
      <c r="I110" s="132"/>
      <c r="J110" s="132"/>
      <c r="K110" s="132"/>
      <c r="L110" s="132"/>
      <c r="M110" s="132"/>
      <c r="N110" s="132"/>
      <c r="O110" s="132"/>
      <c r="P110" s="132">
        <v>18</v>
      </c>
      <c r="Q110" s="132"/>
      <c r="R110" s="132"/>
      <c r="S110" s="132"/>
      <c r="T110" s="132"/>
      <c r="U110" s="151"/>
      <c r="V110" s="151"/>
      <c r="W110" s="307" t="s">
        <v>193</v>
      </c>
      <c r="X110" s="308"/>
      <c r="Y110" s="38">
        <f t="shared" si="28"/>
        <v>16</v>
      </c>
      <c r="Z110" s="38">
        <f t="shared" si="29"/>
        <v>16</v>
      </c>
      <c r="AA110" s="38">
        <f t="shared" si="30"/>
        <v>0</v>
      </c>
      <c r="AB110" s="38">
        <f t="shared" si="38"/>
        <v>0</v>
      </c>
      <c r="AC110" s="38">
        <f t="shared" si="39"/>
        <v>0</v>
      </c>
      <c r="AD110" s="38">
        <f t="shared" si="40"/>
        <v>0</v>
      </c>
      <c r="AE110" s="38">
        <f t="shared" si="41"/>
        <v>0</v>
      </c>
      <c r="AF110" s="38">
        <f t="shared" si="42"/>
        <v>0</v>
      </c>
      <c r="AG110" s="33">
        <f t="shared" si="43"/>
        <v>16</v>
      </c>
      <c r="AH110" s="33">
        <f t="shared" si="44"/>
        <v>16</v>
      </c>
      <c r="AI110" s="33">
        <f t="shared" si="45"/>
        <v>0</v>
      </c>
      <c r="AJ110" s="33">
        <f t="shared" si="46"/>
        <v>0</v>
      </c>
      <c r="AK110" s="34">
        <f t="shared" si="47"/>
        <v>0.11267605633802817</v>
      </c>
      <c r="AL110" s="35">
        <f t="shared" si="48"/>
        <v>0.11267605633802817</v>
      </c>
      <c r="AM110" s="34">
        <f t="shared" si="31"/>
        <v>0</v>
      </c>
      <c r="AN110" s="36">
        <f t="shared" si="49"/>
        <v>0</v>
      </c>
      <c r="AO110" s="6">
        <f t="shared" si="32"/>
        <v>0</v>
      </c>
      <c r="AP110">
        <f t="shared" si="33"/>
        <v>8</v>
      </c>
      <c r="AQ110" s="6">
        <f t="shared" si="34"/>
        <v>0</v>
      </c>
      <c r="AR110" s="6">
        <f t="shared" si="35"/>
        <v>0</v>
      </c>
      <c r="AS110" s="6"/>
      <c r="AX110" s="95">
        <f t="shared" si="36"/>
        <v>42233</v>
      </c>
      <c r="AY110" s="96" t="str">
        <f t="shared" si="37"/>
        <v>seg</v>
      </c>
      <c r="AZ110" s="97">
        <f>IF(OR(AY110="SÁB",AY110="DOM"),0,IFERROR(8-VLOOKUP(C110,'Dados de consulta'!$A$2:$C$38,3,0),8))</f>
        <v>8</v>
      </c>
      <c r="BA110" s="97">
        <f>IF(OR(AY110="SÁB",AY110="DOM"),0,IFERROR(8-VLOOKUP(D110,'Dados de consulta'!$A$2:$C$38,3,0),8))</f>
        <v>8</v>
      </c>
      <c r="BB110" s="97">
        <f>IF(OR(AY110="SÁB",AY110="DOM"),0,IFERROR(8-VLOOKUP(E110,'Dados de consulta'!$A$2:$C$38,3,0),8))</f>
        <v>0</v>
      </c>
      <c r="BC110" s="97">
        <f>IF(OR(AY110="SÁB",AY110="DOM"),0,IFERROR(8-VLOOKUP(F110,'Dados de consulta'!$A$2:$C$38,3,0),8))</f>
        <v>0</v>
      </c>
      <c r="BD110" s="97">
        <f>IF(OR(AY110="SÁB",AY110="DOM"),0,IFERROR(8-VLOOKUP(G110,'Dados de consulta'!$A$2:$C$38,3,0),8))</f>
        <v>0</v>
      </c>
      <c r="BE110" s="97">
        <f>IF(OR(AY110="SÁB",AY110="DOM"),0,IFERROR(8-VLOOKUP(H110,'Dados de consulta'!$A$2:$C$38,3,0),8))</f>
        <v>0</v>
      </c>
      <c r="BF110" s="97">
        <f>IF(OR(AY110="SÁB",AY110="DOM"),0,IFERROR(8-VLOOKUP(I110,'Dados de consulta'!$A$2:$C$38,3,0),8))</f>
        <v>8</v>
      </c>
      <c r="BG110" s="97">
        <f>IF(OR(AY110="SÁB",AY110="DOM"),0,IFERROR(8-VLOOKUP(J110,'Dados de consulta'!$A$2:$C$38,3,0),8))</f>
        <v>8</v>
      </c>
      <c r="BH110" s="97">
        <f>IF(OR(AY110="SÁB",AY110="DOM"),0,IFERROR(8-VLOOKUP(K110,'Dados de consulta'!$A$2:$C$38,3,0),8))</f>
        <v>8</v>
      </c>
      <c r="BI110" s="97">
        <f>IF(OR(AY110="SÁB",AY110="DOM"),0,IFERROR(8-VLOOKUP(L110,'Dados de consulta'!$A$2:$C$38,3,0),8))</f>
        <v>8</v>
      </c>
      <c r="BJ110" s="97">
        <f>IF(OR(AY110="SÁB",AY110="DOM"),0,IFERROR(8-VLOOKUP(M110,'Dados de consulta'!$A$2:$C$38,3,0),8))</f>
        <v>8</v>
      </c>
      <c r="BK110" s="97">
        <f>IF(OR(AY110="SÁB",AY110="DOM"),0,IFERROR(8-VLOOKUP(N110,'Dados de consulta'!$A$2:$C$38,3,0),8))</f>
        <v>8</v>
      </c>
      <c r="BL110" s="97">
        <f>IF(OR(AY110="SÁB",AY110="DOM"),0,IFERROR(8-VLOOKUP(O110,'Dados de consulta'!$A$2:$C$38,3,0),8))</f>
        <v>8</v>
      </c>
      <c r="BM110" s="97">
        <f>IF(OR(AY110="SÁB",AY110="DOM"),0,IFERROR(8-VLOOKUP(P110,'Dados de consulta'!$A$2:$C$38,3,0),8))</f>
        <v>0</v>
      </c>
      <c r="BN110" s="97">
        <f>IF(OR(AY110="SÁB",AY110="DOM"),0,IFERROR(8-VLOOKUP(Q110,'Dados de consulta'!$A$2:$C$38,3,0),8))</f>
        <v>8</v>
      </c>
      <c r="BO110" s="97">
        <f>IF(OR(AY110="SÁB",AY110="DOM"),0,IFERROR(8-VLOOKUP(R110,'Dados de consulta'!$A$2:$C$38,3,0),8))</f>
        <v>8</v>
      </c>
      <c r="BP110" s="97">
        <f>IF(OR(AY110="SÁB",AY110="DOM"),0,IFERROR(8-VLOOKUP(S110,'Dados de consulta'!$A$2:$C$38,3,0),8))</f>
        <v>8</v>
      </c>
      <c r="BQ110" s="113">
        <f>IFERROR(6-VLOOKUP(T110,'Dados de consulta'!$A$2:$C$38,3,0)+2,6)</f>
        <v>6</v>
      </c>
      <c r="BR110" s="114">
        <f t="shared" si="50"/>
        <v>102</v>
      </c>
      <c r="BS110">
        <f t="shared" si="26"/>
        <v>134</v>
      </c>
      <c r="BU110">
        <f>IFERROR(8-VLOOKUP(U110,'Dados de consulta'!$A:$D,3,0),8)</f>
        <v>8</v>
      </c>
      <c r="BV110">
        <f>IFERROR(8-VLOOKUP(V110,'Dados de consulta'!$A:$D,3,0),8)</f>
        <v>8</v>
      </c>
      <c r="BW110">
        <f t="shared" si="51"/>
        <v>16</v>
      </c>
    </row>
    <row r="111" spans="1:75" ht="15" hidden="1" x14ac:dyDescent="0.2">
      <c r="A111" s="98">
        <v>42234</v>
      </c>
      <c r="B111" s="129" t="str">
        <f t="shared" si="27"/>
        <v>ter</v>
      </c>
      <c r="C111" s="132"/>
      <c r="D111" s="132"/>
      <c r="E111" s="132">
        <v>18</v>
      </c>
      <c r="F111" s="132">
        <v>101</v>
      </c>
      <c r="G111" s="132">
        <v>4</v>
      </c>
      <c r="H111" s="132">
        <v>4</v>
      </c>
      <c r="I111" s="132"/>
      <c r="J111" s="132"/>
      <c r="K111" s="132"/>
      <c r="L111" s="132"/>
      <c r="M111" s="132"/>
      <c r="N111" s="132"/>
      <c r="O111" s="132"/>
      <c r="P111" s="132">
        <v>18</v>
      </c>
      <c r="Q111" s="132"/>
      <c r="R111" s="132"/>
      <c r="S111" s="132"/>
      <c r="T111" s="132"/>
      <c r="U111" s="151"/>
      <c r="V111" s="151"/>
      <c r="W111" s="307" t="s">
        <v>193</v>
      </c>
      <c r="X111" s="308"/>
      <c r="Y111" s="38">
        <f t="shared" si="28"/>
        <v>16</v>
      </c>
      <c r="Z111" s="38">
        <f t="shared" si="29"/>
        <v>16</v>
      </c>
      <c r="AA111" s="38">
        <f t="shared" si="30"/>
        <v>0</v>
      </c>
      <c r="AB111" s="38">
        <f t="shared" si="38"/>
        <v>0</v>
      </c>
      <c r="AC111" s="38">
        <f t="shared" si="39"/>
        <v>0</v>
      </c>
      <c r="AD111" s="38">
        <f t="shared" si="40"/>
        <v>0</v>
      </c>
      <c r="AE111" s="38">
        <f t="shared" si="41"/>
        <v>0</v>
      </c>
      <c r="AF111" s="38">
        <f t="shared" si="42"/>
        <v>0</v>
      </c>
      <c r="AG111" s="33">
        <f t="shared" si="43"/>
        <v>16</v>
      </c>
      <c r="AH111" s="33">
        <f t="shared" si="44"/>
        <v>16</v>
      </c>
      <c r="AI111" s="33">
        <f t="shared" si="45"/>
        <v>0</v>
      </c>
      <c r="AJ111" s="33">
        <f t="shared" si="46"/>
        <v>0</v>
      </c>
      <c r="AK111" s="34">
        <f t="shared" si="47"/>
        <v>0.11267605633802817</v>
      </c>
      <c r="AL111" s="35">
        <f t="shared" si="48"/>
        <v>0.11267605633802817</v>
      </c>
      <c r="AM111" s="34">
        <f t="shared" si="31"/>
        <v>0</v>
      </c>
      <c r="AN111" s="36">
        <f t="shared" si="49"/>
        <v>0</v>
      </c>
      <c r="AO111" s="6">
        <f t="shared" si="32"/>
        <v>0</v>
      </c>
      <c r="AP111">
        <f t="shared" si="33"/>
        <v>8</v>
      </c>
      <c r="AQ111" s="6">
        <f t="shared" si="34"/>
        <v>0</v>
      </c>
      <c r="AR111" s="6">
        <f t="shared" si="35"/>
        <v>0</v>
      </c>
      <c r="AS111" s="6"/>
      <c r="AX111" s="95">
        <f t="shared" si="36"/>
        <v>42234</v>
      </c>
      <c r="AY111" s="96" t="str">
        <f t="shared" si="37"/>
        <v>ter</v>
      </c>
      <c r="AZ111" s="97">
        <f>IF(OR(AY111="SÁB",AY111="DOM"),0,IFERROR(8-VLOOKUP(C111,'Dados de consulta'!$A$2:$C$38,3,0),8))</f>
        <v>8</v>
      </c>
      <c r="BA111" s="97">
        <f>IF(OR(AY111="SÁB",AY111="DOM"),0,IFERROR(8-VLOOKUP(D111,'Dados de consulta'!$A$2:$C$38,3,0),8))</f>
        <v>8</v>
      </c>
      <c r="BB111" s="97">
        <f>IF(OR(AY111="SÁB",AY111="DOM"),0,IFERROR(8-VLOOKUP(E111,'Dados de consulta'!$A$2:$C$38,3,0),8))</f>
        <v>0</v>
      </c>
      <c r="BC111" s="97">
        <f>IF(OR(AY111="SÁB",AY111="DOM"),0,IFERROR(8-VLOOKUP(F111,'Dados de consulta'!$A$2:$C$38,3,0),8))</f>
        <v>0</v>
      </c>
      <c r="BD111" s="97">
        <f>IF(OR(AY111="SÁB",AY111="DOM"),0,IFERROR(8-VLOOKUP(G111,'Dados de consulta'!$A$2:$C$38,3,0),8))</f>
        <v>0</v>
      </c>
      <c r="BE111" s="97">
        <f>IF(OR(AY111="SÁB",AY111="DOM"),0,IFERROR(8-VLOOKUP(H111,'Dados de consulta'!$A$2:$C$38,3,0),8))</f>
        <v>0</v>
      </c>
      <c r="BF111" s="97">
        <f>IF(OR(AY111="SÁB",AY111="DOM"),0,IFERROR(8-VLOOKUP(I111,'Dados de consulta'!$A$2:$C$38,3,0),8))</f>
        <v>8</v>
      </c>
      <c r="BG111" s="97">
        <f>IF(OR(AY111="SÁB",AY111="DOM"),0,IFERROR(8-VLOOKUP(J111,'Dados de consulta'!$A$2:$C$38,3,0),8))</f>
        <v>8</v>
      </c>
      <c r="BH111" s="97">
        <f>IF(OR(AY111="SÁB",AY111="DOM"),0,IFERROR(8-VLOOKUP(K111,'Dados de consulta'!$A$2:$C$38,3,0),8))</f>
        <v>8</v>
      </c>
      <c r="BI111" s="97">
        <f>IF(OR(AY111="SÁB",AY111="DOM"),0,IFERROR(8-VLOOKUP(L111,'Dados de consulta'!$A$2:$C$38,3,0),8))</f>
        <v>8</v>
      </c>
      <c r="BJ111" s="97">
        <f>IF(OR(AY111="SÁB",AY111="DOM"),0,IFERROR(8-VLOOKUP(M111,'Dados de consulta'!$A$2:$C$38,3,0),8))</f>
        <v>8</v>
      </c>
      <c r="BK111" s="97">
        <f>IF(OR(AY111="SÁB",AY111="DOM"),0,IFERROR(8-VLOOKUP(N111,'Dados de consulta'!$A$2:$C$38,3,0),8))</f>
        <v>8</v>
      </c>
      <c r="BL111" s="97">
        <f>IF(OR(AY111="SÁB",AY111="DOM"),0,IFERROR(8-VLOOKUP(O111,'Dados de consulta'!$A$2:$C$38,3,0),8))</f>
        <v>8</v>
      </c>
      <c r="BM111" s="97">
        <f>IF(OR(AY111="SÁB",AY111="DOM"),0,IFERROR(8-VLOOKUP(P111,'Dados de consulta'!$A$2:$C$38,3,0),8))</f>
        <v>0</v>
      </c>
      <c r="BN111" s="97">
        <f>IF(OR(AY111="SÁB",AY111="DOM"),0,IFERROR(8-VLOOKUP(Q111,'Dados de consulta'!$A$2:$C$38,3,0),8))</f>
        <v>8</v>
      </c>
      <c r="BO111" s="97">
        <f>IF(OR(AY111="SÁB",AY111="DOM"),0,IFERROR(8-VLOOKUP(R111,'Dados de consulta'!$A$2:$C$38,3,0),8))</f>
        <v>8</v>
      </c>
      <c r="BP111" s="97">
        <f>IF(OR(AY111="SÁB",AY111="DOM"),0,IFERROR(8-VLOOKUP(S111,'Dados de consulta'!$A$2:$C$38,3,0),8))</f>
        <v>8</v>
      </c>
      <c r="BQ111" s="113">
        <f>IFERROR(6-VLOOKUP(T111,'Dados de consulta'!$A$2:$C$38,3,0)+2,6)</f>
        <v>6</v>
      </c>
      <c r="BR111" s="114">
        <f t="shared" si="50"/>
        <v>102</v>
      </c>
      <c r="BS111">
        <f t="shared" si="26"/>
        <v>134</v>
      </c>
      <c r="BU111">
        <f>IFERROR(8-VLOOKUP(U111,'Dados de consulta'!$A:$D,3,0),8)</f>
        <v>8</v>
      </c>
      <c r="BV111">
        <f>IFERROR(8-VLOOKUP(V111,'Dados de consulta'!$A:$D,3,0),8)</f>
        <v>8</v>
      </c>
      <c r="BW111">
        <f t="shared" si="51"/>
        <v>16</v>
      </c>
    </row>
    <row r="112" spans="1:75" ht="15" hidden="1" x14ac:dyDescent="0.2">
      <c r="A112" s="98">
        <v>42235</v>
      </c>
      <c r="B112" s="129" t="str">
        <f t="shared" si="27"/>
        <v>qua</v>
      </c>
      <c r="C112" s="132"/>
      <c r="D112" s="132"/>
      <c r="E112" s="132">
        <v>18</v>
      </c>
      <c r="F112" s="132">
        <v>101</v>
      </c>
      <c r="G112" s="132">
        <v>4</v>
      </c>
      <c r="H112" s="132">
        <v>4</v>
      </c>
      <c r="I112" s="132"/>
      <c r="J112" s="132"/>
      <c r="K112" s="132"/>
      <c r="L112" s="132"/>
      <c r="M112" s="132"/>
      <c r="N112" s="132"/>
      <c r="O112" s="132"/>
      <c r="P112" s="132">
        <v>18</v>
      </c>
      <c r="Q112" s="132"/>
      <c r="R112" s="132"/>
      <c r="S112" s="132"/>
      <c r="T112" s="132"/>
      <c r="U112" s="151"/>
      <c r="V112" s="151"/>
      <c r="W112" s="307" t="s">
        <v>193</v>
      </c>
      <c r="X112" s="308"/>
      <c r="Y112" s="38">
        <f t="shared" si="28"/>
        <v>16</v>
      </c>
      <c r="Z112" s="38">
        <f t="shared" si="29"/>
        <v>16</v>
      </c>
      <c r="AA112" s="38">
        <f t="shared" si="30"/>
        <v>0</v>
      </c>
      <c r="AB112" s="38">
        <f t="shared" si="38"/>
        <v>0</v>
      </c>
      <c r="AC112" s="38">
        <f t="shared" si="39"/>
        <v>0</v>
      </c>
      <c r="AD112" s="38">
        <f t="shared" si="40"/>
        <v>0</v>
      </c>
      <c r="AE112" s="38">
        <f t="shared" si="41"/>
        <v>0</v>
      </c>
      <c r="AF112" s="38">
        <f t="shared" si="42"/>
        <v>0</v>
      </c>
      <c r="AG112" s="33">
        <f t="shared" si="43"/>
        <v>16</v>
      </c>
      <c r="AH112" s="33">
        <f t="shared" si="44"/>
        <v>16</v>
      </c>
      <c r="AI112" s="33">
        <f t="shared" si="45"/>
        <v>0</v>
      </c>
      <c r="AJ112" s="33">
        <f t="shared" si="46"/>
        <v>0</v>
      </c>
      <c r="AK112" s="34">
        <f t="shared" si="47"/>
        <v>0.11267605633802817</v>
      </c>
      <c r="AL112" s="35">
        <f t="shared" si="48"/>
        <v>0.11267605633802817</v>
      </c>
      <c r="AM112" s="34">
        <f t="shared" si="31"/>
        <v>0</v>
      </c>
      <c r="AN112" s="36">
        <f t="shared" si="49"/>
        <v>0</v>
      </c>
      <c r="AO112" s="6">
        <f t="shared" si="32"/>
        <v>0</v>
      </c>
      <c r="AP112">
        <f t="shared" si="33"/>
        <v>8</v>
      </c>
      <c r="AQ112" s="6">
        <f t="shared" si="34"/>
        <v>0</v>
      </c>
      <c r="AR112" s="6">
        <f t="shared" si="35"/>
        <v>0</v>
      </c>
      <c r="AS112" s="6"/>
      <c r="AX112" s="95">
        <f t="shared" si="36"/>
        <v>42235</v>
      </c>
      <c r="AY112" s="96" t="str">
        <f t="shared" si="37"/>
        <v>qua</v>
      </c>
      <c r="AZ112" s="97">
        <f>IF(OR(AY112="SÁB",AY112="DOM"),0,IFERROR(8-VLOOKUP(C112,'Dados de consulta'!$A$2:$C$38,3,0),8))</f>
        <v>8</v>
      </c>
      <c r="BA112" s="97">
        <f>IF(OR(AY112="SÁB",AY112="DOM"),0,IFERROR(8-VLOOKUP(D112,'Dados de consulta'!$A$2:$C$38,3,0),8))</f>
        <v>8</v>
      </c>
      <c r="BB112" s="97">
        <f>IF(OR(AY112="SÁB",AY112="DOM"),0,IFERROR(8-VLOOKUP(E112,'Dados de consulta'!$A$2:$C$38,3,0),8))</f>
        <v>0</v>
      </c>
      <c r="BC112" s="97">
        <f>IF(OR(AY112="SÁB",AY112="DOM"),0,IFERROR(8-VLOOKUP(F112,'Dados de consulta'!$A$2:$C$38,3,0),8))</f>
        <v>0</v>
      </c>
      <c r="BD112" s="97">
        <f>IF(OR(AY112="SÁB",AY112="DOM"),0,IFERROR(8-VLOOKUP(G112,'Dados de consulta'!$A$2:$C$38,3,0),8))</f>
        <v>0</v>
      </c>
      <c r="BE112" s="97">
        <f>IF(OR(AY112="SÁB",AY112="DOM"),0,IFERROR(8-VLOOKUP(H112,'Dados de consulta'!$A$2:$C$38,3,0),8))</f>
        <v>0</v>
      </c>
      <c r="BF112" s="97">
        <f>IF(OR(AY112="SÁB",AY112="DOM"),0,IFERROR(8-VLOOKUP(I112,'Dados de consulta'!$A$2:$C$38,3,0),8))</f>
        <v>8</v>
      </c>
      <c r="BG112" s="97">
        <f>IF(OR(AY112="SÁB",AY112="DOM"),0,IFERROR(8-VLOOKUP(J112,'Dados de consulta'!$A$2:$C$38,3,0),8))</f>
        <v>8</v>
      </c>
      <c r="BH112" s="97">
        <f>IF(OR(AY112="SÁB",AY112="DOM"),0,IFERROR(8-VLOOKUP(K112,'Dados de consulta'!$A$2:$C$38,3,0),8))</f>
        <v>8</v>
      </c>
      <c r="BI112" s="97">
        <f>IF(OR(AY112="SÁB",AY112="DOM"),0,IFERROR(8-VLOOKUP(L112,'Dados de consulta'!$A$2:$C$38,3,0),8))</f>
        <v>8</v>
      </c>
      <c r="BJ112" s="97">
        <f>IF(OR(AY112="SÁB",AY112="DOM"),0,IFERROR(8-VLOOKUP(M112,'Dados de consulta'!$A$2:$C$38,3,0),8))</f>
        <v>8</v>
      </c>
      <c r="BK112" s="97">
        <f>IF(OR(AY112="SÁB",AY112="DOM"),0,IFERROR(8-VLOOKUP(N112,'Dados de consulta'!$A$2:$C$38,3,0),8))</f>
        <v>8</v>
      </c>
      <c r="BL112" s="97">
        <f>IF(OR(AY112="SÁB",AY112="DOM"),0,IFERROR(8-VLOOKUP(O112,'Dados de consulta'!$A$2:$C$38,3,0),8))</f>
        <v>8</v>
      </c>
      <c r="BM112" s="97">
        <f>IF(OR(AY112="SÁB",AY112="DOM"),0,IFERROR(8-VLOOKUP(P112,'Dados de consulta'!$A$2:$C$38,3,0),8))</f>
        <v>0</v>
      </c>
      <c r="BN112" s="97">
        <f>IF(OR(AY112="SÁB",AY112="DOM"),0,IFERROR(8-VLOOKUP(Q112,'Dados de consulta'!$A$2:$C$38,3,0),8))</f>
        <v>8</v>
      </c>
      <c r="BO112" s="97">
        <f>IF(OR(AY112="SÁB",AY112="DOM"),0,IFERROR(8-VLOOKUP(R112,'Dados de consulta'!$A$2:$C$38,3,0),8))</f>
        <v>8</v>
      </c>
      <c r="BP112" s="97">
        <f>IF(OR(AY112="SÁB",AY112="DOM"),0,IFERROR(8-VLOOKUP(S112,'Dados de consulta'!$A$2:$C$38,3,0),8))</f>
        <v>8</v>
      </c>
      <c r="BQ112" s="113">
        <f>IFERROR(6-VLOOKUP(T112,'Dados de consulta'!$A$2:$C$38,3,0)+2,6)</f>
        <v>6</v>
      </c>
      <c r="BR112" s="114">
        <f t="shared" si="50"/>
        <v>102</v>
      </c>
      <c r="BS112">
        <f t="shared" si="26"/>
        <v>134</v>
      </c>
      <c r="BU112">
        <f>IFERROR(8-VLOOKUP(U112,'Dados de consulta'!$A:$D,3,0),8)</f>
        <v>8</v>
      </c>
      <c r="BV112">
        <f>IFERROR(8-VLOOKUP(V112,'Dados de consulta'!$A:$D,3,0),8)</f>
        <v>8</v>
      </c>
      <c r="BW112">
        <f t="shared" si="51"/>
        <v>16</v>
      </c>
    </row>
    <row r="113" spans="1:75" ht="15" hidden="1" x14ac:dyDescent="0.2">
      <c r="A113" s="98">
        <v>42236</v>
      </c>
      <c r="B113" s="129" t="str">
        <f t="shared" si="27"/>
        <v>qui</v>
      </c>
      <c r="C113" s="132"/>
      <c r="D113" s="132"/>
      <c r="E113" s="132">
        <v>18</v>
      </c>
      <c r="F113" s="132">
        <v>101</v>
      </c>
      <c r="G113" s="132">
        <v>4</v>
      </c>
      <c r="H113" s="132">
        <v>4</v>
      </c>
      <c r="I113" s="132"/>
      <c r="J113" s="132"/>
      <c r="K113" s="132"/>
      <c r="L113" s="132"/>
      <c r="M113" s="132"/>
      <c r="N113" s="132"/>
      <c r="O113" s="132"/>
      <c r="P113" s="132">
        <v>18</v>
      </c>
      <c r="Q113" s="132"/>
      <c r="R113" s="132"/>
      <c r="S113" s="132"/>
      <c r="T113" s="132"/>
      <c r="U113" s="151"/>
      <c r="V113" s="151"/>
      <c r="W113" s="307" t="s">
        <v>193</v>
      </c>
      <c r="X113" s="308"/>
      <c r="Y113" s="38">
        <f t="shared" si="28"/>
        <v>16</v>
      </c>
      <c r="Z113" s="38">
        <f t="shared" si="29"/>
        <v>16</v>
      </c>
      <c r="AA113" s="38">
        <f t="shared" si="30"/>
        <v>0</v>
      </c>
      <c r="AB113" s="38">
        <f t="shared" si="38"/>
        <v>0</v>
      </c>
      <c r="AC113" s="38">
        <f t="shared" si="39"/>
        <v>0</v>
      </c>
      <c r="AD113" s="38">
        <f t="shared" si="40"/>
        <v>0</v>
      </c>
      <c r="AE113" s="38">
        <f t="shared" si="41"/>
        <v>0</v>
      </c>
      <c r="AF113" s="38">
        <f t="shared" si="42"/>
        <v>0</v>
      </c>
      <c r="AG113" s="33">
        <f t="shared" si="43"/>
        <v>16</v>
      </c>
      <c r="AH113" s="33">
        <f t="shared" si="44"/>
        <v>16</v>
      </c>
      <c r="AI113" s="33">
        <f t="shared" si="45"/>
        <v>0</v>
      </c>
      <c r="AJ113" s="33">
        <f t="shared" si="46"/>
        <v>0</v>
      </c>
      <c r="AK113" s="34">
        <f t="shared" si="47"/>
        <v>0.11267605633802817</v>
      </c>
      <c r="AL113" s="35">
        <f t="shared" si="48"/>
        <v>0.11267605633802817</v>
      </c>
      <c r="AM113" s="34">
        <f t="shared" si="31"/>
        <v>0</v>
      </c>
      <c r="AN113" s="36">
        <f t="shared" si="49"/>
        <v>0</v>
      </c>
      <c r="AO113" s="6">
        <f t="shared" si="32"/>
        <v>0</v>
      </c>
      <c r="AP113">
        <f t="shared" si="33"/>
        <v>8</v>
      </c>
      <c r="AQ113" s="6">
        <f t="shared" si="34"/>
        <v>0</v>
      </c>
      <c r="AR113" s="6">
        <f t="shared" si="35"/>
        <v>0</v>
      </c>
      <c r="AS113" s="6"/>
      <c r="AX113" s="95">
        <f t="shared" si="36"/>
        <v>42236</v>
      </c>
      <c r="AY113" s="96" t="str">
        <f t="shared" si="37"/>
        <v>qui</v>
      </c>
      <c r="AZ113" s="97">
        <f>IF(OR(AY113="SÁB",AY113="DOM"),0,IFERROR(8-VLOOKUP(C113,'Dados de consulta'!$A$2:$C$38,3,0),8))</f>
        <v>8</v>
      </c>
      <c r="BA113" s="97">
        <f>IF(OR(AY113="SÁB",AY113="DOM"),0,IFERROR(8-VLOOKUP(D113,'Dados de consulta'!$A$2:$C$38,3,0),8))</f>
        <v>8</v>
      </c>
      <c r="BB113" s="97">
        <f>IF(OR(AY113="SÁB",AY113="DOM"),0,IFERROR(8-VLOOKUP(E113,'Dados de consulta'!$A$2:$C$38,3,0),8))</f>
        <v>0</v>
      </c>
      <c r="BC113" s="97">
        <f>IF(OR(AY113="SÁB",AY113="DOM"),0,IFERROR(8-VLOOKUP(F113,'Dados de consulta'!$A$2:$C$38,3,0),8))</f>
        <v>0</v>
      </c>
      <c r="BD113" s="97">
        <f>IF(OR(AY113="SÁB",AY113="DOM"),0,IFERROR(8-VLOOKUP(G113,'Dados de consulta'!$A$2:$C$38,3,0),8))</f>
        <v>0</v>
      </c>
      <c r="BE113" s="97">
        <f>IF(OR(AY113="SÁB",AY113="DOM"),0,IFERROR(8-VLOOKUP(H113,'Dados de consulta'!$A$2:$C$38,3,0),8))</f>
        <v>0</v>
      </c>
      <c r="BF113" s="97">
        <f>IF(OR(AY113="SÁB",AY113="DOM"),0,IFERROR(8-VLOOKUP(I113,'Dados de consulta'!$A$2:$C$38,3,0),8))</f>
        <v>8</v>
      </c>
      <c r="BG113" s="97">
        <f>IF(OR(AY113="SÁB",AY113="DOM"),0,IFERROR(8-VLOOKUP(J113,'Dados de consulta'!$A$2:$C$38,3,0),8))</f>
        <v>8</v>
      </c>
      <c r="BH113" s="97">
        <f>IF(OR(AY113="SÁB",AY113="DOM"),0,IFERROR(8-VLOOKUP(K113,'Dados de consulta'!$A$2:$C$38,3,0),8))</f>
        <v>8</v>
      </c>
      <c r="BI113" s="97">
        <f>IF(OR(AY113="SÁB",AY113="DOM"),0,IFERROR(8-VLOOKUP(L113,'Dados de consulta'!$A$2:$C$38,3,0),8))</f>
        <v>8</v>
      </c>
      <c r="BJ113" s="97">
        <f>IF(OR(AY113="SÁB",AY113="DOM"),0,IFERROR(8-VLOOKUP(M113,'Dados de consulta'!$A$2:$C$38,3,0),8))</f>
        <v>8</v>
      </c>
      <c r="BK113" s="97">
        <f>IF(OR(AY113="SÁB",AY113="DOM"),0,IFERROR(8-VLOOKUP(N113,'Dados de consulta'!$A$2:$C$38,3,0),8))</f>
        <v>8</v>
      </c>
      <c r="BL113" s="97">
        <f>IF(OR(AY113="SÁB",AY113="DOM"),0,IFERROR(8-VLOOKUP(O113,'Dados de consulta'!$A$2:$C$38,3,0),8))</f>
        <v>8</v>
      </c>
      <c r="BM113" s="97">
        <f>IF(OR(AY113="SÁB",AY113="DOM"),0,IFERROR(8-VLOOKUP(P113,'Dados de consulta'!$A$2:$C$38,3,0),8))</f>
        <v>0</v>
      </c>
      <c r="BN113" s="97">
        <f>IF(OR(AY113="SÁB",AY113="DOM"),0,IFERROR(8-VLOOKUP(Q113,'Dados de consulta'!$A$2:$C$38,3,0),8))</f>
        <v>8</v>
      </c>
      <c r="BO113" s="97">
        <f>IF(OR(AY113="SÁB",AY113="DOM"),0,IFERROR(8-VLOOKUP(R113,'Dados de consulta'!$A$2:$C$38,3,0),8))</f>
        <v>8</v>
      </c>
      <c r="BP113" s="97">
        <f>IF(OR(AY113="SÁB",AY113="DOM"),0,IFERROR(8-VLOOKUP(S113,'Dados de consulta'!$A$2:$C$38,3,0),8))</f>
        <v>8</v>
      </c>
      <c r="BQ113" s="113">
        <f>IFERROR(6-VLOOKUP(T113,'Dados de consulta'!$A$2:$C$38,3,0)+2,6)</f>
        <v>6</v>
      </c>
      <c r="BR113" s="114">
        <f t="shared" si="50"/>
        <v>102</v>
      </c>
      <c r="BS113">
        <f t="shared" si="26"/>
        <v>134</v>
      </c>
      <c r="BU113">
        <f>IFERROR(8-VLOOKUP(U113,'Dados de consulta'!$A:$D,3,0),8)</f>
        <v>8</v>
      </c>
      <c r="BV113">
        <f>IFERROR(8-VLOOKUP(V113,'Dados de consulta'!$A:$D,3,0),8)</f>
        <v>8</v>
      </c>
      <c r="BW113">
        <f t="shared" si="51"/>
        <v>16</v>
      </c>
    </row>
    <row r="114" spans="1:75" ht="15" hidden="1" x14ac:dyDescent="0.2">
      <c r="A114" s="98">
        <v>42237</v>
      </c>
      <c r="B114" s="129" t="str">
        <f t="shared" si="27"/>
        <v>sex</v>
      </c>
      <c r="C114" s="132"/>
      <c r="D114" s="132"/>
      <c r="E114" s="132">
        <v>18</v>
      </c>
      <c r="F114" s="132">
        <v>101</v>
      </c>
      <c r="G114" s="132">
        <v>4</v>
      </c>
      <c r="H114" s="132">
        <v>4</v>
      </c>
      <c r="I114" s="132"/>
      <c r="J114" s="132"/>
      <c r="K114" s="132">
        <v>8</v>
      </c>
      <c r="L114" s="132"/>
      <c r="M114" s="132"/>
      <c r="N114" s="132"/>
      <c r="O114" s="132"/>
      <c r="P114" s="132">
        <v>18</v>
      </c>
      <c r="Q114" s="132"/>
      <c r="R114" s="132"/>
      <c r="S114" s="132"/>
      <c r="T114" s="132"/>
      <c r="U114" s="151"/>
      <c r="V114" s="151"/>
      <c r="W114" s="307" t="s">
        <v>193</v>
      </c>
      <c r="X114" s="308"/>
      <c r="Y114" s="38">
        <f t="shared" si="28"/>
        <v>24</v>
      </c>
      <c r="Z114" s="38">
        <f t="shared" si="29"/>
        <v>16</v>
      </c>
      <c r="AA114" s="38">
        <f t="shared" si="30"/>
        <v>0</v>
      </c>
      <c r="AB114" s="38">
        <f t="shared" si="38"/>
        <v>0</v>
      </c>
      <c r="AC114" s="38">
        <f t="shared" si="39"/>
        <v>0</v>
      </c>
      <c r="AD114" s="38">
        <f t="shared" si="40"/>
        <v>0</v>
      </c>
      <c r="AE114" s="38">
        <f t="shared" si="41"/>
        <v>0</v>
      </c>
      <c r="AF114" s="38">
        <f t="shared" si="42"/>
        <v>0</v>
      </c>
      <c r="AG114" s="33">
        <f t="shared" si="43"/>
        <v>24</v>
      </c>
      <c r="AH114" s="33">
        <f t="shared" si="44"/>
        <v>16</v>
      </c>
      <c r="AI114" s="33">
        <f t="shared" si="45"/>
        <v>0</v>
      </c>
      <c r="AJ114" s="33">
        <f t="shared" si="46"/>
        <v>0</v>
      </c>
      <c r="AK114" s="34">
        <f t="shared" si="47"/>
        <v>0.16901408450704225</v>
      </c>
      <c r="AL114" s="35">
        <f t="shared" si="48"/>
        <v>0.11267605633802817</v>
      </c>
      <c r="AM114" s="34">
        <f t="shared" si="31"/>
        <v>0</v>
      </c>
      <c r="AN114" s="36">
        <f t="shared" si="49"/>
        <v>0</v>
      </c>
      <c r="AO114" s="6">
        <f t="shared" si="32"/>
        <v>0</v>
      </c>
      <c r="AP114">
        <f t="shared" si="33"/>
        <v>8</v>
      </c>
      <c r="AQ114" s="6">
        <f t="shared" si="34"/>
        <v>0</v>
      </c>
      <c r="AR114" s="6">
        <f t="shared" si="35"/>
        <v>0</v>
      </c>
      <c r="AS114" s="6"/>
      <c r="AX114" s="95">
        <f t="shared" si="36"/>
        <v>42237</v>
      </c>
      <c r="AY114" s="96" t="str">
        <f t="shared" si="37"/>
        <v>sex</v>
      </c>
      <c r="AZ114" s="97">
        <f>IF(OR(AY114="SÁB",AY114="DOM"),0,IFERROR(8-VLOOKUP(C114,'Dados de consulta'!$A$2:$C$38,3,0),8))</f>
        <v>8</v>
      </c>
      <c r="BA114" s="97">
        <f>IF(OR(AY114="SÁB",AY114="DOM"),0,IFERROR(8-VLOOKUP(D114,'Dados de consulta'!$A$2:$C$38,3,0),8))</f>
        <v>8</v>
      </c>
      <c r="BB114" s="97">
        <f>IF(OR(AY114="SÁB",AY114="DOM"),0,IFERROR(8-VLOOKUP(E114,'Dados de consulta'!$A$2:$C$38,3,0),8))</f>
        <v>0</v>
      </c>
      <c r="BC114" s="97">
        <f>IF(OR(AY114="SÁB",AY114="DOM"),0,IFERROR(8-VLOOKUP(F114,'Dados de consulta'!$A$2:$C$38,3,0),8))</f>
        <v>0</v>
      </c>
      <c r="BD114" s="97">
        <f>IF(OR(AY114="SÁB",AY114="DOM"),0,IFERROR(8-VLOOKUP(G114,'Dados de consulta'!$A$2:$C$38,3,0),8))</f>
        <v>0</v>
      </c>
      <c r="BE114" s="97">
        <f>IF(OR(AY114="SÁB",AY114="DOM"),0,IFERROR(8-VLOOKUP(H114,'Dados de consulta'!$A$2:$C$38,3,0),8))</f>
        <v>0</v>
      </c>
      <c r="BF114" s="97">
        <f>IF(OR(AY114="SÁB",AY114="DOM"),0,IFERROR(8-VLOOKUP(I114,'Dados de consulta'!$A$2:$C$38,3,0),8))</f>
        <v>8</v>
      </c>
      <c r="BG114" s="97">
        <f>IF(OR(AY114="SÁB",AY114="DOM"),0,IFERROR(8-VLOOKUP(J114,'Dados de consulta'!$A$2:$C$38,3,0),8))</f>
        <v>8</v>
      </c>
      <c r="BH114" s="97">
        <f>IF(OR(AY114="SÁB",AY114="DOM"),0,IFERROR(8-VLOOKUP(K114,'Dados de consulta'!$A$2:$C$38,3,0),8))</f>
        <v>0</v>
      </c>
      <c r="BI114" s="97">
        <f>IF(OR(AY114="SÁB",AY114="DOM"),0,IFERROR(8-VLOOKUP(L114,'Dados de consulta'!$A$2:$C$38,3,0),8))</f>
        <v>8</v>
      </c>
      <c r="BJ114" s="97">
        <f>IF(OR(AY114="SÁB",AY114="DOM"),0,IFERROR(8-VLOOKUP(M114,'Dados de consulta'!$A$2:$C$38,3,0),8))</f>
        <v>8</v>
      </c>
      <c r="BK114" s="97">
        <f>IF(OR(AY114="SÁB",AY114="DOM"),0,IFERROR(8-VLOOKUP(N114,'Dados de consulta'!$A$2:$C$38,3,0),8))</f>
        <v>8</v>
      </c>
      <c r="BL114" s="97">
        <f>IF(OR(AY114="SÁB",AY114="DOM"),0,IFERROR(8-VLOOKUP(O114,'Dados de consulta'!$A$2:$C$38,3,0),8))</f>
        <v>8</v>
      </c>
      <c r="BM114" s="97">
        <f>IF(OR(AY114="SÁB",AY114="DOM"),0,IFERROR(8-VLOOKUP(P114,'Dados de consulta'!$A$2:$C$38,3,0),8))</f>
        <v>0</v>
      </c>
      <c r="BN114" s="97">
        <f>IF(OR(AY114="SÁB",AY114="DOM"),0,IFERROR(8-VLOOKUP(Q114,'Dados de consulta'!$A$2:$C$38,3,0),8))</f>
        <v>8</v>
      </c>
      <c r="BO114" s="97">
        <f>IF(OR(AY114="SÁB",AY114="DOM"),0,IFERROR(8-VLOOKUP(R114,'Dados de consulta'!$A$2:$C$38,3,0),8))</f>
        <v>8</v>
      </c>
      <c r="BP114" s="97">
        <f>IF(OR(AY114="SÁB",AY114="DOM"),0,IFERROR(8-VLOOKUP(S114,'Dados de consulta'!$A$2:$C$38,3,0),8))</f>
        <v>8</v>
      </c>
      <c r="BQ114" s="113">
        <f>IFERROR(6-VLOOKUP(T114,'Dados de consulta'!$A$2:$C$38,3,0)+2,6)</f>
        <v>6</v>
      </c>
      <c r="BR114" s="114">
        <f t="shared" si="50"/>
        <v>94</v>
      </c>
      <c r="BS114">
        <f t="shared" si="26"/>
        <v>134</v>
      </c>
      <c r="BU114">
        <f>IFERROR(8-VLOOKUP(U114,'Dados de consulta'!$A:$D,3,0),8)</f>
        <v>8</v>
      </c>
      <c r="BV114">
        <f>IFERROR(8-VLOOKUP(V114,'Dados de consulta'!$A:$D,3,0),8)</f>
        <v>8</v>
      </c>
      <c r="BW114">
        <f t="shared" si="51"/>
        <v>16</v>
      </c>
    </row>
    <row r="115" spans="1:75" ht="15" hidden="1" x14ac:dyDescent="0.2">
      <c r="A115" s="98">
        <v>42238</v>
      </c>
      <c r="B115" s="129" t="str">
        <f t="shared" si="27"/>
        <v>sáb</v>
      </c>
      <c r="C115" s="132"/>
      <c r="D115" s="132"/>
      <c r="E115" s="132">
        <v>18</v>
      </c>
      <c r="F115" s="132">
        <v>101</v>
      </c>
      <c r="G115" s="132">
        <v>4</v>
      </c>
      <c r="H115" s="132">
        <v>4</v>
      </c>
      <c r="I115" s="132"/>
      <c r="J115" s="132"/>
      <c r="K115" s="132"/>
      <c r="L115" s="132"/>
      <c r="M115" s="132"/>
      <c r="N115" s="132"/>
      <c r="O115" s="132"/>
      <c r="P115" s="132">
        <v>18</v>
      </c>
      <c r="Q115" s="132"/>
      <c r="R115" s="132"/>
      <c r="S115" s="132"/>
      <c r="T115" s="132"/>
      <c r="U115" s="151"/>
      <c r="V115" s="151"/>
      <c r="W115" s="307" t="s">
        <v>193</v>
      </c>
      <c r="X115" s="308"/>
      <c r="Y115" s="38">
        <f t="shared" si="28"/>
        <v>16</v>
      </c>
      <c r="Z115" s="38">
        <f t="shared" si="29"/>
        <v>16</v>
      </c>
      <c r="AA115" s="38">
        <f t="shared" si="30"/>
        <v>0</v>
      </c>
      <c r="AB115" s="38">
        <f t="shared" si="38"/>
        <v>0</v>
      </c>
      <c r="AC115" s="38">
        <f t="shared" si="39"/>
        <v>0</v>
      </c>
      <c r="AD115" s="38">
        <f t="shared" si="40"/>
        <v>0</v>
      </c>
      <c r="AE115" s="38">
        <f t="shared" si="41"/>
        <v>0</v>
      </c>
      <c r="AF115" s="38">
        <f t="shared" si="42"/>
        <v>0</v>
      </c>
      <c r="AG115" s="33">
        <f t="shared" si="43"/>
        <v>0</v>
      </c>
      <c r="AH115" s="33">
        <f t="shared" si="44"/>
        <v>0</v>
      </c>
      <c r="AI115" s="33">
        <f t="shared" si="45"/>
        <v>0</v>
      </c>
      <c r="AJ115" s="33">
        <f t="shared" si="46"/>
        <v>0</v>
      </c>
      <c r="AK115" s="34">
        <f t="shared" si="47"/>
        <v>0</v>
      </c>
      <c r="AL115" s="35">
        <f t="shared" si="48"/>
        <v>0</v>
      </c>
      <c r="AM115" s="34">
        <f t="shared" si="31"/>
        <v>0</v>
      </c>
      <c r="AN115" s="36">
        <f t="shared" si="49"/>
        <v>0</v>
      </c>
      <c r="AO115" s="6">
        <f t="shared" si="32"/>
        <v>0</v>
      </c>
      <c r="AP115">
        <f t="shared" si="33"/>
        <v>8</v>
      </c>
      <c r="AQ115" s="6">
        <f t="shared" si="34"/>
        <v>0</v>
      </c>
      <c r="AR115" s="6">
        <f t="shared" si="35"/>
        <v>0</v>
      </c>
      <c r="AS115" s="6"/>
      <c r="AX115" s="95">
        <f t="shared" si="36"/>
        <v>42238</v>
      </c>
      <c r="AY115" s="96" t="str">
        <f t="shared" si="37"/>
        <v>sáb</v>
      </c>
      <c r="AZ115" s="97">
        <f>IF(OR(AY115="SÁB",AY115="DOM"),0,IFERROR(8-VLOOKUP(C115,'Dados de consulta'!$A$2:$C$38,3,0),8))</f>
        <v>0</v>
      </c>
      <c r="BA115" s="97">
        <f>IF(OR(AY115="SÁB",AY115="DOM"),0,IFERROR(8-VLOOKUP(D115,'Dados de consulta'!$A$2:$C$38,3,0),8))</f>
        <v>0</v>
      </c>
      <c r="BB115" s="97">
        <f>IF(OR(AY115="SÁB",AY115="DOM"),0,IFERROR(8-VLOOKUP(E115,'Dados de consulta'!$A$2:$C$38,3,0),8))</f>
        <v>0</v>
      </c>
      <c r="BC115" s="97">
        <f>IF(OR(AY115="SÁB",AY115="DOM"),0,IFERROR(8-VLOOKUP(F115,'Dados de consulta'!$A$2:$C$38,3,0),8))</f>
        <v>0</v>
      </c>
      <c r="BD115" s="97">
        <f>IF(OR(AY115="SÁB",AY115="DOM"),0,IFERROR(8-VLOOKUP(G115,'Dados de consulta'!$A$2:$C$38,3,0),8))</f>
        <v>0</v>
      </c>
      <c r="BE115" s="97">
        <f>IF(OR(AY115="SÁB",AY115="DOM"),0,IFERROR(8-VLOOKUP(H115,'Dados de consulta'!$A$2:$C$38,3,0),8))</f>
        <v>0</v>
      </c>
      <c r="BF115" s="97">
        <f>IF(OR(AY115="SÁB",AY115="DOM"),0,IFERROR(8-VLOOKUP(I115,'Dados de consulta'!$A$2:$C$38,3,0),8))</f>
        <v>0</v>
      </c>
      <c r="BG115" s="97">
        <f>IF(OR(AY115="SÁB",AY115="DOM"),0,IFERROR(8-VLOOKUP(J115,'Dados de consulta'!$A$2:$C$38,3,0),8))</f>
        <v>0</v>
      </c>
      <c r="BH115" s="97">
        <f>IF(OR(AY115="SÁB",AY115="DOM"),0,IFERROR(8-VLOOKUP(K115,'Dados de consulta'!$A$2:$C$38,3,0),8))</f>
        <v>0</v>
      </c>
      <c r="BI115" s="97">
        <f>IF(OR(AY115="SÁB",AY115="DOM"),0,IFERROR(8-VLOOKUP(L115,'Dados de consulta'!$A$2:$C$38,3,0),8))</f>
        <v>0</v>
      </c>
      <c r="BJ115" s="97">
        <f>IF(OR(AY115="SÁB",AY115="DOM"),0,IFERROR(8-VLOOKUP(M115,'Dados de consulta'!$A$2:$C$38,3,0),8))</f>
        <v>0</v>
      </c>
      <c r="BK115" s="97">
        <f>IF(OR(AY115="SÁB",AY115="DOM"),0,IFERROR(8-VLOOKUP(N115,'Dados de consulta'!$A$2:$C$38,3,0),8))</f>
        <v>0</v>
      </c>
      <c r="BL115" s="97">
        <f>IF(OR(AY115="SÁB",AY115="DOM"),0,IFERROR(8-VLOOKUP(O115,'Dados de consulta'!$A$2:$C$38,3,0),8))</f>
        <v>0</v>
      </c>
      <c r="BM115" s="97">
        <f>IF(OR(AY115="SÁB",AY115="DOM"),0,IFERROR(8-VLOOKUP(P115,'Dados de consulta'!$A$2:$C$38,3,0),8))</f>
        <v>0</v>
      </c>
      <c r="BN115" s="97">
        <f>IF(OR(AY115="SÁB",AY115="DOM"),0,IFERROR(8-VLOOKUP(Q115,'Dados de consulta'!$A$2:$C$38,3,0),8))</f>
        <v>0</v>
      </c>
      <c r="BO115" s="97">
        <f>IF(OR(AY115="SÁB",AY115="DOM"),0,IFERROR(8-VLOOKUP(R115,'Dados de consulta'!$A$2:$C$38,3,0),8))</f>
        <v>0</v>
      </c>
      <c r="BP115" s="97">
        <f>IF(OR(AY115="SÁB",AY115="DOM"),0,IFERROR(8-VLOOKUP(S115,'Dados de consulta'!$A$2:$C$38,3,0),8))</f>
        <v>0</v>
      </c>
      <c r="BQ115" s="113">
        <f>IFERROR(6-VLOOKUP(T115,'Dados de consulta'!$A$2:$C$38,3,0)+2,6)</f>
        <v>6</v>
      </c>
      <c r="BR115" s="114">
        <f t="shared" si="50"/>
        <v>0</v>
      </c>
      <c r="BS115">
        <f t="shared" si="26"/>
        <v>0</v>
      </c>
      <c r="BU115">
        <f>IFERROR(8-VLOOKUP(U115,'Dados de consulta'!$A:$D,3,0),8)</f>
        <v>8</v>
      </c>
      <c r="BV115">
        <f>IFERROR(8-VLOOKUP(V115,'Dados de consulta'!$A:$D,3,0),8)</f>
        <v>8</v>
      </c>
      <c r="BW115">
        <f t="shared" si="51"/>
        <v>16</v>
      </c>
    </row>
    <row r="116" spans="1:75" ht="15" hidden="1" x14ac:dyDescent="0.2">
      <c r="A116" s="98">
        <v>42239</v>
      </c>
      <c r="B116" s="129" t="str">
        <f t="shared" si="27"/>
        <v>dom</v>
      </c>
      <c r="C116" s="132"/>
      <c r="D116" s="132"/>
      <c r="E116" s="132">
        <v>18</v>
      </c>
      <c r="F116" s="132">
        <v>101</v>
      </c>
      <c r="G116" s="132">
        <v>4</v>
      </c>
      <c r="H116" s="132">
        <v>4</v>
      </c>
      <c r="I116" s="132"/>
      <c r="J116" s="132"/>
      <c r="K116" s="132"/>
      <c r="L116" s="132"/>
      <c r="M116" s="132"/>
      <c r="N116" s="132"/>
      <c r="O116" s="132"/>
      <c r="P116" s="132">
        <v>18</v>
      </c>
      <c r="Q116" s="132"/>
      <c r="R116" s="132"/>
      <c r="S116" s="132"/>
      <c r="T116" s="132"/>
      <c r="U116" s="151"/>
      <c r="V116" s="151"/>
      <c r="W116" s="307" t="s">
        <v>193</v>
      </c>
      <c r="X116" s="308"/>
      <c r="Y116" s="38">
        <f t="shared" si="28"/>
        <v>16</v>
      </c>
      <c r="Z116" s="38">
        <f t="shared" si="29"/>
        <v>16</v>
      </c>
      <c r="AA116" s="38">
        <f t="shared" si="30"/>
        <v>0</v>
      </c>
      <c r="AB116" s="38">
        <f t="shared" si="38"/>
        <v>0</v>
      </c>
      <c r="AC116" s="38">
        <f t="shared" si="39"/>
        <v>0</v>
      </c>
      <c r="AD116" s="38">
        <f t="shared" si="40"/>
        <v>0</v>
      </c>
      <c r="AE116" s="38">
        <f t="shared" si="41"/>
        <v>0</v>
      </c>
      <c r="AF116" s="38">
        <f t="shared" si="42"/>
        <v>0</v>
      </c>
      <c r="AG116" s="33">
        <f t="shared" si="43"/>
        <v>0</v>
      </c>
      <c r="AH116" s="33">
        <f t="shared" si="44"/>
        <v>0</v>
      </c>
      <c r="AI116" s="33">
        <f t="shared" si="45"/>
        <v>0</v>
      </c>
      <c r="AJ116" s="33">
        <f t="shared" si="46"/>
        <v>0</v>
      </c>
      <c r="AK116" s="34">
        <f t="shared" si="47"/>
        <v>0</v>
      </c>
      <c r="AL116" s="35">
        <f t="shared" si="48"/>
        <v>0</v>
      </c>
      <c r="AM116" s="34">
        <f t="shared" si="31"/>
        <v>0</v>
      </c>
      <c r="AN116" s="36">
        <f t="shared" si="49"/>
        <v>0</v>
      </c>
      <c r="AO116" s="6">
        <f t="shared" si="32"/>
        <v>0</v>
      </c>
      <c r="AP116">
        <f t="shared" si="33"/>
        <v>8</v>
      </c>
      <c r="AQ116" s="6">
        <f t="shared" si="34"/>
        <v>0</v>
      </c>
      <c r="AR116" s="6">
        <f t="shared" si="35"/>
        <v>0</v>
      </c>
      <c r="AS116" s="6"/>
      <c r="AX116" s="95">
        <f t="shared" si="36"/>
        <v>42239</v>
      </c>
      <c r="AY116" s="96" t="str">
        <f t="shared" si="37"/>
        <v>dom</v>
      </c>
      <c r="AZ116" s="97">
        <f>IF(OR(AY116="SÁB",AY116="DOM"),0,IFERROR(8-VLOOKUP(C116,'Dados de consulta'!$A$2:$C$38,3,0),8))</f>
        <v>0</v>
      </c>
      <c r="BA116" s="97">
        <f>IF(OR(AY116="SÁB",AY116="DOM"),0,IFERROR(8-VLOOKUP(D116,'Dados de consulta'!$A$2:$C$38,3,0),8))</f>
        <v>0</v>
      </c>
      <c r="BB116" s="97">
        <f>IF(OR(AY116="SÁB",AY116="DOM"),0,IFERROR(8-VLOOKUP(E116,'Dados de consulta'!$A$2:$C$38,3,0),8))</f>
        <v>0</v>
      </c>
      <c r="BC116" s="97">
        <f>IF(OR(AY116="SÁB",AY116="DOM"),0,IFERROR(8-VLOOKUP(F116,'Dados de consulta'!$A$2:$C$38,3,0),8))</f>
        <v>0</v>
      </c>
      <c r="BD116" s="97">
        <f>IF(OR(AY116="SÁB",AY116="DOM"),0,IFERROR(8-VLOOKUP(G116,'Dados de consulta'!$A$2:$C$38,3,0),8))</f>
        <v>0</v>
      </c>
      <c r="BE116" s="97">
        <f>IF(OR(AY116="SÁB",AY116="DOM"),0,IFERROR(8-VLOOKUP(H116,'Dados de consulta'!$A$2:$C$38,3,0),8))</f>
        <v>0</v>
      </c>
      <c r="BF116" s="97">
        <f>IF(OR(AY116="SÁB",AY116="DOM"),0,IFERROR(8-VLOOKUP(I116,'Dados de consulta'!$A$2:$C$38,3,0),8))</f>
        <v>0</v>
      </c>
      <c r="BG116" s="97">
        <f>IF(OR(AY116="SÁB",AY116="DOM"),0,IFERROR(8-VLOOKUP(J116,'Dados de consulta'!$A$2:$C$38,3,0),8))</f>
        <v>0</v>
      </c>
      <c r="BH116" s="97">
        <f>IF(OR(AY116="SÁB",AY116="DOM"),0,IFERROR(8-VLOOKUP(K116,'Dados de consulta'!$A$2:$C$38,3,0),8))</f>
        <v>0</v>
      </c>
      <c r="BI116" s="97">
        <f>IF(OR(AY116="SÁB",AY116="DOM"),0,IFERROR(8-VLOOKUP(L116,'Dados de consulta'!$A$2:$C$38,3,0),8))</f>
        <v>0</v>
      </c>
      <c r="BJ116" s="97">
        <f>IF(OR(AY116="SÁB",AY116="DOM"),0,IFERROR(8-VLOOKUP(M116,'Dados de consulta'!$A$2:$C$38,3,0),8))</f>
        <v>0</v>
      </c>
      <c r="BK116" s="97">
        <f>IF(OR(AY116="SÁB",AY116="DOM"),0,IFERROR(8-VLOOKUP(N116,'Dados de consulta'!$A$2:$C$38,3,0),8))</f>
        <v>0</v>
      </c>
      <c r="BL116" s="97">
        <f>IF(OR(AY116="SÁB",AY116="DOM"),0,IFERROR(8-VLOOKUP(O116,'Dados de consulta'!$A$2:$C$38,3,0),8))</f>
        <v>0</v>
      </c>
      <c r="BM116" s="97">
        <f>IF(OR(AY116="SÁB",AY116="DOM"),0,IFERROR(8-VLOOKUP(P116,'Dados de consulta'!$A$2:$C$38,3,0),8))</f>
        <v>0</v>
      </c>
      <c r="BN116" s="97">
        <f>IF(OR(AY116="SÁB",AY116="DOM"),0,IFERROR(8-VLOOKUP(Q116,'Dados de consulta'!$A$2:$C$38,3,0),8))</f>
        <v>0</v>
      </c>
      <c r="BO116" s="97">
        <f>IF(OR(AY116="SÁB",AY116="DOM"),0,IFERROR(8-VLOOKUP(R116,'Dados de consulta'!$A$2:$C$38,3,0),8))</f>
        <v>0</v>
      </c>
      <c r="BP116" s="97">
        <f>IF(OR(AY116="SÁB",AY116="DOM"),0,IFERROR(8-VLOOKUP(S116,'Dados de consulta'!$A$2:$C$38,3,0),8))</f>
        <v>0</v>
      </c>
      <c r="BQ116" s="113">
        <f>IFERROR(6-VLOOKUP(T116,'Dados de consulta'!$A$2:$C$38,3,0)+2,6)</f>
        <v>6</v>
      </c>
      <c r="BR116" s="114">
        <f t="shared" si="50"/>
        <v>0</v>
      </c>
      <c r="BS116">
        <f t="shared" si="26"/>
        <v>0</v>
      </c>
      <c r="BU116">
        <f>IFERROR(8-VLOOKUP(U116,'Dados de consulta'!$A:$D,3,0),8)</f>
        <v>8</v>
      </c>
      <c r="BV116">
        <f>IFERROR(8-VLOOKUP(V116,'Dados de consulta'!$A:$D,3,0),8)</f>
        <v>8</v>
      </c>
      <c r="BW116">
        <f t="shared" si="51"/>
        <v>16</v>
      </c>
    </row>
    <row r="117" spans="1:75" ht="15" hidden="1" x14ac:dyDescent="0.2">
      <c r="A117" s="98">
        <v>42240</v>
      </c>
      <c r="B117" s="129" t="str">
        <f t="shared" si="27"/>
        <v>seg</v>
      </c>
      <c r="C117" s="132"/>
      <c r="D117" s="132"/>
      <c r="E117" s="132">
        <v>18</v>
      </c>
      <c r="F117" s="132">
        <v>101</v>
      </c>
      <c r="G117" s="132">
        <v>4</v>
      </c>
      <c r="H117" s="132">
        <v>4</v>
      </c>
      <c r="I117" s="132"/>
      <c r="J117" s="132">
        <v>8</v>
      </c>
      <c r="K117" s="132"/>
      <c r="L117" s="132"/>
      <c r="M117" s="132"/>
      <c r="N117" s="132"/>
      <c r="O117" s="132"/>
      <c r="P117" s="132">
        <v>18</v>
      </c>
      <c r="Q117" s="132"/>
      <c r="R117" s="132"/>
      <c r="S117" s="132"/>
      <c r="T117" s="132"/>
      <c r="U117" s="151"/>
      <c r="V117" s="151"/>
      <c r="W117" s="307" t="s">
        <v>193</v>
      </c>
      <c r="X117" s="308"/>
      <c r="Y117" s="38">
        <f t="shared" si="28"/>
        <v>24</v>
      </c>
      <c r="Z117" s="38">
        <f t="shared" si="29"/>
        <v>16</v>
      </c>
      <c r="AA117" s="38">
        <f t="shared" si="30"/>
        <v>0</v>
      </c>
      <c r="AB117" s="38">
        <f t="shared" si="38"/>
        <v>0</v>
      </c>
      <c r="AC117" s="38">
        <f t="shared" si="39"/>
        <v>0</v>
      </c>
      <c r="AD117" s="38">
        <f t="shared" si="40"/>
        <v>0</v>
      </c>
      <c r="AE117" s="38">
        <f t="shared" si="41"/>
        <v>0</v>
      </c>
      <c r="AF117" s="38">
        <f t="shared" si="42"/>
        <v>0</v>
      </c>
      <c r="AG117" s="33">
        <f t="shared" si="43"/>
        <v>24</v>
      </c>
      <c r="AH117" s="33">
        <f t="shared" si="44"/>
        <v>16</v>
      </c>
      <c r="AI117" s="33">
        <f t="shared" si="45"/>
        <v>0</v>
      </c>
      <c r="AJ117" s="33">
        <f t="shared" si="46"/>
        <v>0</v>
      </c>
      <c r="AK117" s="34">
        <f t="shared" si="47"/>
        <v>0.16901408450704225</v>
      </c>
      <c r="AL117" s="35">
        <f t="shared" si="48"/>
        <v>0.11267605633802817</v>
      </c>
      <c r="AM117" s="34">
        <f t="shared" si="31"/>
        <v>0</v>
      </c>
      <c r="AN117" s="36">
        <f t="shared" si="49"/>
        <v>0</v>
      </c>
      <c r="AO117" s="6">
        <f t="shared" si="32"/>
        <v>0</v>
      </c>
      <c r="AP117">
        <f t="shared" si="33"/>
        <v>8</v>
      </c>
      <c r="AQ117" s="6">
        <f t="shared" si="34"/>
        <v>0</v>
      </c>
      <c r="AR117" s="6">
        <f t="shared" si="35"/>
        <v>0</v>
      </c>
      <c r="AS117" s="6"/>
      <c r="AX117" s="95">
        <f t="shared" si="36"/>
        <v>42240</v>
      </c>
      <c r="AY117" s="96" t="str">
        <f t="shared" si="37"/>
        <v>seg</v>
      </c>
      <c r="AZ117" s="97">
        <f>IF(OR(AY117="SÁB",AY117="DOM"),0,IFERROR(8-VLOOKUP(C117,'Dados de consulta'!$A$2:$C$38,3,0),8))</f>
        <v>8</v>
      </c>
      <c r="BA117" s="97">
        <f>IF(OR(AY117="SÁB",AY117="DOM"),0,IFERROR(8-VLOOKUP(D117,'Dados de consulta'!$A$2:$C$38,3,0),8))</f>
        <v>8</v>
      </c>
      <c r="BB117" s="97">
        <f>IF(OR(AY117="SÁB",AY117="DOM"),0,IFERROR(8-VLOOKUP(E117,'Dados de consulta'!$A$2:$C$38,3,0),8))</f>
        <v>0</v>
      </c>
      <c r="BC117" s="97">
        <f>IF(OR(AY117="SÁB",AY117="DOM"),0,IFERROR(8-VLOOKUP(F117,'Dados de consulta'!$A$2:$C$38,3,0),8))</f>
        <v>0</v>
      </c>
      <c r="BD117" s="97">
        <f>IF(OR(AY117="SÁB",AY117="DOM"),0,IFERROR(8-VLOOKUP(G117,'Dados de consulta'!$A$2:$C$38,3,0),8))</f>
        <v>0</v>
      </c>
      <c r="BE117" s="97">
        <f>IF(OR(AY117="SÁB",AY117="DOM"),0,IFERROR(8-VLOOKUP(H117,'Dados de consulta'!$A$2:$C$38,3,0),8))</f>
        <v>0</v>
      </c>
      <c r="BF117" s="97">
        <f>IF(OR(AY117="SÁB",AY117="DOM"),0,IFERROR(8-VLOOKUP(I117,'Dados de consulta'!$A$2:$C$38,3,0),8))</f>
        <v>8</v>
      </c>
      <c r="BG117" s="97">
        <f>IF(OR(AY117="SÁB",AY117="DOM"),0,IFERROR(8-VLOOKUP(J117,'Dados de consulta'!$A$2:$C$38,3,0),8))</f>
        <v>0</v>
      </c>
      <c r="BH117" s="97">
        <f>IF(OR(AY117="SÁB",AY117="DOM"),0,IFERROR(8-VLOOKUP(K117,'Dados de consulta'!$A$2:$C$38,3,0),8))</f>
        <v>8</v>
      </c>
      <c r="BI117" s="97">
        <f>IF(OR(AY117="SÁB",AY117="DOM"),0,IFERROR(8-VLOOKUP(L117,'Dados de consulta'!$A$2:$C$38,3,0),8))</f>
        <v>8</v>
      </c>
      <c r="BJ117" s="97">
        <f>IF(OR(AY117="SÁB",AY117="DOM"),0,IFERROR(8-VLOOKUP(M117,'Dados de consulta'!$A$2:$C$38,3,0),8))</f>
        <v>8</v>
      </c>
      <c r="BK117" s="97">
        <f>IF(OR(AY117="SÁB",AY117="DOM"),0,IFERROR(8-VLOOKUP(N117,'Dados de consulta'!$A$2:$C$38,3,0),8))</f>
        <v>8</v>
      </c>
      <c r="BL117" s="97">
        <f>IF(OR(AY117="SÁB",AY117="DOM"),0,IFERROR(8-VLOOKUP(O117,'Dados de consulta'!$A$2:$C$38,3,0),8))</f>
        <v>8</v>
      </c>
      <c r="BM117" s="97">
        <f>IF(OR(AY117="SÁB",AY117="DOM"),0,IFERROR(8-VLOOKUP(P117,'Dados de consulta'!$A$2:$C$38,3,0),8))</f>
        <v>0</v>
      </c>
      <c r="BN117" s="97">
        <f>IF(OR(AY117="SÁB",AY117="DOM"),0,IFERROR(8-VLOOKUP(Q117,'Dados de consulta'!$A$2:$C$38,3,0),8))</f>
        <v>8</v>
      </c>
      <c r="BO117" s="97">
        <f>IF(OR(AY117="SÁB",AY117="DOM"),0,IFERROR(8-VLOOKUP(R117,'Dados de consulta'!$A$2:$C$38,3,0),8))</f>
        <v>8</v>
      </c>
      <c r="BP117" s="97">
        <f>IF(OR(AY117="SÁB",AY117="DOM"),0,IFERROR(8-VLOOKUP(S117,'Dados de consulta'!$A$2:$C$38,3,0),8))</f>
        <v>8</v>
      </c>
      <c r="BQ117" s="113">
        <f>IFERROR(6-VLOOKUP(T117,'Dados de consulta'!$A$2:$C$38,3,0)+2,6)</f>
        <v>6</v>
      </c>
      <c r="BR117" s="114">
        <f t="shared" si="50"/>
        <v>94</v>
      </c>
      <c r="BS117">
        <f t="shared" si="26"/>
        <v>134</v>
      </c>
      <c r="BU117">
        <f>IFERROR(8-VLOOKUP(U117,'Dados de consulta'!$A:$D,3,0),8)</f>
        <v>8</v>
      </c>
      <c r="BV117">
        <f>IFERROR(8-VLOOKUP(V117,'Dados de consulta'!$A:$D,3,0),8)</f>
        <v>8</v>
      </c>
      <c r="BW117">
        <f t="shared" si="51"/>
        <v>16</v>
      </c>
    </row>
    <row r="118" spans="1:75" ht="15" hidden="1" x14ac:dyDescent="0.2">
      <c r="A118" s="98">
        <v>42241</v>
      </c>
      <c r="B118" s="129" t="str">
        <f t="shared" si="27"/>
        <v>ter</v>
      </c>
      <c r="C118" s="132"/>
      <c r="D118" s="132"/>
      <c r="E118" s="132">
        <v>18</v>
      </c>
      <c r="F118" s="132">
        <v>101</v>
      </c>
      <c r="G118" s="132">
        <v>4</v>
      </c>
      <c r="H118" s="132">
        <v>4</v>
      </c>
      <c r="I118" s="132"/>
      <c r="J118" s="132">
        <v>6</v>
      </c>
      <c r="K118" s="132">
        <v>6</v>
      </c>
      <c r="L118" s="132"/>
      <c r="M118" s="132"/>
      <c r="N118" s="132"/>
      <c r="O118" s="132">
        <v>6</v>
      </c>
      <c r="P118" s="132">
        <v>18</v>
      </c>
      <c r="Q118" s="132">
        <v>6</v>
      </c>
      <c r="R118" s="132">
        <v>6</v>
      </c>
      <c r="S118" s="132"/>
      <c r="T118" s="132"/>
      <c r="U118" s="151">
        <v>6</v>
      </c>
      <c r="V118" s="151">
        <v>6</v>
      </c>
      <c r="W118" s="307" t="s">
        <v>193</v>
      </c>
      <c r="X118" s="308"/>
      <c r="Y118" s="38">
        <f t="shared" si="28"/>
        <v>16</v>
      </c>
      <c r="Z118" s="38">
        <f t="shared" si="29"/>
        <v>16</v>
      </c>
      <c r="AA118" s="38">
        <f t="shared" si="30"/>
        <v>0</v>
      </c>
      <c r="AB118" s="38">
        <f t="shared" si="38"/>
        <v>40</v>
      </c>
      <c r="AC118" s="38">
        <f t="shared" si="39"/>
        <v>0</v>
      </c>
      <c r="AD118" s="38">
        <f t="shared" si="40"/>
        <v>0</v>
      </c>
      <c r="AE118" s="38">
        <f t="shared" si="41"/>
        <v>0</v>
      </c>
      <c r="AF118" s="38">
        <f t="shared" si="42"/>
        <v>0</v>
      </c>
      <c r="AG118" s="33">
        <f t="shared" si="43"/>
        <v>16</v>
      </c>
      <c r="AH118" s="33">
        <f t="shared" si="44"/>
        <v>16</v>
      </c>
      <c r="AI118" s="33">
        <f t="shared" si="45"/>
        <v>0</v>
      </c>
      <c r="AJ118" s="33">
        <f t="shared" si="46"/>
        <v>40</v>
      </c>
      <c r="AK118" s="34">
        <f t="shared" si="47"/>
        <v>0.11267605633802817</v>
      </c>
      <c r="AL118" s="35">
        <f t="shared" si="48"/>
        <v>0.11267605633802817</v>
      </c>
      <c r="AM118" s="34">
        <f t="shared" si="31"/>
        <v>0</v>
      </c>
      <c r="AN118" s="36">
        <f t="shared" si="49"/>
        <v>0.28169014084507044</v>
      </c>
      <c r="AO118" s="6">
        <f t="shared" si="32"/>
        <v>0</v>
      </c>
      <c r="AP118">
        <f t="shared" si="33"/>
        <v>8</v>
      </c>
      <c r="AQ118" s="6">
        <f t="shared" si="34"/>
        <v>0</v>
      </c>
      <c r="AR118" s="6">
        <f t="shared" si="35"/>
        <v>0</v>
      </c>
      <c r="AS118" s="6"/>
      <c r="AX118" s="95">
        <f t="shared" si="36"/>
        <v>42241</v>
      </c>
      <c r="AY118" s="96" t="str">
        <f t="shared" si="37"/>
        <v>ter</v>
      </c>
      <c r="AZ118" s="97">
        <f>IF(OR(AY118="SÁB",AY118="DOM"),0,IFERROR(8-VLOOKUP(C118,'Dados de consulta'!$A$2:$C$38,3,0),8))</f>
        <v>8</v>
      </c>
      <c r="BA118" s="97">
        <f>IF(OR(AY118="SÁB",AY118="DOM"),0,IFERROR(8-VLOOKUP(D118,'Dados de consulta'!$A$2:$C$38,3,0),8))</f>
        <v>8</v>
      </c>
      <c r="BB118" s="97">
        <f>IF(OR(AY118="SÁB",AY118="DOM"),0,IFERROR(8-VLOOKUP(E118,'Dados de consulta'!$A$2:$C$38,3,0),8))</f>
        <v>0</v>
      </c>
      <c r="BC118" s="97">
        <f>IF(OR(AY118="SÁB",AY118="DOM"),0,IFERROR(8-VLOOKUP(F118,'Dados de consulta'!$A$2:$C$38,3,0),8))</f>
        <v>0</v>
      </c>
      <c r="BD118" s="97">
        <f>IF(OR(AY118="SÁB",AY118="DOM"),0,IFERROR(8-VLOOKUP(G118,'Dados de consulta'!$A$2:$C$38,3,0),8))</f>
        <v>0</v>
      </c>
      <c r="BE118" s="97">
        <f>IF(OR(AY118="SÁB",AY118="DOM"),0,IFERROR(8-VLOOKUP(H118,'Dados de consulta'!$A$2:$C$38,3,0),8))</f>
        <v>0</v>
      </c>
      <c r="BF118" s="97">
        <f>IF(OR(AY118="SÁB",AY118="DOM"),0,IFERROR(8-VLOOKUP(I118,'Dados de consulta'!$A$2:$C$38,3,0),8))</f>
        <v>8</v>
      </c>
      <c r="BG118" s="97">
        <f>IF(OR(AY118="SÁB",AY118="DOM"),0,IFERROR(8-VLOOKUP(J118,'Dados de consulta'!$A$2:$C$38,3,0),8))</f>
        <v>0</v>
      </c>
      <c r="BH118" s="97">
        <f>IF(OR(AY118="SÁB",AY118="DOM"),0,IFERROR(8-VLOOKUP(K118,'Dados de consulta'!$A$2:$C$38,3,0),8))</f>
        <v>0</v>
      </c>
      <c r="BI118" s="97">
        <f>IF(OR(AY118="SÁB",AY118="DOM"),0,IFERROR(8-VLOOKUP(L118,'Dados de consulta'!$A$2:$C$38,3,0),8))</f>
        <v>8</v>
      </c>
      <c r="BJ118" s="97">
        <f>IF(OR(AY118="SÁB",AY118="DOM"),0,IFERROR(8-VLOOKUP(M118,'Dados de consulta'!$A$2:$C$38,3,0),8))</f>
        <v>8</v>
      </c>
      <c r="BK118" s="97">
        <f>IF(OR(AY118="SÁB",AY118="DOM"),0,IFERROR(8-VLOOKUP(N118,'Dados de consulta'!$A$2:$C$38,3,0),8))</f>
        <v>8</v>
      </c>
      <c r="BL118" s="97">
        <f>IF(OR(AY118="SÁB",AY118="DOM"),0,IFERROR(8-VLOOKUP(O118,'Dados de consulta'!$A$2:$C$38,3,0),8))</f>
        <v>0</v>
      </c>
      <c r="BM118" s="97">
        <f>IF(OR(AY118="SÁB",AY118="DOM"),0,IFERROR(8-VLOOKUP(P118,'Dados de consulta'!$A$2:$C$38,3,0),8))</f>
        <v>0</v>
      </c>
      <c r="BN118" s="97">
        <f>IF(OR(AY118="SÁB",AY118="DOM"),0,IFERROR(8-VLOOKUP(Q118,'Dados de consulta'!$A$2:$C$38,3,0),8))</f>
        <v>0</v>
      </c>
      <c r="BO118" s="97">
        <f>IF(OR(AY118="SÁB",AY118="DOM"),0,IFERROR(8-VLOOKUP(R118,'Dados de consulta'!$A$2:$C$38,3,0),8))</f>
        <v>0</v>
      </c>
      <c r="BP118" s="97">
        <f>IF(OR(AY118="SÁB",AY118="DOM"),0,IFERROR(8-VLOOKUP(S118,'Dados de consulta'!$A$2:$C$38,3,0),8))</f>
        <v>8</v>
      </c>
      <c r="BQ118" s="113">
        <f>IFERROR(6-VLOOKUP(T118,'Dados de consulta'!$A$2:$C$38,3,0)+2,6)</f>
        <v>6</v>
      </c>
      <c r="BR118" s="114">
        <f t="shared" si="50"/>
        <v>62</v>
      </c>
      <c r="BS118">
        <f t="shared" si="26"/>
        <v>134</v>
      </c>
      <c r="BU118">
        <f>IFERROR(8-VLOOKUP(U118,'Dados de consulta'!$A:$D,3,0),8)</f>
        <v>0</v>
      </c>
      <c r="BV118">
        <f>IFERROR(8-VLOOKUP(V118,'Dados de consulta'!$A:$D,3,0),8)</f>
        <v>0</v>
      </c>
      <c r="BW118">
        <f t="shared" si="51"/>
        <v>0</v>
      </c>
    </row>
    <row r="119" spans="1:75" ht="15" hidden="1" x14ac:dyDescent="0.2">
      <c r="A119" s="98">
        <v>42242</v>
      </c>
      <c r="B119" s="129" t="str">
        <f t="shared" si="27"/>
        <v>qua</v>
      </c>
      <c r="C119" s="132"/>
      <c r="D119" s="132"/>
      <c r="E119" s="132"/>
      <c r="F119" s="132">
        <v>101</v>
      </c>
      <c r="G119" s="132">
        <v>4</v>
      </c>
      <c r="H119" s="132">
        <v>4</v>
      </c>
      <c r="I119" s="132"/>
      <c r="J119" s="132">
        <v>8</v>
      </c>
      <c r="K119" s="132"/>
      <c r="L119" s="132"/>
      <c r="M119" s="132"/>
      <c r="N119" s="132"/>
      <c r="O119" s="132">
        <v>6</v>
      </c>
      <c r="P119" s="132">
        <v>18</v>
      </c>
      <c r="Q119" s="132">
        <v>6</v>
      </c>
      <c r="R119" s="132"/>
      <c r="S119" s="132"/>
      <c r="T119" s="132"/>
      <c r="U119" s="151">
        <v>6</v>
      </c>
      <c r="V119" s="151"/>
      <c r="W119" s="307" t="s">
        <v>193</v>
      </c>
      <c r="X119" s="308"/>
      <c r="Y119" s="38">
        <f t="shared" si="28"/>
        <v>24</v>
      </c>
      <c r="Z119" s="38">
        <f t="shared" si="29"/>
        <v>8</v>
      </c>
      <c r="AA119" s="38">
        <f t="shared" si="30"/>
        <v>0</v>
      </c>
      <c r="AB119" s="38">
        <f t="shared" si="38"/>
        <v>16</v>
      </c>
      <c r="AC119" s="38">
        <f t="shared" si="39"/>
        <v>0</v>
      </c>
      <c r="AD119" s="38">
        <f t="shared" si="40"/>
        <v>0</v>
      </c>
      <c r="AE119" s="38">
        <f t="shared" si="41"/>
        <v>0</v>
      </c>
      <c r="AF119" s="38">
        <f t="shared" si="42"/>
        <v>0</v>
      </c>
      <c r="AG119" s="33">
        <f t="shared" si="43"/>
        <v>24</v>
      </c>
      <c r="AH119" s="33">
        <f t="shared" si="44"/>
        <v>8</v>
      </c>
      <c r="AI119" s="33">
        <f t="shared" si="45"/>
        <v>0</v>
      </c>
      <c r="AJ119" s="33">
        <f t="shared" si="46"/>
        <v>16</v>
      </c>
      <c r="AK119" s="34">
        <f t="shared" si="47"/>
        <v>0.16901408450704225</v>
      </c>
      <c r="AL119" s="35">
        <f t="shared" si="48"/>
        <v>5.6338028169014086E-2</v>
      </c>
      <c r="AM119" s="34">
        <f t="shared" si="31"/>
        <v>0</v>
      </c>
      <c r="AN119" s="36">
        <f t="shared" si="49"/>
        <v>0.11267605633802817</v>
      </c>
      <c r="AO119" s="6">
        <f t="shared" si="32"/>
        <v>0</v>
      </c>
      <c r="AP119">
        <f t="shared" si="33"/>
        <v>8</v>
      </c>
      <c r="AQ119" s="6">
        <f t="shared" si="34"/>
        <v>0</v>
      </c>
      <c r="AR119" s="6">
        <f t="shared" si="35"/>
        <v>0</v>
      </c>
      <c r="AS119" s="6"/>
      <c r="AX119" s="95">
        <f t="shared" si="36"/>
        <v>42242</v>
      </c>
      <c r="AY119" s="96" t="str">
        <f t="shared" si="37"/>
        <v>qua</v>
      </c>
      <c r="AZ119" s="97">
        <f>IF(OR(AY119="SÁB",AY119="DOM"),0,IFERROR(8-VLOOKUP(C119,'Dados de consulta'!$A$2:$C$38,3,0),8))</f>
        <v>8</v>
      </c>
      <c r="BA119" s="97">
        <f>IF(OR(AY119="SÁB",AY119="DOM"),0,IFERROR(8-VLOOKUP(D119,'Dados de consulta'!$A$2:$C$38,3,0),8))</f>
        <v>8</v>
      </c>
      <c r="BB119" s="97">
        <f>IF(OR(AY119="SÁB",AY119="DOM"),0,IFERROR(8-VLOOKUP(E119,'Dados de consulta'!$A$2:$C$38,3,0),8))</f>
        <v>8</v>
      </c>
      <c r="BC119" s="97">
        <f>IF(OR(AY119="SÁB",AY119="DOM"),0,IFERROR(8-VLOOKUP(F119,'Dados de consulta'!$A$2:$C$38,3,0),8))</f>
        <v>0</v>
      </c>
      <c r="BD119" s="97">
        <f>IF(OR(AY119="SÁB",AY119="DOM"),0,IFERROR(8-VLOOKUP(G119,'Dados de consulta'!$A$2:$C$38,3,0),8))</f>
        <v>0</v>
      </c>
      <c r="BE119" s="97">
        <f>IF(OR(AY119="SÁB",AY119="DOM"),0,IFERROR(8-VLOOKUP(H119,'Dados de consulta'!$A$2:$C$38,3,0),8))</f>
        <v>0</v>
      </c>
      <c r="BF119" s="97">
        <f>IF(OR(AY119="SÁB",AY119="DOM"),0,IFERROR(8-VLOOKUP(I119,'Dados de consulta'!$A$2:$C$38,3,0),8))</f>
        <v>8</v>
      </c>
      <c r="BG119" s="97">
        <f>IF(OR(AY119="SÁB",AY119="DOM"),0,IFERROR(8-VLOOKUP(J119,'Dados de consulta'!$A$2:$C$38,3,0),8))</f>
        <v>0</v>
      </c>
      <c r="BH119" s="97">
        <f>IF(OR(AY119="SÁB",AY119="DOM"),0,IFERROR(8-VLOOKUP(K119,'Dados de consulta'!$A$2:$C$38,3,0),8))</f>
        <v>8</v>
      </c>
      <c r="BI119" s="97">
        <f>IF(OR(AY119="SÁB",AY119="DOM"),0,IFERROR(8-VLOOKUP(L119,'Dados de consulta'!$A$2:$C$38,3,0),8))</f>
        <v>8</v>
      </c>
      <c r="BJ119" s="97">
        <f>IF(OR(AY119="SÁB",AY119="DOM"),0,IFERROR(8-VLOOKUP(M119,'Dados de consulta'!$A$2:$C$38,3,0),8))</f>
        <v>8</v>
      </c>
      <c r="BK119" s="97">
        <f>IF(OR(AY119="SÁB",AY119="DOM"),0,IFERROR(8-VLOOKUP(N119,'Dados de consulta'!$A$2:$C$38,3,0),8))</f>
        <v>8</v>
      </c>
      <c r="BL119" s="97">
        <f>IF(OR(AY119="SÁB",AY119="DOM"),0,IFERROR(8-VLOOKUP(O119,'Dados de consulta'!$A$2:$C$38,3,0),8))</f>
        <v>0</v>
      </c>
      <c r="BM119" s="97">
        <f>IF(OR(AY119="SÁB",AY119="DOM"),0,IFERROR(8-VLOOKUP(P119,'Dados de consulta'!$A$2:$C$38,3,0),8))</f>
        <v>0</v>
      </c>
      <c r="BN119" s="97">
        <f>IF(OR(AY119="SÁB",AY119="DOM"),0,IFERROR(8-VLOOKUP(Q119,'Dados de consulta'!$A$2:$C$38,3,0),8))</f>
        <v>0</v>
      </c>
      <c r="BO119" s="97">
        <f>IF(OR(AY119="SÁB",AY119="DOM"),0,IFERROR(8-VLOOKUP(R119,'Dados de consulta'!$A$2:$C$38,3,0),8))</f>
        <v>8</v>
      </c>
      <c r="BP119" s="97">
        <f>IF(OR(AY119="SÁB",AY119="DOM"),0,IFERROR(8-VLOOKUP(S119,'Dados de consulta'!$A$2:$C$38,3,0),8))</f>
        <v>8</v>
      </c>
      <c r="BQ119" s="113">
        <f>IFERROR(6-VLOOKUP(T119,'Dados de consulta'!$A$2:$C$38,3,0)+2,6)</f>
        <v>6</v>
      </c>
      <c r="BR119" s="114">
        <f t="shared" si="50"/>
        <v>86</v>
      </c>
      <c r="BS119">
        <f t="shared" si="26"/>
        <v>134</v>
      </c>
      <c r="BU119">
        <f>IFERROR(8-VLOOKUP(U119,'Dados de consulta'!$A:$D,3,0),8)</f>
        <v>0</v>
      </c>
      <c r="BV119">
        <f>IFERROR(8-VLOOKUP(V119,'Dados de consulta'!$A:$D,3,0),8)</f>
        <v>8</v>
      </c>
      <c r="BW119">
        <f t="shared" si="51"/>
        <v>8</v>
      </c>
    </row>
    <row r="120" spans="1:75" ht="15" hidden="1" x14ac:dyDescent="0.2">
      <c r="A120" s="98">
        <v>42243</v>
      </c>
      <c r="B120" s="129" t="str">
        <f t="shared" si="27"/>
        <v>qui</v>
      </c>
      <c r="C120" s="132"/>
      <c r="D120" s="132"/>
      <c r="E120" s="132"/>
      <c r="F120" s="132">
        <v>101</v>
      </c>
      <c r="G120" s="132">
        <v>4</v>
      </c>
      <c r="H120" s="132">
        <v>4</v>
      </c>
      <c r="I120" s="132"/>
      <c r="J120" s="132">
        <v>6</v>
      </c>
      <c r="K120" s="132"/>
      <c r="L120" s="132"/>
      <c r="M120" s="132"/>
      <c r="N120" s="132"/>
      <c r="O120" s="132"/>
      <c r="P120" s="132">
        <v>18</v>
      </c>
      <c r="Q120" s="132">
        <v>6</v>
      </c>
      <c r="R120" s="132"/>
      <c r="S120" s="132"/>
      <c r="T120" s="132"/>
      <c r="U120" s="151">
        <v>6</v>
      </c>
      <c r="V120" s="151"/>
      <c r="W120" s="307" t="s">
        <v>193</v>
      </c>
      <c r="X120" s="308"/>
      <c r="Y120" s="38">
        <f t="shared" si="28"/>
        <v>16</v>
      </c>
      <c r="Z120" s="38">
        <f t="shared" si="29"/>
        <v>8</v>
      </c>
      <c r="AA120" s="38">
        <f t="shared" si="30"/>
        <v>0</v>
      </c>
      <c r="AB120" s="38">
        <f t="shared" si="38"/>
        <v>16</v>
      </c>
      <c r="AC120" s="38">
        <f t="shared" si="39"/>
        <v>0</v>
      </c>
      <c r="AD120" s="38">
        <f t="shared" si="40"/>
        <v>0</v>
      </c>
      <c r="AE120" s="38">
        <f t="shared" si="41"/>
        <v>0</v>
      </c>
      <c r="AF120" s="38">
        <f t="shared" si="42"/>
        <v>0</v>
      </c>
      <c r="AG120" s="33">
        <f t="shared" si="43"/>
        <v>16</v>
      </c>
      <c r="AH120" s="33">
        <f t="shared" si="44"/>
        <v>8</v>
      </c>
      <c r="AI120" s="33">
        <f t="shared" si="45"/>
        <v>0</v>
      </c>
      <c r="AJ120" s="33">
        <f t="shared" si="46"/>
        <v>16</v>
      </c>
      <c r="AK120" s="34">
        <f t="shared" si="47"/>
        <v>0.11267605633802817</v>
      </c>
      <c r="AL120" s="35">
        <f t="shared" si="48"/>
        <v>5.6338028169014086E-2</v>
      </c>
      <c r="AM120" s="34">
        <f t="shared" si="31"/>
        <v>0</v>
      </c>
      <c r="AN120" s="36">
        <f t="shared" si="49"/>
        <v>0.11267605633802817</v>
      </c>
      <c r="AO120" s="6">
        <f t="shared" si="32"/>
        <v>0</v>
      </c>
      <c r="AP120">
        <f t="shared" si="33"/>
        <v>8</v>
      </c>
      <c r="AQ120" s="6">
        <f t="shared" si="34"/>
        <v>0</v>
      </c>
      <c r="AR120" s="6">
        <f t="shared" si="35"/>
        <v>0</v>
      </c>
      <c r="AS120" s="6"/>
      <c r="AX120" s="95">
        <f t="shared" si="36"/>
        <v>42243</v>
      </c>
      <c r="AY120" s="96" t="str">
        <f t="shared" si="37"/>
        <v>qui</v>
      </c>
      <c r="AZ120" s="97">
        <f>IF(OR(AY120="SÁB",AY120="DOM"),0,IFERROR(8-VLOOKUP(C120,'Dados de consulta'!$A$2:$C$38,3,0),8))</f>
        <v>8</v>
      </c>
      <c r="BA120" s="97">
        <f>IF(OR(AY120="SÁB",AY120="DOM"),0,IFERROR(8-VLOOKUP(D120,'Dados de consulta'!$A$2:$C$38,3,0),8))</f>
        <v>8</v>
      </c>
      <c r="BB120" s="97">
        <f>IF(OR(AY120="SÁB",AY120="DOM"),0,IFERROR(8-VLOOKUP(E120,'Dados de consulta'!$A$2:$C$38,3,0),8))</f>
        <v>8</v>
      </c>
      <c r="BC120" s="97">
        <f>IF(OR(AY120="SÁB",AY120="DOM"),0,IFERROR(8-VLOOKUP(F120,'Dados de consulta'!$A$2:$C$38,3,0),8))</f>
        <v>0</v>
      </c>
      <c r="BD120" s="97">
        <f>IF(OR(AY120="SÁB",AY120="DOM"),0,IFERROR(8-VLOOKUP(G120,'Dados de consulta'!$A$2:$C$38,3,0),8))</f>
        <v>0</v>
      </c>
      <c r="BE120" s="97">
        <f>IF(OR(AY120="SÁB",AY120="DOM"),0,IFERROR(8-VLOOKUP(H120,'Dados de consulta'!$A$2:$C$38,3,0),8))</f>
        <v>0</v>
      </c>
      <c r="BF120" s="97">
        <f>IF(OR(AY120="SÁB",AY120="DOM"),0,IFERROR(8-VLOOKUP(I120,'Dados de consulta'!$A$2:$C$38,3,0),8))</f>
        <v>8</v>
      </c>
      <c r="BG120" s="97">
        <f>IF(OR(AY120="SÁB",AY120="DOM"),0,IFERROR(8-VLOOKUP(J120,'Dados de consulta'!$A$2:$C$38,3,0),8))</f>
        <v>0</v>
      </c>
      <c r="BH120" s="97">
        <f>IF(OR(AY120="SÁB",AY120="DOM"),0,IFERROR(8-VLOOKUP(K120,'Dados de consulta'!$A$2:$C$38,3,0),8))</f>
        <v>8</v>
      </c>
      <c r="BI120" s="97">
        <f>IF(OR(AY120="SÁB",AY120="DOM"),0,IFERROR(8-VLOOKUP(L120,'Dados de consulta'!$A$2:$C$38,3,0),8))</f>
        <v>8</v>
      </c>
      <c r="BJ120" s="97">
        <f>IF(OR(AY120="SÁB",AY120="DOM"),0,IFERROR(8-VLOOKUP(M120,'Dados de consulta'!$A$2:$C$38,3,0),8))</f>
        <v>8</v>
      </c>
      <c r="BK120" s="97">
        <f>IF(OR(AY120="SÁB",AY120="DOM"),0,IFERROR(8-VLOOKUP(N120,'Dados de consulta'!$A$2:$C$38,3,0),8))</f>
        <v>8</v>
      </c>
      <c r="BL120" s="97">
        <f>IF(OR(AY120="SÁB",AY120="DOM"),0,IFERROR(8-VLOOKUP(O120,'Dados de consulta'!$A$2:$C$38,3,0),8))</f>
        <v>8</v>
      </c>
      <c r="BM120" s="97">
        <f>IF(OR(AY120="SÁB",AY120="DOM"),0,IFERROR(8-VLOOKUP(P120,'Dados de consulta'!$A$2:$C$38,3,0),8))</f>
        <v>0</v>
      </c>
      <c r="BN120" s="97">
        <f>IF(OR(AY120="SÁB",AY120="DOM"),0,IFERROR(8-VLOOKUP(Q120,'Dados de consulta'!$A$2:$C$38,3,0),8))</f>
        <v>0</v>
      </c>
      <c r="BO120" s="97">
        <f>IF(OR(AY120="SÁB",AY120="DOM"),0,IFERROR(8-VLOOKUP(R120,'Dados de consulta'!$A$2:$C$38,3,0),8))</f>
        <v>8</v>
      </c>
      <c r="BP120" s="97">
        <f>IF(OR(AY120="SÁB",AY120="DOM"),0,IFERROR(8-VLOOKUP(S120,'Dados de consulta'!$A$2:$C$38,3,0),8))</f>
        <v>8</v>
      </c>
      <c r="BQ120" s="113">
        <f>IFERROR(6-VLOOKUP(T120,'Dados de consulta'!$A$2:$C$38,3,0)+2,6)</f>
        <v>6</v>
      </c>
      <c r="BR120" s="114">
        <f t="shared" si="50"/>
        <v>94</v>
      </c>
      <c r="BS120">
        <f t="shared" si="26"/>
        <v>134</v>
      </c>
      <c r="BU120">
        <f>IFERROR(8-VLOOKUP(U120,'Dados de consulta'!$A:$D,3,0),8)</f>
        <v>0</v>
      </c>
      <c r="BV120">
        <f>IFERROR(8-VLOOKUP(V120,'Dados de consulta'!$A:$D,3,0),8)</f>
        <v>8</v>
      </c>
      <c r="BW120">
        <f t="shared" si="51"/>
        <v>8</v>
      </c>
    </row>
    <row r="121" spans="1:75" ht="15" hidden="1" x14ac:dyDescent="0.2">
      <c r="A121" s="98">
        <v>42244</v>
      </c>
      <c r="B121" s="129" t="str">
        <f t="shared" si="27"/>
        <v>sex</v>
      </c>
      <c r="C121" s="132"/>
      <c r="D121" s="132"/>
      <c r="E121" s="132"/>
      <c r="F121" s="132">
        <v>101</v>
      </c>
      <c r="G121" s="132">
        <v>4</v>
      </c>
      <c r="H121" s="132">
        <v>4</v>
      </c>
      <c r="I121" s="132"/>
      <c r="J121" s="132"/>
      <c r="K121" s="132"/>
      <c r="L121" s="132"/>
      <c r="M121" s="132"/>
      <c r="N121" s="132"/>
      <c r="O121" s="132"/>
      <c r="P121" s="132">
        <v>18</v>
      </c>
      <c r="Q121" s="132"/>
      <c r="R121" s="132"/>
      <c r="S121" s="132"/>
      <c r="T121" s="132"/>
      <c r="U121" s="151"/>
      <c r="V121" s="151"/>
      <c r="W121" s="307" t="s">
        <v>193</v>
      </c>
      <c r="X121" s="308"/>
      <c r="Y121" s="38">
        <f t="shared" si="28"/>
        <v>16</v>
      </c>
      <c r="Z121" s="38">
        <f t="shared" si="29"/>
        <v>8</v>
      </c>
      <c r="AA121" s="38">
        <f t="shared" si="30"/>
        <v>0</v>
      </c>
      <c r="AB121" s="38">
        <f t="shared" si="38"/>
        <v>0</v>
      </c>
      <c r="AC121" s="38">
        <f t="shared" si="39"/>
        <v>0</v>
      </c>
      <c r="AD121" s="38">
        <f t="shared" si="40"/>
        <v>0</v>
      </c>
      <c r="AE121" s="38">
        <f t="shared" si="41"/>
        <v>0</v>
      </c>
      <c r="AF121" s="38">
        <f t="shared" si="42"/>
        <v>0</v>
      </c>
      <c r="AG121" s="33">
        <f t="shared" si="43"/>
        <v>16</v>
      </c>
      <c r="AH121" s="33">
        <f t="shared" si="44"/>
        <v>8</v>
      </c>
      <c r="AI121" s="33">
        <f t="shared" si="45"/>
        <v>0</v>
      </c>
      <c r="AJ121" s="33">
        <f t="shared" si="46"/>
        <v>0</v>
      </c>
      <c r="AK121" s="34">
        <f t="shared" si="47"/>
        <v>0.11267605633802817</v>
      </c>
      <c r="AL121" s="35">
        <f t="shared" si="48"/>
        <v>5.6338028169014086E-2</v>
      </c>
      <c r="AM121" s="34">
        <f t="shared" si="31"/>
        <v>0</v>
      </c>
      <c r="AN121" s="36">
        <f t="shared" si="49"/>
        <v>0</v>
      </c>
      <c r="AO121" s="6">
        <f t="shared" si="32"/>
        <v>0</v>
      </c>
      <c r="AP121">
        <f t="shared" si="33"/>
        <v>8</v>
      </c>
      <c r="AQ121" s="6">
        <f t="shared" si="34"/>
        <v>0</v>
      </c>
      <c r="AR121" s="6">
        <f t="shared" si="35"/>
        <v>0</v>
      </c>
      <c r="AS121" s="6"/>
      <c r="AX121" s="95">
        <f t="shared" si="36"/>
        <v>42244</v>
      </c>
      <c r="AY121" s="96" t="str">
        <f t="shared" si="37"/>
        <v>sex</v>
      </c>
      <c r="AZ121" s="97">
        <f>IF(OR(AY121="SÁB",AY121="DOM"),0,IFERROR(8-VLOOKUP(C121,'Dados de consulta'!$A$2:$C$38,3,0),8))</f>
        <v>8</v>
      </c>
      <c r="BA121" s="97">
        <f>IF(OR(AY121="SÁB",AY121="DOM"),0,IFERROR(8-VLOOKUP(D121,'Dados de consulta'!$A$2:$C$38,3,0),8))</f>
        <v>8</v>
      </c>
      <c r="BB121" s="97">
        <f>IF(OR(AY121="SÁB",AY121="DOM"),0,IFERROR(8-VLOOKUP(E121,'Dados de consulta'!$A$2:$C$38,3,0),8))</f>
        <v>8</v>
      </c>
      <c r="BC121" s="97">
        <f>IF(OR(AY121="SÁB",AY121="DOM"),0,IFERROR(8-VLOOKUP(F121,'Dados de consulta'!$A$2:$C$38,3,0),8))</f>
        <v>0</v>
      </c>
      <c r="BD121" s="97">
        <f>IF(OR(AY121="SÁB",AY121="DOM"),0,IFERROR(8-VLOOKUP(G121,'Dados de consulta'!$A$2:$C$38,3,0),8))</f>
        <v>0</v>
      </c>
      <c r="BE121" s="97">
        <f>IF(OR(AY121="SÁB",AY121="DOM"),0,IFERROR(8-VLOOKUP(H121,'Dados de consulta'!$A$2:$C$38,3,0),8))</f>
        <v>0</v>
      </c>
      <c r="BF121" s="97">
        <f>IF(OR(AY121="SÁB",AY121="DOM"),0,IFERROR(8-VLOOKUP(I121,'Dados de consulta'!$A$2:$C$38,3,0),8))</f>
        <v>8</v>
      </c>
      <c r="BG121" s="97">
        <f>IF(OR(AY121="SÁB",AY121="DOM"),0,IFERROR(8-VLOOKUP(J121,'Dados de consulta'!$A$2:$C$38,3,0),8))</f>
        <v>8</v>
      </c>
      <c r="BH121" s="97">
        <f>IF(OR(AY121="SÁB",AY121="DOM"),0,IFERROR(8-VLOOKUP(K121,'Dados de consulta'!$A$2:$C$38,3,0),8))</f>
        <v>8</v>
      </c>
      <c r="BI121" s="97">
        <f>IF(OR(AY121="SÁB",AY121="DOM"),0,IFERROR(8-VLOOKUP(L121,'Dados de consulta'!$A$2:$C$38,3,0),8))</f>
        <v>8</v>
      </c>
      <c r="BJ121" s="97">
        <f>IF(OR(AY121="SÁB",AY121="DOM"),0,IFERROR(8-VLOOKUP(M121,'Dados de consulta'!$A$2:$C$38,3,0),8))</f>
        <v>8</v>
      </c>
      <c r="BK121" s="97">
        <f>IF(OR(AY121="SÁB",AY121="DOM"),0,IFERROR(8-VLOOKUP(N121,'Dados de consulta'!$A$2:$C$38,3,0),8))</f>
        <v>8</v>
      </c>
      <c r="BL121" s="97">
        <f>IF(OR(AY121="SÁB",AY121="DOM"),0,IFERROR(8-VLOOKUP(O121,'Dados de consulta'!$A$2:$C$38,3,0),8))</f>
        <v>8</v>
      </c>
      <c r="BM121" s="97">
        <f>IF(OR(AY121="SÁB",AY121="DOM"),0,IFERROR(8-VLOOKUP(P121,'Dados de consulta'!$A$2:$C$38,3,0),8))</f>
        <v>0</v>
      </c>
      <c r="BN121" s="97">
        <f>IF(OR(AY121="SÁB",AY121="DOM"),0,IFERROR(8-VLOOKUP(Q121,'Dados de consulta'!$A$2:$C$38,3,0),8))</f>
        <v>8</v>
      </c>
      <c r="BO121" s="97">
        <f>IF(OR(AY121="SÁB",AY121="DOM"),0,IFERROR(8-VLOOKUP(R121,'Dados de consulta'!$A$2:$C$38,3,0),8))</f>
        <v>8</v>
      </c>
      <c r="BP121" s="97">
        <f>IF(OR(AY121="SÁB",AY121="DOM"),0,IFERROR(8-VLOOKUP(S121,'Dados de consulta'!$A$2:$C$38,3,0),8))</f>
        <v>8</v>
      </c>
      <c r="BQ121" s="113">
        <f>IFERROR(6-VLOOKUP(T121,'Dados de consulta'!$A$2:$C$38,3,0)+2,6)</f>
        <v>6</v>
      </c>
      <c r="BR121" s="114">
        <f t="shared" si="50"/>
        <v>110</v>
      </c>
      <c r="BS121">
        <f t="shared" si="26"/>
        <v>134</v>
      </c>
      <c r="BU121">
        <f>IFERROR(8-VLOOKUP(U121,'Dados de consulta'!$A:$D,3,0),8)</f>
        <v>8</v>
      </c>
      <c r="BV121">
        <f>IFERROR(8-VLOOKUP(V121,'Dados de consulta'!$A:$D,3,0),8)</f>
        <v>8</v>
      </c>
      <c r="BW121">
        <f t="shared" si="51"/>
        <v>16</v>
      </c>
    </row>
    <row r="122" spans="1:75" ht="15" hidden="1" x14ac:dyDescent="0.2">
      <c r="A122" s="98">
        <v>42245</v>
      </c>
      <c r="B122" s="129" t="str">
        <f t="shared" si="27"/>
        <v>sáb</v>
      </c>
      <c r="C122" s="132"/>
      <c r="D122" s="132"/>
      <c r="E122" s="132"/>
      <c r="F122" s="132">
        <v>101</v>
      </c>
      <c r="G122" s="132">
        <v>4</v>
      </c>
      <c r="H122" s="132">
        <v>4</v>
      </c>
      <c r="I122" s="132"/>
      <c r="J122" s="132"/>
      <c r="K122" s="132"/>
      <c r="L122" s="132"/>
      <c r="M122" s="132"/>
      <c r="N122" s="132"/>
      <c r="O122" s="132"/>
      <c r="P122" s="132">
        <v>18</v>
      </c>
      <c r="Q122" s="132"/>
      <c r="R122" s="132"/>
      <c r="S122" s="132"/>
      <c r="T122" s="132"/>
      <c r="U122" s="151"/>
      <c r="V122" s="151"/>
      <c r="W122" s="307" t="s">
        <v>193</v>
      </c>
      <c r="X122" s="308"/>
      <c r="Y122" s="38">
        <f t="shared" si="28"/>
        <v>16</v>
      </c>
      <c r="Z122" s="38">
        <f t="shared" si="29"/>
        <v>8</v>
      </c>
      <c r="AA122" s="38">
        <f t="shared" si="30"/>
        <v>0</v>
      </c>
      <c r="AB122" s="38">
        <f t="shared" si="38"/>
        <v>0</v>
      </c>
      <c r="AC122" s="38">
        <f t="shared" si="39"/>
        <v>0</v>
      </c>
      <c r="AD122" s="38">
        <f t="shared" si="40"/>
        <v>0</v>
      </c>
      <c r="AE122" s="38">
        <f t="shared" si="41"/>
        <v>0</v>
      </c>
      <c r="AF122" s="38">
        <f t="shared" si="42"/>
        <v>0</v>
      </c>
      <c r="AG122" s="33">
        <f t="shared" si="43"/>
        <v>0</v>
      </c>
      <c r="AH122" s="33">
        <f t="shared" si="44"/>
        <v>0</v>
      </c>
      <c r="AI122" s="33">
        <f t="shared" si="45"/>
        <v>0</v>
      </c>
      <c r="AJ122" s="33">
        <f t="shared" si="46"/>
        <v>0</v>
      </c>
      <c r="AK122" s="34">
        <f t="shared" si="47"/>
        <v>0</v>
      </c>
      <c r="AL122" s="35">
        <f t="shared" si="48"/>
        <v>0</v>
      </c>
      <c r="AM122" s="34">
        <f t="shared" si="31"/>
        <v>0</v>
      </c>
      <c r="AN122" s="36">
        <f t="shared" si="49"/>
        <v>0</v>
      </c>
      <c r="AO122" s="6">
        <f t="shared" si="32"/>
        <v>0</v>
      </c>
      <c r="AP122">
        <f t="shared" si="33"/>
        <v>8</v>
      </c>
      <c r="AQ122" s="6">
        <f t="shared" si="34"/>
        <v>0</v>
      </c>
      <c r="AR122" s="6">
        <f t="shared" si="35"/>
        <v>0</v>
      </c>
      <c r="AS122" s="6"/>
      <c r="AX122" s="95">
        <f t="shared" si="36"/>
        <v>42245</v>
      </c>
      <c r="AY122" s="96" t="str">
        <f t="shared" si="37"/>
        <v>sáb</v>
      </c>
      <c r="AZ122" s="97">
        <f>IF(OR(AY122="SÁB",AY122="DOM"),0,IFERROR(8-VLOOKUP(C122,'Dados de consulta'!$A$2:$C$38,3,0),8))</f>
        <v>0</v>
      </c>
      <c r="BA122" s="97">
        <f>IF(OR(AY122="SÁB",AY122="DOM"),0,IFERROR(8-VLOOKUP(D122,'Dados de consulta'!$A$2:$C$38,3,0),8))</f>
        <v>0</v>
      </c>
      <c r="BB122" s="97">
        <f>IF(OR(AY122="SÁB",AY122="DOM"),0,IFERROR(8-VLOOKUP(E122,'Dados de consulta'!$A$2:$C$38,3,0),8))</f>
        <v>0</v>
      </c>
      <c r="BC122" s="97">
        <f>IF(OR(AY122="SÁB",AY122="DOM"),0,IFERROR(8-VLOOKUP(F122,'Dados de consulta'!$A$2:$C$38,3,0),8))</f>
        <v>0</v>
      </c>
      <c r="BD122" s="97">
        <f>IF(OR(AY122="SÁB",AY122="DOM"),0,IFERROR(8-VLOOKUP(G122,'Dados de consulta'!$A$2:$C$38,3,0),8))</f>
        <v>0</v>
      </c>
      <c r="BE122" s="97">
        <f>IF(OR(AY122="SÁB",AY122="DOM"),0,IFERROR(8-VLOOKUP(H122,'Dados de consulta'!$A$2:$C$38,3,0),8))</f>
        <v>0</v>
      </c>
      <c r="BF122" s="97">
        <f>IF(OR(AY122="SÁB",AY122="DOM"),0,IFERROR(8-VLOOKUP(I122,'Dados de consulta'!$A$2:$C$38,3,0),8))</f>
        <v>0</v>
      </c>
      <c r="BG122" s="97">
        <f>IF(OR(AY122="SÁB",AY122="DOM"),0,IFERROR(8-VLOOKUP(J122,'Dados de consulta'!$A$2:$C$38,3,0),8))</f>
        <v>0</v>
      </c>
      <c r="BH122" s="97">
        <f>IF(OR(AY122="SÁB",AY122="DOM"),0,IFERROR(8-VLOOKUP(K122,'Dados de consulta'!$A$2:$C$38,3,0),8))</f>
        <v>0</v>
      </c>
      <c r="BI122" s="97">
        <f>IF(OR(AY122="SÁB",AY122="DOM"),0,IFERROR(8-VLOOKUP(L122,'Dados de consulta'!$A$2:$C$38,3,0),8))</f>
        <v>0</v>
      </c>
      <c r="BJ122" s="97">
        <f>IF(OR(AY122="SÁB",AY122="DOM"),0,IFERROR(8-VLOOKUP(M122,'Dados de consulta'!$A$2:$C$38,3,0),8))</f>
        <v>0</v>
      </c>
      <c r="BK122" s="97">
        <f>IF(OR(AY122="SÁB",AY122="DOM"),0,IFERROR(8-VLOOKUP(N122,'Dados de consulta'!$A$2:$C$38,3,0),8))</f>
        <v>0</v>
      </c>
      <c r="BL122" s="97">
        <f>IF(OR(AY122="SÁB",AY122="DOM"),0,IFERROR(8-VLOOKUP(O122,'Dados de consulta'!$A$2:$C$38,3,0),8))</f>
        <v>0</v>
      </c>
      <c r="BM122" s="97">
        <f>IF(OR(AY122="SÁB",AY122="DOM"),0,IFERROR(8-VLOOKUP(P122,'Dados de consulta'!$A$2:$C$38,3,0),8))</f>
        <v>0</v>
      </c>
      <c r="BN122" s="97">
        <f>IF(OR(AY122="SÁB",AY122="DOM"),0,IFERROR(8-VLOOKUP(Q122,'Dados de consulta'!$A$2:$C$38,3,0),8))</f>
        <v>0</v>
      </c>
      <c r="BO122" s="97">
        <f>IF(OR(AY122="SÁB",AY122="DOM"),0,IFERROR(8-VLOOKUP(R122,'Dados de consulta'!$A$2:$C$38,3,0),8))</f>
        <v>0</v>
      </c>
      <c r="BP122" s="97">
        <f>IF(OR(AY122="SÁB",AY122="DOM"),0,IFERROR(8-VLOOKUP(S122,'Dados de consulta'!$A$2:$C$38,3,0),8))</f>
        <v>0</v>
      </c>
      <c r="BQ122" s="113">
        <f>IFERROR(6-VLOOKUP(T122,'Dados de consulta'!$A$2:$C$38,3,0)+2,6)</f>
        <v>6</v>
      </c>
      <c r="BR122" s="114">
        <f t="shared" si="50"/>
        <v>0</v>
      </c>
      <c r="BS122">
        <f t="shared" si="26"/>
        <v>0</v>
      </c>
      <c r="BU122">
        <f>IFERROR(8-VLOOKUP(U122,'Dados de consulta'!$A:$D,3,0),8)</f>
        <v>8</v>
      </c>
      <c r="BV122">
        <f>IFERROR(8-VLOOKUP(V122,'Dados de consulta'!$A:$D,3,0),8)</f>
        <v>8</v>
      </c>
      <c r="BW122">
        <f t="shared" si="51"/>
        <v>16</v>
      </c>
    </row>
    <row r="123" spans="1:75" ht="15" hidden="1" x14ac:dyDescent="0.2">
      <c r="A123" s="98">
        <v>42246</v>
      </c>
      <c r="B123" s="129" t="str">
        <f t="shared" si="27"/>
        <v>dom</v>
      </c>
      <c r="C123" s="132"/>
      <c r="D123" s="132"/>
      <c r="E123" s="132"/>
      <c r="F123" s="132">
        <v>101</v>
      </c>
      <c r="G123" s="132">
        <v>4</v>
      </c>
      <c r="H123" s="132">
        <v>4</v>
      </c>
      <c r="I123" s="132"/>
      <c r="J123" s="132"/>
      <c r="K123" s="132"/>
      <c r="L123" s="132"/>
      <c r="M123" s="132"/>
      <c r="N123" s="132"/>
      <c r="O123" s="132"/>
      <c r="P123" s="132">
        <v>18</v>
      </c>
      <c r="Q123" s="132"/>
      <c r="R123" s="132"/>
      <c r="S123" s="132"/>
      <c r="T123" s="132"/>
      <c r="U123" s="151"/>
      <c r="V123" s="151"/>
      <c r="W123" s="307" t="s">
        <v>193</v>
      </c>
      <c r="X123" s="308"/>
      <c r="Y123" s="38">
        <f t="shared" si="28"/>
        <v>16</v>
      </c>
      <c r="Z123" s="38">
        <f t="shared" si="29"/>
        <v>8</v>
      </c>
      <c r="AA123" s="38">
        <f t="shared" si="30"/>
        <v>0</v>
      </c>
      <c r="AB123" s="38">
        <f t="shared" si="38"/>
        <v>0</v>
      </c>
      <c r="AC123" s="38">
        <f t="shared" si="39"/>
        <v>0</v>
      </c>
      <c r="AD123" s="38">
        <f t="shared" si="40"/>
        <v>0</v>
      </c>
      <c r="AE123" s="38">
        <f t="shared" si="41"/>
        <v>0</v>
      </c>
      <c r="AF123" s="38">
        <f t="shared" si="42"/>
        <v>0</v>
      </c>
      <c r="AG123" s="33">
        <f t="shared" si="43"/>
        <v>0</v>
      </c>
      <c r="AH123" s="33">
        <f t="shared" si="44"/>
        <v>0</v>
      </c>
      <c r="AI123" s="33">
        <f t="shared" si="45"/>
        <v>0</v>
      </c>
      <c r="AJ123" s="33">
        <f t="shared" si="46"/>
        <v>0</v>
      </c>
      <c r="AK123" s="34">
        <f t="shared" si="47"/>
        <v>0</v>
      </c>
      <c r="AL123" s="35">
        <f t="shared" si="48"/>
        <v>0</v>
      </c>
      <c r="AM123" s="34">
        <f t="shared" si="31"/>
        <v>0</v>
      </c>
      <c r="AN123" s="36">
        <f t="shared" si="49"/>
        <v>0</v>
      </c>
      <c r="AO123" s="6">
        <f t="shared" si="32"/>
        <v>0</v>
      </c>
      <c r="AP123">
        <f t="shared" si="33"/>
        <v>8</v>
      </c>
      <c r="AQ123" s="6">
        <f t="shared" si="34"/>
        <v>0</v>
      </c>
      <c r="AR123" s="6">
        <f t="shared" si="35"/>
        <v>0</v>
      </c>
      <c r="AS123" s="6"/>
      <c r="AX123" s="95">
        <f t="shared" si="36"/>
        <v>42246</v>
      </c>
      <c r="AY123" s="96" t="str">
        <f t="shared" si="37"/>
        <v>dom</v>
      </c>
      <c r="AZ123" s="97">
        <f>IF(OR(AY123="SÁB",AY123="DOM"),0,IFERROR(8-VLOOKUP(C123,'Dados de consulta'!$A$2:$C$38,3,0),8))</f>
        <v>0</v>
      </c>
      <c r="BA123" s="97">
        <f>IF(OR(AY123="SÁB",AY123="DOM"),0,IFERROR(8-VLOOKUP(D123,'Dados de consulta'!$A$2:$C$38,3,0),8))</f>
        <v>0</v>
      </c>
      <c r="BB123" s="97">
        <f>IF(OR(AY123="SÁB",AY123="DOM"),0,IFERROR(8-VLOOKUP(E123,'Dados de consulta'!$A$2:$C$38,3,0),8))</f>
        <v>0</v>
      </c>
      <c r="BC123" s="97">
        <f>IF(OR(AY123="SÁB",AY123="DOM"),0,IFERROR(8-VLOOKUP(F123,'Dados de consulta'!$A$2:$C$38,3,0),8))</f>
        <v>0</v>
      </c>
      <c r="BD123" s="97">
        <f>IF(OR(AY123="SÁB",AY123="DOM"),0,IFERROR(8-VLOOKUP(G123,'Dados de consulta'!$A$2:$C$38,3,0),8))</f>
        <v>0</v>
      </c>
      <c r="BE123" s="97">
        <f>IF(OR(AY123="SÁB",AY123="DOM"),0,IFERROR(8-VLOOKUP(H123,'Dados de consulta'!$A$2:$C$38,3,0),8))</f>
        <v>0</v>
      </c>
      <c r="BF123" s="97">
        <f>IF(OR(AY123="SÁB",AY123="DOM"),0,IFERROR(8-VLOOKUP(I123,'Dados de consulta'!$A$2:$C$38,3,0),8))</f>
        <v>0</v>
      </c>
      <c r="BG123" s="97">
        <f>IF(OR(AY123="SÁB",AY123="DOM"),0,IFERROR(8-VLOOKUP(J123,'Dados de consulta'!$A$2:$C$38,3,0),8))</f>
        <v>0</v>
      </c>
      <c r="BH123" s="97">
        <f>IF(OR(AY123="SÁB",AY123="DOM"),0,IFERROR(8-VLOOKUP(K123,'Dados de consulta'!$A$2:$C$38,3,0),8))</f>
        <v>0</v>
      </c>
      <c r="BI123" s="97">
        <f>IF(OR(AY123="SÁB",AY123="DOM"),0,IFERROR(8-VLOOKUP(L123,'Dados de consulta'!$A$2:$C$38,3,0),8))</f>
        <v>0</v>
      </c>
      <c r="BJ123" s="97">
        <f>IF(OR(AY123="SÁB",AY123="DOM"),0,IFERROR(8-VLOOKUP(M123,'Dados de consulta'!$A$2:$C$38,3,0),8))</f>
        <v>0</v>
      </c>
      <c r="BK123" s="97">
        <f>IF(OR(AY123="SÁB",AY123="DOM"),0,IFERROR(8-VLOOKUP(N123,'Dados de consulta'!$A$2:$C$38,3,0),8))</f>
        <v>0</v>
      </c>
      <c r="BL123" s="97">
        <f>IF(OR(AY123="SÁB",AY123="DOM"),0,IFERROR(8-VLOOKUP(O123,'Dados de consulta'!$A$2:$C$38,3,0),8))</f>
        <v>0</v>
      </c>
      <c r="BM123" s="97">
        <f>IF(OR(AY123="SÁB",AY123="DOM"),0,IFERROR(8-VLOOKUP(P123,'Dados de consulta'!$A$2:$C$38,3,0),8))</f>
        <v>0</v>
      </c>
      <c r="BN123" s="97">
        <f>IF(OR(AY123="SÁB",AY123="DOM"),0,IFERROR(8-VLOOKUP(Q123,'Dados de consulta'!$A$2:$C$38,3,0),8))</f>
        <v>0</v>
      </c>
      <c r="BO123" s="97">
        <f>IF(OR(AY123="SÁB",AY123="DOM"),0,IFERROR(8-VLOOKUP(R123,'Dados de consulta'!$A$2:$C$38,3,0),8))</f>
        <v>0</v>
      </c>
      <c r="BP123" s="97">
        <f>IF(OR(AY123="SÁB",AY123="DOM"),0,IFERROR(8-VLOOKUP(S123,'Dados de consulta'!$A$2:$C$38,3,0),8))</f>
        <v>0</v>
      </c>
      <c r="BQ123" s="113">
        <f>IFERROR(6-VLOOKUP(T123,'Dados de consulta'!$A$2:$C$38,3,0)+2,6)</f>
        <v>6</v>
      </c>
      <c r="BR123" s="114">
        <f t="shared" si="50"/>
        <v>0</v>
      </c>
      <c r="BS123">
        <f t="shared" si="26"/>
        <v>0</v>
      </c>
      <c r="BU123">
        <f>IFERROR(8-VLOOKUP(U123,'Dados de consulta'!$A:$D,3,0),8)</f>
        <v>8</v>
      </c>
      <c r="BV123">
        <f>IFERROR(8-VLOOKUP(V123,'Dados de consulta'!$A:$D,3,0),8)</f>
        <v>8</v>
      </c>
      <c r="BW123">
        <f t="shared" si="51"/>
        <v>16</v>
      </c>
    </row>
    <row r="124" spans="1:75" ht="15" hidden="1" x14ac:dyDescent="0.2">
      <c r="A124" s="98">
        <v>42247</v>
      </c>
      <c r="B124" s="129" t="str">
        <f t="shared" si="27"/>
        <v>seg</v>
      </c>
      <c r="C124" s="132"/>
      <c r="D124" s="132"/>
      <c r="E124" s="132"/>
      <c r="F124" s="132">
        <v>101</v>
      </c>
      <c r="G124" s="132">
        <v>4</v>
      </c>
      <c r="H124" s="132">
        <v>4</v>
      </c>
      <c r="I124" s="132"/>
      <c r="J124" s="132"/>
      <c r="K124" s="132"/>
      <c r="L124" s="132"/>
      <c r="M124" s="132"/>
      <c r="N124" s="132"/>
      <c r="O124" s="132"/>
      <c r="P124" s="132">
        <v>8</v>
      </c>
      <c r="Q124" s="132"/>
      <c r="R124" s="132"/>
      <c r="S124" s="132"/>
      <c r="T124" s="132"/>
      <c r="U124" s="151"/>
      <c r="V124" s="151"/>
      <c r="W124" s="307" t="s">
        <v>193</v>
      </c>
      <c r="X124" s="308"/>
      <c r="Y124" s="38">
        <f t="shared" si="28"/>
        <v>24</v>
      </c>
      <c r="Z124" s="38">
        <f t="shared" si="29"/>
        <v>0</v>
      </c>
      <c r="AA124" s="38">
        <f t="shared" si="30"/>
        <v>0</v>
      </c>
      <c r="AB124" s="38">
        <f t="shared" si="38"/>
        <v>0</v>
      </c>
      <c r="AC124" s="38">
        <f t="shared" si="39"/>
        <v>0</v>
      </c>
      <c r="AD124" s="38">
        <f t="shared" si="40"/>
        <v>0</v>
      </c>
      <c r="AE124" s="38">
        <f t="shared" si="41"/>
        <v>0</v>
      </c>
      <c r="AF124" s="38">
        <f t="shared" si="42"/>
        <v>0</v>
      </c>
      <c r="AG124" s="33">
        <f t="shared" si="43"/>
        <v>24</v>
      </c>
      <c r="AH124" s="33">
        <f t="shared" si="44"/>
        <v>0</v>
      </c>
      <c r="AI124" s="33">
        <f t="shared" si="45"/>
        <v>0</v>
      </c>
      <c r="AJ124" s="33">
        <f t="shared" si="46"/>
        <v>0</v>
      </c>
      <c r="AK124" s="34">
        <f t="shared" si="47"/>
        <v>0.16901408450704225</v>
      </c>
      <c r="AL124" s="35">
        <f t="shared" si="48"/>
        <v>0</v>
      </c>
      <c r="AM124" s="34">
        <f t="shared" si="31"/>
        <v>0</v>
      </c>
      <c r="AN124" s="36">
        <f t="shared" si="49"/>
        <v>0</v>
      </c>
      <c r="AO124" s="6">
        <f t="shared" si="32"/>
        <v>0</v>
      </c>
      <c r="AP124">
        <f t="shared" si="33"/>
        <v>8</v>
      </c>
      <c r="AQ124" s="6">
        <f t="shared" si="34"/>
        <v>0</v>
      </c>
      <c r="AR124" s="6">
        <f t="shared" si="35"/>
        <v>0</v>
      </c>
      <c r="AS124" s="6"/>
      <c r="AX124" s="95">
        <f t="shared" si="36"/>
        <v>42247</v>
      </c>
      <c r="AY124" s="96" t="str">
        <f t="shared" si="37"/>
        <v>seg</v>
      </c>
      <c r="AZ124" s="97">
        <f>IF(OR(AY124="SÁB",AY124="DOM"),0,IFERROR(8-VLOOKUP(C124,'Dados de consulta'!$A$2:$C$38,3,0),8))</f>
        <v>8</v>
      </c>
      <c r="BA124" s="97">
        <f>IF(OR(AY124="SÁB",AY124="DOM"),0,IFERROR(8-VLOOKUP(D124,'Dados de consulta'!$A$2:$C$38,3,0),8))</f>
        <v>8</v>
      </c>
      <c r="BB124" s="97">
        <f>IF(OR(AY124="SÁB",AY124="DOM"),0,IFERROR(8-VLOOKUP(E124,'Dados de consulta'!$A$2:$C$38,3,0),8))</f>
        <v>8</v>
      </c>
      <c r="BC124" s="97">
        <f>IF(OR(AY124="SÁB",AY124="DOM"),0,IFERROR(8-VLOOKUP(F124,'Dados de consulta'!$A$2:$C$38,3,0),8))</f>
        <v>0</v>
      </c>
      <c r="BD124" s="97">
        <f>IF(OR(AY124="SÁB",AY124="DOM"),0,IFERROR(8-VLOOKUP(G124,'Dados de consulta'!$A$2:$C$38,3,0),8))</f>
        <v>0</v>
      </c>
      <c r="BE124" s="97">
        <f>IF(OR(AY124="SÁB",AY124="DOM"),0,IFERROR(8-VLOOKUP(H124,'Dados de consulta'!$A$2:$C$38,3,0),8))</f>
        <v>0</v>
      </c>
      <c r="BF124" s="97">
        <f>IF(OR(AY124="SÁB",AY124="DOM"),0,IFERROR(8-VLOOKUP(I124,'Dados de consulta'!$A$2:$C$38,3,0),8))</f>
        <v>8</v>
      </c>
      <c r="BG124" s="97">
        <f>IF(OR(AY124="SÁB",AY124="DOM"),0,IFERROR(8-VLOOKUP(J124,'Dados de consulta'!$A$2:$C$38,3,0),8))</f>
        <v>8</v>
      </c>
      <c r="BH124" s="97">
        <f>IF(OR(AY124="SÁB",AY124="DOM"),0,IFERROR(8-VLOOKUP(K124,'Dados de consulta'!$A$2:$C$38,3,0),8))</f>
        <v>8</v>
      </c>
      <c r="BI124" s="97">
        <f>IF(OR(AY124="SÁB",AY124="DOM"),0,IFERROR(8-VLOOKUP(L124,'Dados de consulta'!$A$2:$C$38,3,0),8))</f>
        <v>8</v>
      </c>
      <c r="BJ124" s="97">
        <f>IF(OR(AY124="SÁB",AY124="DOM"),0,IFERROR(8-VLOOKUP(M124,'Dados de consulta'!$A$2:$C$38,3,0),8))</f>
        <v>8</v>
      </c>
      <c r="BK124" s="97">
        <f>IF(OR(AY124="SÁB",AY124="DOM"),0,IFERROR(8-VLOOKUP(N124,'Dados de consulta'!$A$2:$C$38,3,0),8))</f>
        <v>8</v>
      </c>
      <c r="BL124" s="97">
        <f>IF(OR(AY124="SÁB",AY124="DOM"),0,IFERROR(8-VLOOKUP(O124,'Dados de consulta'!$A$2:$C$38,3,0),8))</f>
        <v>8</v>
      </c>
      <c r="BM124" s="97">
        <f>IF(OR(AY124="SÁB",AY124="DOM"),0,IFERROR(8-VLOOKUP(P124,'Dados de consulta'!$A$2:$C$38,3,0),8))</f>
        <v>0</v>
      </c>
      <c r="BN124" s="97">
        <f>IF(OR(AY124="SÁB",AY124="DOM"),0,IFERROR(8-VLOOKUP(Q124,'Dados de consulta'!$A$2:$C$38,3,0),8))</f>
        <v>8</v>
      </c>
      <c r="BO124" s="97">
        <f>IF(OR(AY124="SÁB",AY124="DOM"),0,IFERROR(8-VLOOKUP(R124,'Dados de consulta'!$A$2:$C$38,3,0),8))</f>
        <v>8</v>
      </c>
      <c r="BP124" s="97">
        <f>IF(OR(AY124="SÁB",AY124="DOM"),0,IFERROR(8-VLOOKUP(S124,'Dados de consulta'!$A$2:$C$38,3,0),8))</f>
        <v>8</v>
      </c>
      <c r="BQ124" s="113">
        <f>IFERROR(6-VLOOKUP(T124,'Dados de consulta'!$A$2:$C$38,3,0)+2,6)</f>
        <v>6</v>
      </c>
      <c r="BR124" s="114">
        <f t="shared" si="50"/>
        <v>110</v>
      </c>
      <c r="BS124">
        <f t="shared" si="26"/>
        <v>134</v>
      </c>
      <c r="BU124">
        <f>IFERROR(8-VLOOKUP(U124,'Dados de consulta'!$A:$D,3,0),8)</f>
        <v>8</v>
      </c>
      <c r="BV124">
        <f>IFERROR(8-VLOOKUP(V124,'Dados de consulta'!$A:$D,3,0),8)</f>
        <v>8</v>
      </c>
      <c r="BW124">
        <f t="shared" si="51"/>
        <v>16</v>
      </c>
    </row>
    <row r="125" spans="1:75" ht="15" hidden="1" x14ac:dyDescent="0.2">
      <c r="A125" s="98">
        <v>42248</v>
      </c>
      <c r="B125" s="129" t="str">
        <f t="shared" si="27"/>
        <v>ter</v>
      </c>
      <c r="C125" s="132">
        <v>18</v>
      </c>
      <c r="D125" s="132"/>
      <c r="E125" s="132"/>
      <c r="F125" s="132">
        <v>101</v>
      </c>
      <c r="G125" s="132">
        <v>4</v>
      </c>
      <c r="H125" s="132">
        <v>8</v>
      </c>
      <c r="I125" s="132"/>
      <c r="J125" s="132"/>
      <c r="K125" s="132"/>
      <c r="L125" s="132"/>
      <c r="M125" s="132" t="s">
        <v>194</v>
      </c>
      <c r="N125" s="132"/>
      <c r="O125" s="132"/>
      <c r="P125" s="132"/>
      <c r="Q125" s="132"/>
      <c r="R125" s="132"/>
      <c r="S125" s="132"/>
      <c r="T125" s="132"/>
      <c r="U125" s="151"/>
      <c r="V125" s="151"/>
      <c r="W125" s="307" t="s">
        <v>193</v>
      </c>
      <c r="X125" s="308"/>
      <c r="Y125" s="38">
        <f t="shared" si="28"/>
        <v>20</v>
      </c>
      <c r="Z125" s="38">
        <f t="shared" si="29"/>
        <v>8</v>
      </c>
      <c r="AA125" s="38">
        <f t="shared" si="30"/>
        <v>0</v>
      </c>
      <c r="AB125" s="38">
        <f t="shared" si="38"/>
        <v>0</v>
      </c>
      <c r="AC125" s="38">
        <f t="shared" si="39"/>
        <v>0</v>
      </c>
      <c r="AD125" s="38">
        <f t="shared" si="40"/>
        <v>0</v>
      </c>
      <c r="AE125" s="38">
        <f t="shared" si="41"/>
        <v>0</v>
      </c>
      <c r="AF125" s="38">
        <f t="shared" si="42"/>
        <v>0</v>
      </c>
      <c r="AG125" s="33">
        <f t="shared" si="43"/>
        <v>20</v>
      </c>
      <c r="AH125" s="33">
        <f t="shared" si="44"/>
        <v>8</v>
      </c>
      <c r="AI125" s="33">
        <f t="shared" si="45"/>
        <v>0</v>
      </c>
      <c r="AJ125" s="33">
        <f t="shared" si="46"/>
        <v>0</v>
      </c>
      <c r="AK125" s="34">
        <f t="shared" si="47"/>
        <v>0.14084507042253522</v>
      </c>
      <c r="AL125" s="35">
        <f t="shared" si="48"/>
        <v>5.6338028169014086E-2</v>
      </c>
      <c r="AM125" s="34">
        <f t="shared" si="31"/>
        <v>0</v>
      </c>
      <c r="AN125" s="36">
        <f t="shared" si="49"/>
        <v>0</v>
      </c>
      <c r="AO125" s="6">
        <f t="shared" si="32"/>
        <v>0</v>
      </c>
      <c r="AP125">
        <f t="shared" si="33"/>
        <v>8</v>
      </c>
      <c r="AQ125" s="6">
        <f t="shared" si="34"/>
        <v>0</v>
      </c>
      <c r="AR125" s="6">
        <f t="shared" si="35"/>
        <v>0</v>
      </c>
      <c r="AS125" s="6"/>
      <c r="AX125" s="95">
        <f t="shared" si="36"/>
        <v>42248</v>
      </c>
      <c r="AY125" s="96" t="str">
        <f t="shared" si="37"/>
        <v>ter</v>
      </c>
      <c r="AZ125" s="97">
        <f>IF(OR(AY125="SÁB",AY125="DOM"),0,IFERROR(8-VLOOKUP(C125,'Dados de consulta'!$A$2:$C$38,3,0),8))</f>
        <v>0</v>
      </c>
      <c r="BA125" s="97">
        <f>IF(OR(AY125="SÁB",AY125="DOM"),0,IFERROR(8-VLOOKUP(D125,'Dados de consulta'!$A$2:$C$38,3,0),8))</f>
        <v>8</v>
      </c>
      <c r="BB125" s="97">
        <f>IF(OR(AY125="SÁB",AY125="DOM"),0,IFERROR(8-VLOOKUP(E125,'Dados de consulta'!$A$2:$C$38,3,0),8))</f>
        <v>8</v>
      </c>
      <c r="BC125" s="97">
        <f>IF(OR(AY125="SÁB",AY125="DOM"),0,IFERROR(8-VLOOKUP(F125,'Dados de consulta'!$A$2:$C$38,3,0),8))</f>
        <v>0</v>
      </c>
      <c r="BD125" s="97">
        <f>IF(OR(AY125="SÁB",AY125="DOM"),0,IFERROR(8-VLOOKUP(G125,'Dados de consulta'!$A$2:$C$38,3,0),8))</f>
        <v>0</v>
      </c>
      <c r="BE125" s="97">
        <f>IF(OR(AY125="SÁB",AY125="DOM"),0,IFERROR(8-VLOOKUP(H125,'Dados de consulta'!$A$2:$C$38,3,0),8))</f>
        <v>0</v>
      </c>
      <c r="BF125" s="97">
        <f>IF(OR(AY125="SÁB",AY125="DOM"),0,IFERROR(8-VLOOKUP(I125,'Dados de consulta'!$A$2:$C$38,3,0),8))</f>
        <v>8</v>
      </c>
      <c r="BG125" s="97">
        <f>IF(OR(AY125="SÁB",AY125="DOM"),0,IFERROR(8-VLOOKUP(J125,'Dados de consulta'!$A$2:$C$38,3,0),8))</f>
        <v>8</v>
      </c>
      <c r="BH125" s="97">
        <f>IF(OR(AY125="SÁB",AY125="DOM"),0,IFERROR(8-VLOOKUP(K125,'Dados de consulta'!$A$2:$C$38,3,0),8))</f>
        <v>8</v>
      </c>
      <c r="BI125" s="97">
        <f>IF(OR(AY125="SÁB",AY125="DOM"),0,IFERROR(8-VLOOKUP(L125,'Dados de consulta'!$A$2:$C$38,3,0),8))</f>
        <v>8</v>
      </c>
      <c r="BJ125" s="97">
        <f>IF(OR(AY125="SÁB",AY125="DOM"),0,IFERROR(8-VLOOKUP(M125,'Dados de consulta'!$A$2:$C$38,3,0),8))</f>
        <v>4</v>
      </c>
      <c r="BK125" s="97">
        <f>IF(OR(AY125="SÁB",AY125="DOM"),0,IFERROR(8-VLOOKUP(N125,'Dados de consulta'!$A$2:$C$38,3,0),8))</f>
        <v>8</v>
      </c>
      <c r="BL125" s="97">
        <f>IF(OR(AY125="SÁB",AY125="DOM"),0,IFERROR(8-VLOOKUP(O125,'Dados de consulta'!$A$2:$C$38,3,0),8))</f>
        <v>8</v>
      </c>
      <c r="BM125" s="97">
        <f>IF(OR(AY125="SÁB",AY125="DOM"),0,IFERROR(8-VLOOKUP(P125,'Dados de consulta'!$A$2:$C$38,3,0),8))</f>
        <v>8</v>
      </c>
      <c r="BN125" s="97">
        <f>IF(OR(AY125="SÁB",AY125="DOM"),0,IFERROR(8-VLOOKUP(Q125,'Dados de consulta'!$A$2:$C$38,3,0),8))</f>
        <v>8</v>
      </c>
      <c r="BO125" s="97">
        <f>IF(OR(AY125="SÁB",AY125="DOM"),0,IFERROR(8-VLOOKUP(R125,'Dados de consulta'!$A$2:$C$38,3,0),8))</f>
        <v>8</v>
      </c>
      <c r="BP125" s="97">
        <f>IF(OR(AY125="SÁB",AY125="DOM"),0,IFERROR(8-VLOOKUP(S125,'Dados de consulta'!$A$2:$C$38,3,0),8))</f>
        <v>8</v>
      </c>
      <c r="BQ125" s="113">
        <f>IFERROR(6-VLOOKUP(T125,'Dados de consulta'!$A$2:$C$38,3,0)+2,6)</f>
        <v>6</v>
      </c>
      <c r="BR125" s="114">
        <f t="shared" si="50"/>
        <v>106</v>
      </c>
      <c r="BS125">
        <f t="shared" si="26"/>
        <v>134</v>
      </c>
      <c r="BU125">
        <f>IFERROR(8-VLOOKUP(U125,'Dados de consulta'!$A:$D,3,0),8)</f>
        <v>8</v>
      </c>
      <c r="BV125">
        <f>IFERROR(8-VLOOKUP(V125,'Dados de consulta'!$A:$D,3,0),8)</f>
        <v>8</v>
      </c>
      <c r="BW125">
        <f t="shared" si="51"/>
        <v>16</v>
      </c>
    </row>
    <row r="126" spans="1:75" ht="15" hidden="1" x14ac:dyDescent="0.2">
      <c r="A126" s="98">
        <v>42249</v>
      </c>
      <c r="B126" s="129" t="str">
        <f t="shared" si="27"/>
        <v>qua</v>
      </c>
      <c r="C126" s="132">
        <v>18</v>
      </c>
      <c r="D126" s="132">
        <v>18</v>
      </c>
      <c r="E126" s="132">
        <v>8</v>
      </c>
      <c r="F126" s="132">
        <v>101</v>
      </c>
      <c r="G126" s="132">
        <v>4</v>
      </c>
      <c r="H126" s="132">
        <v>8</v>
      </c>
      <c r="I126" s="132"/>
      <c r="J126" s="132"/>
      <c r="K126" s="132"/>
      <c r="L126" s="132">
        <v>1</v>
      </c>
      <c r="M126" s="132"/>
      <c r="N126" s="132"/>
      <c r="O126" s="132"/>
      <c r="P126" s="132"/>
      <c r="Q126" s="132"/>
      <c r="R126" s="132"/>
      <c r="S126" s="132"/>
      <c r="T126" s="132"/>
      <c r="U126" s="151"/>
      <c r="V126" s="151"/>
      <c r="W126" s="307" t="s">
        <v>193</v>
      </c>
      <c r="X126" s="308"/>
      <c r="Y126" s="38">
        <f t="shared" si="28"/>
        <v>24</v>
      </c>
      <c r="Z126" s="38">
        <f t="shared" si="29"/>
        <v>24</v>
      </c>
      <c r="AA126" s="38">
        <f t="shared" si="30"/>
        <v>0</v>
      </c>
      <c r="AB126" s="38">
        <f t="shared" si="38"/>
        <v>0</v>
      </c>
      <c r="AC126" s="38">
        <f t="shared" si="39"/>
        <v>0</v>
      </c>
      <c r="AD126" s="38">
        <f t="shared" si="40"/>
        <v>0</v>
      </c>
      <c r="AE126" s="38">
        <f t="shared" si="41"/>
        <v>0</v>
      </c>
      <c r="AF126" s="38">
        <f t="shared" si="42"/>
        <v>0</v>
      </c>
      <c r="AG126" s="33">
        <f t="shared" si="43"/>
        <v>24</v>
      </c>
      <c r="AH126" s="33">
        <f t="shared" si="44"/>
        <v>24</v>
      </c>
      <c r="AI126" s="33">
        <f t="shared" si="45"/>
        <v>0</v>
      </c>
      <c r="AJ126" s="33">
        <f t="shared" si="46"/>
        <v>0</v>
      </c>
      <c r="AK126" s="34">
        <f t="shared" si="47"/>
        <v>0.16901408450704225</v>
      </c>
      <c r="AL126" s="35">
        <f t="shared" si="48"/>
        <v>0.16901408450704225</v>
      </c>
      <c r="AM126" s="34">
        <f t="shared" si="31"/>
        <v>0</v>
      </c>
      <c r="AN126" s="36">
        <f t="shared" si="49"/>
        <v>0</v>
      </c>
      <c r="AO126" s="6">
        <f t="shared" si="32"/>
        <v>0</v>
      </c>
      <c r="AP126">
        <f t="shared" si="33"/>
        <v>8</v>
      </c>
      <c r="AQ126" s="6">
        <f t="shared" si="34"/>
        <v>0</v>
      </c>
      <c r="AR126" s="6">
        <f t="shared" si="35"/>
        <v>0</v>
      </c>
      <c r="AS126" s="6"/>
      <c r="AX126" s="95">
        <f t="shared" si="36"/>
        <v>42249</v>
      </c>
      <c r="AY126" s="96" t="str">
        <f t="shared" si="37"/>
        <v>qua</v>
      </c>
      <c r="AZ126" s="97">
        <f>IF(OR(AY126="SÁB",AY126="DOM"),0,IFERROR(8-VLOOKUP(C126,'Dados de consulta'!$A$2:$C$38,3,0),8))</f>
        <v>0</v>
      </c>
      <c r="BA126" s="97">
        <f>IF(OR(AY126="SÁB",AY126="DOM"),0,IFERROR(8-VLOOKUP(D126,'Dados de consulta'!$A$2:$C$38,3,0),8))</f>
        <v>0</v>
      </c>
      <c r="BB126" s="97">
        <f>IF(OR(AY126="SÁB",AY126="DOM"),0,IFERROR(8-VLOOKUP(E126,'Dados de consulta'!$A$2:$C$38,3,0),8))</f>
        <v>0</v>
      </c>
      <c r="BC126" s="97">
        <f>IF(OR(AY126="SÁB",AY126="DOM"),0,IFERROR(8-VLOOKUP(F126,'Dados de consulta'!$A$2:$C$38,3,0),8))</f>
        <v>0</v>
      </c>
      <c r="BD126" s="97">
        <f>IF(OR(AY126="SÁB",AY126="DOM"),0,IFERROR(8-VLOOKUP(G126,'Dados de consulta'!$A$2:$C$38,3,0),8))</f>
        <v>0</v>
      </c>
      <c r="BE126" s="97">
        <f>IF(OR(AY126="SÁB",AY126="DOM"),0,IFERROR(8-VLOOKUP(H126,'Dados de consulta'!$A$2:$C$38,3,0),8))</f>
        <v>0</v>
      </c>
      <c r="BF126" s="97">
        <f>IF(OR(AY126="SÁB",AY126="DOM"),0,IFERROR(8-VLOOKUP(I126,'Dados de consulta'!$A$2:$C$38,3,0),8))</f>
        <v>8</v>
      </c>
      <c r="BG126" s="97">
        <f>IF(OR(AY126="SÁB",AY126="DOM"),0,IFERROR(8-VLOOKUP(J126,'Dados de consulta'!$A$2:$C$38,3,0),8))</f>
        <v>8</v>
      </c>
      <c r="BH126" s="97">
        <f>IF(OR(AY126="SÁB",AY126="DOM"),0,IFERROR(8-VLOOKUP(K126,'Dados de consulta'!$A$2:$C$38,3,0),8))</f>
        <v>8</v>
      </c>
      <c r="BI126" s="97">
        <f>IF(OR(AY126="SÁB",AY126="DOM"),0,IFERROR(8-VLOOKUP(L126,'Dados de consulta'!$A$2:$C$38,3,0),8))</f>
        <v>0</v>
      </c>
      <c r="BJ126" s="97">
        <f>IF(OR(AY126="SÁB",AY126="DOM"),0,IFERROR(8-VLOOKUP(M126,'Dados de consulta'!$A$2:$C$38,3,0),8))</f>
        <v>8</v>
      </c>
      <c r="BK126" s="97">
        <f>IF(OR(AY126="SÁB",AY126="DOM"),0,IFERROR(8-VLOOKUP(N126,'Dados de consulta'!$A$2:$C$38,3,0),8))</f>
        <v>8</v>
      </c>
      <c r="BL126" s="97">
        <f>IF(OR(AY126="SÁB",AY126="DOM"),0,IFERROR(8-VLOOKUP(O126,'Dados de consulta'!$A$2:$C$38,3,0),8))</f>
        <v>8</v>
      </c>
      <c r="BM126" s="97">
        <f>IF(OR(AY126="SÁB",AY126="DOM"),0,IFERROR(8-VLOOKUP(P126,'Dados de consulta'!$A$2:$C$38,3,0),8))</f>
        <v>8</v>
      </c>
      <c r="BN126" s="97">
        <f>IF(OR(AY126="SÁB",AY126="DOM"),0,IFERROR(8-VLOOKUP(Q126,'Dados de consulta'!$A$2:$C$38,3,0),8))</f>
        <v>8</v>
      </c>
      <c r="BO126" s="97">
        <f>IF(OR(AY126="SÁB",AY126="DOM"),0,IFERROR(8-VLOOKUP(R126,'Dados de consulta'!$A$2:$C$38,3,0),8))</f>
        <v>8</v>
      </c>
      <c r="BP126" s="97">
        <f>IF(OR(AY126="SÁB",AY126="DOM"),0,IFERROR(8-VLOOKUP(S126,'Dados de consulta'!$A$2:$C$38,3,0),8))</f>
        <v>8</v>
      </c>
      <c r="BQ126" s="113">
        <f>IFERROR(6-VLOOKUP(T126,'Dados de consulta'!$A$2:$C$38,3,0)+2,6)</f>
        <v>6</v>
      </c>
      <c r="BR126" s="114">
        <f t="shared" si="50"/>
        <v>86</v>
      </c>
      <c r="BS126">
        <f t="shared" ref="BS126:BS189" si="52">IF(R127=17,0,IF(OR(AY126="SÁB",AY126="DOM"),0,((COUNT(AZ126:BQ126)-1)*8+6)-SUM(AO126:AR126)))</f>
        <v>134</v>
      </c>
      <c r="BU126">
        <f>IFERROR(8-VLOOKUP(U126,'Dados de consulta'!$A:$D,3,0),8)</f>
        <v>8</v>
      </c>
      <c r="BV126">
        <f>IFERROR(8-VLOOKUP(V126,'Dados de consulta'!$A:$D,3,0),8)</f>
        <v>8</v>
      </c>
      <c r="BW126">
        <f t="shared" si="51"/>
        <v>16</v>
      </c>
    </row>
    <row r="127" spans="1:75" ht="15" hidden="1" x14ac:dyDescent="0.2">
      <c r="A127" s="98">
        <v>42250</v>
      </c>
      <c r="B127" s="129" t="str">
        <f t="shared" si="27"/>
        <v>qui</v>
      </c>
      <c r="C127" s="132">
        <v>18</v>
      </c>
      <c r="D127" s="132">
        <v>18</v>
      </c>
      <c r="E127" s="132">
        <v>6</v>
      </c>
      <c r="F127" s="132">
        <v>6</v>
      </c>
      <c r="G127" s="132">
        <v>4</v>
      </c>
      <c r="H127" s="132">
        <v>8</v>
      </c>
      <c r="I127" s="132">
        <v>6</v>
      </c>
      <c r="J127" s="132">
        <v>6</v>
      </c>
      <c r="K127" s="132"/>
      <c r="L127" s="132" t="s">
        <v>195</v>
      </c>
      <c r="M127" s="132">
        <v>101</v>
      </c>
      <c r="N127" s="132">
        <v>6</v>
      </c>
      <c r="O127" s="132">
        <v>6</v>
      </c>
      <c r="P127" s="132">
        <v>6</v>
      </c>
      <c r="Q127" s="132">
        <v>6</v>
      </c>
      <c r="R127" s="132">
        <v>6</v>
      </c>
      <c r="S127" s="132">
        <v>6</v>
      </c>
      <c r="T127" s="132">
        <v>6</v>
      </c>
      <c r="U127" s="151">
        <v>6</v>
      </c>
      <c r="V127" s="151">
        <v>6</v>
      </c>
      <c r="W127" s="307" t="s">
        <v>193</v>
      </c>
      <c r="X127" s="308"/>
      <c r="Y127" s="38">
        <f t="shared" si="28"/>
        <v>16</v>
      </c>
      <c r="Z127" s="38">
        <f t="shared" si="29"/>
        <v>16</v>
      </c>
      <c r="AA127" s="38">
        <f t="shared" si="30"/>
        <v>0</v>
      </c>
      <c r="AB127" s="38">
        <f t="shared" si="38"/>
        <v>84</v>
      </c>
      <c r="AC127" s="38">
        <f t="shared" si="39"/>
        <v>0</v>
      </c>
      <c r="AD127" s="38">
        <f t="shared" si="40"/>
        <v>0</v>
      </c>
      <c r="AE127" s="38">
        <f t="shared" si="41"/>
        <v>0</v>
      </c>
      <c r="AF127" s="38">
        <f t="shared" si="42"/>
        <v>6</v>
      </c>
      <c r="AG127" s="33">
        <f t="shared" si="43"/>
        <v>16</v>
      </c>
      <c r="AH127" s="33">
        <f t="shared" si="44"/>
        <v>16</v>
      </c>
      <c r="AI127" s="33">
        <f t="shared" si="45"/>
        <v>0</v>
      </c>
      <c r="AJ127" s="33">
        <f t="shared" si="46"/>
        <v>90</v>
      </c>
      <c r="AK127" s="34">
        <f t="shared" si="47"/>
        <v>0.11267605633802817</v>
      </c>
      <c r="AL127" s="35">
        <f t="shared" si="48"/>
        <v>0.11267605633802817</v>
      </c>
      <c r="AM127" s="34">
        <f t="shared" si="31"/>
        <v>0</v>
      </c>
      <c r="AN127" s="36">
        <f t="shared" si="49"/>
        <v>0.63380281690140849</v>
      </c>
      <c r="AO127" s="6">
        <f t="shared" si="32"/>
        <v>0</v>
      </c>
      <c r="AP127">
        <f t="shared" si="33"/>
        <v>8</v>
      </c>
      <c r="AQ127" s="6">
        <f t="shared" si="34"/>
        <v>0</v>
      </c>
      <c r="AR127" s="6">
        <f t="shared" si="35"/>
        <v>0</v>
      </c>
      <c r="AS127" s="6"/>
      <c r="AX127" s="95">
        <f t="shared" si="36"/>
        <v>42250</v>
      </c>
      <c r="AY127" s="96" t="str">
        <f t="shared" si="37"/>
        <v>qui</v>
      </c>
      <c r="AZ127" s="97">
        <f>IF(OR(AY127="SÁB",AY127="DOM"),0,IFERROR(8-VLOOKUP(C127,'Dados de consulta'!$A$2:$C$38,3,0),8))</f>
        <v>0</v>
      </c>
      <c r="BA127" s="97">
        <f>IF(OR(AY127="SÁB",AY127="DOM"),0,IFERROR(8-VLOOKUP(D127,'Dados de consulta'!$A$2:$C$38,3,0),8))</f>
        <v>0</v>
      </c>
      <c r="BB127" s="97">
        <f>IF(OR(AY127="SÁB",AY127="DOM"),0,IFERROR(8-VLOOKUP(E127,'Dados de consulta'!$A$2:$C$38,3,0),8))</f>
        <v>0</v>
      </c>
      <c r="BC127" s="97">
        <f>IF(OR(AY127="SÁB",AY127="DOM"),0,IFERROR(8-VLOOKUP(F127,'Dados de consulta'!$A$2:$C$38,3,0),8))</f>
        <v>0</v>
      </c>
      <c r="BD127" s="97">
        <f>IF(OR(AY127="SÁB",AY127="DOM"),0,IFERROR(8-VLOOKUP(G127,'Dados de consulta'!$A$2:$C$38,3,0),8))</f>
        <v>0</v>
      </c>
      <c r="BE127" s="97">
        <f>IF(OR(AY127="SÁB",AY127="DOM"),0,IFERROR(8-VLOOKUP(H127,'Dados de consulta'!$A$2:$C$38,3,0),8))</f>
        <v>0</v>
      </c>
      <c r="BF127" s="97">
        <f>IF(OR(AY127="SÁB",AY127="DOM"),0,IFERROR(8-VLOOKUP(I127,'Dados de consulta'!$A$2:$C$38,3,0),8))</f>
        <v>0</v>
      </c>
      <c r="BG127" s="97">
        <f>IF(OR(AY127="SÁB",AY127="DOM"),0,IFERROR(8-VLOOKUP(J127,'Dados de consulta'!$A$2:$C$38,3,0),8))</f>
        <v>0</v>
      </c>
      <c r="BH127" s="97">
        <f>IF(OR(AY127="SÁB",AY127="DOM"),0,IFERROR(8-VLOOKUP(K127,'Dados de consulta'!$A$2:$C$38,3,0),8))</f>
        <v>8</v>
      </c>
      <c r="BI127" s="97">
        <f>IF(OR(AY127="SÁB",AY127="DOM"),0,IFERROR(8-VLOOKUP(L127,'Dados de consulta'!$A$2:$C$38,3,0),8))</f>
        <v>4</v>
      </c>
      <c r="BJ127" s="97">
        <f>IF(OR(AY127="SÁB",AY127="DOM"),0,IFERROR(8-VLOOKUP(M127,'Dados de consulta'!$A$2:$C$38,3,0),8))</f>
        <v>0</v>
      </c>
      <c r="BK127" s="97">
        <f>IF(OR(AY127="SÁB",AY127="DOM"),0,IFERROR(8-VLOOKUP(N127,'Dados de consulta'!$A$2:$C$38,3,0),8))</f>
        <v>0</v>
      </c>
      <c r="BL127" s="97">
        <f>IF(OR(AY127="SÁB",AY127="DOM"),0,IFERROR(8-VLOOKUP(O127,'Dados de consulta'!$A$2:$C$38,3,0),8))</f>
        <v>0</v>
      </c>
      <c r="BM127" s="97">
        <f>IF(OR(AY127="SÁB",AY127="DOM"),0,IFERROR(8-VLOOKUP(P127,'Dados de consulta'!$A$2:$C$38,3,0),8))</f>
        <v>0</v>
      </c>
      <c r="BN127" s="97">
        <f>IF(OR(AY127="SÁB",AY127="DOM"),0,IFERROR(8-VLOOKUP(Q127,'Dados de consulta'!$A$2:$C$38,3,0),8))</f>
        <v>0</v>
      </c>
      <c r="BO127" s="97">
        <f>IF(OR(AY127="SÁB",AY127="DOM"),0,IFERROR(8-VLOOKUP(R127,'Dados de consulta'!$A$2:$C$38,3,0),8))</f>
        <v>0</v>
      </c>
      <c r="BP127" s="97">
        <f>IF(OR(AY127="SÁB",AY127="DOM"),0,IFERROR(8-VLOOKUP(S127,'Dados de consulta'!$A$2:$C$38,3,0),8))</f>
        <v>0</v>
      </c>
      <c r="BQ127" s="113">
        <f>IFERROR(6-VLOOKUP(T127,'Dados de consulta'!$A$2:$C$38,3,0)+2,6)</f>
        <v>0</v>
      </c>
      <c r="BR127" s="114">
        <f t="shared" si="50"/>
        <v>12</v>
      </c>
      <c r="BS127">
        <f t="shared" si="52"/>
        <v>134</v>
      </c>
      <c r="BU127">
        <f>IFERROR(8-VLOOKUP(U127,'Dados de consulta'!$A:$D,3,0),8)</f>
        <v>0</v>
      </c>
      <c r="BV127">
        <f>IFERROR(8-VLOOKUP(V127,'Dados de consulta'!$A:$D,3,0),8)</f>
        <v>0</v>
      </c>
      <c r="BW127">
        <f t="shared" si="51"/>
        <v>0</v>
      </c>
    </row>
    <row r="128" spans="1:75" ht="15" hidden="1" x14ac:dyDescent="0.2">
      <c r="A128" s="98">
        <v>42251</v>
      </c>
      <c r="B128" s="129" t="str">
        <f t="shared" si="27"/>
        <v>sex</v>
      </c>
      <c r="C128" s="132">
        <v>18</v>
      </c>
      <c r="D128" s="132">
        <v>18</v>
      </c>
      <c r="E128" s="132"/>
      <c r="F128" s="132"/>
      <c r="G128" s="132">
        <v>4</v>
      </c>
      <c r="H128" s="132">
        <v>8</v>
      </c>
      <c r="I128" s="132"/>
      <c r="J128" s="132"/>
      <c r="K128" s="132"/>
      <c r="L128" s="132"/>
      <c r="M128" s="132">
        <v>101</v>
      </c>
      <c r="N128" s="132"/>
      <c r="O128" s="132"/>
      <c r="P128" s="132"/>
      <c r="Q128" s="132"/>
      <c r="R128" s="132"/>
      <c r="S128" s="132"/>
      <c r="T128" s="132"/>
      <c r="U128" s="151"/>
      <c r="V128" s="151"/>
      <c r="W128" s="307" t="s">
        <v>193</v>
      </c>
      <c r="X128" s="308"/>
      <c r="Y128" s="38">
        <f t="shared" si="28"/>
        <v>16</v>
      </c>
      <c r="Z128" s="38">
        <f t="shared" si="29"/>
        <v>16</v>
      </c>
      <c r="AA128" s="38">
        <f t="shared" si="30"/>
        <v>0</v>
      </c>
      <c r="AB128" s="38">
        <f t="shared" si="38"/>
        <v>0</v>
      </c>
      <c r="AC128" s="38">
        <f t="shared" si="39"/>
        <v>0</v>
      </c>
      <c r="AD128" s="38">
        <f t="shared" si="40"/>
        <v>0</v>
      </c>
      <c r="AE128" s="38">
        <f t="shared" si="41"/>
        <v>0</v>
      </c>
      <c r="AF128" s="38">
        <f t="shared" si="42"/>
        <v>0</v>
      </c>
      <c r="AG128" s="33">
        <f t="shared" si="43"/>
        <v>16</v>
      </c>
      <c r="AH128" s="33">
        <f t="shared" si="44"/>
        <v>16</v>
      </c>
      <c r="AI128" s="33">
        <f t="shared" si="45"/>
        <v>0</v>
      </c>
      <c r="AJ128" s="33">
        <f t="shared" si="46"/>
        <v>0</v>
      </c>
      <c r="AK128" s="34">
        <f t="shared" si="47"/>
        <v>0.11267605633802817</v>
      </c>
      <c r="AL128" s="35">
        <f t="shared" si="48"/>
        <v>0.11267605633802817</v>
      </c>
      <c r="AM128" s="34">
        <f t="shared" si="31"/>
        <v>0</v>
      </c>
      <c r="AN128" s="36">
        <f t="shared" si="49"/>
        <v>0</v>
      </c>
      <c r="AO128" s="6">
        <f t="shared" si="32"/>
        <v>0</v>
      </c>
      <c r="AP128">
        <f t="shared" si="33"/>
        <v>8</v>
      </c>
      <c r="AQ128" s="6">
        <f t="shared" si="34"/>
        <v>0</v>
      </c>
      <c r="AR128" s="6">
        <f t="shared" si="35"/>
        <v>0</v>
      </c>
      <c r="AS128" s="6"/>
      <c r="AX128" s="95">
        <f t="shared" si="36"/>
        <v>42251</v>
      </c>
      <c r="AY128" s="96" t="str">
        <f t="shared" si="37"/>
        <v>sex</v>
      </c>
      <c r="AZ128" s="97">
        <f>IF(OR(AY128="SÁB",AY128="DOM"),0,IFERROR(8-VLOOKUP(C128,'Dados de consulta'!$A$2:$C$38,3,0),8))</f>
        <v>0</v>
      </c>
      <c r="BA128" s="97">
        <f>IF(OR(AY128="SÁB",AY128="DOM"),0,IFERROR(8-VLOOKUP(D128,'Dados de consulta'!$A$2:$C$38,3,0),8))</f>
        <v>0</v>
      </c>
      <c r="BB128" s="97">
        <f>IF(OR(AY128="SÁB",AY128="DOM"),0,IFERROR(8-VLOOKUP(E128,'Dados de consulta'!$A$2:$C$38,3,0),8))</f>
        <v>8</v>
      </c>
      <c r="BC128" s="97">
        <f>IF(OR(AY128="SÁB",AY128="DOM"),0,IFERROR(8-VLOOKUP(F128,'Dados de consulta'!$A$2:$C$38,3,0),8))</f>
        <v>8</v>
      </c>
      <c r="BD128" s="97">
        <f>IF(OR(AY128="SÁB",AY128="DOM"),0,IFERROR(8-VLOOKUP(G128,'Dados de consulta'!$A$2:$C$38,3,0),8))</f>
        <v>0</v>
      </c>
      <c r="BE128" s="97">
        <f>IF(OR(AY128="SÁB",AY128="DOM"),0,IFERROR(8-VLOOKUP(H128,'Dados de consulta'!$A$2:$C$38,3,0),8))</f>
        <v>0</v>
      </c>
      <c r="BF128" s="97">
        <f>IF(OR(AY128="SÁB",AY128="DOM"),0,IFERROR(8-VLOOKUP(I128,'Dados de consulta'!$A$2:$C$38,3,0),8))</f>
        <v>8</v>
      </c>
      <c r="BG128" s="97">
        <f>IF(OR(AY128="SÁB",AY128="DOM"),0,IFERROR(8-VLOOKUP(J128,'Dados de consulta'!$A$2:$C$38,3,0),8))</f>
        <v>8</v>
      </c>
      <c r="BH128" s="97">
        <f>IF(OR(AY128="SÁB",AY128="DOM"),0,IFERROR(8-VLOOKUP(K128,'Dados de consulta'!$A$2:$C$38,3,0),8))</f>
        <v>8</v>
      </c>
      <c r="BI128" s="97">
        <f>IF(OR(AY128="SÁB",AY128="DOM"),0,IFERROR(8-VLOOKUP(L128,'Dados de consulta'!$A$2:$C$38,3,0),8))</f>
        <v>8</v>
      </c>
      <c r="BJ128" s="97">
        <f>IF(OR(AY128="SÁB",AY128="DOM"),0,IFERROR(8-VLOOKUP(M128,'Dados de consulta'!$A$2:$C$38,3,0),8))</f>
        <v>0</v>
      </c>
      <c r="BK128" s="97">
        <f>IF(OR(AY128="SÁB",AY128="DOM"),0,IFERROR(8-VLOOKUP(N128,'Dados de consulta'!$A$2:$C$38,3,0),8))</f>
        <v>8</v>
      </c>
      <c r="BL128" s="97">
        <f>IF(OR(AY128="SÁB",AY128="DOM"),0,IFERROR(8-VLOOKUP(O128,'Dados de consulta'!$A$2:$C$38,3,0),8))</f>
        <v>8</v>
      </c>
      <c r="BM128" s="97">
        <f>IF(OR(AY128="SÁB",AY128="DOM"),0,IFERROR(8-VLOOKUP(P128,'Dados de consulta'!$A$2:$C$38,3,0),8))</f>
        <v>8</v>
      </c>
      <c r="BN128" s="97">
        <f>IF(OR(AY128="SÁB",AY128="DOM"),0,IFERROR(8-VLOOKUP(Q128,'Dados de consulta'!$A$2:$C$38,3,0),8))</f>
        <v>8</v>
      </c>
      <c r="BO128" s="97">
        <f>IF(OR(AY128="SÁB",AY128="DOM"),0,IFERROR(8-VLOOKUP(R128,'Dados de consulta'!$A$2:$C$38,3,0),8))</f>
        <v>8</v>
      </c>
      <c r="BP128" s="97">
        <f>IF(OR(AY128="SÁB",AY128="DOM"),0,IFERROR(8-VLOOKUP(S128,'Dados de consulta'!$A$2:$C$38,3,0),8))</f>
        <v>8</v>
      </c>
      <c r="BQ128" s="113">
        <f>IFERROR(6-VLOOKUP(T128,'Dados de consulta'!$A$2:$C$38,3,0)+2,6)</f>
        <v>6</v>
      </c>
      <c r="BR128" s="114">
        <f t="shared" si="50"/>
        <v>102</v>
      </c>
      <c r="BS128">
        <f t="shared" si="52"/>
        <v>134</v>
      </c>
      <c r="BU128">
        <f>IFERROR(8-VLOOKUP(U128,'Dados de consulta'!$A:$D,3,0),8)</f>
        <v>8</v>
      </c>
      <c r="BV128">
        <f>IFERROR(8-VLOOKUP(V128,'Dados de consulta'!$A:$D,3,0),8)</f>
        <v>8</v>
      </c>
      <c r="BW128">
        <f t="shared" si="51"/>
        <v>16</v>
      </c>
    </row>
    <row r="129" spans="1:75" ht="15" hidden="1" x14ac:dyDescent="0.2">
      <c r="A129" s="98">
        <v>42252</v>
      </c>
      <c r="B129" s="129" t="str">
        <f t="shared" si="27"/>
        <v>sáb</v>
      </c>
      <c r="C129" s="132">
        <v>18</v>
      </c>
      <c r="D129" s="132">
        <v>18</v>
      </c>
      <c r="E129" s="132"/>
      <c r="F129" s="132"/>
      <c r="G129" s="132">
        <v>4</v>
      </c>
      <c r="H129" s="132">
        <v>8</v>
      </c>
      <c r="I129" s="132"/>
      <c r="J129" s="132"/>
      <c r="K129" s="132"/>
      <c r="L129" s="132"/>
      <c r="M129" s="132">
        <v>101</v>
      </c>
      <c r="N129" s="132"/>
      <c r="O129" s="132"/>
      <c r="P129" s="132"/>
      <c r="Q129" s="132"/>
      <c r="R129" s="132"/>
      <c r="S129" s="132"/>
      <c r="T129" s="132"/>
      <c r="U129" s="151"/>
      <c r="V129" s="151"/>
      <c r="W129" s="307" t="s">
        <v>193</v>
      </c>
      <c r="X129" s="308"/>
      <c r="Y129" s="38">
        <f t="shared" si="28"/>
        <v>16</v>
      </c>
      <c r="Z129" s="38">
        <f t="shared" si="29"/>
        <v>16</v>
      </c>
      <c r="AA129" s="38">
        <f t="shared" si="30"/>
        <v>0</v>
      </c>
      <c r="AB129" s="38">
        <f t="shared" si="38"/>
        <v>0</v>
      </c>
      <c r="AC129" s="38">
        <f t="shared" si="39"/>
        <v>0</v>
      </c>
      <c r="AD129" s="38">
        <f t="shared" si="40"/>
        <v>0</v>
      </c>
      <c r="AE129" s="38">
        <f t="shared" si="41"/>
        <v>0</v>
      </c>
      <c r="AF129" s="38">
        <f t="shared" si="42"/>
        <v>0</v>
      </c>
      <c r="AG129" s="33">
        <f t="shared" si="43"/>
        <v>0</v>
      </c>
      <c r="AH129" s="33">
        <f t="shared" si="44"/>
        <v>0</v>
      </c>
      <c r="AI129" s="33">
        <f t="shared" si="45"/>
        <v>0</v>
      </c>
      <c r="AJ129" s="33">
        <f t="shared" si="46"/>
        <v>0</v>
      </c>
      <c r="AK129" s="34">
        <f t="shared" si="47"/>
        <v>0</v>
      </c>
      <c r="AL129" s="35">
        <f t="shared" si="48"/>
        <v>0</v>
      </c>
      <c r="AM129" s="34">
        <f t="shared" si="31"/>
        <v>0</v>
      </c>
      <c r="AN129" s="36">
        <f t="shared" si="49"/>
        <v>0</v>
      </c>
      <c r="AO129" s="6">
        <f t="shared" si="32"/>
        <v>0</v>
      </c>
      <c r="AP129">
        <f t="shared" si="33"/>
        <v>8</v>
      </c>
      <c r="AQ129" s="6">
        <f t="shared" si="34"/>
        <v>0</v>
      </c>
      <c r="AR129" s="6">
        <f t="shared" si="35"/>
        <v>0</v>
      </c>
      <c r="AS129" s="6"/>
      <c r="AX129" s="95">
        <f t="shared" si="36"/>
        <v>42252</v>
      </c>
      <c r="AY129" s="96" t="str">
        <f t="shared" si="37"/>
        <v>sáb</v>
      </c>
      <c r="AZ129" s="97">
        <f>IF(OR(AY129="SÁB",AY129="DOM"),0,IFERROR(8-VLOOKUP(C129,'Dados de consulta'!$A$2:$C$38,3,0),8))</f>
        <v>0</v>
      </c>
      <c r="BA129" s="97">
        <f>IF(OR(AY129="SÁB",AY129="DOM"),0,IFERROR(8-VLOOKUP(D129,'Dados de consulta'!$A$2:$C$38,3,0),8))</f>
        <v>0</v>
      </c>
      <c r="BB129" s="97">
        <f>IF(OR(AY129="SÁB",AY129="DOM"),0,IFERROR(8-VLOOKUP(E129,'Dados de consulta'!$A$2:$C$38,3,0),8))</f>
        <v>0</v>
      </c>
      <c r="BC129" s="97">
        <f>IF(OR(AY129="SÁB",AY129="DOM"),0,IFERROR(8-VLOOKUP(F129,'Dados de consulta'!$A$2:$C$38,3,0),8))</f>
        <v>0</v>
      </c>
      <c r="BD129" s="97">
        <f>IF(OR(AY129="SÁB",AY129="DOM"),0,IFERROR(8-VLOOKUP(G129,'Dados de consulta'!$A$2:$C$38,3,0),8))</f>
        <v>0</v>
      </c>
      <c r="BE129" s="97">
        <f>IF(OR(AY129="SÁB",AY129="DOM"),0,IFERROR(8-VLOOKUP(H129,'Dados de consulta'!$A$2:$C$38,3,0),8))</f>
        <v>0</v>
      </c>
      <c r="BF129" s="97">
        <f>IF(OR(AY129="SÁB",AY129="DOM"),0,IFERROR(8-VLOOKUP(I129,'Dados de consulta'!$A$2:$C$38,3,0),8))</f>
        <v>0</v>
      </c>
      <c r="BG129" s="97">
        <f>IF(OR(AY129="SÁB",AY129="DOM"),0,IFERROR(8-VLOOKUP(J129,'Dados de consulta'!$A$2:$C$38,3,0),8))</f>
        <v>0</v>
      </c>
      <c r="BH129" s="97">
        <f>IF(OR(AY129="SÁB",AY129="DOM"),0,IFERROR(8-VLOOKUP(K129,'Dados de consulta'!$A$2:$C$38,3,0),8))</f>
        <v>0</v>
      </c>
      <c r="BI129" s="97">
        <f>IF(OR(AY129="SÁB",AY129="DOM"),0,IFERROR(8-VLOOKUP(L129,'Dados de consulta'!$A$2:$C$38,3,0),8))</f>
        <v>0</v>
      </c>
      <c r="BJ129" s="97">
        <f>IF(OR(AY129="SÁB",AY129="DOM"),0,IFERROR(8-VLOOKUP(M129,'Dados de consulta'!$A$2:$C$38,3,0),8))</f>
        <v>0</v>
      </c>
      <c r="BK129" s="97">
        <f>IF(OR(AY129="SÁB",AY129="DOM"),0,IFERROR(8-VLOOKUP(N129,'Dados de consulta'!$A$2:$C$38,3,0),8))</f>
        <v>0</v>
      </c>
      <c r="BL129" s="97">
        <f>IF(OR(AY129="SÁB",AY129="DOM"),0,IFERROR(8-VLOOKUP(O129,'Dados de consulta'!$A$2:$C$38,3,0),8))</f>
        <v>0</v>
      </c>
      <c r="BM129" s="97">
        <f>IF(OR(AY129="SÁB",AY129="DOM"),0,IFERROR(8-VLOOKUP(P129,'Dados de consulta'!$A$2:$C$38,3,0),8))</f>
        <v>0</v>
      </c>
      <c r="BN129" s="97">
        <f>IF(OR(AY129="SÁB",AY129="DOM"),0,IFERROR(8-VLOOKUP(Q129,'Dados de consulta'!$A$2:$C$38,3,0),8))</f>
        <v>0</v>
      </c>
      <c r="BO129" s="97">
        <f>IF(OR(AY129="SÁB",AY129="DOM"),0,IFERROR(8-VLOOKUP(R129,'Dados de consulta'!$A$2:$C$38,3,0),8))</f>
        <v>0</v>
      </c>
      <c r="BP129" s="97">
        <f>IF(OR(AY129="SÁB",AY129="DOM"),0,IFERROR(8-VLOOKUP(S129,'Dados de consulta'!$A$2:$C$38,3,0),8))</f>
        <v>0</v>
      </c>
      <c r="BQ129" s="113">
        <f>IFERROR(6-VLOOKUP(T129,'Dados de consulta'!$A$2:$C$38,3,0)+2,6)</f>
        <v>6</v>
      </c>
      <c r="BR129" s="114">
        <f t="shared" si="50"/>
        <v>0</v>
      </c>
      <c r="BS129">
        <f t="shared" si="52"/>
        <v>0</v>
      </c>
      <c r="BU129">
        <f>IFERROR(8-VLOOKUP(U129,'Dados de consulta'!$A:$D,3,0),8)</f>
        <v>8</v>
      </c>
      <c r="BV129">
        <f>IFERROR(8-VLOOKUP(V129,'Dados de consulta'!$A:$D,3,0),8)</f>
        <v>8</v>
      </c>
      <c r="BW129">
        <f t="shared" si="51"/>
        <v>16</v>
      </c>
    </row>
    <row r="130" spans="1:75" ht="15" hidden="1" x14ac:dyDescent="0.2">
      <c r="A130" s="98">
        <v>42253</v>
      </c>
      <c r="B130" s="129" t="str">
        <f t="shared" ref="B130:B193" si="53">TEXT(A130,"ddd")</f>
        <v>dom</v>
      </c>
      <c r="C130" s="132">
        <v>18</v>
      </c>
      <c r="D130" s="132">
        <v>18</v>
      </c>
      <c r="E130" s="132"/>
      <c r="F130" s="132"/>
      <c r="G130" s="132">
        <v>4</v>
      </c>
      <c r="H130" s="132">
        <v>8</v>
      </c>
      <c r="I130" s="132"/>
      <c r="J130" s="132"/>
      <c r="K130" s="132"/>
      <c r="L130" s="132"/>
      <c r="M130" s="132">
        <v>101</v>
      </c>
      <c r="N130" s="132"/>
      <c r="O130" s="132"/>
      <c r="P130" s="132"/>
      <c r="Q130" s="132"/>
      <c r="R130" s="132"/>
      <c r="S130" s="132"/>
      <c r="T130" s="132"/>
      <c r="U130" s="151"/>
      <c r="V130" s="151"/>
      <c r="W130" s="307" t="s">
        <v>193</v>
      </c>
      <c r="X130" s="308"/>
      <c r="Y130" s="38">
        <f t="shared" ref="Y130:Y193" si="54">(COUNTIF(C130:S130,4)+COUNTIF(C130:S130,8)+COUNTIF(C130:S130,"8P")/2+COUNTIF(C130:S130,9)+COUNTIF(C130:S130,"9P")/2+COUNTIF(C130:S130,14))*8</f>
        <v>16</v>
      </c>
      <c r="Z130" s="38">
        <f t="shared" ref="Z130:Z193" si="55">(COUNTIF(C130:S130,1)+COUNTIF(C130:S130,2)+COUNTIF(C130:S130,3)+COUNTIF(C130:S130,5)+COUNTIF(C130:S130,10)+COUNTIF(C130:S130,13)+COUNTIF(C130:S130,"13P")/2+COUNTIF(C130:S130,15)+COUNTIF(C130:S130,18)+COUNTIF(C130:S130,20)+COUNTIF(C130:S130,22)+COUNTIF(C130:S130,23)+COUNTIF(C130:S130,24)+COUNTIF(C130:S130,25)+COUNTIF(C130:S130,26)+COUNTIF(C130:S130,99))*8</f>
        <v>16</v>
      </c>
      <c r="AA130" s="38">
        <f t="shared" ref="AA130:AA193" si="56">(COUNTIF(C130:S130,28)+COUNTIF(C130:S130,"28P")/2+COUNTIF(C130:S130,29))*8</f>
        <v>0</v>
      </c>
      <c r="AB130" s="38">
        <f t="shared" si="38"/>
        <v>0</v>
      </c>
      <c r="AC130" s="38">
        <f t="shared" si="39"/>
        <v>0</v>
      </c>
      <c r="AD130" s="38">
        <f t="shared" si="40"/>
        <v>0</v>
      </c>
      <c r="AE130" s="38">
        <f t="shared" si="41"/>
        <v>0</v>
      </c>
      <c r="AF130" s="38">
        <f t="shared" si="42"/>
        <v>0</v>
      </c>
      <c r="AG130" s="33">
        <f t="shared" si="43"/>
        <v>0</v>
      </c>
      <c r="AH130" s="33">
        <f t="shared" si="44"/>
        <v>0</v>
      </c>
      <c r="AI130" s="33">
        <f t="shared" si="45"/>
        <v>0</v>
      </c>
      <c r="AJ130" s="33">
        <f t="shared" si="46"/>
        <v>0</v>
      </c>
      <c r="AK130" s="34">
        <f t="shared" si="47"/>
        <v>0</v>
      </c>
      <c r="AL130" s="35">
        <f t="shared" si="48"/>
        <v>0</v>
      </c>
      <c r="AM130" s="34">
        <f t="shared" ref="AM130:AM193" si="57">(AA130+AE130)/(COUNTA($C$1:$S$1)*8+COUNTA($T$1:$T$1)*6)</f>
        <v>0</v>
      </c>
      <c r="AN130" s="36">
        <f t="shared" si="49"/>
        <v>0</v>
      </c>
      <c r="AO130" s="6">
        <f t="shared" ref="AO130:AO193" si="58">COUNTIF(C130:S130,100)*8</f>
        <v>0</v>
      </c>
      <c r="AP130">
        <f t="shared" ref="AP130:AP193" si="59">COUNTIF(C130:S130,101)*8</f>
        <v>8</v>
      </c>
      <c r="AQ130" s="6">
        <f t="shared" ref="AQ130:AQ193" si="60">COUNTIF(T130:T130,101)*6</f>
        <v>0</v>
      </c>
      <c r="AR130" s="6">
        <f t="shared" ref="AR130:AR193" si="61">COUNTIF(T130:T130,100)*6</f>
        <v>0</v>
      </c>
      <c r="AS130" s="6"/>
      <c r="AX130" s="95">
        <f t="shared" ref="AX130:AX193" si="62">A130</f>
        <v>42253</v>
      </c>
      <c r="AY130" s="96" t="str">
        <f t="shared" ref="AY130:AY193" si="63">B130</f>
        <v>dom</v>
      </c>
      <c r="AZ130" s="97">
        <f>IF(OR(AY130="SÁB",AY130="DOM"),0,IFERROR(8-VLOOKUP(C130,'Dados de consulta'!$A$2:$C$38,3,0),8))</f>
        <v>0</v>
      </c>
      <c r="BA130" s="97">
        <f>IF(OR(AY130="SÁB",AY130="DOM"),0,IFERROR(8-VLOOKUP(D130,'Dados de consulta'!$A$2:$C$38,3,0),8))</f>
        <v>0</v>
      </c>
      <c r="BB130" s="97">
        <f>IF(OR(AY130="SÁB",AY130="DOM"),0,IFERROR(8-VLOOKUP(E130,'Dados de consulta'!$A$2:$C$38,3,0),8))</f>
        <v>0</v>
      </c>
      <c r="BC130" s="97">
        <f>IF(OR(AY130="SÁB",AY130="DOM"),0,IFERROR(8-VLOOKUP(F130,'Dados de consulta'!$A$2:$C$38,3,0),8))</f>
        <v>0</v>
      </c>
      <c r="BD130" s="97">
        <f>IF(OR(AY130="SÁB",AY130="DOM"),0,IFERROR(8-VLOOKUP(G130,'Dados de consulta'!$A$2:$C$38,3,0),8))</f>
        <v>0</v>
      </c>
      <c r="BE130" s="97">
        <f>IF(OR(AY130="SÁB",AY130="DOM"),0,IFERROR(8-VLOOKUP(H130,'Dados de consulta'!$A$2:$C$38,3,0),8))</f>
        <v>0</v>
      </c>
      <c r="BF130" s="97">
        <f>IF(OR(AY130="SÁB",AY130="DOM"),0,IFERROR(8-VLOOKUP(I130,'Dados de consulta'!$A$2:$C$38,3,0),8))</f>
        <v>0</v>
      </c>
      <c r="BG130" s="97">
        <f>IF(OR(AY130="SÁB",AY130="DOM"),0,IFERROR(8-VLOOKUP(J130,'Dados de consulta'!$A$2:$C$38,3,0),8))</f>
        <v>0</v>
      </c>
      <c r="BH130" s="97">
        <f>IF(OR(AY130="SÁB",AY130="DOM"),0,IFERROR(8-VLOOKUP(K130,'Dados de consulta'!$A$2:$C$38,3,0),8))</f>
        <v>0</v>
      </c>
      <c r="BI130" s="97">
        <f>IF(OR(AY130="SÁB",AY130="DOM"),0,IFERROR(8-VLOOKUP(L130,'Dados de consulta'!$A$2:$C$38,3,0),8))</f>
        <v>0</v>
      </c>
      <c r="BJ130" s="97">
        <f>IF(OR(AY130="SÁB",AY130="DOM"),0,IFERROR(8-VLOOKUP(M130,'Dados de consulta'!$A$2:$C$38,3,0),8))</f>
        <v>0</v>
      </c>
      <c r="BK130" s="97">
        <f>IF(OR(AY130="SÁB",AY130="DOM"),0,IFERROR(8-VLOOKUP(N130,'Dados de consulta'!$A$2:$C$38,3,0),8))</f>
        <v>0</v>
      </c>
      <c r="BL130" s="97">
        <f>IF(OR(AY130="SÁB",AY130="DOM"),0,IFERROR(8-VLOOKUP(O130,'Dados de consulta'!$A$2:$C$38,3,0),8))</f>
        <v>0</v>
      </c>
      <c r="BM130" s="97">
        <f>IF(OR(AY130="SÁB",AY130="DOM"),0,IFERROR(8-VLOOKUP(P130,'Dados de consulta'!$A$2:$C$38,3,0),8))</f>
        <v>0</v>
      </c>
      <c r="BN130" s="97">
        <f>IF(OR(AY130="SÁB",AY130="DOM"),0,IFERROR(8-VLOOKUP(Q130,'Dados de consulta'!$A$2:$C$38,3,0),8))</f>
        <v>0</v>
      </c>
      <c r="BO130" s="97">
        <f>IF(OR(AY130="SÁB",AY130="DOM"),0,IFERROR(8-VLOOKUP(R130,'Dados de consulta'!$A$2:$C$38,3,0),8))</f>
        <v>0</v>
      </c>
      <c r="BP130" s="97">
        <f>IF(OR(AY130="SÁB",AY130="DOM"),0,IFERROR(8-VLOOKUP(S130,'Dados de consulta'!$A$2:$C$38,3,0),8))</f>
        <v>0</v>
      </c>
      <c r="BQ130" s="113">
        <f>IFERROR(6-VLOOKUP(T130,'Dados de consulta'!$A$2:$C$38,3,0)+2,6)</f>
        <v>6</v>
      </c>
      <c r="BR130" s="114">
        <f t="shared" si="50"/>
        <v>0</v>
      </c>
      <c r="BS130">
        <f t="shared" si="52"/>
        <v>0</v>
      </c>
      <c r="BU130">
        <f>IFERROR(8-VLOOKUP(U130,'Dados de consulta'!$A:$D,3,0),8)</f>
        <v>8</v>
      </c>
      <c r="BV130">
        <f>IFERROR(8-VLOOKUP(V130,'Dados de consulta'!$A:$D,3,0),8)</f>
        <v>8</v>
      </c>
      <c r="BW130">
        <f t="shared" si="51"/>
        <v>16</v>
      </c>
    </row>
    <row r="131" spans="1:75" ht="15" hidden="1" x14ac:dyDescent="0.2">
      <c r="A131" s="98">
        <v>42254</v>
      </c>
      <c r="B131" s="129" t="str">
        <f t="shared" si="53"/>
        <v>seg</v>
      </c>
      <c r="C131" s="132">
        <v>17</v>
      </c>
      <c r="D131" s="132">
        <v>17</v>
      </c>
      <c r="E131" s="132">
        <v>17</v>
      </c>
      <c r="F131" s="132">
        <v>17</v>
      </c>
      <c r="G131" s="132">
        <v>17</v>
      </c>
      <c r="H131" s="132">
        <v>17</v>
      </c>
      <c r="I131" s="132">
        <v>17</v>
      </c>
      <c r="J131" s="132">
        <v>17</v>
      </c>
      <c r="K131" s="132">
        <v>17</v>
      </c>
      <c r="L131" s="132">
        <v>17</v>
      </c>
      <c r="M131" s="132">
        <v>17</v>
      </c>
      <c r="N131" s="132">
        <v>17</v>
      </c>
      <c r="O131" s="132">
        <v>17</v>
      </c>
      <c r="P131" s="132">
        <v>17</v>
      </c>
      <c r="Q131" s="132">
        <v>17</v>
      </c>
      <c r="R131" s="132">
        <v>17</v>
      </c>
      <c r="S131" s="132">
        <v>17</v>
      </c>
      <c r="T131" s="132">
        <v>17</v>
      </c>
      <c r="U131" s="151">
        <v>17</v>
      </c>
      <c r="V131" s="151">
        <v>17</v>
      </c>
      <c r="W131" s="307" t="s">
        <v>193</v>
      </c>
      <c r="X131" s="308"/>
      <c r="Y131" s="38">
        <f t="shared" si="54"/>
        <v>0</v>
      </c>
      <c r="Z131" s="38">
        <f t="shared" si="55"/>
        <v>0</v>
      </c>
      <c r="AA131" s="38">
        <f t="shared" si="56"/>
        <v>0</v>
      </c>
      <c r="AB131" s="38">
        <f t="shared" ref="AB131:AB194" si="64">(COUNTIF(C131:S131,6)+COUNTIF(C131:S131,"6P")/2+COUNTIF(C131:S131,7)+COUNTIF(C131:S131,11)+COUNTIF(C131:S131,12)+COUNTIF(C131:S131,19))*8</f>
        <v>0</v>
      </c>
      <c r="AC131" s="38">
        <f t="shared" ref="AC131:AC194" si="65">(COUNTIF(T131,4)+COUNTIF(T131,8)+COUNTIF(T131,"8P")+COUNTIF(T131,9)+COUNTIF(T131,"9P")+COUNTIF(T131,14))*6</f>
        <v>0</v>
      </c>
      <c r="AD131" s="38">
        <f t="shared" ref="AD131:AD194" si="66">(COUNTIF(T131,1)+COUNTIF(T131,2)+COUNTIF(T131,3)+COUNTIF(T131,5)+COUNTIF(T131,10)+COUNTIF(T131,13)+COUNTIF(T131,"13P")+COUNTIF(T131,15)+COUNTIF(T131,16)+COUNTIF(T131,18)+COUNTIF(T131,20)+COUNTIF(T131,21)+COUNTIF(T131,22)+COUNTIF(T131,23)+COUNTIF(T131,24)+COUNTIF(T131,25)+COUNTIF(T131,26)+COUNTIF(T131,99))*6</f>
        <v>0</v>
      </c>
      <c r="AE131" s="38">
        <f t="shared" ref="AE131:AE194" si="67">(COUNTIF(T131,28)+COUNTIF(T131,"28P")+COUNTIF(T131,29))*6</f>
        <v>0</v>
      </c>
      <c r="AF131" s="38">
        <f t="shared" ref="AF131:AF194" si="68">(COUNTIF(T131,6)+COUNTIF(T131,"6P")+COUNTIF(T131,7)+COUNTIF(T131,11)+COUNTIF(T131,12))*6</f>
        <v>0</v>
      </c>
      <c r="AG131" s="33">
        <f t="shared" ref="AG131:AG194" si="69">IF(OR(B131="SÁB",B131="DOM"),0,Y131+AC131)</f>
        <v>0</v>
      </c>
      <c r="AH131" s="33">
        <f t="shared" ref="AH131:AH194" si="70">IF(OR(B131="SÁB",B131="DOM"),0,Z131+AD131)</f>
        <v>0</v>
      </c>
      <c r="AI131" s="33">
        <f t="shared" ref="AI131:AI194" si="71">IF(OR(B131="SÁB",B131="DOM"),0,AA131+AE131)</f>
        <v>0</v>
      </c>
      <c r="AJ131" s="33">
        <f t="shared" ref="AJ131:AJ194" si="72">IF(OR(B131="SÁB",B131="DOM"),0,AB131+AF131)</f>
        <v>0</v>
      </c>
      <c r="AK131" s="34">
        <f t="shared" ref="AK131:AK194" si="73">AG131/(COUNTA($C$1:$S$1)*8+6)</f>
        <v>0</v>
      </c>
      <c r="AL131" s="35">
        <f t="shared" ref="AL131:AL194" si="74">AH131/(COUNTA($C$1:$S$1)*8+6)</f>
        <v>0</v>
      </c>
      <c r="AM131" s="34">
        <f t="shared" si="57"/>
        <v>0</v>
      </c>
      <c r="AN131" s="36">
        <f t="shared" ref="AN131:AN194" si="75">AJ131/(COUNTA($C$1:$S$1)*8+6)</f>
        <v>0</v>
      </c>
      <c r="AO131" s="6">
        <f t="shared" si="58"/>
        <v>0</v>
      </c>
      <c r="AP131">
        <f t="shared" si="59"/>
        <v>0</v>
      </c>
      <c r="AQ131" s="6">
        <f t="shared" si="60"/>
        <v>0</v>
      </c>
      <c r="AR131" s="6">
        <f t="shared" si="61"/>
        <v>0</v>
      </c>
      <c r="AS131" s="6"/>
      <c r="AX131" s="95">
        <f t="shared" si="62"/>
        <v>42254</v>
      </c>
      <c r="AY131" s="96" t="str">
        <f t="shared" si="63"/>
        <v>seg</v>
      </c>
      <c r="AZ131" s="97">
        <f>IF(OR(AY131="SÁB",AY131="DOM"),0,IFERROR(8-VLOOKUP(C131,'Dados de consulta'!$A$2:$C$38,3,0),8))</f>
        <v>0</v>
      </c>
      <c r="BA131" s="97">
        <f>IF(OR(AY131="SÁB",AY131="DOM"),0,IFERROR(8-VLOOKUP(D131,'Dados de consulta'!$A$2:$C$38,3,0),8))</f>
        <v>0</v>
      </c>
      <c r="BB131" s="97">
        <f>IF(OR(AY131="SÁB",AY131="DOM"),0,IFERROR(8-VLOOKUP(E131,'Dados de consulta'!$A$2:$C$38,3,0),8))</f>
        <v>0</v>
      </c>
      <c r="BC131" s="97">
        <f>IF(OR(AY131="SÁB",AY131="DOM"),0,IFERROR(8-VLOOKUP(F131,'Dados de consulta'!$A$2:$C$38,3,0),8))</f>
        <v>0</v>
      </c>
      <c r="BD131" s="97">
        <f>IF(OR(AY131="SÁB",AY131="DOM"),0,IFERROR(8-VLOOKUP(G131,'Dados de consulta'!$A$2:$C$38,3,0),8))</f>
        <v>0</v>
      </c>
      <c r="BE131" s="97">
        <f>IF(OR(AY131="SÁB",AY131="DOM"),0,IFERROR(8-VLOOKUP(H131,'Dados de consulta'!$A$2:$C$38,3,0),8))</f>
        <v>0</v>
      </c>
      <c r="BF131" s="97">
        <f>IF(OR(AY131="SÁB",AY131="DOM"),0,IFERROR(8-VLOOKUP(I131,'Dados de consulta'!$A$2:$C$38,3,0),8))</f>
        <v>0</v>
      </c>
      <c r="BG131" s="97">
        <f>IF(OR(AY131="SÁB",AY131="DOM"),0,IFERROR(8-VLOOKUP(J131,'Dados de consulta'!$A$2:$C$38,3,0),8))</f>
        <v>0</v>
      </c>
      <c r="BH131" s="97">
        <f>IF(OR(AY131="SÁB",AY131="DOM"),0,IFERROR(8-VLOOKUP(K131,'Dados de consulta'!$A$2:$C$38,3,0),8))</f>
        <v>0</v>
      </c>
      <c r="BI131" s="97">
        <f>IF(OR(AY131="SÁB",AY131="DOM"),0,IFERROR(8-VLOOKUP(L131,'Dados de consulta'!$A$2:$C$38,3,0),8))</f>
        <v>0</v>
      </c>
      <c r="BJ131" s="97">
        <f>IF(OR(AY131="SÁB",AY131="DOM"),0,IFERROR(8-VLOOKUP(M131,'Dados de consulta'!$A$2:$C$38,3,0),8))</f>
        <v>0</v>
      </c>
      <c r="BK131" s="97">
        <f>IF(OR(AY131="SÁB",AY131="DOM"),0,IFERROR(8-VLOOKUP(N131,'Dados de consulta'!$A$2:$C$38,3,0),8))</f>
        <v>0</v>
      </c>
      <c r="BL131" s="97">
        <f>IF(OR(AY131="SÁB",AY131="DOM"),0,IFERROR(8-VLOOKUP(O131,'Dados de consulta'!$A$2:$C$38,3,0),8))</f>
        <v>0</v>
      </c>
      <c r="BM131" s="97">
        <f>IF(OR(AY131="SÁB",AY131="DOM"),0,IFERROR(8-VLOOKUP(P131,'Dados de consulta'!$A$2:$C$38,3,0),8))</f>
        <v>0</v>
      </c>
      <c r="BN131" s="97">
        <f>IF(OR(AY131="SÁB",AY131="DOM"),0,IFERROR(8-VLOOKUP(Q131,'Dados de consulta'!$A$2:$C$38,3,0),8))</f>
        <v>0</v>
      </c>
      <c r="BO131" s="97">
        <f>IF(OR(AY131="SÁB",AY131="DOM"),0,IFERROR(8-VLOOKUP(R131,'Dados de consulta'!$A$2:$C$38,3,0),8))</f>
        <v>0</v>
      </c>
      <c r="BP131" s="97">
        <f>IF(OR(AY131="SÁB",AY131="DOM"),0,IFERROR(8-VLOOKUP(S131,'Dados de consulta'!$A$2:$C$38,3,0),8))</f>
        <v>0</v>
      </c>
      <c r="BQ131" s="113">
        <f>IFERROR(6-VLOOKUP(T131,'Dados de consulta'!$A$2:$C$38,3,0)+2,6)</f>
        <v>0</v>
      </c>
      <c r="BR131" s="114">
        <f t="shared" ref="BR131:BR194" si="76">IF(OR(AY131="SÁB",AY131="DOM"),0,SUM(AZ131:BQ131))</f>
        <v>0</v>
      </c>
      <c r="BS131">
        <f t="shared" si="52"/>
        <v>142</v>
      </c>
      <c r="BU131">
        <f>IFERROR(8-VLOOKUP(U131,'Dados de consulta'!$A:$D,3,0),8)</f>
        <v>0</v>
      </c>
      <c r="BV131">
        <f>IFERROR(8-VLOOKUP(V131,'Dados de consulta'!$A:$D,3,0),8)</f>
        <v>0</v>
      </c>
      <c r="BW131">
        <f t="shared" ref="BW131:BW194" si="77">BU131+BV131</f>
        <v>0</v>
      </c>
    </row>
    <row r="132" spans="1:75" ht="15" hidden="1" x14ac:dyDescent="0.2">
      <c r="A132" s="98">
        <v>42255</v>
      </c>
      <c r="B132" s="129" t="str">
        <f t="shared" si="53"/>
        <v>ter</v>
      </c>
      <c r="C132" s="132">
        <v>18</v>
      </c>
      <c r="D132" s="132">
        <v>18</v>
      </c>
      <c r="E132" s="132"/>
      <c r="F132" s="132"/>
      <c r="G132" s="132">
        <v>4</v>
      </c>
      <c r="H132" s="132">
        <v>8</v>
      </c>
      <c r="I132" s="132"/>
      <c r="J132" s="132"/>
      <c r="K132" s="132"/>
      <c r="L132" s="132"/>
      <c r="M132" s="132">
        <v>101</v>
      </c>
      <c r="N132" s="132"/>
      <c r="O132" s="132"/>
      <c r="P132" s="132"/>
      <c r="Q132" s="132"/>
      <c r="R132" s="132">
        <v>18</v>
      </c>
      <c r="S132" s="132"/>
      <c r="T132" s="132"/>
      <c r="U132" s="151"/>
      <c r="V132" s="151"/>
      <c r="W132" s="307" t="s">
        <v>193</v>
      </c>
      <c r="X132" s="308"/>
      <c r="Y132" s="38">
        <f t="shared" si="54"/>
        <v>16</v>
      </c>
      <c r="Z132" s="38">
        <f t="shared" si="55"/>
        <v>24</v>
      </c>
      <c r="AA132" s="38">
        <f t="shared" si="56"/>
        <v>0</v>
      </c>
      <c r="AB132" s="38">
        <f t="shared" si="64"/>
        <v>0</v>
      </c>
      <c r="AC132" s="38">
        <f t="shared" si="65"/>
        <v>0</v>
      </c>
      <c r="AD132" s="38">
        <f t="shared" si="66"/>
        <v>0</v>
      </c>
      <c r="AE132" s="38">
        <f t="shared" si="67"/>
        <v>0</v>
      </c>
      <c r="AF132" s="38">
        <f t="shared" si="68"/>
        <v>0</v>
      </c>
      <c r="AG132" s="33">
        <f t="shared" si="69"/>
        <v>16</v>
      </c>
      <c r="AH132" s="33">
        <f t="shared" si="70"/>
        <v>24</v>
      </c>
      <c r="AI132" s="33">
        <f t="shared" si="71"/>
        <v>0</v>
      </c>
      <c r="AJ132" s="33">
        <f t="shared" si="72"/>
        <v>0</v>
      </c>
      <c r="AK132" s="34">
        <f t="shared" si="73"/>
        <v>0.11267605633802817</v>
      </c>
      <c r="AL132" s="35">
        <f t="shared" si="74"/>
        <v>0.16901408450704225</v>
      </c>
      <c r="AM132" s="34">
        <f t="shared" si="57"/>
        <v>0</v>
      </c>
      <c r="AN132" s="36">
        <f t="shared" si="75"/>
        <v>0</v>
      </c>
      <c r="AO132" s="6">
        <f t="shared" si="58"/>
        <v>0</v>
      </c>
      <c r="AP132">
        <f t="shared" si="59"/>
        <v>8</v>
      </c>
      <c r="AQ132" s="6">
        <f t="shared" si="60"/>
        <v>0</v>
      </c>
      <c r="AR132" s="6">
        <f t="shared" si="61"/>
        <v>0</v>
      </c>
      <c r="AS132" s="6"/>
      <c r="AX132" s="95">
        <f t="shared" si="62"/>
        <v>42255</v>
      </c>
      <c r="AY132" s="96" t="str">
        <f t="shared" si="63"/>
        <v>ter</v>
      </c>
      <c r="AZ132" s="97">
        <f>IF(OR(AY132="SÁB",AY132="DOM"),0,IFERROR(8-VLOOKUP(C132,'Dados de consulta'!$A$2:$C$38,3,0),8))</f>
        <v>0</v>
      </c>
      <c r="BA132" s="97">
        <f>IF(OR(AY132="SÁB",AY132="DOM"),0,IFERROR(8-VLOOKUP(D132,'Dados de consulta'!$A$2:$C$38,3,0),8))</f>
        <v>0</v>
      </c>
      <c r="BB132" s="97">
        <f>IF(OR(AY132="SÁB",AY132="DOM"),0,IFERROR(8-VLOOKUP(E132,'Dados de consulta'!$A$2:$C$38,3,0),8))</f>
        <v>8</v>
      </c>
      <c r="BC132" s="97">
        <f>IF(OR(AY132="SÁB",AY132="DOM"),0,IFERROR(8-VLOOKUP(F132,'Dados de consulta'!$A$2:$C$38,3,0),8))</f>
        <v>8</v>
      </c>
      <c r="BD132" s="97">
        <f>IF(OR(AY132="SÁB",AY132="DOM"),0,IFERROR(8-VLOOKUP(G132,'Dados de consulta'!$A$2:$C$38,3,0),8))</f>
        <v>0</v>
      </c>
      <c r="BE132" s="97">
        <f>IF(OR(AY132="SÁB",AY132="DOM"),0,IFERROR(8-VLOOKUP(H132,'Dados de consulta'!$A$2:$C$38,3,0),8))</f>
        <v>0</v>
      </c>
      <c r="BF132" s="97">
        <f>IF(OR(AY132="SÁB",AY132="DOM"),0,IFERROR(8-VLOOKUP(I132,'Dados de consulta'!$A$2:$C$38,3,0),8))</f>
        <v>8</v>
      </c>
      <c r="BG132" s="97">
        <f>IF(OR(AY132="SÁB",AY132="DOM"),0,IFERROR(8-VLOOKUP(J132,'Dados de consulta'!$A$2:$C$38,3,0),8))</f>
        <v>8</v>
      </c>
      <c r="BH132" s="97">
        <f>IF(OR(AY132="SÁB",AY132="DOM"),0,IFERROR(8-VLOOKUP(K132,'Dados de consulta'!$A$2:$C$38,3,0),8))</f>
        <v>8</v>
      </c>
      <c r="BI132" s="97">
        <f>IF(OR(AY132="SÁB",AY132="DOM"),0,IFERROR(8-VLOOKUP(L132,'Dados de consulta'!$A$2:$C$38,3,0),8))</f>
        <v>8</v>
      </c>
      <c r="BJ132" s="97">
        <f>IF(OR(AY132="SÁB",AY132="DOM"),0,IFERROR(8-VLOOKUP(M132,'Dados de consulta'!$A$2:$C$38,3,0),8))</f>
        <v>0</v>
      </c>
      <c r="BK132" s="97">
        <f>IF(OR(AY132="SÁB",AY132="DOM"),0,IFERROR(8-VLOOKUP(N132,'Dados de consulta'!$A$2:$C$38,3,0),8))</f>
        <v>8</v>
      </c>
      <c r="BL132" s="97">
        <f>IF(OR(AY132="SÁB",AY132="DOM"),0,IFERROR(8-VLOOKUP(O132,'Dados de consulta'!$A$2:$C$38,3,0),8))</f>
        <v>8</v>
      </c>
      <c r="BM132" s="97">
        <f>IF(OR(AY132="SÁB",AY132="DOM"),0,IFERROR(8-VLOOKUP(P132,'Dados de consulta'!$A$2:$C$38,3,0),8))</f>
        <v>8</v>
      </c>
      <c r="BN132" s="97">
        <f>IF(OR(AY132="SÁB",AY132="DOM"),0,IFERROR(8-VLOOKUP(Q132,'Dados de consulta'!$A$2:$C$38,3,0),8))</f>
        <v>8</v>
      </c>
      <c r="BO132" s="97">
        <f>IF(OR(AY132="SÁB",AY132="DOM"),0,IFERROR(8-VLOOKUP(R132,'Dados de consulta'!$A$2:$C$38,3,0),8))</f>
        <v>0</v>
      </c>
      <c r="BP132" s="97">
        <f>IF(OR(AY132="SÁB",AY132="DOM"),0,IFERROR(8-VLOOKUP(S132,'Dados de consulta'!$A$2:$C$38,3,0),8))</f>
        <v>8</v>
      </c>
      <c r="BQ132" s="113">
        <f>IFERROR(6-VLOOKUP(T132,'Dados de consulta'!$A$2:$C$38,3,0)+2,6)</f>
        <v>6</v>
      </c>
      <c r="BR132" s="114">
        <f t="shared" si="76"/>
        <v>94</v>
      </c>
      <c r="BS132">
        <f t="shared" si="52"/>
        <v>134</v>
      </c>
      <c r="BU132">
        <f>IFERROR(8-VLOOKUP(U132,'Dados de consulta'!$A:$D,3,0),8)</f>
        <v>8</v>
      </c>
      <c r="BV132">
        <f>IFERROR(8-VLOOKUP(V132,'Dados de consulta'!$A:$D,3,0),8)</f>
        <v>8</v>
      </c>
      <c r="BW132">
        <f t="shared" si="77"/>
        <v>16</v>
      </c>
    </row>
    <row r="133" spans="1:75" ht="15" hidden="1" x14ac:dyDescent="0.2">
      <c r="A133" s="98">
        <v>42256</v>
      </c>
      <c r="B133" s="129" t="str">
        <f t="shared" si="53"/>
        <v>qua</v>
      </c>
      <c r="C133" s="132">
        <v>18</v>
      </c>
      <c r="D133" s="132">
        <v>18</v>
      </c>
      <c r="E133" s="132"/>
      <c r="F133" s="132"/>
      <c r="G133" s="132">
        <v>4</v>
      </c>
      <c r="H133" s="132">
        <v>8</v>
      </c>
      <c r="I133" s="132"/>
      <c r="J133" s="132"/>
      <c r="K133" s="132"/>
      <c r="L133" s="132"/>
      <c r="M133" s="132">
        <v>101</v>
      </c>
      <c r="N133" s="132"/>
      <c r="O133" s="132"/>
      <c r="P133" s="132"/>
      <c r="Q133" s="132"/>
      <c r="R133" s="132">
        <v>18</v>
      </c>
      <c r="S133" s="132"/>
      <c r="T133" s="132"/>
      <c r="U133" s="151"/>
      <c r="V133" s="151"/>
      <c r="W133" s="307" t="s">
        <v>193</v>
      </c>
      <c r="X133" s="308"/>
      <c r="Y133" s="38">
        <f t="shared" si="54"/>
        <v>16</v>
      </c>
      <c r="Z133" s="38">
        <f t="shared" si="55"/>
        <v>24</v>
      </c>
      <c r="AA133" s="38">
        <f t="shared" si="56"/>
        <v>0</v>
      </c>
      <c r="AB133" s="38">
        <f t="shared" si="64"/>
        <v>0</v>
      </c>
      <c r="AC133" s="38">
        <f t="shared" si="65"/>
        <v>0</v>
      </c>
      <c r="AD133" s="38">
        <f t="shared" si="66"/>
        <v>0</v>
      </c>
      <c r="AE133" s="38">
        <f t="shared" si="67"/>
        <v>0</v>
      </c>
      <c r="AF133" s="38">
        <f t="shared" si="68"/>
        <v>0</v>
      </c>
      <c r="AG133" s="33">
        <f t="shared" si="69"/>
        <v>16</v>
      </c>
      <c r="AH133" s="33">
        <f t="shared" si="70"/>
        <v>24</v>
      </c>
      <c r="AI133" s="33">
        <f t="shared" si="71"/>
        <v>0</v>
      </c>
      <c r="AJ133" s="33">
        <f t="shared" si="72"/>
        <v>0</v>
      </c>
      <c r="AK133" s="34">
        <f t="shared" si="73"/>
        <v>0.11267605633802817</v>
      </c>
      <c r="AL133" s="35">
        <f t="shared" si="74"/>
        <v>0.16901408450704225</v>
      </c>
      <c r="AM133" s="34">
        <f t="shared" si="57"/>
        <v>0</v>
      </c>
      <c r="AN133" s="36">
        <f t="shared" si="75"/>
        <v>0</v>
      </c>
      <c r="AO133" s="6">
        <f t="shared" si="58"/>
        <v>0</v>
      </c>
      <c r="AP133">
        <f t="shared" si="59"/>
        <v>8</v>
      </c>
      <c r="AQ133" s="6">
        <f t="shared" si="60"/>
        <v>0</v>
      </c>
      <c r="AR133" s="6">
        <f t="shared" si="61"/>
        <v>0</v>
      </c>
      <c r="AS133" s="6"/>
      <c r="AX133" s="95">
        <f t="shared" si="62"/>
        <v>42256</v>
      </c>
      <c r="AY133" s="96" t="str">
        <f t="shared" si="63"/>
        <v>qua</v>
      </c>
      <c r="AZ133" s="97">
        <f>IF(OR(AY133="SÁB",AY133="DOM"),0,IFERROR(8-VLOOKUP(C133,'Dados de consulta'!$A$2:$C$38,3,0),8))</f>
        <v>0</v>
      </c>
      <c r="BA133" s="97">
        <f>IF(OR(AY133="SÁB",AY133="DOM"),0,IFERROR(8-VLOOKUP(D133,'Dados de consulta'!$A$2:$C$38,3,0),8))</f>
        <v>0</v>
      </c>
      <c r="BB133" s="97">
        <f>IF(OR(AY133="SÁB",AY133="DOM"),0,IFERROR(8-VLOOKUP(E133,'Dados de consulta'!$A$2:$C$38,3,0),8))</f>
        <v>8</v>
      </c>
      <c r="BC133" s="97">
        <f>IF(OR(AY133="SÁB",AY133="DOM"),0,IFERROR(8-VLOOKUP(F133,'Dados de consulta'!$A$2:$C$38,3,0),8))</f>
        <v>8</v>
      </c>
      <c r="BD133" s="97">
        <f>IF(OR(AY133="SÁB",AY133="DOM"),0,IFERROR(8-VLOOKUP(G133,'Dados de consulta'!$A$2:$C$38,3,0),8))</f>
        <v>0</v>
      </c>
      <c r="BE133" s="97">
        <f>IF(OR(AY133="SÁB",AY133="DOM"),0,IFERROR(8-VLOOKUP(H133,'Dados de consulta'!$A$2:$C$38,3,0),8))</f>
        <v>0</v>
      </c>
      <c r="BF133" s="97">
        <f>IF(OR(AY133="SÁB",AY133="DOM"),0,IFERROR(8-VLOOKUP(I133,'Dados de consulta'!$A$2:$C$38,3,0),8))</f>
        <v>8</v>
      </c>
      <c r="BG133" s="97">
        <f>IF(OR(AY133="SÁB",AY133="DOM"),0,IFERROR(8-VLOOKUP(J133,'Dados de consulta'!$A$2:$C$38,3,0),8))</f>
        <v>8</v>
      </c>
      <c r="BH133" s="97">
        <f>IF(OR(AY133="SÁB",AY133="DOM"),0,IFERROR(8-VLOOKUP(K133,'Dados de consulta'!$A$2:$C$38,3,0),8))</f>
        <v>8</v>
      </c>
      <c r="BI133" s="97">
        <f>IF(OR(AY133="SÁB",AY133="DOM"),0,IFERROR(8-VLOOKUP(L133,'Dados de consulta'!$A$2:$C$38,3,0),8))</f>
        <v>8</v>
      </c>
      <c r="BJ133" s="97">
        <f>IF(OR(AY133="SÁB",AY133="DOM"),0,IFERROR(8-VLOOKUP(M133,'Dados de consulta'!$A$2:$C$38,3,0),8))</f>
        <v>0</v>
      </c>
      <c r="BK133" s="97">
        <f>IF(OR(AY133="SÁB",AY133="DOM"),0,IFERROR(8-VLOOKUP(N133,'Dados de consulta'!$A$2:$C$38,3,0),8))</f>
        <v>8</v>
      </c>
      <c r="BL133" s="97">
        <f>IF(OR(AY133="SÁB",AY133="DOM"),0,IFERROR(8-VLOOKUP(O133,'Dados de consulta'!$A$2:$C$38,3,0),8))</f>
        <v>8</v>
      </c>
      <c r="BM133" s="97">
        <f>IF(OR(AY133="SÁB",AY133="DOM"),0,IFERROR(8-VLOOKUP(P133,'Dados de consulta'!$A$2:$C$38,3,0),8))</f>
        <v>8</v>
      </c>
      <c r="BN133" s="97">
        <f>IF(OR(AY133="SÁB",AY133="DOM"),0,IFERROR(8-VLOOKUP(Q133,'Dados de consulta'!$A$2:$C$38,3,0),8))</f>
        <v>8</v>
      </c>
      <c r="BO133" s="97">
        <f>IF(OR(AY133="SÁB",AY133="DOM"),0,IFERROR(8-VLOOKUP(R133,'Dados de consulta'!$A$2:$C$38,3,0),8))</f>
        <v>0</v>
      </c>
      <c r="BP133" s="97">
        <f>IF(OR(AY133="SÁB",AY133="DOM"),0,IFERROR(8-VLOOKUP(S133,'Dados de consulta'!$A$2:$C$38,3,0),8))</f>
        <v>8</v>
      </c>
      <c r="BQ133" s="113">
        <f>IFERROR(6-VLOOKUP(T133,'Dados de consulta'!$A$2:$C$38,3,0)+2,6)</f>
        <v>6</v>
      </c>
      <c r="BR133" s="114">
        <f t="shared" si="76"/>
        <v>94</v>
      </c>
      <c r="BS133">
        <f t="shared" si="52"/>
        <v>134</v>
      </c>
      <c r="BU133">
        <f>IFERROR(8-VLOOKUP(U133,'Dados de consulta'!$A:$D,3,0),8)</f>
        <v>8</v>
      </c>
      <c r="BV133">
        <f>IFERROR(8-VLOOKUP(V133,'Dados de consulta'!$A:$D,3,0),8)</f>
        <v>8</v>
      </c>
      <c r="BW133">
        <f t="shared" si="77"/>
        <v>16</v>
      </c>
    </row>
    <row r="134" spans="1:75" ht="15" hidden="1" x14ac:dyDescent="0.2">
      <c r="A134" s="98">
        <v>42257</v>
      </c>
      <c r="B134" s="129" t="str">
        <f t="shared" si="53"/>
        <v>qui</v>
      </c>
      <c r="C134" s="132">
        <v>6</v>
      </c>
      <c r="D134" s="132">
        <v>18</v>
      </c>
      <c r="E134" s="132">
        <v>6</v>
      </c>
      <c r="F134" s="132">
        <v>6</v>
      </c>
      <c r="G134" s="132">
        <v>4</v>
      </c>
      <c r="H134" s="132">
        <v>8</v>
      </c>
      <c r="I134" s="132"/>
      <c r="J134" s="132">
        <v>6</v>
      </c>
      <c r="K134" s="132">
        <v>6</v>
      </c>
      <c r="L134" s="132">
        <v>6</v>
      </c>
      <c r="M134" s="132">
        <v>101</v>
      </c>
      <c r="N134" s="132"/>
      <c r="O134" s="132">
        <v>6</v>
      </c>
      <c r="P134" s="132"/>
      <c r="Q134" s="132">
        <v>6</v>
      </c>
      <c r="R134" s="132">
        <v>18</v>
      </c>
      <c r="S134" s="132">
        <v>6</v>
      </c>
      <c r="T134" s="132"/>
      <c r="U134" s="151">
        <v>6</v>
      </c>
      <c r="V134" s="151"/>
      <c r="W134" s="307" t="s">
        <v>193</v>
      </c>
      <c r="X134" s="308"/>
      <c r="Y134" s="38">
        <f t="shared" si="54"/>
        <v>16</v>
      </c>
      <c r="Z134" s="38">
        <f t="shared" si="55"/>
        <v>16</v>
      </c>
      <c r="AA134" s="38">
        <f t="shared" si="56"/>
        <v>0</v>
      </c>
      <c r="AB134" s="38">
        <f t="shared" si="64"/>
        <v>72</v>
      </c>
      <c r="AC134" s="38">
        <f t="shared" si="65"/>
        <v>0</v>
      </c>
      <c r="AD134" s="38">
        <f t="shared" si="66"/>
        <v>0</v>
      </c>
      <c r="AE134" s="38">
        <f t="shared" si="67"/>
        <v>0</v>
      </c>
      <c r="AF134" s="38">
        <f t="shared" si="68"/>
        <v>0</v>
      </c>
      <c r="AG134" s="33">
        <f t="shared" si="69"/>
        <v>16</v>
      </c>
      <c r="AH134" s="33">
        <f t="shared" si="70"/>
        <v>16</v>
      </c>
      <c r="AI134" s="33">
        <f t="shared" si="71"/>
        <v>0</v>
      </c>
      <c r="AJ134" s="33">
        <f t="shared" si="72"/>
        <v>72</v>
      </c>
      <c r="AK134" s="34">
        <f t="shared" si="73"/>
        <v>0.11267605633802817</v>
      </c>
      <c r="AL134" s="35">
        <f t="shared" si="74"/>
        <v>0.11267605633802817</v>
      </c>
      <c r="AM134" s="34">
        <f t="shared" si="57"/>
        <v>0</v>
      </c>
      <c r="AN134" s="36">
        <f t="shared" si="75"/>
        <v>0.50704225352112675</v>
      </c>
      <c r="AO134" s="6">
        <f t="shared" si="58"/>
        <v>0</v>
      </c>
      <c r="AP134">
        <f t="shared" si="59"/>
        <v>8</v>
      </c>
      <c r="AQ134" s="6">
        <f t="shared" si="60"/>
        <v>0</v>
      </c>
      <c r="AR134" s="6">
        <f t="shared" si="61"/>
        <v>0</v>
      </c>
      <c r="AS134" s="6"/>
      <c r="AX134" s="95">
        <f t="shared" si="62"/>
        <v>42257</v>
      </c>
      <c r="AY134" s="96" t="str">
        <f t="shared" si="63"/>
        <v>qui</v>
      </c>
      <c r="AZ134" s="97">
        <f>IF(OR(AY134="SÁB",AY134="DOM"),0,IFERROR(8-VLOOKUP(C134,'Dados de consulta'!$A$2:$C$38,3,0),8))</f>
        <v>0</v>
      </c>
      <c r="BA134" s="97">
        <f>IF(OR(AY134="SÁB",AY134="DOM"),0,IFERROR(8-VLOOKUP(D134,'Dados de consulta'!$A$2:$C$38,3,0),8))</f>
        <v>0</v>
      </c>
      <c r="BB134" s="97">
        <f>IF(OR(AY134="SÁB",AY134="DOM"),0,IFERROR(8-VLOOKUP(E134,'Dados de consulta'!$A$2:$C$38,3,0),8))</f>
        <v>0</v>
      </c>
      <c r="BC134" s="97">
        <f>IF(OR(AY134="SÁB",AY134="DOM"),0,IFERROR(8-VLOOKUP(F134,'Dados de consulta'!$A$2:$C$38,3,0),8))</f>
        <v>0</v>
      </c>
      <c r="BD134" s="97">
        <f>IF(OR(AY134="SÁB",AY134="DOM"),0,IFERROR(8-VLOOKUP(G134,'Dados de consulta'!$A$2:$C$38,3,0),8))</f>
        <v>0</v>
      </c>
      <c r="BE134" s="97">
        <f>IF(OR(AY134="SÁB",AY134="DOM"),0,IFERROR(8-VLOOKUP(H134,'Dados de consulta'!$A$2:$C$38,3,0),8))</f>
        <v>0</v>
      </c>
      <c r="BF134" s="97">
        <f>IF(OR(AY134="SÁB",AY134="DOM"),0,IFERROR(8-VLOOKUP(I134,'Dados de consulta'!$A$2:$C$38,3,0),8))</f>
        <v>8</v>
      </c>
      <c r="BG134" s="97">
        <f>IF(OR(AY134="SÁB",AY134="DOM"),0,IFERROR(8-VLOOKUP(J134,'Dados de consulta'!$A$2:$C$38,3,0),8))</f>
        <v>0</v>
      </c>
      <c r="BH134" s="97">
        <f>IF(OR(AY134="SÁB",AY134="DOM"),0,IFERROR(8-VLOOKUP(K134,'Dados de consulta'!$A$2:$C$38,3,0),8))</f>
        <v>0</v>
      </c>
      <c r="BI134" s="97">
        <f>IF(OR(AY134="SÁB",AY134="DOM"),0,IFERROR(8-VLOOKUP(L134,'Dados de consulta'!$A$2:$C$38,3,0),8))</f>
        <v>0</v>
      </c>
      <c r="BJ134" s="97">
        <f>IF(OR(AY134="SÁB",AY134="DOM"),0,IFERROR(8-VLOOKUP(M134,'Dados de consulta'!$A$2:$C$38,3,0),8))</f>
        <v>0</v>
      </c>
      <c r="BK134" s="97">
        <f>IF(OR(AY134="SÁB",AY134="DOM"),0,IFERROR(8-VLOOKUP(N134,'Dados de consulta'!$A$2:$C$38,3,0),8))</f>
        <v>8</v>
      </c>
      <c r="BL134" s="97">
        <f>IF(OR(AY134="SÁB",AY134="DOM"),0,IFERROR(8-VLOOKUP(O134,'Dados de consulta'!$A$2:$C$38,3,0),8))</f>
        <v>0</v>
      </c>
      <c r="BM134" s="97">
        <f>IF(OR(AY134="SÁB",AY134="DOM"),0,IFERROR(8-VLOOKUP(P134,'Dados de consulta'!$A$2:$C$38,3,0),8))</f>
        <v>8</v>
      </c>
      <c r="BN134" s="97">
        <f>IF(OR(AY134="SÁB",AY134="DOM"),0,IFERROR(8-VLOOKUP(Q134,'Dados de consulta'!$A$2:$C$38,3,0),8))</f>
        <v>0</v>
      </c>
      <c r="BO134" s="97">
        <f>IF(OR(AY134="SÁB",AY134="DOM"),0,IFERROR(8-VLOOKUP(R134,'Dados de consulta'!$A$2:$C$38,3,0),8))</f>
        <v>0</v>
      </c>
      <c r="BP134" s="97">
        <f>IF(OR(AY134="SÁB",AY134="DOM"),0,IFERROR(8-VLOOKUP(S134,'Dados de consulta'!$A$2:$C$38,3,0),8))</f>
        <v>0</v>
      </c>
      <c r="BQ134" s="113">
        <f>IFERROR(6-VLOOKUP(T134,'Dados de consulta'!$A$2:$C$38,3,0)+2,6)</f>
        <v>6</v>
      </c>
      <c r="BR134" s="114">
        <f t="shared" si="76"/>
        <v>30</v>
      </c>
      <c r="BS134">
        <f t="shared" si="52"/>
        <v>134</v>
      </c>
      <c r="BU134">
        <f>IFERROR(8-VLOOKUP(U134,'Dados de consulta'!$A:$D,3,0),8)</f>
        <v>0</v>
      </c>
      <c r="BV134">
        <f>IFERROR(8-VLOOKUP(V134,'Dados de consulta'!$A:$D,3,0),8)</f>
        <v>8</v>
      </c>
      <c r="BW134">
        <f t="shared" si="77"/>
        <v>8</v>
      </c>
    </row>
    <row r="135" spans="1:75" ht="15" hidden="1" x14ac:dyDescent="0.2">
      <c r="A135" s="98">
        <v>42258</v>
      </c>
      <c r="B135" s="129" t="str">
        <f t="shared" si="53"/>
        <v>sex</v>
      </c>
      <c r="C135" s="132"/>
      <c r="D135" s="132">
        <v>18</v>
      </c>
      <c r="E135" s="132"/>
      <c r="F135" s="132"/>
      <c r="G135" s="132">
        <v>4</v>
      </c>
      <c r="H135" s="132">
        <v>8</v>
      </c>
      <c r="I135" s="132"/>
      <c r="J135" s="132"/>
      <c r="K135" s="132"/>
      <c r="L135" s="132"/>
      <c r="M135" s="132">
        <v>101</v>
      </c>
      <c r="N135" s="132"/>
      <c r="O135" s="132"/>
      <c r="P135" s="132"/>
      <c r="Q135" s="132"/>
      <c r="R135" s="132">
        <v>18</v>
      </c>
      <c r="S135" s="132"/>
      <c r="T135" s="132"/>
      <c r="U135" s="151"/>
      <c r="V135" s="151"/>
      <c r="W135" s="307" t="s">
        <v>193</v>
      </c>
      <c r="X135" s="308"/>
      <c r="Y135" s="38">
        <f t="shared" si="54"/>
        <v>16</v>
      </c>
      <c r="Z135" s="38">
        <f t="shared" si="55"/>
        <v>16</v>
      </c>
      <c r="AA135" s="38">
        <f t="shared" si="56"/>
        <v>0</v>
      </c>
      <c r="AB135" s="38">
        <f t="shared" si="64"/>
        <v>0</v>
      </c>
      <c r="AC135" s="38">
        <f t="shared" si="65"/>
        <v>0</v>
      </c>
      <c r="AD135" s="38">
        <f t="shared" si="66"/>
        <v>0</v>
      </c>
      <c r="AE135" s="38">
        <f t="shared" si="67"/>
        <v>0</v>
      </c>
      <c r="AF135" s="38">
        <f t="shared" si="68"/>
        <v>0</v>
      </c>
      <c r="AG135" s="33">
        <f t="shared" si="69"/>
        <v>16</v>
      </c>
      <c r="AH135" s="33">
        <f t="shared" si="70"/>
        <v>16</v>
      </c>
      <c r="AI135" s="33">
        <f t="shared" si="71"/>
        <v>0</v>
      </c>
      <c r="AJ135" s="33">
        <f t="shared" si="72"/>
        <v>0</v>
      </c>
      <c r="AK135" s="34">
        <f t="shared" si="73"/>
        <v>0.11267605633802817</v>
      </c>
      <c r="AL135" s="35">
        <f t="shared" si="74"/>
        <v>0.11267605633802817</v>
      </c>
      <c r="AM135" s="34">
        <f t="shared" si="57"/>
        <v>0</v>
      </c>
      <c r="AN135" s="36">
        <f t="shared" si="75"/>
        <v>0</v>
      </c>
      <c r="AO135" s="6">
        <f t="shared" si="58"/>
        <v>0</v>
      </c>
      <c r="AP135">
        <f t="shared" si="59"/>
        <v>8</v>
      </c>
      <c r="AQ135" s="6">
        <f t="shared" si="60"/>
        <v>0</v>
      </c>
      <c r="AR135" s="6">
        <f t="shared" si="61"/>
        <v>0</v>
      </c>
      <c r="AS135" s="6"/>
      <c r="AX135" s="95">
        <f t="shared" si="62"/>
        <v>42258</v>
      </c>
      <c r="AY135" s="96" t="str">
        <f t="shared" si="63"/>
        <v>sex</v>
      </c>
      <c r="AZ135" s="97">
        <f>IF(OR(AY135="SÁB",AY135="DOM"),0,IFERROR(8-VLOOKUP(C135,'Dados de consulta'!$A$2:$C$38,3,0),8))</f>
        <v>8</v>
      </c>
      <c r="BA135" s="97">
        <f>IF(OR(AY135="SÁB",AY135="DOM"),0,IFERROR(8-VLOOKUP(D135,'Dados de consulta'!$A$2:$C$38,3,0),8))</f>
        <v>0</v>
      </c>
      <c r="BB135" s="97">
        <f>IF(OR(AY135="SÁB",AY135="DOM"),0,IFERROR(8-VLOOKUP(E135,'Dados de consulta'!$A$2:$C$38,3,0),8))</f>
        <v>8</v>
      </c>
      <c r="BC135" s="97">
        <f>IF(OR(AY135="SÁB",AY135="DOM"),0,IFERROR(8-VLOOKUP(F135,'Dados de consulta'!$A$2:$C$38,3,0),8))</f>
        <v>8</v>
      </c>
      <c r="BD135" s="97">
        <f>IF(OR(AY135="SÁB",AY135="DOM"),0,IFERROR(8-VLOOKUP(G135,'Dados de consulta'!$A$2:$C$38,3,0),8))</f>
        <v>0</v>
      </c>
      <c r="BE135" s="97">
        <f>IF(OR(AY135="SÁB",AY135="DOM"),0,IFERROR(8-VLOOKUP(H135,'Dados de consulta'!$A$2:$C$38,3,0),8))</f>
        <v>0</v>
      </c>
      <c r="BF135" s="97">
        <f>IF(OR(AY135="SÁB",AY135="DOM"),0,IFERROR(8-VLOOKUP(I135,'Dados de consulta'!$A$2:$C$38,3,0),8))</f>
        <v>8</v>
      </c>
      <c r="BG135" s="97">
        <f>IF(OR(AY135="SÁB",AY135="DOM"),0,IFERROR(8-VLOOKUP(J135,'Dados de consulta'!$A$2:$C$38,3,0),8))</f>
        <v>8</v>
      </c>
      <c r="BH135" s="97">
        <f>IF(OR(AY135="SÁB",AY135="DOM"),0,IFERROR(8-VLOOKUP(K135,'Dados de consulta'!$A$2:$C$38,3,0),8))</f>
        <v>8</v>
      </c>
      <c r="BI135" s="97">
        <f>IF(OR(AY135="SÁB",AY135="DOM"),0,IFERROR(8-VLOOKUP(L135,'Dados de consulta'!$A$2:$C$38,3,0),8))</f>
        <v>8</v>
      </c>
      <c r="BJ135" s="97">
        <f>IF(OR(AY135="SÁB",AY135="DOM"),0,IFERROR(8-VLOOKUP(M135,'Dados de consulta'!$A$2:$C$38,3,0),8))</f>
        <v>0</v>
      </c>
      <c r="BK135" s="97">
        <f>IF(OR(AY135="SÁB",AY135="DOM"),0,IFERROR(8-VLOOKUP(N135,'Dados de consulta'!$A$2:$C$38,3,0),8))</f>
        <v>8</v>
      </c>
      <c r="BL135" s="97">
        <f>IF(OR(AY135="SÁB",AY135="DOM"),0,IFERROR(8-VLOOKUP(O135,'Dados de consulta'!$A$2:$C$38,3,0),8))</f>
        <v>8</v>
      </c>
      <c r="BM135" s="97">
        <f>IF(OR(AY135="SÁB",AY135="DOM"),0,IFERROR(8-VLOOKUP(P135,'Dados de consulta'!$A$2:$C$38,3,0),8))</f>
        <v>8</v>
      </c>
      <c r="BN135" s="97">
        <f>IF(OR(AY135="SÁB",AY135="DOM"),0,IFERROR(8-VLOOKUP(Q135,'Dados de consulta'!$A$2:$C$38,3,0),8))</f>
        <v>8</v>
      </c>
      <c r="BO135" s="97">
        <f>IF(OR(AY135="SÁB",AY135="DOM"),0,IFERROR(8-VLOOKUP(R135,'Dados de consulta'!$A$2:$C$38,3,0),8))</f>
        <v>0</v>
      </c>
      <c r="BP135" s="97">
        <f>IF(OR(AY135="SÁB",AY135="DOM"),0,IFERROR(8-VLOOKUP(S135,'Dados de consulta'!$A$2:$C$38,3,0),8))</f>
        <v>8</v>
      </c>
      <c r="BQ135" s="113">
        <f>IFERROR(6-VLOOKUP(T135,'Dados de consulta'!$A$2:$C$38,3,0)+2,6)</f>
        <v>6</v>
      </c>
      <c r="BR135" s="114">
        <f t="shared" si="76"/>
        <v>102</v>
      </c>
      <c r="BS135">
        <f t="shared" si="52"/>
        <v>134</v>
      </c>
      <c r="BU135">
        <f>IFERROR(8-VLOOKUP(U135,'Dados de consulta'!$A:$D,3,0),8)</f>
        <v>8</v>
      </c>
      <c r="BV135">
        <f>IFERROR(8-VLOOKUP(V135,'Dados de consulta'!$A:$D,3,0),8)</f>
        <v>8</v>
      </c>
      <c r="BW135">
        <f t="shared" si="77"/>
        <v>16</v>
      </c>
    </row>
    <row r="136" spans="1:75" ht="15" hidden="1" x14ac:dyDescent="0.2">
      <c r="A136" s="98">
        <v>42259</v>
      </c>
      <c r="B136" s="129" t="str">
        <f t="shared" si="53"/>
        <v>sáb</v>
      </c>
      <c r="C136" s="132"/>
      <c r="D136" s="132">
        <v>18</v>
      </c>
      <c r="E136" s="132"/>
      <c r="F136" s="132"/>
      <c r="G136" s="132">
        <v>4</v>
      </c>
      <c r="H136" s="132">
        <v>8</v>
      </c>
      <c r="I136" s="132"/>
      <c r="J136" s="132"/>
      <c r="K136" s="132"/>
      <c r="L136" s="132"/>
      <c r="M136" s="132">
        <v>101</v>
      </c>
      <c r="N136" s="132"/>
      <c r="O136" s="132"/>
      <c r="P136" s="132"/>
      <c r="Q136" s="132"/>
      <c r="R136" s="132">
        <v>18</v>
      </c>
      <c r="S136" s="132"/>
      <c r="T136" s="132"/>
      <c r="U136" s="151"/>
      <c r="V136" s="151"/>
      <c r="W136" s="307" t="s">
        <v>193</v>
      </c>
      <c r="X136" s="308"/>
      <c r="Y136" s="38">
        <f t="shared" si="54"/>
        <v>16</v>
      </c>
      <c r="Z136" s="38">
        <f t="shared" si="55"/>
        <v>16</v>
      </c>
      <c r="AA136" s="38">
        <f t="shared" si="56"/>
        <v>0</v>
      </c>
      <c r="AB136" s="38">
        <f t="shared" si="64"/>
        <v>0</v>
      </c>
      <c r="AC136" s="38">
        <f t="shared" si="65"/>
        <v>0</v>
      </c>
      <c r="AD136" s="38">
        <f t="shared" si="66"/>
        <v>0</v>
      </c>
      <c r="AE136" s="38">
        <f t="shared" si="67"/>
        <v>0</v>
      </c>
      <c r="AF136" s="38">
        <f t="shared" si="68"/>
        <v>0</v>
      </c>
      <c r="AG136" s="33">
        <f t="shared" si="69"/>
        <v>0</v>
      </c>
      <c r="AH136" s="33">
        <f t="shared" si="70"/>
        <v>0</v>
      </c>
      <c r="AI136" s="33">
        <f t="shared" si="71"/>
        <v>0</v>
      </c>
      <c r="AJ136" s="33">
        <f t="shared" si="72"/>
        <v>0</v>
      </c>
      <c r="AK136" s="34">
        <f t="shared" si="73"/>
        <v>0</v>
      </c>
      <c r="AL136" s="35">
        <f t="shared" si="74"/>
        <v>0</v>
      </c>
      <c r="AM136" s="34">
        <f t="shared" si="57"/>
        <v>0</v>
      </c>
      <c r="AN136" s="36">
        <f t="shared" si="75"/>
        <v>0</v>
      </c>
      <c r="AO136" s="6">
        <f t="shared" si="58"/>
        <v>0</v>
      </c>
      <c r="AP136">
        <f t="shared" si="59"/>
        <v>8</v>
      </c>
      <c r="AQ136" s="6">
        <f t="shared" si="60"/>
        <v>0</v>
      </c>
      <c r="AR136" s="6">
        <f t="shared" si="61"/>
        <v>0</v>
      </c>
      <c r="AS136" s="6"/>
      <c r="AX136" s="95">
        <f t="shared" si="62"/>
        <v>42259</v>
      </c>
      <c r="AY136" s="96" t="str">
        <f t="shared" si="63"/>
        <v>sáb</v>
      </c>
      <c r="AZ136" s="97">
        <f>IF(OR(AY136="SÁB",AY136="DOM"),0,IFERROR(8-VLOOKUP(C136,'Dados de consulta'!$A$2:$C$38,3,0),8))</f>
        <v>0</v>
      </c>
      <c r="BA136" s="97">
        <f>IF(OR(AY136="SÁB",AY136="DOM"),0,IFERROR(8-VLOOKUP(D136,'Dados de consulta'!$A$2:$C$38,3,0),8))</f>
        <v>0</v>
      </c>
      <c r="BB136" s="97">
        <f>IF(OR(AY136="SÁB",AY136="DOM"),0,IFERROR(8-VLOOKUP(E136,'Dados de consulta'!$A$2:$C$38,3,0),8))</f>
        <v>0</v>
      </c>
      <c r="BC136" s="97">
        <f>IF(OR(AY136="SÁB",AY136="DOM"),0,IFERROR(8-VLOOKUP(F136,'Dados de consulta'!$A$2:$C$38,3,0),8))</f>
        <v>0</v>
      </c>
      <c r="BD136" s="97">
        <f>IF(OR(AY136="SÁB",AY136="DOM"),0,IFERROR(8-VLOOKUP(G136,'Dados de consulta'!$A$2:$C$38,3,0),8))</f>
        <v>0</v>
      </c>
      <c r="BE136" s="97">
        <f>IF(OR(AY136="SÁB",AY136="DOM"),0,IFERROR(8-VLOOKUP(H136,'Dados de consulta'!$A$2:$C$38,3,0),8))</f>
        <v>0</v>
      </c>
      <c r="BF136" s="97">
        <f>IF(OR(AY136="SÁB",AY136="DOM"),0,IFERROR(8-VLOOKUP(I136,'Dados de consulta'!$A$2:$C$38,3,0),8))</f>
        <v>0</v>
      </c>
      <c r="BG136" s="97">
        <f>IF(OR(AY136="SÁB",AY136="DOM"),0,IFERROR(8-VLOOKUP(J136,'Dados de consulta'!$A$2:$C$38,3,0),8))</f>
        <v>0</v>
      </c>
      <c r="BH136" s="97">
        <f>IF(OR(AY136="SÁB",AY136="DOM"),0,IFERROR(8-VLOOKUP(K136,'Dados de consulta'!$A$2:$C$38,3,0),8))</f>
        <v>0</v>
      </c>
      <c r="BI136" s="97">
        <f>IF(OR(AY136="SÁB",AY136="DOM"),0,IFERROR(8-VLOOKUP(L136,'Dados de consulta'!$A$2:$C$38,3,0),8))</f>
        <v>0</v>
      </c>
      <c r="BJ136" s="97">
        <f>IF(OR(AY136="SÁB",AY136="DOM"),0,IFERROR(8-VLOOKUP(M136,'Dados de consulta'!$A$2:$C$38,3,0),8))</f>
        <v>0</v>
      </c>
      <c r="BK136" s="97">
        <f>IF(OR(AY136="SÁB",AY136="DOM"),0,IFERROR(8-VLOOKUP(N136,'Dados de consulta'!$A$2:$C$38,3,0),8))</f>
        <v>0</v>
      </c>
      <c r="BL136" s="97">
        <f>IF(OR(AY136="SÁB",AY136="DOM"),0,IFERROR(8-VLOOKUP(O136,'Dados de consulta'!$A$2:$C$38,3,0),8))</f>
        <v>0</v>
      </c>
      <c r="BM136" s="97">
        <f>IF(OR(AY136="SÁB",AY136="DOM"),0,IFERROR(8-VLOOKUP(P136,'Dados de consulta'!$A$2:$C$38,3,0),8))</f>
        <v>0</v>
      </c>
      <c r="BN136" s="97">
        <f>IF(OR(AY136="SÁB",AY136="DOM"),0,IFERROR(8-VLOOKUP(Q136,'Dados de consulta'!$A$2:$C$38,3,0),8))</f>
        <v>0</v>
      </c>
      <c r="BO136" s="97">
        <f>IF(OR(AY136="SÁB",AY136="DOM"),0,IFERROR(8-VLOOKUP(R136,'Dados de consulta'!$A$2:$C$38,3,0),8))</f>
        <v>0</v>
      </c>
      <c r="BP136" s="97">
        <f>IF(OR(AY136="SÁB",AY136="DOM"),0,IFERROR(8-VLOOKUP(S136,'Dados de consulta'!$A$2:$C$38,3,0),8))</f>
        <v>0</v>
      </c>
      <c r="BQ136" s="113">
        <f>IFERROR(6-VLOOKUP(T136,'Dados de consulta'!$A$2:$C$38,3,0)+2,6)</f>
        <v>6</v>
      </c>
      <c r="BR136" s="114">
        <f t="shared" si="76"/>
        <v>0</v>
      </c>
      <c r="BS136">
        <f t="shared" si="52"/>
        <v>0</v>
      </c>
      <c r="BU136">
        <f>IFERROR(8-VLOOKUP(U136,'Dados de consulta'!$A:$D,3,0),8)</f>
        <v>8</v>
      </c>
      <c r="BV136">
        <f>IFERROR(8-VLOOKUP(V136,'Dados de consulta'!$A:$D,3,0),8)</f>
        <v>8</v>
      </c>
      <c r="BW136">
        <f t="shared" si="77"/>
        <v>16</v>
      </c>
    </row>
    <row r="137" spans="1:75" ht="15" hidden="1" x14ac:dyDescent="0.2">
      <c r="A137" s="98">
        <v>42260</v>
      </c>
      <c r="B137" s="129" t="str">
        <f t="shared" si="53"/>
        <v>dom</v>
      </c>
      <c r="C137" s="132"/>
      <c r="D137" s="132"/>
      <c r="E137" s="132"/>
      <c r="F137" s="132"/>
      <c r="G137" s="132">
        <v>4</v>
      </c>
      <c r="H137" s="132">
        <v>8</v>
      </c>
      <c r="I137" s="132"/>
      <c r="J137" s="132"/>
      <c r="K137" s="132"/>
      <c r="L137" s="132"/>
      <c r="M137" s="132">
        <v>101</v>
      </c>
      <c r="N137" s="132"/>
      <c r="O137" s="132"/>
      <c r="P137" s="132"/>
      <c r="Q137" s="132"/>
      <c r="R137" s="132">
        <v>18</v>
      </c>
      <c r="S137" s="132"/>
      <c r="T137" s="132"/>
      <c r="U137" s="151"/>
      <c r="V137" s="151"/>
      <c r="W137" s="307" t="s">
        <v>193</v>
      </c>
      <c r="X137" s="308"/>
      <c r="Y137" s="38">
        <f t="shared" si="54"/>
        <v>16</v>
      </c>
      <c r="Z137" s="38">
        <f t="shared" si="55"/>
        <v>8</v>
      </c>
      <c r="AA137" s="38">
        <f t="shared" si="56"/>
        <v>0</v>
      </c>
      <c r="AB137" s="38">
        <f t="shared" si="64"/>
        <v>0</v>
      </c>
      <c r="AC137" s="38">
        <f t="shared" si="65"/>
        <v>0</v>
      </c>
      <c r="AD137" s="38">
        <f t="shared" si="66"/>
        <v>0</v>
      </c>
      <c r="AE137" s="38">
        <f t="shared" si="67"/>
        <v>0</v>
      </c>
      <c r="AF137" s="38">
        <f t="shared" si="68"/>
        <v>0</v>
      </c>
      <c r="AG137" s="33">
        <f t="shared" si="69"/>
        <v>0</v>
      </c>
      <c r="AH137" s="33">
        <f t="shared" si="70"/>
        <v>0</v>
      </c>
      <c r="AI137" s="33">
        <f t="shared" si="71"/>
        <v>0</v>
      </c>
      <c r="AJ137" s="33">
        <f t="shared" si="72"/>
        <v>0</v>
      </c>
      <c r="AK137" s="34">
        <f t="shared" si="73"/>
        <v>0</v>
      </c>
      <c r="AL137" s="35">
        <f t="shared" si="74"/>
        <v>0</v>
      </c>
      <c r="AM137" s="34">
        <f t="shared" si="57"/>
        <v>0</v>
      </c>
      <c r="AN137" s="36">
        <f t="shared" si="75"/>
        <v>0</v>
      </c>
      <c r="AO137" s="6">
        <f t="shared" si="58"/>
        <v>0</v>
      </c>
      <c r="AP137">
        <f t="shared" si="59"/>
        <v>8</v>
      </c>
      <c r="AQ137" s="6">
        <f t="shared" si="60"/>
        <v>0</v>
      </c>
      <c r="AR137" s="6">
        <f t="shared" si="61"/>
        <v>0</v>
      </c>
      <c r="AS137" s="6"/>
      <c r="AX137" s="95">
        <f t="shared" si="62"/>
        <v>42260</v>
      </c>
      <c r="AY137" s="96" t="str">
        <f t="shared" si="63"/>
        <v>dom</v>
      </c>
      <c r="AZ137" s="97">
        <f>IF(OR(AY137="SÁB",AY137="DOM"),0,IFERROR(8-VLOOKUP(C137,'Dados de consulta'!$A$2:$C$38,3,0),8))</f>
        <v>0</v>
      </c>
      <c r="BA137" s="97">
        <f>IF(OR(AY137="SÁB",AY137="DOM"),0,IFERROR(8-VLOOKUP(D137,'Dados de consulta'!$A$2:$C$38,3,0),8))</f>
        <v>0</v>
      </c>
      <c r="BB137" s="97">
        <f>IF(OR(AY137="SÁB",AY137="DOM"),0,IFERROR(8-VLOOKUP(E137,'Dados de consulta'!$A$2:$C$38,3,0),8))</f>
        <v>0</v>
      </c>
      <c r="BC137" s="97">
        <f>IF(OR(AY137="SÁB",AY137="DOM"),0,IFERROR(8-VLOOKUP(F137,'Dados de consulta'!$A$2:$C$38,3,0),8))</f>
        <v>0</v>
      </c>
      <c r="BD137" s="97">
        <f>IF(OR(AY137="SÁB",AY137="DOM"),0,IFERROR(8-VLOOKUP(G137,'Dados de consulta'!$A$2:$C$38,3,0),8))</f>
        <v>0</v>
      </c>
      <c r="BE137" s="97">
        <f>IF(OR(AY137="SÁB",AY137="DOM"),0,IFERROR(8-VLOOKUP(H137,'Dados de consulta'!$A$2:$C$38,3,0),8))</f>
        <v>0</v>
      </c>
      <c r="BF137" s="97">
        <f>IF(OR(AY137="SÁB",AY137="DOM"),0,IFERROR(8-VLOOKUP(I137,'Dados de consulta'!$A$2:$C$38,3,0),8))</f>
        <v>0</v>
      </c>
      <c r="BG137" s="97">
        <f>IF(OR(AY137="SÁB",AY137="DOM"),0,IFERROR(8-VLOOKUP(J137,'Dados de consulta'!$A$2:$C$38,3,0),8))</f>
        <v>0</v>
      </c>
      <c r="BH137" s="97">
        <f>IF(OR(AY137="SÁB",AY137="DOM"),0,IFERROR(8-VLOOKUP(K137,'Dados de consulta'!$A$2:$C$38,3,0),8))</f>
        <v>0</v>
      </c>
      <c r="BI137" s="97">
        <f>IF(OR(AY137="SÁB",AY137="DOM"),0,IFERROR(8-VLOOKUP(L137,'Dados de consulta'!$A$2:$C$38,3,0),8))</f>
        <v>0</v>
      </c>
      <c r="BJ137" s="97">
        <f>IF(OR(AY137="SÁB",AY137="DOM"),0,IFERROR(8-VLOOKUP(M137,'Dados de consulta'!$A$2:$C$38,3,0),8))</f>
        <v>0</v>
      </c>
      <c r="BK137" s="97">
        <f>IF(OR(AY137="SÁB",AY137="DOM"),0,IFERROR(8-VLOOKUP(N137,'Dados de consulta'!$A$2:$C$38,3,0),8))</f>
        <v>0</v>
      </c>
      <c r="BL137" s="97">
        <f>IF(OR(AY137="SÁB",AY137="DOM"),0,IFERROR(8-VLOOKUP(O137,'Dados de consulta'!$A$2:$C$38,3,0),8))</f>
        <v>0</v>
      </c>
      <c r="BM137" s="97">
        <f>IF(OR(AY137="SÁB",AY137="DOM"),0,IFERROR(8-VLOOKUP(P137,'Dados de consulta'!$A$2:$C$38,3,0),8))</f>
        <v>0</v>
      </c>
      <c r="BN137" s="97">
        <f>IF(OR(AY137="SÁB",AY137="DOM"),0,IFERROR(8-VLOOKUP(Q137,'Dados de consulta'!$A$2:$C$38,3,0),8))</f>
        <v>0</v>
      </c>
      <c r="BO137" s="97">
        <f>IF(OR(AY137="SÁB",AY137="DOM"),0,IFERROR(8-VLOOKUP(R137,'Dados de consulta'!$A$2:$C$38,3,0),8))</f>
        <v>0</v>
      </c>
      <c r="BP137" s="97">
        <f>IF(OR(AY137="SÁB",AY137="DOM"),0,IFERROR(8-VLOOKUP(S137,'Dados de consulta'!$A$2:$C$38,3,0),8))</f>
        <v>0</v>
      </c>
      <c r="BQ137" s="113">
        <f>IFERROR(6-VLOOKUP(T137,'Dados de consulta'!$A$2:$C$38,3,0)+2,6)</f>
        <v>6</v>
      </c>
      <c r="BR137" s="114">
        <f t="shared" si="76"/>
        <v>0</v>
      </c>
      <c r="BS137">
        <f t="shared" si="52"/>
        <v>0</v>
      </c>
      <c r="BU137">
        <f>IFERROR(8-VLOOKUP(U137,'Dados de consulta'!$A:$D,3,0),8)</f>
        <v>8</v>
      </c>
      <c r="BV137">
        <f>IFERROR(8-VLOOKUP(V137,'Dados de consulta'!$A:$D,3,0),8)</f>
        <v>8</v>
      </c>
      <c r="BW137">
        <f t="shared" si="77"/>
        <v>16</v>
      </c>
    </row>
    <row r="138" spans="1:75" ht="15" hidden="1" x14ac:dyDescent="0.2">
      <c r="A138" s="98">
        <v>42261</v>
      </c>
      <c r="B138" s="129" t="str">
        <f t="shared" si="53"/>
        <v>seg</v>
      </c>
      <c r="C138" s="132"/>
      <c r="D138" s="132"/>
      <c r="E138" s="132"/>
      <c r="F138" s="132"/>
      <c r="G138" s="132">
        <v>4</v>
      </c>
      <c r="H138" s="132">
        <v>8</v>
      </c>
      <c r="I138" s="132"/>
      <c r="J138" s="132"/>
      <c r="K138" s="132"/>
      <c r="L138" s="132"/>
      <c r="M138" s="132">
        <v>101</v>
      </c>
      <c r="N138" s="132">
        <v>18</v>
      </c>
      <c r="O138" s="132"/>
      <c r="P138" s="132"/>
      <c r="Q138" s="132"/>
      <c r="R138" s="132">
        <v>18</v>
      </c>
      <c r="S138" s="132"/>
      <c r="T138" s="132"/>
      <c r="U138" s="151"/>
      <c r="V138" s="151"/>
      <c r="W138" s="307" t="s">
        <v>193</v>
      </c>
      <c r="X138" s="308"/>
      <c r="Y138" s="38">
        <f t="shared" si="54"/>
        <v>16</v>
      </c>
      <c r="Z138" s="38">
        <f t="shared" si="55"/>
        <v>16</v>
      </c>
      <c r="AA138" s="38">
        <f t="shared" si="56"/>
        <v>0</v>
      </c>
      <c r="AB138" s="38">
        <f t="shared" si="64"/>
        <v>0</v>
      </c>
      <c r="AC138" s="38">
        <f t="shared" si="65"/>
        <v>0</v>
      </c>
      <c r="AD138" s="38">
        <f t="shared" si="66"/>
        <v>0</v>
      </c>
      <c r="AE138" s="38">
        <f t="shared" si="67"/>
        <v>0</v>
      </c>
      <c r="AF138" s="38">
        <f t="shared" si="68"/>
        <v>0</v>
      </c>
      <c r="AG138" s="33">
        <f t="shared" si="69"/>
        <v>16</v>
      </c>
      <c r="AH138" s="33">
        <f t="shared" si="70"/>
        <v>16</v>
      </c>
      <c r="AI138" s="33">
        <f t="shared" si="71"/>
        <v>0</v>
      </c>
      <c r="AJ138" s="33">
        <f t="shared" si="72"/>
        <v>0</v>
      </c>
      <c r="AK138" s="34">
        <f t="shared" si="73"/>
        <v>0.11267605633802817</v>
      </c>
      <c r="AL138" s="35">
        <f t="shared" si="74"/>
        <v>0.11267605633802817</v>
      </c>
      <c r="AM138" s="34">
        <f t="shared" si="57"/>
        <v>0</v>
      </c>
      <c r="AN138" s="36">
        <f t="shared" si="75"/>
        <v>0</v>
      </c>
      <c r="AO138" s="6">
        <f t="shared" si="58"/>
        <v>0</v>
      </c>
      <c r="AP138">
        <f t="shared" si="59"/>
        <v>8</v>
      </c>
      <c r="AQ138" s="6">
        <f t="shared" si="60"/>
        <v>0</v>
      </c>
      <c r="AR138" s="6">
        <f t="shared" si="61"/>
        <v>0</v>
      </c>
      <c r="AS138" s="6"/>
      <c r="AX138" s="95">
        <f t="shared" si="62"/>
        <v>42261</v>
      </c>
      <c r="AY138" s="96" t="str">
        <f t="shared" si="63"/>
        <v>seg</v>
      </c>
      <c r="AZ138" s="97">
        <f>IF(OR(AY138="SÁB",AY138="DOM"),0,IFERROR(8-VLOOKUP(C138,'Dados de consulta'!$A$2:$C$38,3,0),8))</f>
        <v>8</v>
      </c>
      <c r="BA138" s="97">
        <f>IF(OR(AY138="SÁB",AY138="DOM"),0,IFERROR(8-VLOOKUP(D138,'Dados de consulta'!$A$2:$C$38,3,0),8))</f>
        <v>8</v>
      </c>
      <c r="BB138" s="97">
        <f>IF(OR(AY138="SÁB",AY138="DOM"),0,IFERROR(8-VLOOKUP(E138,'Dados de consulta'!$A$2:$C$38,3,0),8))</f>
        <v>8</v>
      </c>
      <c r="BC138" s="97">
        <f>IF(OR(AY138="SÁB",AY138="DOM"),0,IFERROR(8-VLOOKUP(F138,'Dados de consulta'!$A$2:$C$38,3,0),8))</f>
        <v>8</v>
      </c>
      <c r="BD138" s="97">
        <f>IF(OR(AY138="SÁB",AY138="DOM"),0,IFERROR(8-VLOOKUP(G138,'Dados de consulta'!$A$2:$C$38,3,0),8))</f>
        <v>0</v>
      </c>
      <c r="BE138" s="97">
        <f>IF(OR(AY138="SÁB",AY138="DOM"),0,IFERROR(8-VLOOKUP(H138,'Dados de consulta'!$A$2:$C$38,3,0),8))</f>
        <v>0</v>
      </c>
      <c r="BF138" s="97">
        <f>IF(OR(AY138="SÁB",AY138="DOM"),0,IFERROR(8-VLOOKUP(I138,'Dados de consulta'!$A$2:$C$38,3,0),8))</f>
        <v>8</v>
      </c>
      <c r="BG138" s="97">
        <f>IF(OR(AY138="SÁB",AY138="DOM"),0,IFERROR(8-VLOOKUP(J138,'Dados de consulta'!$A$2:$C$38,3,0),8))</f>
        <v>8</v>
      </c>
      <c r="BH138" s="97">
        <f>IF(OR(AY138="SÁB",AY138="DOM"),0,IFERROR(8-VLOOKUP(K138,'Dados de consulta'!$A$2:$C$38,3,0),8))</f>
        <v>8</v>
      </c>
      <c r="BI138" s="97">
        <f>IF(OR(AY138="SÁB",AY138="DOM"),0,IFERROR(8-VLOOKUP(L138,'Dados de consulta'!$A$2:$C$38,3,0),8))</f>
        <v>8</v>
      </c>
      <c r="BJ138" s="97">
        <f>IF(OR(AY138="SÁB",AY138="DOM"),0,IFERROR(8-VLOOKUP(M138,'Dados de consulta'!$A$2:$C$38,3,0),8))</f>
        <v>0</v>
      </c>
      <c r="BK138" s="97">
        <f>IF(OR(AY138="SÁB",AY138="DOM"),0,IFERROR(8-VLOOKUP(N138,'Dados de consulta'!$A$2:$C$38,3,0),8))</f>
        <v>0</v>
      </c>
      <c r="BL138" s="97">
        <f>IF(OR(AY138="SÁB",AY138="DOM"),0,IFERROR(8-VLOOKUP(O138,'Dados de consulta'!$A$2:$C$38,3,0),8))</f>
        <v>8</v>
      </c>
      <c r="BM138" s="97">
        <f>IF(OR(AY138="SÁB",AY138="DOM"),0,IFERROR(8-VLOOKUP(P138,'Dados de consulta'!$A$2:$C$38,3,0),8))</f>
        <v>8</v>
      </c>
      <c r="BN138" s="97">
        <f>IF(OR(AY138="SÁB",AY138="DOM"),0,IFERROR(8-VLOOKUP(Q138,'Dados de consulta'!$A$2:$C$38,3,0),8))</f>
        <v>8</v>
      </c>
      <c r="BO138" s="97">
        <f>IF(OR(AY138="SÁB",AY138="DOM"),0,IFERROR(8-VLOOKUP(R138,'Dados de consulta'!$A$2:$C$38,3,0),8))</f>
        <v>0</v>
      </c>
      <c r="BP138" s="97">
        <f>IF(OR(AY138="SÁB",AY138="DOM"),0,IFERROR(8-VLOOKUP(S138,'Dados de consulta'!$A$2:$C$38,3,0),8))</f>
        <v>8</v>
      </c>
      <c r="BQ138" s="113">
        <f>IFERROR(6-VLOOKUP(T138,'Dados de consulta'!$A$2:$C$38,3,0)+2,6)</f>
        <v>6</v>
      </c>
      <c r="BR138" s="114">
        <f t="shared" si="76"/>
        <v>102</v>
      </c>
      <c r="BS138">
        <f t="shared" si="52"/>
        <v>134</v>
      </c>
      <c r="BU138">
        <f>IFERROR(8-VLOOKUP(U138,'Dados de consulta'!$A:$D,3,0),8)</f>
        <v>8</v>
      </c>
      <c r="BV138">
        <f>IFERROR(8-VLOOKUP(V138,'Dados de consulta'!$A:$D,3,0),8)</f>
        <v>8</v>
      </c>
      <c r="BW138">
        <f t="shared" si="77"/>
        <v>16</v>
      </c>
    </row>
    <row r="139" spans="1:75" ht="15" hidden="1" x14ac:dyDescent="0.2">
      <c r="A139" s="98">
        <v>42262</v>
      </c>
      <c r="B139" s="129" t="str">
        <f t="shared" si="53"/>
        <v>ter</v>
      </c>
      <c r="C139" s="132"/>
      <c r="D139" s="132"/>
      <c r="E139" s="132"/>
      <c r="F139" s="132"/>
      <c r="G139" s="132">
        <v>4</v>
      </c>
      <c r="H139" s="132">
        <v>8</v>
      </c>
      <c r="I139" s="132"/>
      <c r="J139" s="132"/>
      <c r="K139" s="132"/>
      <c r="L139" s="132"/>
      <c r="M139" s="132">
        <v>101</v>
      </c>
      <c r="N139" s="132">
        <v>18</v>
      </c>
      <c r="O139" s="132"/>
      <c r="P139" s="132"/>
      <c r="Q139" s="132"/>
      <c r="R139" s="132">
        <v>18</v>
      </c>
      <c r="S139" s="132"/>
      <c r="T139" s="132"/>
      <c r="U139" s="151"/>
      <c r="V139" s="151"/>
      <c r="W139" s="307" t="s">
        <v>193</v>
      </c>
      <c r="X139" s="308"/>
      <c r="Y139" s="38">
        <f t="shared" si="54"/>
        <v>16</v>
      </c>
      <c r="Z139" s="38">
        <f t="shared" si="55"/>
        <v>16</v>
      </c>
      <c r="AA139" s="38">
        <f t="shared" si="56"/>
        <v>0</v>
      </c>
      <c r="AB139" s="38">
        <f t="shared" si="64"/>
        <v>0</v>
      </c>
      <c r="AC139" s="38">
        <f t="shared" si="65"/>
        <v>0</v>
      </c>
      <c r="AD139" s="38">
        <f t="shared" si="66"/>
        <v>0</v>
      </c>
      <c r="AE139" s="38">
        <f t="shared" si="67"/>
        <v>0</v>
      </c>
      <c r="AF139" s="38">
        <f t="shared" si="68"/>
        <v>0</v>
      </c>
      <c r="AG139" s="33">
        <f t="shared" si="69"/>
        <v>16</v>
      </c>
      <c r="AH139" s="33">
        <f t="shared" si="70"/>
        <v>16</v>
      </c>
      <c r="AI139" s="33">
        <f t="shared" si="71"/>
        <v>0</v>
      </c>
      <c r="AJ139" s="33">
        <f t="shared" si="72"/>
        <v>0</v>
      </c>
      <c r="AK139" s="34">
        <f t="shared" si="73"/>
        <v>0.11267605633802817</v>
      </c>
      <c r="AL139" s="35">
        <f t="shared" si="74"/>
        <v>0.11267605633802817</v>
      </c>
      <c r="AM139" s="34">
        <f t="shared" si="57"/>
        <v>0</v>
      </c>
      <c r="AN139" s="36">
        <f t="shared" si="75"/>
        <v>0</v>
      </c>
      <c r="AO139" s="6">
        <f t="shared" si="58"/>
        <v>0</v>
      </c>
      <c r="AP139">
        <f t="shared" si="59"/>
        <v>8</v>
      </c>
      <c r="AQ139" s="6">
        <f t="shared" si="60"/>
        <v>0</v>
      </c>
      <c r="AR139" s="6">
        <f t="shared" si="61"/>
        <v>0</v>
      </c>
      <c r="AS139" s="6"/>
      <c r="AX139" s="95">
        <f t="shared" si="62"/>
        <v>42262</v>
      </c>
      <c r="AY139" s="96" t="str">
        <f t="shared" si="63"/>
        <v>ter</v>
      </c>
      <c r="AZ139" s="97">
        <f>IF(OR(AY139="SÁB",AY139="DOM"),0,IFERROR(8-VLOOKUP(C139,'Dados de consulta'!$A$2:$C$38,3,0),8))</f>
        <v>8</v>
      </c>
      <c r="BA139" s="97">
        <f>IF(OR(AY139="SÁB",AY139="DOM"),0,IFERROR(8-VLOOKUP(D139,'Dados de consulta'!$A$2:$C$38,3,0),8))</f>
        <v>8</v>
      </c>
      <c r="BB139" s="97">
        <f>IF(OR(AY139="SÁB",AY139="DOM"),0,IFERROR(8-VLOOKUP(E139,'Dados de consulta'!$A$2:$C$38,3,0),8))</f>
        <v>8</v>
      </c>
      <c r="BC139" s="97">
        <f>IF(OR(AY139="SÁB",AY139="DOM"),0,IFERROR(8-VLOOKUP(F139,'Dados de consulta'!$A$2:$C$38,3,0),8))</f>
        <v>8</v>
      </c>
      <c r="BD139" s="97">
        <f>IF(OR(AY139="SÁB",AY139="DOM"),0,IFERROR(8-VLOOKUP(G139,'Dados de consulta'!$A$2:$C$38,3,0),8))</f>
        <v>0</v>
      </c>
      <c r="BE139" s="97">
        <f>IF(OR(AY139="SÁB",AY139="DOM"),0,IFERROR(8-VLOOKUP(H139,'Dados de consulta'!$A$2:$C$38,3,0),8))</f>
        <v>0</v>
      </c>
      <c r="BF139" s="97">
        <f>IF(OR(AY139="SÁB",AY139="DOM"),0,IFERROR(8-VLOOKUP(I139,'Dados de consulta'!$A$2:$C$38,3,0),8))</f>
        <v>8</v>
      </c>
      <c r="BG139" s="97">
        <f>IF(OR(AY139="SÁB",AY139="DOM"),0,IFERROR(8-VLOOKUP(J139,'Dados de consulta'!$A$2:$C$38,3,0),8))</f>
        <v>8</v>
      </c>
      <c r="BH139" s="97">
        <f>IF(OR(AY139="SÁB",AY139="DOM"),0,IFERROR(8-VLOOKUP(K139,'Dados de consulta'!$A$2:$C$38,3,0),8))</f>
        <v>8</v>
      </c>
      <c r="BI139" s="97">
        <f>IF(OR(AY139="SÁB",AY139="DOM"),0,IFERROR(8-VLOOKUP(L139,'Dados de consulta'!$A$2:$C$38,3,0),8))</f>
        <v>8</v>
      </c>
      <c r="BJ139" s="97">
        <f>IF(OR(AY139="SÁB",AY139="DOM"),0,IFERROR(8-VLOOKUP(M139,'Dados de consulta'!$A$2:$C$38,3,0),8))</f>
        <v>0</v>
      </c>
      <c r="BK139" s="97">
        <f>IF(OR(AY139="SÁB",AY139="DOM"),0,IFERROR(8-VLOOKUP(N139,'Dados de consulta'!$A$2:$C$38,3,0),8))</f>
        <v>0</v>
      </c>
      <c r="BL139" s="97">
        <f>IF(OR(AY139="SÁB",AY139="DOM"),0,IFERROR(8-VLOOKUP(O139,'Dados de consulta'!$A$2:$C$38,3,0),8))</f>
        <v>8</v>
      </c>
      <c r="BM139" s="97">
        <f>IF(OR(AY139="SÁB",AY139="DOM"),0,IFERROR(8-VLOOKUP(P139,'Dados de consulta'!$A$2:$C$38,3,0),8))</f>
        <v>8</v>
      </c>
      <c r="BN139" s="97">
        <f>IF(OR(AY139="SÁB",AY139="DOM"),0,IFERROR(8-VLOOKUP(Q139,'Dados de consulta'!$A$2:$C$38,3,0),8))</f>
        <v>8</v>
      </c>
      <c r="BO139" s="97">
        <f>IF(OR(AY139="SÁB",AY139="DOM"),0,IFERROR(8-VLOOKUP(R139,'Dados de consulta'!$A$2:$C$38,3,0),8))</f>
        <v>0</v>
      </c>
      <c r="BP139" s="97">
        <f>IF(OR(AY139="SÁB",AY139="DOM"),0,IFERROR(8-VLOOKUP(S139,'Dados de consulta'!$A$2:$C$38,3,0),8))</f>
        <v>8</v>
      </c>
      <c r="BQ139" s="113">
        <f>IFERROR(6-VLOOKUP(T139,'Dados de consulta'!$A$2:$C$38,3,0)+2,6)</f>
        <v>6</v>
      </c>
      <c r="BR139" s="114">
        <f t="shared" si="76"/>
        <v>102</v>
      </c>
      <c r="BS139">
        <f t="shared" si="52"/>
        <v>134</v>
      </c>
      <c r="BU139">
        <f>IFERROR(8-VLOOKUP(U139,'Dados de consulta'!$A:$D,3,0),8)</f>
        <v>8</v>
      </c>
      <c r="BV139">
        <f>IFERROR(8-VLOOKUP(V139,'Dados de consulta'!$A:$D,3,0),8)</f>
        <v>8</v>
      </c>
      <c r="BW139">
        <f t="shared" si="77"/>
        <v>16</v>
      </c>
    </row>
    <row r="140" spans="1:75" ht="15" hidden="1" x14ac:dyDescent="0.2">
      <c r="A140" s="98">
        <v>42263</v>
      </c>
      <c r="B140" s="129" t="str">
        <f t="shared" si="53"/>
        <v>qua</v>
      </c>
      <c r="C140" s="132"/>
      <c r="D140" s="132"/>
      <c r="E140" s="132"/>
      <c r="F140" s="132"/>
      <c r="G140" s="132">
        <v>4</v>
      </c>
      <c r="H140" s="132">
        <v>8</v>
      </c>
      <c r="I140" s="132"/>
      <c r="J140" s="132"/>
      <c r="K140" s="132"/>
      <c r="L140" s="132"/>
      <c r="M140" s="132">
        <v>101</v>
      </c>
      <c r="N140" s="132">
        <v>18</v>
      </c>
      <c r="O140" s="132" t="s">
        <v>196</v>
      </c>
      <c r="P140" s="132"/>
      <c r="Q140" s="132"/>
      <c r="R140" s="132">
        <v>18</v>
      </c>
      <c r="S140" s="132"/>
      <c r="T140" s="132"/>
      <c r="U140" s="151"/>
      <c r="V140" s="151"/>
      <c r="W140" s="307" t="s">
        <v>193</v>
      </c>
      <c r="X140" s="308"/>
      <c r="Y140" s="38">
        <f t="shared" si="54"/>
        <v>16</v>
      </c>
      <c r="Z140" s="38">
        <f t="shared" si="55"/>
        <v>16</v>
      </c>
      <c r="AA140" s="38">
        <f t="shared" si="56"/>
        <v>4</v>
      </c>
      <c r="AB140" s="38">
        <f t="shared" si="64"/>
        <v>0</v>
      </c>
      <c r="AC140" s="38">
        <f t="shared" si="65"/>
        <v>0</v>
      </c>
      <c r="AD140" s="38">
        <f t="shared" si="66"/>
        <v>0</v>
      </c>
      <c r="AE140" s="38">
        <f t="shared" si="67"/>
        <v>0</v>
      </c>
      <c r="AF140" s="38">
        <f t="shared" si="68"/>
        <v>0</v>
      </c>
      <c r="AG140" s="33">
        <f t="shared" si="69"/>
        <v>16</v>
      </c>
      <c r="AH140" s="33">
        <f t="shared" si="70"/>
        <v>16</v>
      </c>
      <c r="AI140" s="33">
        <f t="shared" si="71"/>
        <v>4</v>
      </c>
      <c r="AJ140" s="33">
        <f t="shared" si="72"/>
        <v>0</v>
      </c>
      <c r="AK140" s="34">
        <f t="shared" si="73"/>
        <v>0.11267605633802817</v>
      </c>
      <c r="AL140" s="35">
        <f t="shared" si="74"/>
        <v>0.11267605633802817</v>
      </c>
      <c r="AM140" s="34">
        <f t="shared" si="57"/>
        <v>2.8169014084507043E-2</v>
      </c>
      <c r="AN140" s="36">
        <f t="shared" si="75"/>
        <v>0</v>
      </c>
      <c r="AO140" s="6">
        <f t="shared" si="58"/>
        <v>0</v>
      </c>
      <c r="AP140">
        <f t="shared" si="59"/>
        <v>8</v>
      </c>
      <c r="AQ140" s="6">
        <f t="shared" si="60"/>
        <v>0</v>
      </c>
      <c r="AR140" s="6">
        <f t="shared" si="61"/>
        <v>0</v>
      </c>
      <c r="AS140" s="6"/>
      <c r="AX140" s="95">
        <f t="shared" si="62"/>
        <v>42263</v>
      </c>
      <c r="AY140" s="96" t="str">
        <f t="shared" si="63"/>
        <v>qua</v>
      </c>
      <c r="AZ140" s="97">
        <f>IF(OR(AY140="SÁB",AY140="DOM"),0,IFERROR(8-VLOOKUP(C140,'Dados de consulta'!$A$2:$C$38,3,0),8))</f>
        <v>8</v>
      </c>
      <c r="BA140" s="97">
        <f>IF(OR(AY140="SÁB",AY140="DOM"),0,IFERROR(8-VLOOKUP(D140,'Dados de consulta'!$A$2:$C$38,3,0),8))</f>
        <v>8</v>
      </c>
      <c r="BB140" s="97">
        <f>IF(OR(AY140="SÁB",AY140="DOM"),0,IFERROR(8-VLOOKUP(E140,'Dados de consulta'!$A$2:$C$38,3,0),8))</f>
        <v>8</v>
      </c>
      <c r="BC140" s="97">
        <f>IF(OR(AY140="SÁB",AY140="DOM"),0,IFERROR(8-VLOOKUP(F140,'Dados de consulta'!$A$2:$C$38,3,0),8))</f>
        <v>8</v>
      </c>
      <c r="BD140" s="97">
        <f>IF(OR(AY140="SÁB",AY140="DOM"),0,IFERROR(8-VLOOKUP(G140,'Dados de consulta'!$A$2:$C$38,3,0),8))</f>
        <v>0</v>
      </c>
      <c r="BE140" s="97">
        <f>IF(OR(AY140="SÁB",AY140="DOM"),0,IFERROR(8-VLOOKUP(H140,'Dados de consulta'!$A$2:$C$38,3,0),8))</f>
        <v>0</v>
      </c>
      <c r="BF140" s="97">
        <f>IF(OR(AY140="SÁB",AY140="DOM"),0,IFERROR(8-VLOOKUP(I140,'Dados de consulta'!$A$2:$C$38,3,0),8))</f>
        <v>8</v>
      </c>
      <c r="BG140" s="97">
        <f>IF(OR(AY140="SÁB",AY140="DOM"),0,IFERROR(8-VLOOKUP(J140,'Dados de consulta'!$A$2:$C$38,3,0),8))</f>
        <v>8</v>
      </c>
      <c r="BH140" s="97">
        <f>IF(OR(AY140="SÁB",AY140="DOM"),0,IFERROR(8-VLOOKUP(K140,'Dados de consulta'!$A$2:$C$38,3,0),8))</f>
        <v>8</v>
      </c>
      <c r="BI140" s="97">
        <f>IF(OR(AY140="SÁB",AY140="DOM"),0,IFERROR(8-VLOOKUP(L140,'Dados de consulta'!$A$2:$C$38,3,0),8))</f>
        <v>8</v>
      </c>
      <c r="BJ140" s="97">
        <f>IF(OR(AY140="SÁB",AY140="DOM"),0,IFERROR(8-VLOOKUP(M140,'Dados de consulta'!$A$2:$C$38,3,0),8))</f>
        <v>0</v>
      </c>
      <c r="BK140" s="97">
        <f>IF(OR(AY140="SÁB",AY140="DOM"),0,IFERROR(8-VLOOKUP(N140,'Dados de consulta'!$A$2:$C$38,3,0),8))</f>
        <v>0</v>
      </c>
      <c r="BL140" s="97">
        <f>IF(OR(AY140="SÁB",AY140="DOM"),0,IFERROR(8-VLOOKUP(O140,'Dados de consulta'!$A$2:$C$38,3,0),8))</f>
        <v>4</v>
      </c>
      <c r="BM140" s="97">
        <f>IF(OR(AY140="SÁB",AY140="DOM"),0,IFERROR(8-VLOOKUP(P140,'Dados de consulta'!$A$2:$C$38,3,0),8))</f>
        <v>8</v>
      </c>
      <c r="BN140" s="97">
        <f>IF(OR(AY140="SÁB",AY140="DOM"),0,IFERROR(8-VLOOKUP(Q140,'Dados de consulta'!$A$2:$C$38,3,0),8))</f>
        <v>8</v>
      </c>
      <c r="BO140" s="97">
        <f>IF(OR(AY140="SÁB",AY140="DOM"),0,IFERROR(8-VLOOKUP(R140,'Dados de consulta'!$A$2:$C$38,3,0),8))</f>
        <v>0</v>
      </c>
      <c r="BP140" s="97">
        <f>IF(OR(AY140="SÁB",AY140="DOM"),0,IFERROR(8-VLOOKUP(S140,'Dados de consulta'!$A$2:$C$38,3,0),8))</f>
        <v>8</v>
      </c>
      <c r="BQ140" s="113">
        <f>IFERROR(6-VLOOKUP(T140,'Dados de consulta'!$A$2:$C$38,3,0)+2,6)</f>
        <v>6</v>
      </c>
      <c r="BR140" s="114">
        <f t="shared" si="76"/>
        <v>98</v>
      </c>
      <c r="BS140">
        <f t="shared" si="52"/>
        <v>134</v>
      </c>
      <c r="BU140">
        <f>IFERROR(8-VLOOKUP(U140,'Dados de consulta'!$A:$D,3,0),8)</f>
        <v>8</v>
      </c>
      <c r="BV140">
        <f>IFERROR(8-VLOOKUP(V140,'Dados de consulta'!$A:$D,3,0),8)</f>
        <v>8</v>
      </c>
      <c r="BW140">
        <f t="shared" si="77"/>
        <v>16</v>
      </c>
    </row>
    <row r="141" spans="1:75" ht="15" hidden="1" x14ac:dyDescent="0.2">
      <c r="A141" s="98">
        <v>42264</v>
      </c>
      <c r="B141" s="129" t="str">
        <f t="shared" si="53"/>
        <v>qui</v>
      </c>
      <c r="C141" s="132" t="s">
        <v>195</v>
      </c>
      <c r="D141" s="132"/>
      <c r="E141" s="132">
        <v>6</v>
      </c>
      <c r="F141" s="132">
        <v>6</v>
      </c>
      <c r="G141" s="132">
        <v>4</v>
      </c>
      <c r="H141" s="132">
        <v>8</v>
      </c>
      <c r="I141" s="132"/>
      <c r="J141" s="132">
        <v>6</v>
      </c>
      <c r="K141" s="132"/>
      <c r="L141" s="132"/>
      <c r="M141" s="132">
        <v>101</v>
      </c>
      <c r="N141" s="132">
        <v>18</v>
      </c>
      <c r="O141" s="132">
        <v>6</v>
      </c>
      <c r="P141" s="132"/>
      <c r="Q141" s="132">
        <v>6</v>
      </c>
      <c r="R141" s="132">
        <v>18</v>
      </c>
      <c r="S141" s="132"/>
      <c r="T141" s="132"/>
      <c r="U141" s="151"/>
      <c r="V141" s="151">
        <v>6</v>
      </c>
      <c r="W141" s="307" t="s">
        <v>193</v>
      </c>
      <c r="X141" s="308"/>
      <c r="Y141" s="38">
        <f t="shared" si="54"/>
        <v>16</v>
      </c>
      <c r="Z141" s="38">
        <f t="shared" si="55"/>
        <v>16</v>
      </c>
      <c r="AA141" s="38">
        <f t="shared" si="56"/>
        <v>0</v>
      </c>
      <c r="AB141" s="38">
        <f t="shared" si="64"/>
        <v>44</v>
      </c>
      <c r="AC141" s="38">
        <f t="shared" si="65"/>
        <v>0</v>
      </c>
      <c r="AD141" s="38">
        <f t="shared" si="66"/>
        <v>0</v>
      </c>
      <c r="AE141" s="38">
        <f t="shared" si="67"/>
        <v>0</v>
      </c>
      <c r="AF141" s="38">
        <f t="shared" si="68"/>
        <v>0</v>
      </c>
      <c r="AG141" s="33">
        <f t="shared" si="69"/>
        <v>16</v>
      </c>
      <c r="AH141" s="33">
        <f t="shared" si="70"/>
        <v>16</v>
      </c>
      <c r="AI141" s="33">
        <f t="shared" si="71"/>
        <v>0</v>
      </c>
      <c r="AJ141" s="33">
        <f t="shared" si="72"/>
        <v>44</v>
      </c>
      <c r="AK141" s="34">
        <f t="shared" si="73"/>
        <v>0.11267605633802817</v>
      </c>
      <c r="AL141" s="35">
        <f t="shared" si="74"/>
        <v>0.11267605633802817</v>
      </c>
      <c r="AM141" s="34">
        <f t="shared" si="57"/>
        <v>0</v>
      </c>
      <c r="AN141" s="36">
        <f t="shared" si="75"/>
        <v>0.30985915492957744</v>
      </c>
      <c r="AO141" s="6">
        <f t="shared" si="58"/>
        <v>0</v>
      </c>
      <c r="AP141">
        <f t="shared" si="59"/>
        <v>8</v>
      </c>
      <c r="AQ141" s="6">
        <f t="shared" si="60"/>
        <v>0</v>
      </c>
      <c r="AR141" s="6">
        <f t="shared" si="61"/>
        <v>0</v>
      </c>
      <c r="AS141" s="6"/>
      <c r="AX141" s="95">
        <f t="shared" si="62"/>
        <v>42264</v>
      </c>
      <c r="AY141" s="96" t="str">
        <f t="shared" si="63"/>
        <v>qui</v>
      </c>
      <c r="AZ141" s="97">
        <f>IF(OR(AY141="SÁB",AY141="DOM"),0,IFERROR(8-VLOOKUP(C141,'Dados de consulta'!$A$2:$C$38,3,0),8))</f>
        <v>4</v>
      </c>
      <c r="BA141" s="97">
        <f>IF(OR(AY141="SÁB",AY141="DOM"),0,IFERROR(8-VLOOKUP(D141,'Dados de consulta'!$A$2:$C$38,3,0),8))</f>
        <v>8</v>
      </c>
      <c r="BB141" s="97">
        <f>IF(OR(AY141="SÁB",AY141="DOM"),0,IFERROR(8-VLOOKUP(E141,'Dados de consulta'!$A$2:$C$38,3,0),8))</f>
        <v>0</v>
      </c>
      <c r="BC141" s="97">
        <f>IF(OR(AY141="SÁB",AY141="DOM"),0,IFERROR(8-VLOOKUP(F141,'Dados de consulta'!$A$2:$C$38,3,0),8))</f>
        <v>0</v>
      </c>
      <c r="BD141" s="97">
        <f>IF(OR(AY141="SÁB",AY141="DOM"),0,IFERROR(8-VLOOKUP(G141,'Dados de consulta'!$A$2:$C$38,3,0),8))</f>
        <v>0</v>
      </c>
      <c r="BE141" s="97">
        <f>IF(OR(AY141="SÁB",AY141="DOM"),0,IFERROR(8-VLOOKUP(H141,'Dados de consulta'!$A$2:$C$38,3,0),8))</f>
        <v>0</v>
      </c>
      <c r="BF141" s="97">
        <f>IF(OR(AY141="SÁB",AY141="DOM"),0,IFERROR(8-VLOOKUP(I141,'Dados de consulta'!$A$2:$C$38,3,0),8))</f>
        <v>8</v>
      </c>
      <c r="BG141" s="97">
        <f>IF(OR(AY141="SÁB",AY141="DOM"),0,IFERROR(8-VLOOKUP(J141,'Dados de consulta'!$A$2:$C$38,3,0),8))</f>
        <v>0</v>
      </c>
      <c r="BH141" s="97">
        <f>IF(OR(AY141="SÁB",AY141="DOM"),0,IFERROR(8-VLOOKUP(K141,'Dados de consulta'!$A$2:$C$38,3,0),8))</f>
        <v>8</v>
      </c>
      <c r="BI141" s="97">
        <f>IF(OR(AY141="SÁB",AY141="DOM"),0,IFERROR(8-VLOOKUP(L141,'Dados de consulta'!$A$2:$C$38,3,0),8))</f>
        <v>8</v>
      </c>
      <c r="BJ141" s="97">
        <f>IF(OR(AY141="SÁB",AY141="DOM"),0,IFERROR(8-VLOOKUP(M141,'Dados de consulta'!$A$2:$C$38,3,0),8))</f>
        <v>0</v>
      </c>
      <c r="BK141" s="97">
        <f>IF(OR(AY141="SÁB",AY141="DOM"),0,IFERROR(8-VLOOKUP(N141,'Dados de consulta'!$A$2:$C$38,3,0),8))</f>
        <v>0</v>
      </c>
      <c r="BL141" s="97">
        <f>IF(OR(AY141="SÁB",AY141="DOM"),0,IFERROR(8-VLOOKUP(O141,'Dados de consulta'!$A$2:$C$38,3,0),8))</f>
        <v>0</v>
      </c>
      <c r="BM141" s="97">
        <f>IF(OR(AY141="SÁB",AY141="DOM"),0,IFERROR(8-VLOOKUP(P141,'Dados de consulta'!$A$2:$C$38,3,0),8))</f>
        <v>8</v>
      </c>
      <c r="BN141" s="97">
        <f>IF(OR(AY141="SÁB",AY141="DOM"),0,IFERROR(8-VLOOKUP(Q141,'Dados de consulta'!$A$2:$C$38,3,0),8))</f>
        <v>0</v>
      </c>
      <c r="BO141" s="97">
        <f>IF(OR(AY141="SÁB",AY141="DOM"),0,IFERROR(8-VLOOKUP(R141,'Dados de consulta'!$A$2:$C$38,3,0),8))</f>
        <v>0</v>
      </c>
      <c r="BP141" s="97">
        <f>IF(OR(AY141="SÁB",AY141="DOM"),0,IFERROR(8-VLOOKUP(S141,'Dados de consulta'!$A$2:$C$38,3,0),8))</f>
        <v>8</v>
      </c>
      <c r="BQ141" s="113">
        <f>IFERROR(6-VLOOKUP(T141,'Dados de consulta'!$A$2:$C$38,3,0)+2,6)</f>
        <v>6</v>
      </c>
      <c r="BR141" s="114">
        <f t="shared" si="76"/>
        <v>58</v>
      </c>
      <c r="BS141">
        <f t="shared" si="52"/>
        <v>134</v>
      </c>
      <c r="BU141">
        <f>IFERROR(8-VLOOKUP(U141,'Dados de consulta'!$A:$D,3,0),8)</f>
        <v>8</v>
      </c>
      <c r="BV141">
        <f>IFERROR(8-VLOOKUP(V141,'Dados de consulta'!$A:$D,3,0),8)</f>
        <v>0</v>
      </c>
      <c r="BW141">
        <f t="shared" si="77"/>
        <v>8</v>
      </c>
    </row>
    <row r="142" spans="1:75" ht="15" hidden="1" x14ac:dyDescent="0.2">
      <c r="A142" s="98">
        <v>42265</v>
      </c>
      <c r="B142" s="129" t="str">
        <f t="shared" si="53"/>
        <v>sex</v>
      </c>
      <c r="C142" s="132"/>
      <c r="D142" s="132"/>
      <c r="E142" s="132"/>
      <c r="F142" s="132"/>
      <c r="G142" s="132">
        <v>4</v>
      </c>
      <c r="H142" s="132">
        <v>8</v>
      </c>
      <c r="I142" s="132"/>
      <c r="J142" s="132" t="s">
        <v>196</v>
      </c>
      <c r="K142" s="132"/>
      <c r="L142" s="132"/>
      <c r="M142" s="132">
        <v>101</v>
      </c>
      <c r="N142" s="132">
        <v>18</v>
      </c>
      <c r="O142" s="132"/>
      <c r="P142" s="132"/>
      <c r="Q142" s="132"/>
      <c r="R142" s="132">
        <v>18</v>
      </c>
      <c r="S142" s="132"/>
      <c r="T142" s="132"/>
      <c r="U142" s="151" t="s">
        <v>196</v>
      </c>
      <c r="V142" s="151"/>
      <c r="W142" s="307" t="s">
        <v>193</v>
      </c>
      <c r="X142" s="308"/>
      <c r="Y142" s="38">
        <f t="shared" si="54"/>
        <v>16</v>
      </c>
      <c r="Z142" s="38">
        <f t="shared" si="55"/>
        <v>16</v>
      </c>
      <c r="AA142" s="38">
        <f t="shared" si="56"/>
        <v>4</v>
      </c>
      <c r="AB142" s="38">
        <f t="shared" si="64"/>
        <v>0</v>
      </c>
      <c r="AC142" s="38">
        <f t="shared" si="65"/>
        <v>0</v>
      </c>
      <c r="AD142" s="38">
        <f t="shared" si="66"/>
        <v>0</v>
      </c>
      <c r="AE142" s="38">
        <f t="shared" si="67"/>
        <v>0</v>
      </c>
      <c r="AF142" s="38">
        <f t="shared" si="68"/>
        <v>0</v>
      </c>
      <c r="AG142" s="33">
        <f t="shared" si="69"/>
        <v>16</v>
      </c>
      <c r="AH142" s="33">
        <f t="shared" si="70"/>
        <v>16</v>
      </c>
      <c r="AI142" s="33">
        <f t="shared" si="71"/>
        <v>4</v>
      </c>
      <c r="AJ142" s="33">
        <f t="shared" si="72"/>
        <v>0</v>
      </c>
      <c r="AK142" s="34">
        <f t="shared" si="73"/>
        <v>0.11267605633802817</v>
      </c>
      <c r="AL142" s="35">
        <f t="shared" si="74"/>
        <v>0.11267605633802817</v>
      </c>
      <c r="AM142" s="34">
        <f t="shared" si="57"/>
        <v>2.8169014084507043E-2</v>
      </c>
      <c r="AN142" s="36">
        <f t="shared" si="75"/>
        <v>0</v>
      </c>
      <c r="AO142" s="6">
        <f t="shared" si="58"/>
        <v>0</v>
      </c>
      <c r="AP142">
        <f t="shared" si="59"/>
        <v>8</v>
      </c>
      <c r="AQ142" s="6">
        <f t="shared" si="60"/>
        <v>0</v>
      </c>
      <c r="AR142" s="6">
        <f t="shared" si="61"/>
        <v>0</v>
      </c>
      <c r="AS142" s="6"/>
      <c r="AX142" s="95">
        <f t="shared" si="62"/>
        <v>42265</v>
      </c>
      <c r="AY142" s="96" t="str">
        <f t="shared" si="63"/>
        <v>sex</v>
      </c>
      <c r="AZ142" s="97">
        <f>IF(OR(AY142="SÁB",AY142="DOM"),0,IFERROR(8-VLOOKUP(C142,'Dados de consulta'!$A$2:$C$38,3,0),8))</f>
        <v>8</v>
      </c>
      <c r="BA142" s="97">
        <f>IF(OR(AY142="SÁB",AY142="DOM"),0,IFERROR(8-VLOOKUP(D142,'Dados de consulta'!$A$2:$C$38,3,0),8))</f>
        <v>8</v>
      </c>
      <c r="BB142" s="97">
        <f>IF(OR(AY142="SÁB",AY142="DOM"),0,IFERROR(8-VLOOKUP(E142,'Dados de consulta'!$A$2:$C$38,3,0),8))</f>
        <v>8</v>
      </c>
      <c r="BC142" s="97">
        <f>IF(OR(AY142="SÁB",AY142="DOM"),0,IFERROR(8-VLOOKUP(F142,'Dados de consulta'!$A$2:$C$38,3,0),8))</f>
        <v>8</v>
      </c>
      <c r="BD142" s="97">
        <f>IF(OR(AY142="SÁB",AY142="DOM"),0,IFERROR(8-VLOOKUP(G142,'Dados de consulta'!$A$2:$C$38,3,0),8))</f>
        <v>0</v>
      </c>
      <c r="BE142" s="97">
        <f>IF(OR(AY142="SÁB",AY142="DOM"),0,IFERROR(8-VLOOKUP(H142,'Dados de consulta'!$A$2:$C$38,3,0),8))</f>
        <v>0</v>
      </c>
      <c r="BF142" s="97">
        <f>IF(OR(AY142="SÁB",AY142="DOM"),0,IFERROR(8-VLOOKUP(I142,'Dados de consulta'!$A$2:$C$38,3,0),8))</f>
        <v>8</v>
      </c>
      <c r="BG142" s="97">
        <f>IF(OR(AY142="SÁB",AY142="DOM"),0,IFERROR(8-VLOOKUP(J142,'Dados de consulta'!$A$2:$C$38,3,0),8))</f>
        <v>4</v>
      </c>
      <c r="BH142" s="97">
        <f>IF(OR(AY142="SÁB",AY142="DOM"),0,IFERROR(8-VLOOKUP(K142,'Dados de consulta'!$A$2:$C$38,3,0),8))</f>
        <v>8</v>
      </c>
      <c r="BI142" s="97">
        <f>IF(OR(AY142="SÁB",AY142="DOM"),0,IFERROR(8-VLOOKUP(L142,'Dados de consulta'!$A$2:$C$38,3,0),8))</f>
        <v>8</v>
      </c>
      <c r="BJ142" s="97">
        <f>IF(OR(AY142="SÁB",AY142="DOM"),0,IFERROR(8-VLOOKUP(M142,'Dados de consulta'!$A$2:$C$38,3,0),8))</f>
        <v>0</v>
      </c>
      <c r="BK142" s="97">
        <f>IF(OR(AY142="SÁB",AY142="DOM"),0,IFERROR(8-VLOOKUP(N142,'Dados de consulta'!$A$2:$C$38,3,0),8))</f>
        <v>0</v>
      </c>
      <c r="BL142" s="97">
        <f>IF(OR(AY142="SÁB",AY142="DOM"),0,IFERROR(8-VLOOKUP(O142,'Dados de consulta'!$A$2:$C$38,3,0),8))</f>
        <v>8</v>
      </c>
      <c r="BM142" s="97">
        <f>IF(OR(AY142="SÁB",AY142="DOM"),0,IFERROR(8-VLOOKUP(P142,'Dados de consulta'!$A$2:$C$38,3,0),8))</f>
        <v>8</v>
      </c>
      <c r="BN142" s="97">
        <f>IF(OR(AY142="SÁB",AY142="DOM"),0,IFERROR(8-VLOOKUP(Q142,'Dados de consulta'!$A$2:$C$38,3,0),8))</f>
        <v>8</v>
      </c>
      <c r="BO142" s="97">
        <f>IF(OR(AY142="SÁB",AY142="DOM"),0,IFERROR(8-VLOOKUP(R142,'Dados de consulta'!$A$2:$C$38,3,0),8))</f>
        <v>0</v>
      </c>
      <c r="BP142" s="97">
        <f>IF(OR(AY142="SÁB",AY142="DOM"),0,IFERROR(8-VLOOKUP(S142,'Dados de consulta'!$A$2:$C$38,3,0),8))</f>
        <v>8</v>
      </c>
      <c r="BQ142" s="113">
        <f>IFERROR(6-VLOOKUP(T142,'Dados de consulta'!$A$2:$C$38,3,0)+2,6)</f>
        <v>6</v>
      </c>
      <c r="BR142" s="114">
        <f t="shared" si="76"/>
        <v>98</v>
      </c>
      <c r="BS142">
        <f t="shared" si="52"/>
        <v>134</v>
      </c>
      <c r="BU142">
        <f>IFERROR(8-VLOOKUP(U142,'Dados de consulta'!$A:$D,3,0),8)</f>
        <v>4</v>
      </c>
      <c r="BV142">
        <f>IFERROR(8-VLOOKUP(V142,'Dados de consulta'!$A:$D,3,0),8)</f>
        <v>8</v>
      </c>
      <c r="BW142">
        <f t="shared" si="77"/>
        <v>12</v>
      </c>
    </row>
    <row r="143" spans="1:75" ht="15" hidden="1" x14ac:dyDescent="0.2">
      <c r="A143" s="98">
        <v>42266</v>
      </c>
      <c r="B143" s="129" t="str">
        <f t="shared" si="53"/>
        <v>sáb</v>
      </c>
      <c r="C143" s="132"/>
      <c r="D143" s="132"/>
      <c r="E143" s="132"/>
      <c r="F143" s="132"/>
      <c r="G143" s="132">
        <v>4</v>
      </c>
      <c r="H143" s="132">
        <v>8</v>
      </c>
      <c r="I143" s="132"/>
      <c r="J143" s="132"/>
      <c r="K143" s="132"/>
      <c r="L143" s="132"/>
      <c r="M143" s="132">
        <v>101</v>
      </c>
      <c r="N143" s="132">
        <v>18</v>
      </c>
      <c r="O143" s="132"/>
      <c r="P143" s="132"/>
      <c r="Q143" s="132"/>
      <c r="R143" s="132">
        <v>18</v>
      </c>
      <c r="S143" s="132"/>
      <c r="T143" s="132"/>
      <c r="U143" s="151"/>
      <c r="V143" s="151"/>
      <c r="W143" s="307" t="s">
        <v>193</v>
      </c>
      <c r="X143" s="308"/>
      <c r="Y143" s="38">
        <f t="shared" si="54"/>
        <v>16</v>
      </c>
      <c r="Z143" s="38">
        <f t="shared" si="55"/>
        <v>16</v>
      </c>
      <c r="AA143" s="38">
        <f t="shared" si="56"/>
        <v>0</v>
      </c>
      <c r="AB143" s="38">
        <f t="shared" si="64"/>
        <v>0</v>
      </c>
      <c r="AC143" s="38">
        <f t="shared" si="65"/>
        <v>0</v>
      </c>
      <c r="AD143" s="38">
        <f t="shared" si="66"/>
        <v>0</v>
      </c>
      <c r="AE143" s="38">
        <f t="shared" si="67"/>
        <v>0</v>
      </c>
      <c r="AF143" s="38">
        <f t="shared" si="68"/>
        <v>0</v>
      </c>
      <c r="AG143" s="33">
        <f t="shared" si="69"/>
        <v>0</v>
      </c>
      <c r="AH143" s="33">
        <f t="shared" si="70"/>
        <v>0</v>
      </c>
      <c r="AI143" s="33">
        <f t="shared" si="71"/>
        <v>0</v>
      </c>
      <c r="AJ143" s="33">
        <f t="shared" si="72"/>
        <v>0</v>
      </c>
      <c r="AK143" s="34">
        <f t="shared" si="73"/>
        <v>0</v>
      </c>
      <c r="AL143" s="35">
        <f t="shared" si="74"/>
        <v>0</v>
      </c>
      <c r="AM143" s="34">
        <f t="shared" si="57"/>
        <v>0</v>
      </c>
      <c r="AN143" s="36">
        <f t="shared" si="75"/>
        <v>0</v>
      </c>
      <c r="AO143" s="6">
        <f t="shared" si="58"/>
        <v>0</v>
      </c>
      <c r="AP143">
        <f t="shared" si="59"/>
        <v>8</v>
      </c>
      <c r="AQ143" s="6">
        <f t="shared" si="60"/>
        <v>0</v>
      </c>
      <c r="AR143" s="6">
        <f t="shared" si="61"/>
        <v>0</v>
      </c>
      <c r="AS143" s="6"/>
      <c r="AX143" s="95">
        <f t="shared" si="62"/>
        <v>42266</v>
      </c>
      <c r="AY143" s="96" t="str">
        <f t="shared" si="63"/>
        <v>sáb</v>
      </c>
      <c r="AZ143" s="97">
        <f>IF(OR(AY143="SÁB",AY143="DOM"),0,IFERROR(8-VLOOKUP(C143,'Dados de consulta'!$A$2:$C$38,3,0),8))</f>
        <v>0</v>
      </c>
      <c r="BA143" s="97">
        <f>IF(OR(AY143="SÁB",AY143="DOM"),0,IFERROR(8-VLOOKUP(D143,'Dados de consulta'!$A$2:$C$38,3,0),8))</f>
        <v>0</v>
      </c>
      <c r="BB143" s="97">
        <f>IF(OR(AY143="SÁB",AY143="DOM"),0,IFERROR(8-VLOOKUP(E143,'Dados de consulta'!$A$2:$C$38,3,0),8))</f>
        <v>0</v>
      </c>
      <c r="BC143" s="97">
        <f>IF(OR(AY143="SÁB",AY143="DOM"),0,IFERROR(8-VLOOKUP(F143,'Dados de consulta'!$A$2:$C$38,3,0),8))</f>
        <v>0</v>
      </c>
      <c r="BD143" s="97">
        <f>IF(OR(AY143="SÁB",AY143="DOM"),0,IFERROR(8-VLOOKUP(G143,'Dados de consulta'!$A$2:$C$38,3,0),8))</f>
        <v>0</v>
      </c>
      <c r="BE143" s="97">
        <f>IF(OR(AY143="SÁB",AY143="DOM"),0,IFERROR(8-VLOOKUP(H143,'Dados de consulta'!$A$2:$C$38,3,0),8))</f>
        <v>0</v>
      </c>
      <c r="BF143" s="97">
        <f>IF(OR(AY143="SÁB",AY143="DOM"),0,IFERROR(8-VLOOKUP(I143,'Dados de consulta'!$A$2:$C$38,3,0),8))</f>
        <v>0</v>
      </c>
      <c r="BG143" s="97">
        <f>IF(OR(AY143="SÁB",AY143="DOM"),0,IFERROR(8-VLOOKUP(J143,'Dados de consulta'!$A$2:$C$38,3,0),8))</f>
        <v>0</v>
      </c>
      <c r="BH143" s="97">
        <f>IF(OR(AY143="SÁB",AY143="DOM"),0,IFERROR(8-VLOOKUP(K143,'Dados de consulta'!$A$2:$C$38,3,0),8))</f>
        <v>0</v>
      </c>
      <c r="BI143" s="97">
        <f>IF(OR(AY143="SÁB",AY143="DOM"),0,IFERROR(8-VLOOKUP(L143,'Dados de consulta'!$A$2:$C$38,3,0),8))</f>
        <v>0</v>
      </c>
      <c r="BJ143" s="97">
        <f>IF(OR(AY143="SÁB",AY143="DOM"),0,IFERROR(8-VLOOKUP(M143,'Dados de consulta'!$A$2:$C$38,3,0),8))</f>
        <v>0</v>
      </c>
      <c r="BK143" s="97">
        <f>IF(OR(AY143="SÁB",AY143="DOM"),0,IFERROR(8-VLOOKUP(N143,'Dados de consulta'!$A$2:$C$38,3,0),8))</f>
        <v>0</v>
      </c>
      <c r="BL143" s="97">
        <f>IF(OR(AY143="SÁB",AY143="DOM"),0,IFERROR(8-VLOOKUP(O143,'Dados de consulta'!$A$2:$C$38,3,0),8))</f>
        <v>0</v>
      </c>
      <c r="BM143" s="97">
        <f>IF(OR(AY143="SÁB",AY143="DOM"),0,IFERROR(8-VLOOKUP(P143,'Dados de consulta'!$A$2:$C$38,3,0),8))</f>
        <v>0</v>
      </c>
      <c r="BN143" s="97">
        <f>IF(OR(AY143="SÁB",AY143="DOM"),0,IFERROR(8-VLOOKUP(Q143,'Dados de consulta'!$A$2:$C$38,3,0),8))</f>
        <v>0</v>
      </c>
      <c r="BO143" s="97">
        <f>IF(OR(AY143="SÁB",AY143="DOM"),0,IFERROR(8-VLOOKUP(R143,'Dados de consulta'!$A$2:$C$38,3,0),8))</f>
        <v>0</v>
      </c>
      <c r="BP143" s="97">
        <f>IF(OR(AY143="SÁB",AY143="DOM"),0,IFERROR(8-VLOOKUP(S143,'Dados de consulta'!$A$2:$C$38,3,0),8))</f>
        <v>0</v>
      </c>
      <c r="BQ143" s="113">
        <f>IFERROR(6-VLOOKUP(T143,'Dados de consulta'!$A$2:$C$38,3,0)+2,6)</f>
        <v>6</v>
      </c>
      <c r="BR143" s="114">
        <f t="shared" si="76"/>
        <v>0</v>
      </c>
      <c r="BS143">
        <f t="shared" si="52"/>
        <v>0</v>
      </c>
      <c r="BU143">
        <f>IFERROR(8-VLOOKUP(U143,'Dados de consulta'!$A:$D,3,0),8)</f>
        <v>8</v>
      </c>
      <c r="BV143">
        <f>IFERROR(8-VLOOKUP(V143,'Dados de consulta'!$A:$D,3,0),8)</f>
        <v>8</v>
      </c>
      <c r="BW143">
        <f t="shared" si="77"/>
        <v>16</v>
      </c>
    </row>
    <row r="144" spans="1:75" ht="15" hidden="1" x14ac:dyDescent="0.2">
      <c r="A144" s="98">
        <v>42267</v>
      </c>
      <c r="B144" s="129" t="str">
        <f t="shared" si="53"/>
        <v>dom</v>
      </c>
      <c r="C144" s="132"/>
      <c r="D144" s="132"/>
      <c r="E144" s="132"/>
      <c r="F144" s="132"/>
      <c r="G144" s="132">
        <v>4</v>
      </c>
      <c r="H144" s="132">
        <v>8</v>
      </c>
      <c r="I144" s="132"/>
      <c r="J144" s="132"/>
      <c r="K144" s="132"/>
      <c r="L144" s="132"/>
      <c r="M144" s="132">
        <v>101</v>
      </c>
      <c r="N144" s="132">
        <v>18</v>
      </c>
      <c r="O144" s="132"/>
      <c r="P144" s="132"/>
      <c r="Q144" s="132"/>
      <c r="R144" s="132">
        <v>18</v>
      </c>
      <c r="S144" s="132"/>
      <c r="T144" s="132"/>
      <c r="U144" s="151"/>
      <c r="V144" s="151"/>
      <c r="W144" s="307" t="s">
        <v>193</v>
      </c>
      <c r="X144" s="308"/>
      <c r="Y144" s="38">
        <f t="shared" si="54"/>
        <v>16</v>
      </c>
      <c r="Z144" s="38">
        <f t="shared" si="55"/>
        <v>16</v>
      </c>
      <c r="AA144" s="38">
        <f t="shared" si="56"/>
        <v>0</v>
      </c>
      <c r="AB144" s="38">
        <f t="shared" si="64"/>
        <v>0</v>
      </c>
      <c r="AC144" s="38">
        <f t="shared" si="65"/>
        <v>0</v>
      </c>
      <c r="AD144" s="38">
        <f t="shared" si="66"/>
        <v>0</v>
      </c>
      <c r="AE144" s="38">
        <f t="shared" si="67"/>
        <v>0</v>
      </c>
      <c r="AF144" s="38">
        <f t="shared" si="68"/>
        <v>0</v>
      </c>
      <c r="AG144" s="33">
        <f t="shared" si="69"/>
        <v>0</v>
      </c>
      <c r="AH144" s="33">
        <f t="shared" si="70"/>
        <v>0</v>
      </c>
      <c r="AI144" s="33">
        <f t="shared" si="71"/>
        <v>0</v>
      </c>
      <c r="AJ144" s="33">
        <f t="shared" si="72"/>
        <v>0</v>
      </c>
      <c r="AK144" s="34">
        <f t="shared" si="73"/>
        <v>0</v>
      </c>
      <c r="AL144" s="35">
        <f t="shared" si="74"/>
        <v>0</v>
      </c>
      <c r="AM144" s="34">
        <f t="shared" si="57"/>
        <v>0</v>
      </c>
      <c r="AN144" s="36">
        <f t="shared" si="75"/>
        <v>0</v>
      </c>
      <c r="AO144" s="6">
        <f t="shared" si="58"/>
        <v>0</v>
      </c>
      <c r="AP144">
        <f t="shared" si="59"/>
        <v>8</v>
      </c>
      <c r="AQ144" s="6">
        <f t="shared" si="60"/>
        <v>0</v>
      </c>
      <c r="AR144" s="6">
        <f t="shared" si="61"/>
        <v>0</v>
      </c>
      <c r="AS144" s="6"/>
      <c r="AX144" s="95">
        <f t="shared" si="62"/>
        <v>42267</v>
      </c>
      <c r="AY144" s="96" t="str">
        <f t="shared" si="63"/>
        <v>dom</v>
      </c>
      <c r="AZ144" s="97">
        <f>IF(OR(AY144="SÁB",AY144="DOM"),0,IFERROR(8-VLOOKUP(C144,'Dados de consulta'!$A$2:$C$38,3,0),8))</f>
        <v>0</v>
      </c>
      <c r="BA144" s="97">
        <f>IF(OR(AY144="SÁB",AY144="DOM"),0,IFERROR(8-VLOOKUP(D144,'Dados de consulta'!$A$2:$C$38,3,0),8))</f>
        <v>0</v>
      </c>
      <c r="BB144" s="97">
        <f>IF(OR(AY144="SÁB",AY144="DOM"),0,IFERROR(8-VLOOKUP(E144,'Dados de consulta'!$A$2:$C$38,3,0),8))</f>
        <v>0</v>
      </c>
      <c r="BC144" s="97">
        <f>IF(OR(AY144="SÁB",AY144="DOM"),0,IFERROR(8-VLOOKUP(F144,'Dados de consulta'!$A$2:$C$38,3,0),8))</f>
        <v>0</v>
      </c>
      <c r="BD144" s="97">
        <f>IF(OR(AY144="SÁB",AY144="DOM"),0,IFERROR(8-VLOOKUP(G144,'Dados de consulta'!$A$2:$C$38,3,0),8))</f>
        <v>0</v>
      </c>
      <c r="BE144" s="97">
        <f>IF(OR(AY144="SÁB",AY144="DOM"),0,IFERROR(8-VLOOKUP(H144,'Dados de consulta'!$A$2:$C$38,3,0),8))</f>
        <v>0</v>
      </c>
      <c r="BF144" s="97">
        <f>IF(OR(AY144="SÁB",AY144="DOM"),0,IFERROR(8-VLOOKUP(I144,'Dados de consulta'!$A$2:$C$38,3,0),8))</f>
        <v>0</v>
      </c>
      <c r="BG144" s="97">
        <f>IF(OR(AY144="SÁB",AY144="DOM"),0,IFERROR(8-VLOOKUP(J144,'Dados de consulta'!$A$2:$C$38,3,0),8))</f>
        <v>0</v>
      </c>
      <c r="BH144" s="97">
        <f>IF(OR(AY144="SÁB",AY144="DOM"),0,IFERROR(8-VLOOKUP(K144,'Dados de consulta'!$A$2:$C$38,3,0),8))</f>
        <v>0</v>
      </c>
      <c r="BI144" s="97">
        <f>IF(OR(AY144="SÁB",AY144="DOM"),0,IFERROR(8-VLOOKUP(L144,'Dados de consulta'!$A$2:$C$38,3,0),8))</f>
        <v>0</v>
      </c>
      <c r="BJ144" s="97">
        <f>IF(OR(AY144="SÁB",AY144="DOM"),0,IFERROR(8-VLOOKUP(M144,'Dados de consulta'!$A$2:$C$38,3,0),8))</f>
        <v>0</v>
      </c>
      <c r="BK144" s="97">
        <f>IF(OR(AY144="SÁB",AY144="DOM"),0,IFERROR(8-VLOOKUP(N144,'Dados de consulta'!$A$2:$C$38,3,0),8))</f>
        <v>0</v>
      </c>
      <c r="BL144" s="97">
        <f>IF(OR(AY144="SÁB",AY144="DOM"),0,IFERROR(8-VLOOKUP(O144,'Dados de consulta'!$A$2:$C$38,3,0),8))</f>
        <v>0</v>
      </c>
      <c r="BM144" s="97">
        <f>IF(OR(AY144="SÁB",AY144="DOM"),0,IFERROR(8-VLOOKUP(P144,'Dados de consulta'!$A$2:$C$38,3,0),8))</f>
        <v>0</v>
      </c>
      <c r="BN144" s="97">
        <f>IF(OR(AY144="SÁB",AY144="DOM"),0,IFERROR(8-VLOOKUP(Q144,'Dados de consulta'!$A$2:$C$38,3,0),8))</f>
        <v>0</v>
      </c>
      <c r="BO144" s="97">
        <f>IF(OR(AY144="SÁB",AY144="DOM"),0,IFERROR(8-VLOOKUP(R144,'Dados de consulta'!$A$2:$C$38,3,0),8))</f>
        <v>0</v>
      </c>
      <c r="BP144" s="97">
        <f>IF(OR(AY144="SÁB",AY144="DOM"),0,IFERROR(8-VLOOKUP(S144,'Dados de consulta'!$A$2:$C$38,3,0),8))</f>
        <v>0</v>
      </c>
      <c r="BQ144" s="113">
        <f>IFERROR(6-VLOOKUP(T144,'Dados de consulta'!$A$2:$C$38,3,0)+2,6)</f>
        <v>6</v>
      </c>
      <c r="BR144" s="114">
        <f t="shared" si="76"/>
        <v>0</v>
      </c>
      <c r="BS144">
        <f t="shared" si="52"/>
        <v>0</v>
      </c>
      <c r="BU144">
        <f>IFERROR(8-VLOOKUP(U144,'Dados de consulta'!$A:$D,3,0),8)</f>
        <v>8</v>
      </c>
      <c r="BV144">
        <f>IFERROR(8-VLOOKUP(V144,'Dados de consulta'!$A:$D,3,0),8)</f>
        <v>8</v>
      </c>
      <c r="BW144">
        <f t="shared" si="77"/>
        <v>16</v>
      </c>
    </row>
    <row r="145" spans="1:75" ht="15" hidden="1" x14ac:dyDescent="0.2">
      <c r="A145" s="98">
        <v>42268</v>
      </c>
      <c r="B145" s="129" t="str">
        <f t="shared" si="53"/>
        <v>seg</v>
      </c>
      <c r="C145" s="132"/>
      <c r="D145" s="132"/>
      <c r="E145" s="132"/>
      <c r="F145" s="132"/>
      <c r="G145" s="132">
        <v>4</v>
      </c>
      <c r="H145" s="132">
        <v>8</v>
      </c>
      <c r="I145" s="132"/>
      <c r="J145" s="132"/>
      <c r="K145" s="132"/>
      <c r="L145" s="132"/>
      <c r="M145" s="132">
        <v>101</v>
      </c>
      <c r="N145" s="132">
        <v>18</v>
      </c>
      <c r="O145" s="132"/>
      <c r="P145" s="132"/>
      <c r="Q145" s="132"/>
      <c r="R145" s="132">
        <v>18</v>
      </c>
      <c r="S145" s="132"/>
      <c r="T145" s="132"/>
      <c r="U145" s="151"/>
      <c r="V145" s="151"/>
      <c r="W145" s="307" t="s">
        <v>193</v>
      </c>
      <c r="X145" s="308"/>
      <c r="Y145" s="38">
        <f t="shared" si="54"/>
        <v>16</v>
      </c>
      <c r="Z145" s="38">
        <f t="shared" si="55"/>
        <v>16</v>
      </c>
      <c r="AA145" s="38">
        <f t="shared" si="56"/>
        <v>0</v>
      </c>
      <c r="AB145" s="38">
        <f t="shared" si="64"/>
        <v>0</v>
      </c>
      <c r="AC145" s="38">
        <f t="shared" si="65"/>
        <v>0</v>
      </c>
      <c r="AD145" s="38">
        <f t="shared" si="66"/>
        <v>0</v>
      </c>
      <c r="AE145" s="38">
        <f t="shared" si="67"/>
        <v>0</v>
      </c>
      <c r="AF145" s="38">
        <f t="shared" si="68"/>
        <v>0</v>
      </c>
      <c r="AG145" s="33">
        <f t="shared" si="69"/>
        <v>16</v>
      </c>
      <c r="AH145" s="33">
        <f t="shared" si="70"/>
        <v>16</v>
      </c>
      <c r="AI145" s="33">
        <f t="shared" si="71"/>
        <v>0</v>
      </c>
      <c r="AJ145" s="33">
        <f t="shared" si="72"/>
        <v>0</v>
      </c>
      <c r="AK145" s="34">
        <f t="shared" si="73"/>
        <v>0.11267605633802817</v>
      </c>
      <c r="AL145" s="35">
        <f t="shared" si="74"/>
        <v>0.11267605633802817</v>
      </c>
      <c r="AM145" s="34">
        <f t="shared" si="57"/>
        <v>0</v>
      </c>
      <c r="AN145" s="36">
        <f t="shared" si="75"/>
        <v>0</v>
      </c>
      <c r="AO145" s="6">
        <f t="shared" si="58"/>
        <v>0</v>
      </c>
      <c r="AP145">
        <f t="shared" si="59"/>
        <v>8</v>
      </c>
      <c r="AQ145" s="6">
        <f t="shared" si="60"/>
        <v>0</v>
      </c>
      <c r="AR145" s="6">
        <f t="shared" si="61"/>
        <v>0</v>
      </c>
      <c r="AS145" s="6"/>
      <c r="AX145" s="95">
        <f t="shared" si="62"/>
        <v>42268</v>
      </c>
      <c r="AY145" s="96" t="str">
        <f t="shared" si="63"/>
        <v>seg</v>
      </c>
      <c r="AZ145" s="97">
        <f>IF(OR(AY145="SÁB",AY145="DOM"),0,IFERROR(8-VLOOKUP(C145,'Dados de consulta'!$A$2:$C$38,3,0),8))</f>
        <v>8</v>
      </c>
      <c r="BA145" s="97">
        <f>IF(OR(AY145="SÁB",AY145="DOM"),0,IFERROR(8-VLOOKUP(D145,'Dados de consulta'!$A$2:$C$38,3,0),8))</f>
        <v>8</v>
      </c>
      <c r="BB145" s="97">
        <f>IF(OR(AY145="SÁB",AY145="DOM"),0,IFERROR(8-VLOOKUP(E145,'Dados de consulta'!$A$2:$C$38,3,0),8))</f>
        <v>8</v>
      </c>
      <c r="BC145" s="97">
        <f>IF(OR(AY145="SÁB",AY145="DOM"),0,IFERROR(8-VLOOKUP(F145,'Dados de consulta'!$A$2:$C$38,3,0),8))</f>
        <v>8</v>
      </c>
      <c r="BD145" s="97">
        <f>IF(OR(AY145="SÁB",AY145="DOM"),0,IFERROR(8-VLOOKUP(G145,'Dados de consulta'!$A$2:$C$38,3,0),8))</f>
        <v>0</v>
      </c>
      <c r="BE145" s="97">
        <f>IF(OR(AY145="SÁB",AY145="DOM"),0,IFERROR(8-VLOOKUP(H145,'Dados de consulta'!$A$2:$C$38,3,0),8))</f>
        <v>0</v>
      </c>
      <c r="BF145" s="97">
        <f>IF(OR(AY145="SÁB",AY145="DOM"),0,IFERROR(8-VLOOKUP(I145,'Dados de consulta'!$A$2:$C$38,3,0),8))</f>
        <v>8</v>
      </c>
      <c r="BG145" s="97">
        <f>IF(OR(AY145="SÁB",AY145="DOM"),0,IFERROR(8-VLOOKUP(J145,'Dados de consulta'!$A$2:$C$38,3,0),8))</f>
        <v>8</v>
      </c>
      <c r="BH145" s="97">
        <f>IF(OR(AY145="SÁB",AY145="DOM"),0,IFERROR(8-VLOOKUP(K145,'Dados de consulta'!$A$2:$C$38,3,0),8))</f>
        <v>8</v>
      </c>
      <c r="BI145" s="97">
        <f>IF(OR(AY145="SÁB",AY145="DOM"),0,IFERROR(8-VLOOKUP(L145,'Dados de consulta'!$A$2:$C$38,3,0),8))</f>
        <v>8</v>
      </c>
      <c r="BJ145" s="97">
        <f>IF(OR(AY145="SÁB",AY145="DOM"),0,IFERROR(8-VLOOKUP(M145,'Dados de consulta'!$A$2:$C$38,3,0),8))</f>
        <v>0</v>
      </c>
      <c r="BK145" s="97">
        <f>IF(OR(AY145="SÁB",AY145="DOM"),0,IFERROR(8-VLOOKUP(N145,'Dados de consulta'!$A$2:$C$38,3,0),8))</f>
        <v>0</v>
      </c>
      <c r="BL145" s="97">
        <f>IF(OR(AY145="SÁB",AY145="DOM"),0,IFERROR(8-VLOOKUP(O145,'Dados de consulta'!$A$2:$C$38,3,0),8))</f>
        <v>8</v>
      </c>
      <c r="BM145" s="97">
        <f>IF(OR(AY145="SÁB",AY145="DOM"),0,IFERROR(8-VLOOKUP(P145,'Dados de consulta'!$A$2:$C$38,3,0),8))</f>
        <v>8</v>
      </c>
      <c r="BN145" s="97">
        <f>IF(OR(AY145="SÁB",AY145="DOM"),0,IFERROR(8-VLOOKUP(Q145,'Dados de consulta'!$A$2:$C$38,3,0),8))</f>
        <v>8</v>
      </c>
      <c r="BO145" s="97">
        <f>IF(OR(AY145="SÁB",AY145="DOM"),0,IFERROR(8-VLOOKUP(R145,'Dados de consulta'!$A$2:$C$38,3,0),8))</f>
        <v>0</v>
      </c>
      <c r="BP145" s="97">
        <f>IF(OR(AY145="SÁB",AY145="DOM"),0,IFERROR(8-VLOOKUP(S145,'Dados de consulta'!$A$2:$C$38,3,0),8))</f>
        <v>8</v>
      </c>
      <c r="BQ145" s="113">
        <f>IFERROR(6-VLOOKUP(T145,'Dados de consulta'!$A$2:$C$38,3,0)+2,6)</f>
        <v>6</v>
      </c>
      <c r="BR145" s="114">
        <f t="shared" si="76"/>
        <v>102</v>
      </c>
      <c r="BS145">
        <f t="shared" si="52"/>
        <v>134</v>
      </c>
      <c r="BU145">
        <f>IFERROR(8-VLOOKUP(U145,'Dados de consulta'!$A:$D,3,0),8)</f>
        <v>8</v>
      </c>
      <c r="BV145">
        <f>IFERROR(8-VLOOKUP(V145,'Dados de consulta'!$A:$D,3,0),8)</f>
        <v>8</v>
      </c>
      <c r="BW145">
        <f t="shared" si="77"/>
        <v>16</v>
      </c>
    </row>
    <row r="146" spans="1:75" ht="15" hidden="1" x14ac:dyDescent="0.2">
      <c r="A146" s="98">
        <v>42269</v>
      </c>
      <c r="B146" s="129" t="str">
        <f t="shared" si="53"/>
        <v>ter</v>
      </c>
      <c r="C146" s="132"/>
      <c r="D146" s="132"/>
      <c r="E146" s="132"/>
      <c r="F146" s="132"/>
      <c r="G146" s="132">
        <v>4</v>
      </c>
      <c r="H146" s="132">
        <v>8</v>
      </c>
      <c r="I146" s="132"/>
      <c r="J146" s="132"/>
      <c r="K146" s="132"/>
      <c r="L146" s="132"/>
      <c r="M146" s="132">
        <v>101</v>
      </c>
      <c r="N146" s="132">
        <v>18</v>
      </c>
      <c r="O146" s="132"/>
      <c r="P146" s="132"/>
      <c r="Q146" s="132"/>
      <c r="R146" s="132">
        <v>18</v>
      </c>
      <c r="S146" s="132"/>
      <c r="T146" s="132"/>
      <c r="U146" s="151"/>
      <c r="V146" s="151" t="s">
        <v>196</v>
      </c>
      <c r="W146" s="307" t="s">
        <v>193</v>
      </c>
      <c r="X146" s="308"/>
      <c r="Y146" s="38">
        <f t="shared" si="54"/>
        <v>16</v>
      </c>
      <c r="Z146" s="38">
        <f t="shared" si="55"/>
        <v>16</v>
      </c>
      <c r="AA146" s="38">
        <f t="shared" si="56"/>
        <v>0</v>
      </c>
      <c r="AB146" s="38">
        <f t="shared" si="64"/>
        <v>0</v>
      </c>
      <c r="AC146" s="38">
        <f t="shared" si="65"/>
        <v>0</v>
      </c>
      <c r="AD146" s="38">
        <f t="shared" si="66"/>
        <v>0</v>
      </c>
      <c r="AE146" s="38">
        <f t="shared" si="67"/>
        <v>0</v>
      </c>
      <c r="AF146" s="38">
        <f t="shared" si="68"/>
        <v>0</v>
      </c>
      <c r="AG146" s="33">
        <f t="shared" si="69"/>
        <v>16</v>
      </c>
      <c r="AH146" s="33">
        <f t="shared" si="70"/>
        <v>16</v>
      </c>
      <c r="AI146" s="33">
        <f t="shared" si="71"/>
        <v>0</v>
      </c>
      <c r="AJ146" s="33">
        <f t="shared" si="72"/>
        <v>0</v>
      </c>
      <c r="AK146" s="34">
        <f t="shared" si="73"/>
        <v>0.11267605633802817</v>
      </c>
      <c r="AL146" s="35">
        <f t="shared" si="74"/>
        <v>0.11267605633802817</v>
      </c>
      <c r="AM146" s="34">
        <f t="shared" si="57"/>
        <v>0</v>
      </c>
      <c r="AN146" s="36">
        <f t="shared" si="75"/>
        <v>0</v>
      </c>
      <c r="AO146" s="6">
        <f t="shared" si="58"/>
        <v>0</v>
      </c>
      <c r="AP146">
        <f t="shared" si="59"/>
        <v>8</v>
      </c>
      <c r="AQ146" s="6">
        <f t="shared" si="60"/>
        <v>0</v>
      </c>
      <c r="AR146" s="6">
        <f t="shared" si="61"/>
        <v>0</v>
      </c>
      <c r="AS146" s="6"/>
      <c r="AX146" s="95">
        <f t="shared" si="62"/>
        <v>42269</v>
      </c>
      <c r="AY146" s="96" t="str">
        <f t="shared" si="63"/>
        <v>ter</v>
      </c>
      <c r="AZ146" s="97">
        <f>IF(OR(AY146="SÁB",AY146="DOM"),0,IFERROR(8-VLOOKUP(C146,'Dados de consulta'!$A$2:$C$38,3,0),8))</f>
        <v>8</v>
      </c>
      <c r="BA146" s="97">
        <f>IF(OR(AY146="SÁB",AY146="DOM"),0,IFERROR(8-VLOOKUP(D146,'Dados de consulta'!$A$2:$C$38,3,0),8))</f>
        <v>8</v>
      </c>
      <c r="BB146" s="97">
        <f>IF(OR(AY146="SÁB",AY146="DOM"),0,IFERROR(8-VLOOKUP(E146,'Dados de consulta'!$A$2:$C$38,3,0),8))</f>
        <v>8</v>
      </c>
      <c r="BC146" s="97">
        <f>IF(OR(AY146="SÁB",AY146="DOM"),0,IFERROR(8-VLOOKUP(F146,'Dados de consulta'!$A$2:$C$38,3,0),8))</f>
        <v>8</v>
      </c>
      <c r="BD146" s="97">
        <f>IF(OR(AY146="SÁB",AY146="DOM"),0,IFERROR(8-VLOOKUP(G146,'Dados de consulta'!$A$2:$C$38,3,0),8))</f>
        <v>0</v>
      </c>
      <c r="BE146" s="97">
        <f>IF(OR(AY146="SÁB",AY146="DOM"),0,IFERROR(8-VLOOKUP(H146,'Dados de consulta'!$A$2:$C$38,3,0),8))</f>
        <v>0</v>
      </c>
      <c r="BF146" s="97">
        <f>IF(OR(AY146="SÁB",AY146="DOM"),0,IFERROR(8-VLOOKUP(I146,'Dados de consulta'!$A$2:$C$38,3,0),8))</f>
        <v>8</v>
      </c>
      <c r="BG146" s="97">
        <f>IF(OR(AY146="SÁB",AY146="DOM"),0,IFERROR(8-VLOOKUP(J146,'Dados de consulta'!$A$2:$C$38,3,0),8))</f>
        <v>8</v>
      </c>
      <c r="BH146" s="97">
        <f>IF(OR(AY146="SÁB",AY146="DOM"),0,IFERROR(8-VLOOKUP(K146,'Dados de consulta'!$A$2:$C$38,3,0),8))</f>
        <v>8</v>
      </c>
      <c r="BI146" s="97">
        <f>IF(OR(AY146="SÁB",AY146="DOM"),0,IFERROR(8-VLOOKUP(L146,'Dados de consulta'!$A$2:$C$38,3,0),8))</f>
        <v>8</v>
      </c>
      <c r="BJ146" s="97">
        <f>IF(OR(AY146="SÁB",AY146="DOM"),0,IFERROR(8-VLOOKUP(M146,'Dados de consulta'!$A$2:$C$38,3,0),8))</f>
        <v>0</v>
      </c>
      <c r="BK146" s="97">
        <f>IF(OR(AY146="SÁB",AY146="DOM"),0,IFERROR(8-VLOOKUP(N146,'Dados de consulta'!$A$2:$C$38,3,0),8))</f>
        <v>0</v>
      </c>
      <c r="BL146" s="97">
        <f>IF(OR(AY146="SÁB",AY146="DOM"),0,IFERROR(8-VLOOKUP(O146,'Dados de consulta'!$A$2:$C$38,3,0),8))</f>
        <v>8</v>
      </c>
      <c r="BM146" s="97">
        <f>IF(OR(AY146="SÁB",AY146="DOM"),0,IFERROR(8-VLOOKUP(P146,'Dados de consulta'!$A$2:$C$38,3,0),8))</f>
        <v>8</v>
      </c>
      <c r="BN146" s="97">
        <f>IF(OR(AY146="SÁB",AY146="DOM"),0,IFERROR(8-VLOOKUP(Q146,'Dados de consulta'!$A$2:$C$38,3,0),8))</f>
        <v>8</v>
      </c>
      <c r="BO146" s="97">
        <f>IF(OR(AY146="SÁB",AY146="DOM"),0,IFERROR(8-VLOOKUP(R146,'Dados de consulta'!$A$2:$C$38,3,0),8))</f>
        <v>0</v>
      </c>
      <c r="BP146" s="97">
        <f>IF(OR(AY146="SÁB",AY146="DOM"),0,IFERROR(8-VLOOKUP(S146,'Dados de consulta'!$A$2:$C$38,3,0),8))</f>
        <v>8</v>
      </c>
      <c r="BQ146" s="113">
        <f>IFERROR(6-VLOOKUP(T146,'Dados de consulta'!$A$2:$C$38,3,0)+2,6)</f>
        <v>6</v>
      </c>
      <c r="BR146" s="114">
        <f t="shared" si="76"/>
        <v>102</v>
      </c>
      <c r="BS146">
        <f t="shared" si="52"/>
        <v>134</v>
      </c>
      <c r="BU146">
        <f>IFERROR(8-VLOOKUP(U146,'Dados de consulta'!$A:$D,3,0),8)</f>
        <v>8</v>
      </c>
      <c r="BV146">
        <f>IFERROR(8-VLOOKUP(V146,'Dados de consulta'!$A:$D,3,0),8)</f>
        <v>4</v>
      </c>
      <c r="BW146">
        <f t="shared" si="77"/>
        <v>12</v>
      </c>
    </row>
    <row r="147" spans="1:75" ht="15" hidden="1" x14ac:dyDescent="0.2">
      <c r="A147" s="98">
        <v>42270</v>
      </c>
      <c r="B147" s="129" t="str">
        <f t="shared" si="53"/>
        <v>qua</v>
      </c>
      <c r="C147" s="132"/>
      <c r="D147" s="132"/>
      <c r="E147" s="132"/>
      <c r="F147" s="132"/>
      <c r="G147" s="132">
        <v>4</v>
      </c>
      <c r="H147" s="132">
        <v>8</v>
      </c>
      <c r="I147" s="132">
        <v>8</v>
      </c>
      <c r="J147" s="132"/>
      <c r="K147" s="132"/>
      <c r="L147" s="132"/>
      <c r="M147" s="132">
        <v>101</v>
      </c>
      <c r="N147" s="132">
        <v>18</v>
      </c>
      <c r="O147" s="132"/>
      <c r="P147" s="132"/>
      <c r="Q147" s="132"/>
      <c r="R147" s="132">
        <v>18</v>
      </c>
      <c r="S147" s="132"/>
      <c r="T147" s="132"/>
      <c r="U147" s="151"/>
      <c r="V147" s="151"/>
      <c r="W147" s="307" t="s">
        <v>193</v>
      </c>
      <c r="X147" s="308"/>
      <c r="Y147" s="38">
        <f t="shared" si="54"/>
        <v>24</v>
      </c>
      <c r="Z147" s="38">
        <f t="shared" si="55"/>
        <v>16</v>
      </c>
      <c r="AA147" s="38">
        <f t="shared" si="56"/>
        <v>0</v>
      </c>
      <c r="AB147" s="38">
        <f t="shared" si="64"/>
        <v>0</v>
      </c>
      <c r="AC147" s="38">
        <f t="shared" si="65"/>
        <v>0</v>
      </c>
      <c r="AD147" s="38">
        <f t="shared" si="66"/>
        <v>0</v>
      </c>
      <c r="AE147" s="38">
        <f t="shared" si="67"/>
        <v>0</v>
      </c>
      <c r="AF147" s="38">
        <f t="shared" si="68"/>
        <v>0</v>
      </c>
      <c r="AG147" s="33">
        <f t="shared" si="69"/>
        <v>24</v>
      </c>
      <c r="AH147" s="33">
        <f t="shared" si="70"/>
        <v>16</v>
      </c>
      <c r="AI147" s="33">
        <f t="shared" si="71"/>
        <v>0</v>
      </c>
      <c r="AJ147" s="33">
        <f t="shared" si="72"/>
        <v>0</v>
      </c>
      <c r="AK147" s="34">
        <f t="shared" si="73"/>
        <v>0.16901408450704225</v>
      </c>
      <c r="AL147" s="35">
        <f t="shared" si="74"/>
        <v>0.11267605633802817</v>
      </c>
      <c r="AM147" s="34">
        <f t="shared" si="57"/>
        <v>0</v>
      </c>
      <c r="AN147" s="36">
        <f t="shared" si="75"/>
        <v>0</v>
      </c>
      <c r="AO147" s="6">
        <f t="shared" si="58"/>
        <v>0</v>
      </c>
      <c r="AP147">
        <f t="shared" si="59"/>
        <v>8</v>
      </c>
      <c r="AQ147" s="6">
        <f t="shared" si="60"/>
        <v>0</v>
      </c>
      <c r="AR147" s="6">
        <f t="shared" si="61"/>
        <v>0</v>
      </c>
      <c r="AS147" s="6"/>
      <c r="AX147" s="95">
        <f t="shared" si="62"/>
        <v>42270</v>
      </c>
      <c r="AY147" s="96" t="str">
        <f t="shared" si="63"/>
        <v>qua</v>
      </c>
      <c r="AZ147" s="97">
        <f>IF(OR(AY147="SÁB",AY147="DOM"),0,IFERROR(8-VLOOKUP(C147,'Dados de consulta'!$A$2:$C$38,3,0),8))</f>
        <v>8</v>
      </c>
      <c r="BA147" s="97">
        <f>IF(OR(AY147="SÁB",AY147="DOM"),0,IFERROR(8-VLOOKUP(D147,'Dados de consulta'!$A$2:$C$38,3,0),8))</f>
        <v>8</v>
      </c>
      <c r="BB147" s="97">
        <f>IF(OR(AY147="SÁB",AY147="DOM"),0,IFERROR(8-VLOOKUP(E147,'Dados de consulta'!$A$2:$C$38,3,0),8))</f>
        <v>8</v>
      </c>
      <c r="BC147" s="97">
        <f>IF(OR(AY147="SÁB",AY147="DOM"),0,IFERROR(8-VLOOKUP(F147,'Dados de consulta'!$A$2:$C$38,3,0),8))</f>
        <v>8</v>
      </c>
      <c r="BD147" s="97">
        <f>IF(OR(AY147="SÁB",AY147="DOM"),0,IFERROR(8-VLOOKUP(G147,'Dados de consulta'!$A$2:$C$38,3,0),8))</f>
        <v>0</v>
      </c>
      <c r="BE147" s="97">
        <f>IF(OR(AY147="SÁB",AY147="DOM"),0,IFERROR(8-VLOOKUP(H147,'Dados de consulta'!$A$2:$C$38,3,0),8))</f>
        <v>0</v>
      </c>
      <c r="BF147" s="97">
        <f>IF(OR(AY147="SÁB",AY147="DOM"),0,IFERROR(8-VLOOKUP(I147,'Dados de consulta'!$A$2:$C$38,3,0),8))</f>
        <v>0</v>
      </c>
      <c r="BG147" s="97">
        <f>IF(OR(AY147="SÁB",AY147="DOM"),0,IFERROR(8-VLOOKUP(J147,'Dados de consulta'!$A$2:$C$38,3,0),8))</f>
        <v>8</v>
      </c>
      <c r="BH147" s="97">
        <f>IF(OR(AY147="SÁB",AY147="DOM"),0,IFERROR(8-VLOOKUP(K147,'Dados de consulta'!$A$2:$C$38,3,0),8))</f>
        <v>8</v>
      </c>
      <c r="BI147" s="97">
        <f>IF(OR(AY147="SÁB",AY147="DOM"),0,IFERROR(8-VLOOKUP(L147,'Dados de consulta'!$A$2:$C$38,3,0),8))</f>
        <v>8</v>
      </c>
      <c r="BJ147" s="97">
        <f>IF(OR(AY147="SÁB",AY147="DOM"),0,IFERROR(8-VLOOKUP(M147,'Dados de consulta'!$A$2:$C$38,3,0),8))</f>
        <v>0</v>
      </c>
      <c r="BK147" s="97">
        <f>IF(OR(AY147="SÁB",AY147="DOM"),0,IFERROR(8-VLOOKUP(N147,'Dados de consulta'!$A$2:$C$38,3,0),8))</f>
        <v>0</v>
      </c>
      <c r="BL147" s="97">
        <f>IF(OR(AY147="SÁB",AY147="DOM"),0,IFERROR(8-VLOOKUP(O147,'Dados de consulta'!$A$2:$C$38,3,0),8))</f>
        <v>8</v>
      </c>
      <c r="BM147" s="97">
        <f>IF(OR(AY147="SÁB",AY147="DOM"),0,IFERROR(8-VLOOKUP(P147,'Dados de consulta'!$A$2:$C$38,3,0),8))</f>
        <v>8</v>
      </c>
      <c r="BN147" s="97">
        <f>IF(OR(AY147="SÁB",AY147="DOM"),0,IFERROR(8-VLOOKUP(Q147,'Dados de consulta'!$A$2:$C$38,3,0),8))</f>
        <v>8</v>
      </c>
      <c r="BO147" s="97">
        <f>IF(OR(AY147="SÁB",AY147="DOM"),0,IFERROR(8-VLOOKUP(R147,'Dados de consulta'!$A$2:$C$38,3,0),8))</f>
        <v>0</v>
      </c>
      <c r="BP147" s="97">
        <f>IF(OR(AY147="SÁB",AY147="DOM"),0,IFERROR(8-VLOOKUP(S147,'Dados de consulta'!$A$2:$C$38,3,0),8))</f>
        <v>8</v>
      </c>
      <c r="BQ147" s="113">
        <f>IFERROR(6-VLOOKUP(T147,'Dados de consulta'!$A$2:$C$38,3,0)+2,6)</f>
        <v>6</v>
      </c>
      <c r="BR147" s="114">
        <f t="shared" si="76"/>
        <v>94</v>
      </c>
      <c r="BS147">
        <f t="shared" si="52"/>
        <v>134</v>
      </c>
      <c r="BU147">
        <f>IFERROR(8-VLOOKUP(U147,'Dados de consulta'!$A:$D,3,0),8)</f>
        <v>8</v>
      </c>
      <c r="BV147">
        <f>IFERROR(8-VLOOKUP(V147,'Dados de consulta'!$A:$D,3,0),8)</f>
        <v>8</v>
      </c>
      <c r="BW147">
        <f t="shared" si="77"/>
        <v>16</v>
      </c>
    </row>
    <row r="148" spans="1:75" ht="15" hidden="1" x14ac:dyDescent="0.2">
      <c r="A148" s="98">
        <v>42271</v>
      </c>
      <c r="B148" s="129" t="str">
        <f t="shared" si="53"/>
        <v>qui</v>
      </c>
      <c r="C148" s="132" t="s">
        <v>195</v>
      </c>
      <c r="D148" s="132"/>
      <c r="E148" s="132">
        <v>6</v>
      </c>
      <c r="F148" s="132">
        <v>6</v>
      </c>
      <c r="G148" s="132">
        <v>4</v>
      </c>
      <c r="H148" s="132">
        <v>8</v>
      </c>
      <c r="I148" s="132">
        <v>8</v>
      </c>
      <c r="J148" s="132">
        <v>6</v>
      </c>
      <c r="K148" s="132">
        <v>6</v>
      </c>
      <c r="L148" s="132" t="s">
        <v>195</v>
      </c>
      <c r="M148" s="132">
        <v>101</v>
      </c>
      <c r="N148" s="132">
        <v>18</v>
      </c>
      <c r="O148" s="132">
        <v>6</v>
      </c>
      <c r="P148" s="132"/>
      <c r="Q148" s="132">
        <v>6</v>
      </c>
      <c r="R148" s="132">
        <v>18</v>
      </c>
      <c r="S148" s="132"/>
      <c r="T148" s="132"/>
      <c r="U148" s="151"/>
      <c r="V148" s="151"/>
      <c r="W148" s="307" t="s">
        <v>193</v>
      </c>
      <c r="X148" s="308"/>
      <c r="Y148" s="38">
        <f t="shared" si="54"/>
        <v>24</v>
      </c>
      <c r="Z148" s="38">
        <f t="shared" si="55"/>
        <v>16</v>
      </c>
      <c r="AA148" s="38">
        <f t="shared" si="56"/>
        <v>0</v>
      </c>
      <c r="AB148" s="38">
        <f t="shared" si="64"/>
        <v>56</v>
      </c>
      <c r="AC148" s="38">
        <f t="shared" si="65"/>
        <v>0</v>
      </c>
      <c r="AD148" s="38">
        <f t="shared" si="66"/>
        <v>0</v>
      </c>
      <c r="AE148" s="38">
        <f t="shared" si="67"/>
        <v>0</v>
      </c>
      <c r="AF148" s="38">
        <f t="shared" si="68"/>
        <v>0</v>
      </c>
      <c r="AG148" s="33">
        <f t="shared" si="69"/>
        <v>24</v>
      </c>
      <c r="AH148" s="33">
        <f t="shared" si="70"/>
        <v>16</v>
      </c>
      <c r="AI148" s="33">
        <f t="shared" si="71"/>
        <v>0</v>
      </c>
      <c r="AJ148" s="33">
        <f t="shared" si="72"/>
        <v>56</v>
      </c>
      <c r="AK148" s="34">
        <f t="shared" si="73"/>
        <v>0.16901408450704225</v>
      </c>
      <c r="AL148" s="35">
        <f t="shared" si="74"/>
        <v>0.11267605633802817</v>
      </c>
      <c r="AM148" s="34">
        <f t="shared" si="57"/>
        <v>0</v>
      </c>
      <c r="AN148" s="36">
        <f t="shared" si="75"/>
        <v>0.39436619718309857</v>
      </c>
      <c r="AO148" s="6">
        <f t="shared" si="58"/>
        <v>0</v>
      </c>
      <c r="AP148">
        <f t="shared" si="59"/>
        <v>8</v>
      </c>
      <c r="AQ148" s="6">
        <f t="shared" si="60"/>
        <v>0</v>
      </c>
      <c r="AR148" s="6">
        <f t="shared" si="61"/>
        <v>0</v>
      </c>
      <c r="AS148" s="6"/>
      <c r="AX148" s="95">
        <f t="shared" si="62"/>
        <v>42271</v>
      </c>
      <c r="AY148" s="96" t="str">
        <f t="shared" si="63"/>
        <v>qui</v>
      </c>
      <c r="AZ148" s="97">
        <f>IF(OR(AY148="SÁB",AY148="DOM"),0,IFERROR(8-VLOOKUP(C148,'Dados de consulta'!$A$2:$C$38,3,0),8))</f>
        <v>4</v>
      </c>
      <c r="BA148" s="97">
        <f>IF(OR(AY148="SÁB",AY148="DOM"),0,IFERROR(8-VLOOKUP(D148,'Dados de consulta'!$A$2:$C$38,3,0),8))</f>
        <v>8</v>
      </c>
      <c r="BB148" s="97">
        <f>IF(OR(AY148="SÁB",AY148="DOM"),0,IFERROR(8-VLOOKUP(E148,'Dados de consulta'!$A$2:$C$38,3,0),8))</f>
        <v>0</v>
      </c>
      <c r="BC148" s="97">
        <f>IF(OR(AY148="SÁB",AY148="DOM"),0,IFERROR(8-VLOOKUP(F148,'Dados de consulta'!$A$2:$C$38,3,0),8))</f>
        <v>0</v>
      </c>
      <c r="BD148" s="97">
        <f>IF(OR(AY148="SÁB",AY148="DOM"),0,IFERROR(8-VLOOKUP(G148,'Dados de consulta'!$A$2:$C$38,3,0),8))</f>
        <v>0</v>
      </c>
      <c r="BE148" s="97">
        <f>IF(OR(AY148="SÁB",AY148="DOM"),0,IFERROR(8-VLOOKUP(H148,'Dados de consulta'!$A$2:$C$38,3,0),8))</f>
        <v>0</v>
      </c>
      <c r="BF148" s="97">
        <f>IF(OR(AY148="SÁB",AY148="DOM"),0,IFERROR(8-VLOOKUP(I148,'Dados de consulta'!$A$2:$C$38,3,0),8))</f>
        <v>0</v>
      </c>
      <c r="BG148" s="97">
        <f>IF(OR(AY148="SÁB",AY148="DOM"),0,IFERROR(8-VLOOKUP(J148,'Dados de consulta'!$A$2:$C$38,3,0),8))</f>
        <v>0</v>
      </c>
      <c r="BH148" s="97">
        <f>IF(OR(AY148="SÁB",AY148="DOM"),0,IFERROR(8-VLOOKUP(K148,'Dados de consulta'!$A$2:$C$38,3,0),8))</f>
        <v>0</v>
      </c>
      <c r="BI148" s="97">
        <f>IF(OR(AY148="SÁB",AY148="DOM"),0,IFERROR(8-VLOOKUP(L148,'Dados de consulta'!$A$2:$C$38,3,0),8))</f>
        <v>4</v>
      </c>
      <c r="BJ148" s="97">
        <f>IF(OR(AY148="SÁB",AY148="DOM"),0,IFERROR(8-VLOOKUP(M148,'Dados de consulta'!$A$2:$C$38,3,0),8))</f>
        <v>0</v>
      </c>
      <c r="BK148" s="97">
        <f>IF(OR(AY148="SÁB",AY148="DOM"),0,IFERROR(8-VLOOKUP(N148,'Dados de consulta'!$A$2:$C$38,3,0),8))</f>
        <v>0</v>
      </c>
      <c r="BL148" s="97">
        <f>IF(OR(AY148="SÁB",AY148="DOM"),0,IFERROR(8-VLOOKUP(O148,'Dados de consulta'!$A$2:$C$38,3,0),8))</f>
        <v>0</v>
      </c>
      <c r="BM148" s="97">
        <f>IF(OR(AY148="SÁB",AY148="DOM"),0,IFERROR(8-VLOOKUP(P148,'Dados de consulta'!$A$2:$C$38,3,0),8))</f>
        <v>8</v>
      </c>
      <c r="BN148" s="97">
        <f>IF(OR(AY148="SÁB",AY148="DOM"),0,IFERROR(8-VLOOKUP(Q148,'Dados de consulta'!$A$2:$C$38,3,0),8))</f>
        <v>0</v>
      </c>
      <c r="BO148" s="97">
        <f>IF(OR(AY148="SÁB",AY148="DOM"),0,IFERROR(8-VLOOKUP(R148,'Dados de consulta'!$A$2:$C$38,3,0),8))</f>
        <v>0</v>
      </c>
      <c r="BP148" s="97">
        <f>IF(OR(AY148="SÁB",AY148="DOM"),0,IFERROR(8-VLOOKUP(S148,'Dados de consulta'!$A$2:$C$38,3,0),8))</f>
        <v>8</v>
      </c>
      <c r="BQ148" s="113">
        <f>IFERROR(6-VLOOKUP(T148,'Dados de consulta'!$A$2:$C$38,3,0)+2,6)</f>
        <v>6</v>
      </c>
      <c r="BR148" s="114">
        <f t="shared" si="76"/>
        <v>38</v>
      </c>
      <c r="BS148">
        <f t="shared" si="52"/>
        <v>134</v>
      </c>
      <c r="BU148">
        <f>IFERROR(8-VLOOKUP(U148,'Dados de consulta'!$A:$D,3,0),8)</f>
        <v>8</v>
      </c>
      <c r="BV148">
        <f>IFERROR(8-VLOOKUP(V148,'Dados de consulta'!$A:$D,3,0),8)</f>
        <v>8</v>
      </c>
      <c r="BW148">
        <f t="shared" si="77"/>
        <v>16</v>
      </c>
    </row>
    <row r="149" spans="1:75" ht="15" hidden="1" x14ac:dyDescent="0.2">
      <c r="A149" s="98">
        <v>42272</v>
      </c>
      <c r="B149" s="129" t="str">
        <f t="shared" si="53"/>
        <v>sex</v>
      </c>
      <c r="C149" s="132"/>
      <c r="D149" s="132"/>
      <c r="E149" s="132"/>
      <c r="F149" s="132"/>
      <c r="G149" s="132">
        <v>4</v>
      </c>
      <c r="H149" s="132">
        <v>8</v>
      </c>
      <c r="I149" s="132">
        <v>8</v>
      </c>
      <c r="J149" s="132"/>
      <c r="K149" s="132"/>
      <c r="L149" s="132"/>
      <c r="M149" s="132">
        <v>101</v>
      </c>
      <c r="N149" s="132">
        <v>18</v>
      </c>
      <c r="O149" s="132"/>
      <c r="P149" s="132"/>
      <c r="Q149" s="132"/>
      <c r="R149" s="132">
        <v>18</v>
      </c>
      <c r="S149" s="132"/>
      <c r="T149" s="132"/>
      <c r="U149" s="151"/>
      <c r="V149" s="151"/>
      <c r="W149" s="307" t="s">
        <v>193</v>
      </c>
      <c r="X149" s="308"/>
      <c r="Y149" s="38">
        <f t="shared" si="54"/>
        <v>24</v>
      </c>
      <c r="Z149" s="38">
        <f t="shared" si="55"/>
        <v>16</v>
      </c>
      <c r="AA149" s="38">
        <f t="shared" si="56"/>
        <v>0</v>
      </c>
      <c r="AB149" s="38">
        <f t="shared" si="64"/>
        <v>0</v>
      </c>
      <c r="AC149" s="38">
        <f t="shared" si="65"/>
        <v>0</v>
      </c>
      <c r="AD149" s="38">
        <f t="shared" si="66"/>
        <v>0</v>
      </c>
      <c r="AE149" s="38">
        <f t="shared" si="67"/>
        <v>0</v>
      </c>
      <c r="AF149" s="38">
        <f t="shared" si="68"/>
        <v>0</v>
      </c>
      <c r="AG149" s="33">
        <f t="shared" si="69"/>
        <v>24</v>
      </c>
      <c r="AH149" s="33">
        <f t="shared" si="70"/>
        <v>16</v>
      </c>
      <c r="AI149" s="33">
        <f t="shared" si="71"/>
        <v>0</v>
      </c>
      <c r="AJ149" s="33">
        <f t="shared" si="72"/>
        <v>0</v>
      </c>
      <c r="AK149" s="34">
        <f t="shared" si="73"/>
        <v>0.16901408450704225</v>
      </c>
      <c r="AL149" s="35">
        <f t="shared" si="74"/>
        <v>0.11267605633802817</v>
      </c>
      <c r="AM149" s="34">
        <f t="shared" si="57"/>
        <v>0</v>
      </c>
      <c r="AN149" s="36">
        <f t="shared" si="75"/>
        <v>0</v>
      </c>
      <c r="AO149" s="6">
        <f t="shared" si="58"/>
        <v>0</v>
      </c>
      <c r="AP149">
        <f t="shared" si="59"/>
        <v>8</v>
      </c>
      <c r="AQ149" s="6">
        <f t="shared" si="60"/>
        <v>0</v>
      </c>
      <c r="AR149" s="6">
        <f t="shared" si="61"/>
        <v>0</v>
      </c>
      <c r="AS149" s="6"/>
      <c r="AX149" s="95">
        <f t="shared" si="62"/>
        <v>42272</v>
      </c>
      <c r="AY149" s="96" t="str">
        <f t="shared" si="63"/>
        <v>sex</v>
      </c>
      <c r="AZ149" s="97">
        <f>IF(OR(AY149="SÁB",AY149="DOM"),0,IFERROR(8-VLOOKUP(C149,'Dados de consulta'!$A$2:$C$38,3,0),8))</f>
        <v>8</v>
      </c>
      <c r="BA149" s="97">
        <f>IF(OR(AY149="SÁB",AY149="DOM"),0,IFERROR(8-VLOOKUP(D149,'Dados de consulta'!$A$2:$C$38,3,0),8))</f>
        <v>8</v>
      </c>
      <c r="BB149" s="97">
        <f>IF(OR(AY149="SÁB",AY149="DOM"),0,IFERROR(8-VLOOKUP(E149,'Dados de consulta'!$A$2:$C$38,3,0),8))</f>
        <v>8</v>
      </c>
      <c r="BC149" s="97">
        <f>IF(OR(AY149="SÁB",AY149="DOM"),0,IFERROR(8-VLOOKUP(F149,'Dados de consulta'!$A$2:$C$38,3,0),8))</f>
        <v>8</v>
      </c>
      <c r="BD149" s="97">
        <f>IF(OR(AY149="SÁB",AY149="DOM"),0,IFERROR(8-VLOOKUP(G149,'Dados de consulta'!$A$2:$C$38,3,0),8))</f>
        <v>0</v>
      </c>
      <c r="BE149" s="97">
        <f>IF(OR(AY149="SÁB",AY149="DOM"),0,IFERROR(8-VLOOKUP(H149,'Dados de consulta'!$A$2:$C$38,3,0),8))</f>
        <v>0</v>
      </c>
      <c r="BF149" s="97">
        <f>IF(OR(AY149="SÁB",AY149="DOM"),0,IFERROR(8-VLOOKUP(I149,'Dados de consulta'!$A$2:$C$38,3,0),8))</f>
        <v>0</v>
      </c>
      <c r="BG149" s="97">
        <f>IF(OR(AY149="SÁB",AY149="DOM"),0,IFERROR(8-VLOOKUP(J149,'Dados de consulta'!$A$2:$C$38,3,0),8))</f>
        <v>8</v>
      </c>
      <c r="BH149" s="97">
        <f>IF(OR(AY149="SÁB",AY149="DOM"),0,IFERROR(8-VLOOKUP(K149,'Dados de consulta'!$A$2:$C$38,3,0),8))</f>
        <v>8</v>
      </c>
      <c r="BI149" s="97">
        <f>IF(OR(AY149="SÁB",AY149="DOM"),0,IFERROR(8-VLOOKUP(L149,'Dados de consulta'!$A$2:$C$38,3,0),8))</f>
        <v>8</v>
      </c>
      <c r="BJ149" s="97">
        <f>IF(OR(AY149="SÁB",AY149="DOM"),0,IFERROR(8-VLOOKUP(M149,'Dados de consulta'!$A$2:$C$38,3,0),8))</f>
        <v>0</v>
      </c>
      <c r="BK149" s="97">
        <f>IF(OR(AY149="SÁB",AY149="DOM"),0,IFERROR(8-VLOOKUP(N149,'Dados de consulta'!$A$2:$C$38,3,0),8))</f>
        <v>0</v>
      </c>
      <c r="BL149" s="97">
        <f>IF(OR(AY149="SÁB",AY149="DOM"),0,IFERROR(8-VLOOKUP(O149,'Dados de consulta'!$A$2:$C$38,3,0),8))</f>
        <v>8</v>
      </c>
      <c r="BM149" s="97">
        <f>IF(OR(AY149="SÁB",AY149="DOM"),0,IFERROR(8-VLOOKUP(P149,'Dados de consulta'!$A$2:$C$38,3,0),8))</f>
        <v>8</v>
      </c>
      <c r="BN149" s="97">
        <f>IF(OR(AY149="SÁB",AY149="DOM"),0,IFERROR(8-VLOOKUP(Q149,'Dados de consulta'!$A$2:$C$38,3,0),8))</f>
        <v>8</v>
      </c>
      <c r="BO149" s="97">
        <f>IF(OR(AY149="SÁB",AY149="DOM"),0,IFERROR(8-VLOOKUP(R149,'Dados de consulta'!$A$2:$C$38,3,0),8))</f>
        <v>0</v>
      </c>
      <c r="BP149" s="97">
        <f>IF(OR(AY149="SÁB",AY149="DOM"),0,IFERROR(8-VLOOKUP(S149,'Dados de consulta'!$A$2:$C$38,3,0),8))</f>
        <v>8</v>
      </c>
      <c r="BQ149" s="113">
        <f>IFERROR(6-VLOOKUP(T149,'Dados de consulta'!$A$2:$C$38,3,0)+2,6)</f>
        <v>6</v>
      </c>
      <c r="BR149" s="114">
        <f t="shared" si="76"/>
        <v>94</v>
      </c>
      <c r="BS149">
        <f t="shared" si="52"/>
        <v>134</v>
      </c>
      <c r="BU149">
        <f>IFERROR(8-VLOOKUP(U149,'Dados de consulta'!$A:$D,3,0),8)</f>
        <v>8</v>
      </c>
      <c r="BV149">
        <f>IFERROR(8-VLOOKUP(V149,'Dados de consulta'!$A:$D,3,0),8)</f>
        <v>8</v>
      </c>
      <c r="BW149">
        <f t="shared" si="77"/>
        <v>16</v>
      </c>
    </row>
    <row r="150" spans="1:75" ht="15" hidden="1" x14ac:dyDescent="0.2">
      <c r="A150" s="98">
        <v>42273</v>
      </c>
      <c r="B150" s="129" t="str">
        <f t="shared" si="53"/>
        <v>sáb</v>
      </c>
      <c r="C150" s="132"/>
      <c r="D150" s="132"/>
      <c r="E150" s="132"/>
      <c r="F150" s="132"/>
      <c r="G150" s="132">
        <v>4</v>
      </c>
      <c r="H150" s="132">
        <v>8</v>
      </c>
      <c r="I150" s="132"/>
      <c r="J150" s="132"/>
      <c r="K150" s="132"/>
      <c r="L150" s="132"/>
      <c r="M150" s="132">
        <v>101</v>
      </c>
      <c r="N150" s="132">
        <v>18</v>
      </c>
      <c r="O150" s="132"/>
      <c r="P150" s="132"/>
      <c r="Q150" s="132"/>
      <c r="R150" s="132">
        <v>18</v>
      </c>
      <c r="S150" s="132"/>
      <c r="T150" s="132"/>
      <c r="U150" s="151"/>
      <c r="V150" s="151"/>
      <c r="W150" s="307" t="s">
        <v>193</v>
      </c>
      <c r="X150" s="308"/>
      <c r="Y150" s="38">
        <f t="shared" si="54"/>
        <v>16</v>
      </c>
      <c r="Z150" s="38">
        <f t="shared" si="55"/>
        <v>16</v>
      </c>
      <c r="AA150" s="38">
        <f t="shared" si="56"/>
        <v>0</v>
      </c>
      <c r="AB150" s="38">
        <f t="shared" si="64"/>
        <v>0</v>
      </c>
      <c r="AC150" s="38">
        <f t="shared" si="65"/>
        <v>0</v>
      </c>
      <c r="AD150" s="38">
        <f t="shared" si="66"/>
        <v>0</v>
      </c>
      <c r="AE150" s="38">
        <f t="shared" si="67"/>
        <v>0</v>
      </c>
      <c r="AF150" s="38">
        <f t="shared" si="68"/>
        <v>0</v>
      </c>
      <c r="AG150" s="33">
        <f t="shared" si="69"/>
        <v>0</v>
      </c>
      <c r="AH150" s="33">
        <f t="shared" si="70"/>
        <v>0</v>
      </c>
      <c r="AI150" s="33">
        <f t="shared" si="71"/>
        <v>0</v>
      </c>
      <c r="AJ150" s="33">
        <f t="shared" si="72"/>
        <v>0</v>
      </c>
      <c r="AK150" s="34">
        <f t="shared" si="73"/>
        <v>0</v>
      </c>
      <c r="AL150" s="35">
        <f t="shared" si="74"/>
        <v>0</v>
      </c>
      <c r="AM150" s="34">
        <f t="shared" si="57"/>
        <v>0</v>
      </c>
      <c r="AN150" s="36">
        <f t="shared" si="75"/>
        <v>0</v>
      </c>
      <c r="AO150" s="6">
        <f t="shared" si="58"/>
        <v>0</v>
      </c>
      <c r="AP150">
        <f t="shared" si="59"/>
        <v>8</v>
      </c>
      <c r="AQ150" s="6">
        <f t="shared" si="60"/>
        <v>0</v>
      </c>
      <c r="AR150" s="6">
        <f t="shared" si="61"/>
        <v>0</v>
      </c>
      <c r="AS150" s="6"/>
      <c r="AX150" s="95">
        <f t="shared" si="62"/>
        <v>42273</v>
      </c>
      <c r="AY150" s="96" t="str">
        <f t="shared" si="63"/>
        <v>sáb</v>
      </c>
      <c r="AZ150" s="97">
        <f>IF(OR(AY150="SÁB",AY150="DOM"),0,IFERROR(8-VLOOKUP(C150,'Dados de consulta'!$A$2:$C$38,3,0),8))</f>
        <v>0</v>
      </c>
      <c r="BA150" s="97">
        <f>IF(OR(AY150="SÁB",AY150="DOM"),0,IFERROR(8-VLOOKUP(D150,'Dados de consulta'!$A$2:$C$38,3,0),8))</f>
        <v>0</v>
      </c>
      <c r="BB150" s="97">
        <f>IF(OR(AY150="SÁB",AY150="DOM"),0,IFERROR(8-VLOOKUP(E150,'Dados de consulta'!$A$2:$C$38,3,0),8))</f>
        <v>0</v>
      </c>
      <c r="BC150" s="97">
        <f>IF(OR(AY150="SÁB",AY150="DOM"),0,IFERROR(8-VLOOKUP(F150,'Dados de consulta'!$A$2:$C$38,3,0),8))</f>
        <v>0</v>
      </c>
      <c r="BD150" s="97">
        <f>IF(OR(AY150="SÁB",AY150="DOM"),0,IFERROR(8-VLOOKUP(G150,'Dados de consulta'!$A$2:$C$38,3,0),8))</f>
        <v>0</v>
      </c>
      <c r="BE150" s="97">
        <f>IF(OR(AY150="SÁB",AY150="DOM"),0,IFERROR(8-VLOOKUP(H150,'Dados de consulta'!$A$2:$C$38,3,0),8))</f>
        <v>0</v>
      </c>
      <c r="BF150" s="97">
        <f>IF(OR(AY150="SÁB",AY150="DOM"),0,IFERROR(8-VLOOKUP(I150,'Dados de consulta'!$A$2:$C$38,3,0),8))</f>
        <v>0</v>
      </c>
      <c r="BG150" s="97">
        <f>IF(OR(AY150="SÁB",AY150="DOM"),0,IFERROR(8-VLOOKUP(J150,'Dados de consulta'!$A$2:$C$38,3,0),8))</f>
        <v>0</v>
      </c>
      <c r="BH150" s="97">
        <f>IF(OR(AY150="SÁB",AY150="DOM"),0,IFERROR(8-VLOOKUP(K150,'Dados de consulta'!$A$2:$C$38,3,0),8))</f>
        <v>0</v>
      </c>
      <c r="BI150" s="97">
        <f>IF(OR(AY150="SÁB",AY150="DOM"),0,IFERROR(8-VLOOKUP(L150,'Dados de consulta'!$A$2:$C$38,3,0),8))</f>
        <v>0</v>
      </c>
      <c r="BJ150" s="97">
        <f>IF(OR(AY150="SÁB",AY150="DOM"),0,IFERROR(8-VLOOKUP(M150,'Dados de consulta'!$A$2:$C$38,3,0),8))</f>
        <v>0</v>
      </c>
      <c r="BK150" s="97">
        <f>IF(OR(AY150="SÁB",AY150="DOM"),0,IFERROR(8-VLOOKUP(N150,'Dados de consulta'!$A$2:$C$38,3,0),8))</f>
        <v>0</v>
      </c>
      <c r="BL150" s="97">
        <f>IF(OR(AY150="SÁB",AY150="DOM"),0,IFERROR(8-VLOOKUP(O150,'Dados de consulta'!$A$2:$C$38,3,0),8))</f>
        <v>0</v>
      </c>
      <c r="BM150" s="97">
        <f>IF(OR(AY150="SÁB",AY150="DOM"),0,IFERROR(8-VLOOKUP(P150,'Dados de consulta'!$A$2:$C$38,3,0),8))</f>
        <v>0</v>
      </c>
      <c r="BN150" s="97">
        <f>IF(OR(AY150="SÁB",AY150="DOM"),0,IFERROR(8-VLOOKUP(Q150,'Dados de consulta'!$A$2:$C$38,3,0),8))</f>
        <v>0</v>
      </c>
      <c r="BO150" s="97">
        <f>IF(OR(AY150="SÁB",AY150="DOM"),0,IFERROR(8-VLOOKUP(R150,'Dados de consulta'!$A$2:$C$38,3,0),8))</f>
        <v>0</v>
      </c>
      <c r="BP150" s="97">
        <f>IF(OR(AY150="SÁB",AY150="DOM"),0,IFERROR(8-VLOOKUP(S150,'Dados de consulta'!$A$2:$C$38,3,0),8))</f>
        <v>0</v>
      </c>
      <c r="BQ150" s="113">
        <f>IFERROR(6-VLOOKUP(T150,'Dados de consulta'!$A$2:$C$38,3,0)+2,6)</f>
        <v>6</v>
      </c>
      <c r="BR150" s="114">
        <f t="shared" si="76"/>
        <v>0</v>
      </c>
      <c r="BS150">
        <f t="shared" si="52"/>
        <v>0</v>
      </c>
      <c r="BU150">
        <f>IFERROR(8-VLOOKUP(U150,'Dados de consulta'!$A:$D,3,0),8)</f>
        <v>8</v>
      </c>
      <c r="BV150">
        <f>IFERROR(8-VLOOKUP(V150,'Dados de consulta'!$A:$D,3,0),8)</f>
        <v>8</v>
      </c>
      <c r="BW150">
        <f t="shared" si="77"/>
        <v>16</v>
      </c>
    </row>
    <row r="151" spans="1:75" ht="15" hidden="1" x14ac:dyDescent="0.2">
      <c r="A151" s="98">
        <v>42274</v>
      </c>
      <c r="B151" s="129" t="str">
        <f t="shared" si="53"/>
        <v>dom</v>
      </c>
      <c r="C151" s="132"/>
      <c r="D151" s="132"/>
      <c r="E151" s="132"/>
      <c r="F151" s="132"/>
      <c r="G151" s="132">
        <v>4</v>
      </c>
      <c r="H151" s="132">
        <v>8</v>
      </c>
      <c r="I151" s="132"/>
      <c r="J151" s="132"/>
      <c r="K151" s="132"/>
      <c r="L151" s="132"/>
      <c r="M151" s="132">
        <v>101</v>
      </c>
      <c r="N151" s="132">
        <v>18</v>
      </c>
      <c r="O151" s="132"/>
      <c r="P151" s="132"/>
      <c r="Q151" s="132"/>
      <c r="R151" s="132">
        <v>18</v>
      </c>
      <c r="S151" s="132"/>
      <c r="T151" s="132"/>
      <c r="U151" s="151"/>
      <c r="V151" s="151"/>
      <c r="W151" s="307" t="s">
        <v>193</v>
      </c>
      <c r="X151" s="308"/>
      <c r="Y151" s="38">
        <f t="shared" si="54"/>
        <v>16</v>
      </c>
      <c r="Z151" s="38">
        <f t="shared" si="55"/>
        <v>16</v>
      </c>
      <c r="AA151" s="38">
        <f t="shared" si="56"/>
        <v>0</v>
      </c>
      <c r="AB151" s="38">
        <f t="shared" si="64"/>
        <v>0</v>
      </c>
      <c r="AC151" s="38">
        <f t="shared" si="65"/>
        <v>0</v>
      </c>
      <c r="AD151" s="38">
        <f t="shared" si="66"/>
        <v>0</v>
      </c>
      <c r="AE151" s="38">
        <f t="shared" si="67"/>
        <v>0</v>
      </c>
      <c r="AF151" s="38">
        <f t="shared" si="68"/>
        <v>0</v>
      </c>
      <c r="AG151" s="33">
        <f t="shared" si="69"/>
        <v>0</v>
      </c>
      <c r="AH151" s="33">
        <f t="shared" si="70"/>
        <v>0</v>
      </c>
      <c r="AI151" s="33">
        <f t="shared" si="71"/>
        <v>0</v>
      </c>
      <c r="AJ151" s="33">
        <f t="shared" si="72"/>
        <v>0</v>
      </c>
      <c r="AK151" s="34">
        <f t="shared" si="73"/>
        <v>0</v>
      </c>
      <c r="AL151" s="35">
        <f t="shared" si="74"/>
        <v>0</v>
      </c>
      <c r="AM151" s="34">
        <f t="shared" si="57"/>
        <v>0</v>
      </c>
      <c r="AN151" s="36">
        <f t="shared" si="75"/>
        <v>0</v>
      </c>
      <c r="AO151" s="6">
        <f t="shared" si="58"/>
        <v>0</v>
      </c>
      <c r="AP151">
        <f t="shared" si="59"/>
        <v>8</v>
      </c>
      <c r="AQ151" s="6">
        <f t="shared" si="60"/>
        <v>0</v>
      </c>
      <c r="AR151" s="6">
        <f t="shared" si="61"/>
        <v>0</v>
      </c>
      <c r="AS151" s="6"/>
      <c r="AX151" s="95">
        <f t="shared" si="62"/>
        <v>42274</v>
      </c>
      <c r="AY151" s="96" t="str">
        <f t="shared" si="63"/>
        <v>dom</v>
      </c>
      <c r="AZ151" s="97">
        <f>IF(OR(AY151="SÁB",AY151="DOM"),0,IFERROR(8-VLOOKUP(C151,'Dados de consulta'!$A$2:$C$38,3,0),8))</f>
        <v>0</v>
      </c>
      <c r="BA151" s="97">
        <f>IF(OR(AY151="SÁB",AY151="DOM"),0,IFERROR(8-VLOOKUP(D151,'Dados de consulta'!$A$2:$C$38,3,0),8))</f>
        <v>0</v>
      </c>
      <c r="BB151" s="97">
        <f>IF(OR(AY151="SÁB",AY151="DOM"),0,IFERROR(8-VLOOKUP(E151,'Dados de consulta'!$A$2:$C$38,3,0),8))</f>
        <v>0</v>
      </c>
      <c r="BC151" s="97">
        <f>IF(OR(AY151="SÁB",AY151="DOM"),0,IFERROR(8-VLOOKUP(F151,'Dados de consulta'!$A$2:$C$38,3,0),8))</f>
        <v>0</v>
      </c>
      <c r="BD151" s="97">
        <f>IF(OR(AY151="SÁB",AY151="DOM"),0,IFERROR(8-VLOOKUP(G151,'Dados de consulta'!$A$2:$C$38,3,0),8))</f>
        <v>0</v>
      </c>
      <c r="BE151" s="97">
        <f>IF(OR(AY151="SÁB",AY151="DOM"),0,IFERROR(8-VLOOKUP(H151,'Dados de consulta'!$A$2:$C$38,3,0),8))</f>
        <v>0</v>
      </c>
      <c r="BF151" s="97">
        <f>IF(OR(AY151="SÁB",AY151="DOM"),0,IFERROR(8-VLOOKUP(I151,'Dados de consulta'!$A$2:$C$38,3,0),8))</f>
        <v>0</v>
      </c>
      <c r="BG151" s="97">
        <f>IF(OR(AY151="SÁB",AY151="DOM"),0,IFERROR(8-VLOOKUP(J151,'Dados de consulta'!$A$2:$C$38,3,0),8))</f>
        <v>0</v>
      </c>
      <c r="BH151" s="97">
        <f>IF(OR(AY151="SÁB",AY151="DOM"),0,IFERROR(8-VLOOKUP(K151,'Dados de consulta'!$A$2:$C$38,3,0),8))</f>
        <v>0</v>
      </c>
      <c r="BI151" s="97">
        <f>IF(OR(AY151="SÁB",AY151="DOM"),0,IFERROR(8-VLOOKUP(L151,'Dados de consulta'!$A$2:$C$38,3,0),8))</f>
        <v>0</v>
      </c>
      <c r="BJ151" s="97">
        <f>IF(OR(AY151="SÁB",AY151="DOM"),0,IFERROR(8-VLOOKUP(M151,'Dados de consulta'!$A$2:$C$38,3,0),8))</f>
        <v>0</v>
      </c>
      <c r="BK151" s="97">
        <f>IF(OR(AY151="SÁB",AY151="DOM"),0,IFERROR(8-VLOOKUP(N151,'Dados de consulta'!$A$2:$C$38,3,0),8))</f>
        <v>0</v>
      </c>
      <c r="BL151" s="97">
        <f>IF(OR(AY151="SÁB",AY151="DOM"),0,IFERROR(8-VLOOKUP(O151,'Dados de consulta'!$A$2:$C$38,3,0),8))</f>
        <v>0</v>
      </c>
      <c r="BM151" s="97">
        <f>IF(OR(AY151="SÁB",AY151="DOM"),0,IFERROR(8-VLOOKUP(P151,'Dados de consulta'!$A$2:$C$38,3,0),8))</f>
        <v>0</v>
      </c>
      <c r="BN151" s="97">
        <f>IF(OR(AY151="SÁB",AY151="DOM"),0,IFERROR(8-VLOOKUP(Q151,'Dados de consulta'!$A$2:$C$38,3,0),8))</f>
        <v>0</v>
      </c>
      <c r="BO151" s="97">
        <f>IF(OR(AY151="SÁB",AY151="DOM"),0,IFERROR(8-VLOOKUP(R151,'Dados de consulta'!$A$2:$C$38,3,0),8))</f>
        <v>0</v>
      </c>
      <c r="BP151" s="97">
        <f>IF(OR(AY151="SÁB",AY151="DOM"),0,IFERROR(8-VLOOKUP(S151,'Dados de consulta'!$A$2:$C$38,3,0),8))</f>
        <v>0</v>
      </c>
      <c r="BQ151" s="113">
        <f>IFERROR(6-VLOOKUP(T151,'Dados de consulta'!$A$2:$C$38,3,0)+2,6)</f>
        <v>6</v>
      </c>
      <c r="BR151" s="114">
        <f t="shared" si="76"/>
        <v>0</v>
      </c>
      <c r="BS151">
        <f t="shared" si="52"/>
        <v>0</v>
      </c>
      <c r="BU151">
        <f>IFERROR(8-VLOOKUP(U151,'Dados de consulta'!$A:$D,3,0),8)</f>
        <v>8</v>
      </c>
      <c r="BV151">
        <f>IFERROR(8-VLOOKUP(V151,'Dados de consulta'!$A:$D,3,0),8)</f>
        <v>8</v>
      </c>
      <c r="BW151">
        <f t="shared" si="77"/>
        <v>16</v>
      </c>
    </row>
    <row r="152" spans="1:75" ht="15" hidden="1" x14ac:dyDescent="0.2">
      <c r="A152" s="98">
        <v>42275</v>
      </c>
      <c r="B152" s="129" t="str">
        <f t="shared" si="53"/>
        <v>seg</v>
      </c>
      <c r="C152" s="132"/>
      <c r="D152" s="132"/>
      <c r="E152" s="132"/>
      <c r="F152" s="132">
        <v>1</v>
      </c>
      <c r="G152" s="132">
        <v>4</v>
      </c>
      <c r="H152" s="132">
        <v>8</v>
      </c>
      <c r="I152" s="132"/>
      <c r="J152" s="132"/>
      <c r="K152" s="132"/>
      <c r="L152" s="132"/>
      <c r="M152" s="132">
        <v>101</v>
      </c>
      <c r="N152" s="132">
        <v>18</v>
      </c>
      <c r="O152" s="132"/>
      <c r="P152" s="132"/>
      <c r="Q152" s="132"/>
      <c r="R152" s="132"/>
      <c r="S152" s="132"/>
      <c r="T152" s="132"/>
      <c r="U152" s="151">
        <v>8</v>
      </c>
      <c r="V152" s="151"/>
      <c r="W152" s="307" t="s">
        <v>193</v>
      </c>
      <c r="X152" s="308"/>
      <c r="Y152" s="38">
        <f t="shared" si="54"/>
        <v>16</v>
      </c>
      <c r="Z152" s="38">
        <f t="shared" si="55"/>
        <v>16</v>
      </c>
      <c r="AA152" s="38">
        <f t="shared" si="56"/>
        <v>0</v>
      </c>
      <c r="AB152" s="38">
        <f t="shared" si="64"/>
        <v>0</v>
      </c>
      <c r="AC152" s="38">
        <f t="shared" si="65"/>
        <v>0</v>
      </c>
      <c r="AD152" s="38">
        <f t="shared" si="66"/>
        <v>0</v>
      </c>
      <c r="AE152" s="38">
        <f t="shared" si="67"/>
        <v>0</v>
      </c>
      <c r="AF152" s="38">
        <f t="shared" si="68"/>
        <v>0</v>
      </c>
      <c r="AG152" s="33">
        <f t="shared" si="69"/>
        <v>16</v>
      </c>
      <c r="AH152" s="33">
        <f t="shared" si="70"/>
        <v>16</v>
      </c>
      <c r="AI152" s="33">
        <f t="shared" si="71"/>
        <v>0</v>
      </c>
      <c r="AJ152" s="33">
        <f t="shared" si="72"/>
        <v>0</v>
      </c>
      <c r="AK152" s="34">
        <f t="shared" si="73"/>
        <v>0.11267605633802817</v>
      </c>
      <c r="AL152" s="35">
        <f t="shared" si="74"/>
        <v>0.11267605633802817</v>
      </c>
      <c r="AM152" s="34">
        <f t="shared" si="57"/>
        <v>0</v>
      </c>
      <c r="AN152" s="36">
        <f t="shared" si="75"/>
        <v>0</v>
      </c>
      <c r="AO152" s="6">
        <f t="shared" si="58"/>
        <v>0</v>
      </c>
      <c r="AP152">
        <f t="shared" si="59"/>
        <v>8</v>
      </c>
      <c r="AQ152" s="6">
        <f t="shared" si="60"/>
        <v>0</v>
      </c>
      <c r="AR152" s="6">
        <f t="shared" si="61"/>
        <v>0</v>
      </c>
      <c r="AS152" s="6"/>
      <c r="AX152" s="95">
        <f t="shared" si="62"/>
        <v>42275</v>
      </c>
      <c r="AY152" s="96" t="str">
        <f t="shared" si="63"/>
        <v>seg</v>
      </c>
      <c r="AZ152" s="97">
        <f>IF(OR(AY152="SÁB",AY152="DOM"),0,IFERROR(8-VLOOKUP(C152,'Dados de consulta'!$A$2:$C$38,3,0),8))</f>
        <v>8</v>
      </c>
      <c r="BA152" s="97">
        <f>IF(OR(AY152="SÁB",AY152="DOM"),0,IFERROR(8-VLOOKUP(D152,'Dados de consulta'!$A$2:$C$38,3,0),8))</f>
        <v>8</v>
      </c>
      <c r="BB152" s="97">
        <f>IF(OR(AY152="SÁB",AY152="DOM"),0,IFERROR(8-VLOOKUP(E152,'Dados de consulta'!$A$2:$C$38,3,0),8))</f>
        <v>8</v>
      </c>
      <c r="BC152" s="97">
        <f>IF(OR(AY152="SÁB",AY152="DOM"),0,IFERROR(8-VLOOKUP(F152,'Dados de consulta'!$A$2:$C$38,3,0),8))</f>
        <v>0</v>
      </c>
      <c r="BD152" s="97">
        <f>IF(OR(AY152="SÁB",AY152="DOM"),0,IFERROR(8-VLOOKUP(G152,'Dados de consulta'!$A$2:$C$38,3,0),8))</f>
        <v>0</v>
      </c>
      <c r="BE152" s="97">
        <f>IF(OR(AY152="SÁB",AY152="DOM"),0,IFERROR(8-VLOOKUP(H152,'Dados de consulta'!$A$2:$C$38,3,0),8))</f>
        <v>0</v>
      </c>
      <c r="BF152" s="97">
        <f>IF(OR(AY152="SÁB",AY152="DOM"),0,IFERROR(8-VLOOKUP(I152,'Dados de consulta'!$A$2:$C$38,3,0),8))</f>
        <v>8</v>
      </c>
      <c r="BG152" s="97">
        <f>IF(OR(AY152="SÁB",AY152="DOM"),0,IFERROR(8-VLOOKUP(J152,'Dados de consulta'!$A$2:$C$38,3,0),8))</f>
        <v>8</v>
      </c>
      <c r="BH152" s="97">
        <f>IF(OR(AY152="SÁB",AY152="DOM"),0,IFERROR(8-VLOOKUP(K152,'Dados de consulta'!$A$2:$C$38,3,0),8))</f>
        <v>8</v>
      </c>
      <c r="BI152" s="97">
        <f>IF(OR(AY152="SÁB",AY152="DOM"),0,IFERROR(8-VLOOKUP(L152,'Dados de consulta'!$A$2:$C$38,3,0),8))</f>
        <v>8</v>
      </c>
      <c r="BJ152" s="97">
        <f>IF(OR(AY152="SÁB",AY152="DOM"),0,IFERROR(8-VLOOKUP(M152,'Dados de consulta'!$A$2:$C$38,3,0),8))</f>
        <v>0</v>
      </c>
      <c r="BK152" s="97">
        <f>IF(OR(AY152="SÁB",AY152="DOM"),0,IFERROR(8-VLOOKUP(N152,'Dados de consulta'!$A$2:$C$38,3,0),8))</f>
        <v>0</v>
      </c>
      <c r="BL152" s="97">
        <f>IF(OR(AY152="SÁB",AY152="DOM"),0,IFERROR(8-VLOOKUP(O152,'Dados de consulta'!$A$2:$C$38,3,0),8))</f>
        <v>8</v>
      </c>
      <c r="BM152" s="97">
        <f>IF(OR(AY152="SÁB",AY152="DOM"),0,IFERROR(8-VLOOKUP(P152,'Dados de consulta'!$A$2:$C$38,3,0),8))</f>
        <v>8</v>
      </c>
      <c r="BN152" s="97">
        <f>IF(OR(AY152="SÁB",AY152="DOM"),0,IFERROR(8-VLOOKUP(Q152,'Dados de consulta'!$A$2:$C$38,3,0),8))</f>
        <v>8</v>
      </c>
      <c r="BO152" s="97">
        <f>IF(OR(AY152="SÁB",AY152="DOM"),0,IFERROR(8-VLOOKUP(R152,'Dados de consulta'!$A$2:$C$38,3,0),8))</f>
        <v>8</v>
      </c>
      <c r="BP152" s="97">
        <f>IF(OR(AY152="SÁB",AY152="DOM"),0,IFERROR(8-VLOOKUP(S152,'Dados de consulta'!$A$2:$C$38,3,0),8))</f>
        <v>8</v>
      </c>
      <c r="BQ152" s="113">
        <f>IFERROR(6-VLOOKUP(T152,'Dados de consulta'!$A$2:$C$38,3,0)+2,6)</f>
        <v>6</v>
      </c>
      <c r="BR152" s="114">
        <f t="shared" si="76"/>
        <v>102</v>
      </c>
      <c r="BS152">
        <f t="shared" si="52"/>
        <v>134</v>
      </c>
      <c r="BU152">
        <f>IFERROR(8-VLOOKUP(U152,'Dados de consulta'!$A:$D,3,0),8)</f>
        <v>0</v>
      </c>
      <c r="BV152">
        <f>IFERROR(8-VLOOKUP(V152,'Dados de consulta'!$A:$D,3,0),8)</f>
        <v>8</v>
      </c>
      <c r="BW152">
        <f t="shared" si="77"/>
        <v>8</v>
      </c>
    </row>
    <row r="153" spans="1:75" ht="15" hidden="1" x14ac:dyDescent="0.2">
      <c r="A153" s="98">
        <v>42276</v>
      </c>
      <c r="B153" s="129" t="str">
        <f t="shared" si="53"/>
        <v>ter</v>
      </c>
      <c r="C153" s="132"/>
      <c r="D153" s="132"/>
      <c r="E153" s="132"/>
      <c r="F153" s="132"/>
      <c r="G153" s="132">
        <v>4</v>
      </c>
      <c r="H153" s="132">
        <v>8</v>
      </c>
      <c r="I153" s="132"/>
      <c r="J153" s="132"/>
      <c r="K153" s="132"/>
      <c r="L153" s="132" t="s">
        <v>196</v>
      </c>
      <c r="M153" s="132">
        <v>101</v>
      </c>
      <c r="N153" s="132">
        <v>18</v>
      </c>
      <c r="O153" s="132"/>
      <c r="P153" s="132"/>
      <c r="Q153" s="132" t="s">
        <v>196</v>
      </c>
      <c r="R153" s="132"/>
      <c r="S153" s="132"/>
      <c r="T153" s="132"/>
      <c r="U153" s="151">
        <v>8</v>
      </c>
      <c r="V153" s="151"/>
      <c r="W153" s="307" t="s">
        <v>193</v>
      </c>
      <c r="X153" s="308"/>
      <c r="Y153" s="38">
        <f t="shared" si="54"/>
        <v>16</v>
      </c>
      <c r="Z153" s="38">
        <f t="shared" si="55"/>
        <v>8</v>
      </c>
      <c r="AA153" s="38">
        <f t="shared" si="56"/>
        <v>8</v>
      </c>
      <c r="AB153" s="38">
        <f t="shared" si="64"/>
        <v>0</v>
      </c>
      <c r="AC153" s="38">
        <f t="shared" si="65"/>
        <v>0</v>
      </c>
      <c r="AD153" s="38">
        <f t="shared" si="66"/>
        <v>0</v>
      </c>
      <c r="AE153" s="38">
        <f t="shared" si="67"/>
        <v>0</v>
      </c>
      <c r="AF153" s="38">
        <f t="shared" si="68"/>
        <v>0</v>
      </c>
      <c r="AG153" s="33">
        <f t="shared" si="69"/>
        <v>16</v>
      </c>
      <c r="AH153" s="33">
        <f t="shared" si="70"/>
        <v>8</v>
      </c>
      <c r="AI153" s="33">
        <f t="shared" si="71"/>
        <v>8</v>
      </c>
      <c r="AJ153" s="33">
        <f t="shared" si="72"/>
        <v>0</v>
      </c>
      <c r="AK153" s="34">
        <f t="shared" si="73"/>
        <v>0.11267605633802817</v>
      </c>
      <c r="AL153" s="35">
        <f t="shared" si="74"/>
        <v>5.6338028169014086E-2</v>
      </c>
      <c r="AM153" s="34">
        <f t="shared" si="57"/>
        <v>5.6338028169014086E-2</v>
      </c>
      <c r="AN153" s="36">
        <f t="shared" si="75"/>
        <v>0</v>
      </c>
      <c r="AO153" s="6">
        <f t="shared" si="58"/>
        <v>0</v>
      </c>
      <c r="AP153">
        <f t="shared" si="59"/>
        <v>8</v>
      </c>
      <c r="AQ153" s="6">
        <f t="shared" si="60"/>
        <v>0</v>
      </c>
      <c r="AR153" s="6">
        <f t="shared" si="61"/>
        <v>0</v>
      </c>
      <c r="AS153" s="6"/>
      <c r="AX153" s="95">
        <f t="shared" si="62"/>
        <v>42276</v>
      </c>
      <c r="AY153" s="96" t="str">
        <f t="shared" si="63"/>
        <v>ter</v>
      </c>
      <c r="AZ153" s="97">
        <f>IF(OR(AY153="SÁB",AY153="DOM"),0,IFERROR(8-VLOOKUP(C153,'Dados de consulta'!$A$2:$C$38,3,0),8))</f>
        <v>8</v>
      </c>
      <c r="BA153" s="97">
        <f>IF(OR(AY153="SÁB",AY153="DOM"),0,IFERROR(8-VLOOKUP(D153,'Dados de consulta'!$A$2:$C$38,3,0),8))</f>
        <v>8</v>
      </c>
      <c r="BB153" s="97">
        <f>IF(OR(AY153="SÁB",AY153="DOM"),0,IFERROR(8-VLOOKUP(E153,'Dados de consulta'!$A$2:$C$38,3,0),8))</f>
        <v>8</v>
      </c>
      <c r="BC153" s="97">
        <f>IF(OR(AY153="SÁB",AY153="DOM"),0,IFERROR(8-VLOOKUP(F153,'Dados de consulta'!$A$2:$C$38,3,0),8))</f>
        <v>8</v>
      </c>
      <c r="BD153" s="97">
        <f>IF(OR(AY153="SÁB",AY153="DOM"),0,IFERROR(8-VLOOKUP(G153,'Dados de consulta'!$A$2:$C$38,3,0),8))</f>
        <v>0</v>
      </c>
      <c r="BE153" s="97">
        <f>IF(OR(AY153="SÁB",AY153="DOM"),0,IFERROR(8-VLOOKUP(H153,'Dados de consulta'!$A$2:$C$38,3,0),8))</f>
        <v>0</v>
      </c>
      <c r="BF153" s="97">
        <f>IF(OR(AY153="SÁB",AY153="DOM"),0,IFERROR(8-VLOOKUP(I153,'Dados de consulta'!$A$2:$C$38,3,0),8))</f>
        <v>8</v>
      </c>
      <c r="BG153" s="97">
        <f>IF(OR(AY153="SÁB",AY153="DOM"),0,IFERROR(8-VLOOKUP(J153,'Dados de consulta'!$A$2:$C$38,3,0),8))</f>
        <v>8</v>
      </c>
      <c r="BH153" s="97">
        <f>IF(OR(AY153="SÁB",AY153="DOM"),0,IFERROR(8-VLOOKUP(K153,'Dados de consulta'!$A$2:$C$38,3,0),8))</f>
        <v>8</v>
      </c>
      <c r="BI153" s="97">
        <f>IF(OR(AY153="SÁB",AY153="DOM"),0,IFERROR(8-VLOOKUP(L153,'Dados de consulta'!$A$2:$C$38,3,0),8))</f>
        <v>4</v>
      </c>
      <c r="BJ153" s="97">
        <f>IF(OR(AY153="SÁB",AY153="DOM"),0,IFERROR(8-VLOOKUP(M153,'Dados de consulta'!$A$2:$C$38,3,0),8))</f>
        <v>0</v>
      </c>
      <c r="BK153" s="97">
        <f>IF(OR(AY153="SÁB",AY153="DOM"),0,IFERROR(8-VLOOKUP(N153,'Dados de consulta'!$A$2:$C$38,3,0),8))</f>
        <v>0</v>
      </c>
      <c r="BL153" s="97">
        <f>IF(OR(AY153="SÁB",AY153="DOM"),0,IFERROR(8-VLOOKUP(O153,'Dados de consulta'!$A$2:$C$38,3,0),8))</f>
        <v>8</v>
      </c>
      <c r="BM153" s="97">
        <f>IF(OR(AY153="SÁB",AY153="DOM"),0,IFERROR(8-VLOOKUP(P153,'Dados de consulta'!$A$2:$C$38,3,0),8))</f>
        <v>8</v>
      </c>
      <c r="BN153" s="97">
        <f>IF(OR(AY153="SÁB",AY153="DOM"),0,IFERROR(8-VLOOKUP(Q153,'Dados de consulta'!$A$2:$C$38,3,0),8))</f>
        <v>4</v>
      </c>
      <c r="BO153" s="97">
        <f>IF(OR(AY153="SÁB",AY153="DOM"),0,IFERROR(8-VLOOKUP(R153,'Dados de consulta'!$A$2:$C$38,3,0),8))</f>
        <v>8</v>
      </c>
      <c r="BP153" s="97">
        <f>IF(OR(AY153="SÁB",AY153="DOM"),0,IFERROR(8-VLOOKUP(S153,'Dados de consulta'!$A$2:$C$38,3,0),8))</f>
        <v>8</v>
      </c>
      <c r="BQ153" s="113">
        <f>IFERROR(6-VLOOKUP(T153,'Dados de consulta'!$A$2:$C$38,3,0)+2,6)</f>
        <v>6</v>
      </c>
      <c r="BR153" s="114">
        <f t="shared" si="76"/>
        <v>102</v>
      </c>
      <c r="BS153">
        <f t="shared" si="52"/>
        <v>134</v>
      </c>
      <c r="BU153">
        <f>IFERROR(8-VLOOKUP(U153,'Dados de consulta'!$A:$D,3,0),8)</f>
        <v>0</v>
      </c>
      <c r="BV153">
        <f>IFERROR(8-VLOOKUP(V153,'Dados de consulta'!$A:$D,3,0),8)</f>
        <v>8</v>
      </c>
      <c r="BW153">
        <f t="shared" si="77"/>
        <v>8</v>
      </c>
    </row>
    <row r="154" spans="1:75" ht="15" hidden="1" x14ac:dyDescent="0.2">
      <c r="A154" s="98">
        <v>42277</v>
      </c>
      <c r="B154" s="129" t="str">
        <f t="shared" si="53"/>
        <v>qua</v>
      </c>
      <c r="C154" s="132"/>
      <c r="D154" s="132"/>
      <c r="E154" s="132"/>
      <c r="F154" s="132"/>
      <c r="G154" s="132">
        <v>4</v>
      </c>
      <c r="H154" s="132">
        <v>8</v>
      </c>
      <c r="I154" s="132"/>
      <c r="J154" s="132"/>
      <c r="K154" s="132"/>
      <c r="L154" s="132"/>
      <c r="M154" s="132">
        <v>101</v>
      </c>
      <c r="N154" s="132">
        <v>18</v>
      </c>
      <c r="O154" s="132"/>
      <c r="P154" s="132"/>
      <c r="Q154" s="132"/>
      <c r="R154" s="132"/>
      <c r="S154" s="132"/>
      <c r="T154" s="132"/>
      <c r="U154" s="151">
        <v>8</v>
      </c>
      <c r="V154" s="151"/>
      <c r="W154" s="307" t="s">
        <v>193</v>
      </c>
      <c r="X154" s="308"/>
      <c r="Y154" s="38">
        <f t="shared" si="54"/>
        <v>16</v>
      </c>
      <c r="Z154" s="38">
        <f t="shared" si="55"/>
        <v>8</v>
      </c>
      <c r="AA154" s="38">
        <f t="shared" si="56"/>
        <v>0</v>
      </c>
      <c r="AB154" s="38">
        <f t="shared" si="64"/>
        <v>0</v>
      </c>
      <c r="AC154" s="38">
        <f t="shared" si="65"/>
        <v>0</v>
      </c>
      <c r="AD154" s="38">
        <f t="shared" si="66"/>
        <v>0</v>
      </c>
      <c r="AE154" s="38">
        <f t="shared" si="67"/>
        <v>0</v>
      </c>
      <c r="AF154" s="38">
        <f t="shared" si="68"/>
        <v>0</v>
      </c>
      <c r="AG154" s="33">
        <f t="shared" si="69"/>
        <v>16</v>
      </c>
      <c r="AH154" s="33">
        <f t="shared" si="70"/>
        <v>8</v>
      </c>
      <c r="AI154" s="33">
        <f t="shared" si="71"/>
        <v>0</v>
      </c>
      <c r="AJ154" s="33">
        <f t="shared" si="72"/>
        <v>0</v>
      </c>
      <c r="AK154" s="34">
        <f t="shared" si="73"/>
        <v>0.11267605633802817</v>
      </c>
      <c r="AL154" s="35">
        <f t="shared" si="74"/>
        <v>5.6338028169014086E-2</v>
      </c>
      <c r="AM154" s="34">
        <f t="shared" si="57"/>
        <v>0</v>
      </c>
      <c r="AN154" s="36">
        <f t="shared" si="75"/>
        <v>0</v>
      </c>
      <c r="AO154" s="6">
        <f t="shared" si="58"/>
        <v>0</v>
      </c>
      <c r="AP154">
        <f t="shared" si="59"/>
        <v>8</v>
      </c>
      <c r="AQ154" s="6">
        <f t="shared" si="60"/>
        <v>0</v>
      </c>
      <c r="AR154" s="6">
        <f t="shared" si="61"/>
        <v>0</v>
      </c>
      <c r="AS154" s="6"/>
      <c r="AX154" s="95">
        <f t="shared" si="62"/>
        <v>42277</v>
      </c>
      <c r="AY154" s="96" t="str">
        <f t="shared" si="63"/>
        <v>qua</v>
      </c>
      <c r="AZ154" s="97">
        <f>IF(OR(AY154="SÁB",AY154="DOM"),0,IFERROR(8-VLOOKUP(C154,'Dados de consulta'!$A$2:$C$38,3,0),8))</f>
        <v>8</v>
      </c>
      <c r="BA154" s="97">
        <f>IF(OR(AY154="SÁB",AY154="DOM"),0,IFERROR(8-VLOOKUP(D154,'Dados de consulta'!$A$2:$C$38,3,0),8))</f>
        <v>8</v>
      </c>
      <c r="BB154" s="97">
        <f>IF(OR(AY154="SÁB",AY154="DOM"),0,IFERROR(8-VLOOKUP(E154,'Dados de consulta'!$A$2:$C$38,3,0),8))</f>
        <v>8</v>
      </c>
      <c r="BC154" s="97">
        <f>IF(OR(AY154="SÁB",AY154="DOM"),0,IFERROR(8-VLOOKUP(F154,'Dados de consulta'!$A$2:$C$38,3,0),8))</f>
        <v>8</v>
      </c>
      <c r="BD154" s="97">
        <f>IF(OR(AY154="SÁB",AY154="DOM"),0,IFERROR(8-VLOOKUP(G154,'Dados de consulta'!$A$2:$C$38,3,0),8))</f>
        <v>0</v>
      </c>
      <c r="BE154" s="97">
        <f>IF(OR(AY154="SÁB",AY154="DOM"),0,IFERROR(8-VLOOKUP(H154,'Dados de consulta'!$A$2:$C$38,3,0),8))</f>
        <v>0</v>
      </c>
      <c r="BF154" s="97">
        <f>IF(OR(AY154="SÁB",AY154="DOM"),0,IFERROR(8-VLOOKUP(I154,'Dados de consulta'!$A$2:$C$38,3,0),8))</f>
        <v>8</v>
      </c>
      <c r="BG154" s="97">
        <f>IF(OR(AY154="SÁB",AY154="DOM"),0,IFERROR(8-VLOOKUP(J154,'Dados de consulta'!$A$2:$C$38,3,0),8))</f>
        <v>8</v>
      </c>
      <c r="BH154" s="97">
        <f>IF(OR(AY154="SÁB",AY154="DOM"),0,IFERROR(8-VLOOKUP(K154,'Dados de consulta'!$A$2:$C$38,3,0),8))</f>
        <v>8</v>
      </c>
      <c r="BI154" s="97">
        <f>IF(OR(AY154="SÁB",AY154="DOM"),0,IFERROR(8-VLOOKUP(L154,'Dados de consulta'!$A$2:$C$38,3,0),8))</f>
        <v>8</v>
      </c>
      <c r="BJ154" s="97">
        <f>IF(OR(AY154="SÁB",AY154="DOM"),0,IFERROR(8-VLOOKUP(M154,'Dados de consulta'!$A$2:$C$38,3,0),8))</f>
        <v>0</v>
      </c>
      <c r="BK154" s="97">
        <f>IF(OR(AY154="SÁB",AY154="DOM"),0,IFERROR(8-VLOOKUP(N154,'Dados de consulta'!$A$2:$C$38,3,0),8))</f>
        <v>0</v>
      </c>
      <c r="BL154" s="97">
        <f>IF(OR(AY154="SÁB",AY154="DOM"),0,IFERROR(8-VLOOKUP(O154,'Dados de consulta'!$A$2:$C$38,3,0),8))</f>
        <v>8</v>
      </c>
      <c r="BM154" s="97">
        <f>IF(OR(AY154="SÁB",AY154="DOM"),0,IFERROR(8-VLOOKUP(P154,'Dados de consulta'!$A$2:$C$38,3,0),8))</f>
        <v>8</v>
      </c>
      <c r="BN154" s="97">
        <f>IF(OR(AY154="SÁB",AY154="DOM"),0,IFERROR(8-VLOOKUP(Q154,'Dados de consulta'!$A$2:$C$38,3,0),8))</f>
        <v>8</v>
      </c>
      <c r="BO154" s="97">
        <f>IF(OR(AY154="SÁB",AY154="DOM"),0,IFERROR(8-VLOOKUP(R154,'Dados de consulta'!$A$2:$C$38,3,0),8))</f>
        <v>8</v>
      </c>
      <c r="BP154" s="97">
        <f>IF(OR(AY154="SÁB",AY154="DOM"),0,IFERROR(8-VLOOKUP(S154,'Dados de consulta'!$A$2:$C$38,3,0),8))</f>
        <v>8</v>
      </c>
      <c r="BQ154" s="113">
        <f>IFERROR(6-VLOOKUP(T154,'Dados de consulta'!$A$2:$C$38,3,0)+2,6)</f>
        <v>6</v>
      </c>
      <c r="BR154" s="114">
        <f t="shared" si="76"/>
        <v>110</v>
      </c>
      <c r="BS154">
        <f t="shared" si="52"/>
        <v>134</v>
      </c>
      <c r="BU154">
        <f>IFERROR(8-VLOOKUP(U154,'Dados de consulta'!$A:$D,3,0),8)</f>
        <v>0</v>
      </c>
      <c r="BV154">
        <f>IFERROR(8-VLOOKUP(V154,'Dados de consulta'!$A:$D,3,0),8)</f>
        <v>8</v>
      </c>
      <c r="BW154">
        <f t="shared" si="77"/>
        <v>8</v>
      </c>
    </row>
    <row r="155" spans="1:75" ht="15" hidden="1" x14ac:dyDescent="0.2">
      <c r="A155" s="98">
        <v>42278</v>
      </c>
      <c r="B155" s="129" t="str">
        <f t="shared" si="53"/>
        <v>qui</v>
      </c>
      <c r="C155" s="132"/>
      <c r="D155" s="132"/>
      <c r="E155" s="132"/>
      <c r="F155" s="132"/>
      <c r="G155" s="132">
        <v>4</v>
      </c>
      <c r="H155" s="132"/>
      <c r="I155" s="132"/>
      <c r="J155" s="132"/>
      <c r="K155" s="132"/>
      <c r="L155" s="132"/>
      <c r="M155" s="132">
        <v>101</v>
      </c>
      <c r="N155" s="132"/>
      <c r="O155" s="132"/>
      <c r="P155" s="132"/>
      <c r="Q155" s="132"/>
      <c r="R155" s="132"/>
      <c r="S155" s="132"/>
      <c r="T155" s="132"/>
      <c r="U155" s="151">
        <v>8</v>
      </c>
      <c r="V155" s="151"/>
      <c r="W155" s="307" t="s">
        <v>193</v>
      </c>
      <c r="X155" s="308"/>
      <c r="Y155" s="38">
        <f t="shared" si="54"/>
        <v>8</v>
      </c>
      <c r="Z155" s="38">
        <f t="shared" si="55"/>
        <v>0</v>
      </c>
      <c r="AA155" s="38">
        <f t="shared" si="56"/>
        <v>0</v>
      </c>
      <c r="AB155" s="38">
        <f t="shared" si="64"/>
        <v>0</v>
      </c>
      <c r="AC155" s="38">
        <f t="shared" si="65"/>
        <v>0</v>
      </c>
      <c r="AD155" s="38">
        <f t="shared" si="66"/>
        <v>0</v>
      </c>
      <c r="AE155" s="38">
        <f t="shared" si="67"/>
        <v>0</v>
      </c>
      <c r="AF155" s="38">
        <f t="shared" si="68"/>
        <v>0</v>
      </c>
      <c r="AG155" s="33">
        <f t="shared" si="69"/>
        <v>8</v>
      </c>
      <c r="AH155" s="33">
        <f t="shared" si="70"/>
        <v>0</v>
      </c>
      <c r="AI155" s="33">
        <f t="shared" si="71"/>
        <v>0</v>
      </c>
      <c r="AJ155" s="33">
        <f t="shared" si="72"/>
        <v>0</v>
      </c>
      <c r="AK155" s="34">
        <f t="shared" si="73"/>
        <v>5.6338028169014086E-2</v>
      </c>
      <c r="AL155" s="35">
        <f t="shared" si="74"/>
        <v>0</v>
      </c>
      <c r="AM155" s="34">
        <f t="shared" si="57"/>
        <v>0</v>
      </c>
      <c r="AN155" s="36">
        <f t="shared" si="75"/>
        <v>0</v>
      </c>
      <c r="AO155" s="6">
        <f t="shared" si="58"/>
        <v>0</v>
      </c>
      <c r="AP155">
        <f t="shared" si="59"/>
        <v>8</v>
      </c>
      <c r="AQ155" s="6">
        <f t="shared" si="60"/>
        <v>0</v>
      </c>
      <c r="AR155" s="6">
        <f t="shared" si="61"/>
        <v>0</v>
      </c>
      <c r="AS155" s="6"/>
      <c r="AX155" s="95">
        <f t="shared" si="62"/>
        <v>42278</v>
      </c>
      <c r="AY155" s="96" t="str">
        <f t="shared" si="63"/>
        <v>qui</v>
      </c>
      <c r="AZ155" s="97">
        <f>IF(OR(AY155="SÁB",AY155="DOM"),0,IFERROR(8-VLOOKUP(C155,'Dados de consulta'!$A$2:$C$38,3,0),8))</f>
        <v>8</v>
      </c>
      <c r="BA155" s="97">
        <f>IF(OR(AY155="SÁB",AY155="DOM"),0,IFERROR(8-VLOOKUP(D155,'Dados de consulta'!$A$2:$C$38,3,0),8))</f>
        <v>8</v>
      </c>
      <c r="BB155" s="97">
        <f>IF(OR(AY155="SÁB",AY155="DOM"),0,IFERROR(8-VLOOKUP(E155,'Dados de consulta'!$A$2:$C$38,3,0),8))</f>
        <v>8</v>
      </c>
      <c r="BC155" s="97">
        <f>IF(OR(AY155="SÁB",AY155="DOM"),0,IFERROR(8-VLOOKUP(F155,'Dados de consulta'!$A$2:$C$38,3,0),8))</f>
        <v>8</v>
      </c>
      <c r="BD155" s="97">
        <f>IF(OR(AY155="SÁB",AY155="DOM"),0,IFERROR(8-VLOOKUP(G155,'Dados de consulta'!$A$2:$C$38,3,0),8))</f>
        <v>0</v>
      </c>
      <c r="BE155" s="97">
        <f>IF(OR(AY155="SÁB",AY155="DOM"),0,IFERROR(8-VLOOKUP(H155,'Dados de consulta'!$A$2:$C$38,3,0),8))</f>
        <v>8</v>
      </c>
      <c r="BF155" s="97">
        <f>IF(OR(AY155="SÁB",AY155="DOM"),0,IFERROR(8-VLOOKUP(I155,'Dados de consulta'!$A$2:$C$38,3,0),8))</f>
        <v>8</v>
      </c>
      <c r="BG155" s="97">
        <f>IF(OR(AY155="SÁB",AY155="DOM"),0,IFERROR(8-VLOOKUP(J155,'Dados de consulta'!$A$2:$C$38,3,0),8))</f>
        <v>8</v>
      </c>
      <c r="BH155" s="97">
        <f>IF(OR(AY155="SÁB",AY155="DOM"),0,IFERROR(8-VLOOKUP(K155,'Dados de consulta'!$A$2:$C$38,3,0),8))</f>
        <v>8</v>
      </c>
      <c r="BI155" s="97">
        <f>IF(OR(AY155="SÁB",AY155="DOM"),0,IFERROR(8-VLOOKUP(L155,'Dados de consulta'!$A$2:$C$38,3,0),8))</f>
        <v>8</v>
      </c>
      <c r="BJ155" s="97">
        <f>IF(OR(AY155="SÁB",AY155="DOM"),0,IFERROR(8-VLOOKUP(M155,'Dados de consulta'!$A$2:$C$38,3,0),8))</f>
        <v>0</v>
      </c>
      <c r="BK155" s="97">
        <f>IF(OR(AY155="SÁB",AY155="DOM"),0,IFERROR(8-VLOOKUP(N155,'Dados de consulta'!$A$2:$C$38,3,0),8))</f>
        <v>8</v>
      </c>
      <c r="BL155" s="97">
        <f>IF(OR(AY155="SÁB",AY155="DOM"),0,IFERROR(8-VLOOKUP(O155,'Dados de consulta'!$A$2:$C$38,3,0),8))</f>
        <v>8</v>
      </c>
      <c r="BM155" s="97">
        <f>IF(OR(AY155="SÁB",AY155="DOM"),0,IFERROR(8-VLOOKUP(P155,'Dados de consulta'!$A$2:$C$38,3,0),8))</f>
        <v>8</v>
      </c>
      <c r="BN155" s="97">
        <f>IF(OR(AY155="SÁB",AY155="DOM"),0,IFERROR(8-VLOOKUP(Q155,'Dados de consulta'!$A$2:$C$38,3,0),8))</f>
        <v>8</v>
      </c>
      <c r="BO155" s="97">
        <f>IF(OR(AY155="SÁB",AY155="DOM"),0,IFERROR(8-VLOOKUP(R155,'Dados de consulta'!$A$2:$C$38,3,0),8))</f>
        <v>8</v>
      </c>
      <c r="BP155" s="97">
        <f>IF(OR(AY155="SÁB",AY155="DOM"),0,IFERROR(8-VLOOKUP(S155,'Dados de consulta'!$A$2:$C$38,3,0),8))</f>
        <v>8</v>
      </c>
      <c r="BQ155" s="113">
        <f>IFERROR(6-VLOOKUP(T155,'Dados de consulta'!$A$2:$C$38,3,0)+2,6)</f>
        <v>6</v>
      </c>
      <c r="BR155" s="114">
        <f t="shared" si="76"/>
        <v>126</v>
      </c>
      <c r="BS155">
        <f t="shared" si="52"/>
        <v>134</v>
      </c>
      <c r="BU155">
        <f>IFERROR(8-VLOOKUP(U155,'Dados de consulta'!$A:$D,3,0),8)</f>
        <v>0</v>
      </c>
      <c r="BV155">
        <f>IFERROR(8-VLOOKUP(V155,'Dados de consulta'!$A:$D,3,0),8)</f>
        <v>8</v>
      </c>
      <c r="BW155">
        <f t="shared" si="77"/>
        <v>8</v>
      </c>
    </row>
    <row r="156" spans="1:75" ht="15" hidden="1" x14ac:dyDescent="0.2">
      <c r="A156" s="98">
        <v>42279</v>
      </c>
      <c r="B156" s="129" t="str">
        <f t="shared" si="53"/>
        <v>sex</v>
      </c>
      <c r="C156" s="132"/>
      <c r="D156" s="132"/>
      <c r="E156" s="132"/>
      <c r="F156" s="132"/>
      <c r="G156" s="132">
        <v>4</v>
      </c>
      <c r="H156" s="132"/>
      <c r="I156" s="132"/>
      <c r="J156" s="132"/>
      <c r="K156" s="132"/>
      <c r="L156" s="132"/>
      <c r="M156" s="132">
        <v>101</v>
      </c>
      <c r="N156" s="132"/>
      <c r="O156" s="132"/>
      <c r="P156" s="132"/>
      <c r="Q156" s="132"/>
      <c r="R156" s="132"/>
      <c r="S156" s="132"/>
      <c r="T156" s="132"/>
      <c r="U156" s="151">
        <v>8</v>
      </c>
      <c r="V156" s="151"/>
      <c r="W156" s="307" t="s">
        <v>193</v>
      </c>
      <c r="X156" s="308"/>
      <c r="Y156" s="38">
        <f t="shared" si="54"/>
        <v>8</v>
      </c>
      <c r="Z156" s="38">
        <f t="shared" si="55"/>
        <v>0</v>
      </c>
      <c r="AA156" s="38">
        <f t="shared" si="56"/>
        <v>0</v>
      </c>
      <c r="AB156" s="38">
        <f t="shared" si="64"/>
        <v>0</v>
      </c>
      <c r="AC156" s="38">
        <f t="shared" si="65"/>
        <v>0</v>
      </c>
      <c r="AD156" s="38">
        <f t="shared" si="66"/>
        <v>0</v>
      </c>
      <c r="AE156" s="38">
        <f t="shared" si="67"/>
        <v>0</v>
      </c>
      <c r="AF156" s="38">
        <f t="shared" si="68"/>
        <v>0</v>
      </c>
      <c r="AG156" s="33">
        <f t="shared" si="69"/>
        <v>8</v>
      </c>
      <c r="AH156" s="33">
        <f t="shared" si="70"/>
        <v>0</v>
      </c>
      <c r="AI156" s="33">
        <f t="shared" si="71"/>
        <v>0</v>
      </c>
      <c r="AJ156" s="33">
        <f t="shared" si="72"/>
        <v>0</v>
      </c>
      <c r="AK156" s="34">
        <f t="shared" si="73"/>
        <v>5.6338028169014086E-2</v>
      </c>
      <c r="AL156" s="35">
        <f t="shared" si="74"/>
        <v>0</v>
      </c>
      <c r="AM156" s="34">
        <f t="shared" si="57"/>
        <v>0</v>
      </c>
      <c r="AN156" s="36">
        <f t="shared" si="75"/>
        <v>0</v>
      </c>
      <c r="AO156" s="6">
        <f t="shared" si="58"/>
        <v>0</v>
      </c>
      <c r="AP156">
        <f t="shared" si="59"/>
        <v>8</v>
      </c>
      <c r="AQ156" s="6">
        <f t="shared" si="60"/>
        <v>0</v>
      </c>
      <c r="AR156" s="6">
        <f t="shared" si="61"/>
        <v>0</v>
      </c>
      <c r="AS156" s="6"/>
      <c r="AX156" s="95">
        <f t="shared" si="62"/>
        <v>42279</v>
      </c>
      <c r="AY156" s="96" t="str">
        <f t="shared" si="63"/>
        <v>sex</v>
      </c>
      <c r="AZ156" s="97">
        <f>IF(OR(AY156="SÁB",AY156="DOM"),0,IFERROR(8-VLOOKUP(C156,'Dados de consulta'!$A$2:$C$38,3,0),8))</f>
        <v>8</v>
      </c>
      <c r="BA156" s="97">
        <f>IF(OR(AY156="SÁB",AY156="DOM"),0,IFERROR(8-VLOOKUP(D156,'Dados de consulta'!$A$2:$C$38,3,0),8))</f>
        <v>8</v>
      </c>
      <c r="BB156" s="97">
        <f>IF(OR(AY156="SÁB",AY156="DOM"),0,IFERROR(8-VLOOKUP(E156,'Dados de consulta'!$A$2:$C$38,3,0),8))</f>
        <v>8</v>
      </c>
      <c r="BC156" s="97">
        <f>IF(OR(AY156="SÁB",AY156="DOM"),0,IFERROR(8-VLOOKUP(F156,'Dados de consulta'!$A$2:$C$38,3,0),8))</f>
        <v>8</v>
      </c>
      <c r="BD156" s="97">
        <f>IF(OR(AY156="SÁB",AY156="DOM"),0,IFERROR(8-VLOOKUP(G156,'Dados de consulta'!$A$2:$C$38,3,0),8))</f>
        <v>0</v>
      </c>
      <c r="BE156" s="97">
        <f>IF(OR(AY156="SÁB",AY156="DOM"),0,IFERROR(8-VLOOKUP(H156,'Dados de consulta'!$A$2:$C$38,3,0),8))</f>
        <v>8</v>
      </c>
      <c r="BF156" s="97">
        <f>IF(OR(AY156="SÁB",AY156="DOM"),0,IFERROR(8-VLOOKUP(I156,'Dados de consulta'!$A$2:$C$38,3,0),8))</f>
        <v>8</v>
      </c>
      <c r="BG156" s="97">
        <f>IF(OR(AY156="SÁB",AY156="DOM"),0,IFERROR(8-VLOOKUP(J156,'Dados de consulta'!$A$2:$C$38,3,0),8))</f>
        <v>8</v>
      </c>
      <c r="BH156" s="97">
        <f>IF(OR(AY156="SÁB",AY156="DOM"),0,IFERROR(8-VLOOKUP(K156,'Dados de consulta'!$A$2:$C$38,3,0),8))</f>
        <v>8</v>
      </c>
      <c r="BI156" s="97">
        <f>IF(OR(AY156="SÁB",AY156="DOM"),0,IFERROR(8-VLOOKUP(L156,'Dados de consulta'!$A$2:$C$38,3,0),8))</f>
        <v>8</v>
      </c>
      <c r="BJ156" s="97">
        <f>IF(OR(AY156="SÁB",AY156="DOM"),0,IFERROR(8-VLOOKUP(M156,'Dados de consulta'!$A$2:$C$38,3,0),8))</f>
        <v>0</v>
      </c>
      <c r="BK156" s="97">
        <f>IF(OR(AY156="SÁB",AY156="DOM"),0,IFERROR(8-VLOOKUP(N156,'Dados de consulta'!$A$2:$C$38,3,0),8))</f>
        <v>8</v>
      </c>
      <c r="BL156" s="97">
        <f>IF(OR(AY156="SÁB",AY156="DOM"),0,IFERROR(8-VLOOKUP(O156,'Dados de consulta'!$A$2:$C$38,3,0),8))</f>
        <v>8</v>
      </c>
      <c r="BM156" s="97">
        <f>IF(OR(AY156="SÁB",AY156="DOM"),0,IFERROR(8-VLOOKUP(P156,'Dados de consulta'!$A$2:$C$38,3,0),8))</f>
        <v>8</v>
      </c>
      <c r="BN156" s="97">
        <f>IF(OR(AY156="SÁB",AY156="DOM"),0,IFERROR(8-VLOOKUP(Q156,'Dados de consulta'!$A$2:$C$38,3,0),8))</f>
        <v>8</v>
      </c>
      <c r="BO156" s="97">
        <f>IF(OR(AY156="SÁB",AY156="DOM"),0,IFERROR(8-VLOOKUP(R156,'Dados de consulta'!$A$2:$C$38,3,0),8))</f>
        <v>8</v>
      </c>
      <c r="BP156" s="97">
        <f>IF(OR(AY156="SÁB",AY156="DOM"),0,IFERROR(8-VLOOKUP(S156,'Dados de consulta'!$A$2:$C$38,3,0),8))</f>
        <v>8</v>
      </c>
      <c r="BQ156" s="113">
        <f>IFERROR(6-VLOOKUP(T156,'Dados de consulta'!$A$2:$C$38,3,0)+2,6)</f>
        <v>6</v>
      </c>
      <c r="BR156" s="114">
        <f t="shared" si="76"/>
        <v>126</v>
      </c>
      <c r="BS156">
        <f t="shared" si="52"/>
        <v>134</v>
      </c>
      <c r="BU156">
        <f>IFERROR(8-VLOOKUP(U156,'Dados de consulta'!$A:$D,3,0),8)</f>
        <v>0</v>
      </c>
      <c r="BV156">
        <f>IFERROR(8-VLOOKUP(V156,'Dados de consulta'!$A:$D,3,0),8)</f>
        <v>8</v>
      </c>
      <c r="BW156">
        <f t="shared" si="77"/>
        <v>8</v>
      </c>
    </row>
    <row r="157" spans="1:75" ht="15" hidden="1" x14ac:dyDescent="0.2">
      <c r="A157" s="98">
        <v>42280</v>
      </c>
      <c r="B157" s="129" t="str">
        <f t="shared" si="53"/>
        <v>sáb</v>
      </c>
      <c r="C157" s="132"/>
      <c r="D157" s="132"/>
      <c r="E157" s="132"/>
      <c r="F157" s="132"/>
      <c r="G157" s="132">
        <v>4</v>
      </c>
      <c r="H157" s="132"/>
      <c r="I157" s="132"/>
      <c r="J157" s="132"/>
      <c r="K157" s="132"/>
      <c r="L157" s="132"/>
      <c r="M157" s="132">
        <v>101</v>
      </c>
      <c r="N157" s="132"/>
      <c r="O157" s="132"/>
      <c r="P157" s="132"/>
      <c r="Q157" s="132"/>
      <c r="R157" s="132"/>
      <c r="S157" s="132"/>
      <c r="T157" s="132"/>
      <c r="U157" s="151"/>
      <c r="V157" s="151"/>
      <c r="W157" s="307" t="s">
        <v>193</v>
      </c>
      <c r="X157" s="308"/>
      <c r="Y157" s="38">
        <f t="shared" si="54"/>
        <v>8</v>
      </c>
      <c r="Z157" s="38">
        <f t="shared" si="55"/>
        <v>0</v>
      </c>
      <c r="AA157" s="38">
        <f t="shared" si="56"/>
        <v>0</v>
      </c>
      <c r="AB157" s="38">
        <f t="shared" si="64"/>
        <v>0</v>
      </c>
      <c r="AC157" s="38">
        <f t="shared" si="65"/>
        <v>0</v>
      </c>
      <c r="AD157" s="38">
        <f t="shared" si="66"/>
        <v>0</v>
      </c>
      <c r="AE157" s="38">
        <f t="shared" si="67"/>
        <v>0</v>
      </c>
      <c r="AF157" s="38">
        <f t="shared" si="68"/>
        <v>0</v>
      </c>
      <c r="AG157" s="33">
        <f t="shared" si="69"/>
        <v>0</v>
      </c>
      <c r="AH157" s="33">
        <f t="shared" si="70"/>
        <v>0</v>
      </c>
      <c r="AI157" s="33">
        <f t="shared" si="71"/>
        <v>0</v>
      </c>
      <c r="AJ157" s="33">
        <f t="shared" si="72"/>
        <v>0</v>
      </c>
      <c r="AK157" s="34">
        <f t="shared" si="73"/>
        <v>0</v>
      </c>
      <c r="AL157" s="35">
        <f t="shared" si="74"/>
        <v>0</v>
      </c>
      <c r="AM157" s="34">
        <f t="shared" si="57"/>
        <v>0</v>
      </c>
      <c r="AN157" s="36">
        <f t="shared" si="75"/>
        <v>0</v>
      </c>
      <c r="AO157" s="6">
        <f t="shared" si="58"/>
        <v>0</v>
      </c>
      <c r="AP157">
        <f t="shared" si="59"/>
        <v>8</v>
      </c>
      <c r="AQ157" s="6">
        <f t="shared" si="60"/>
        <v>0</v>
      </c>
      <c r="AR157" s="6">
        <f t="shared" si="61"/>
        <v>0</v>
      </c>
      <c r="AS157" s="6"/>
      <c r="AX157" s="95">
        <f t="shared" si="62"/>
        <v>42280</v>
      </c>
      <c r="AY157" s="96" t="str">
        <f t="shared" si="63"/>
        <v>sáb</v>
      </c>
      <c r="AZ157" s="97">
        <f>IF(OR(AY157="SÁB",AY157="DOM"),0,IFERROR(8-VLOOKUP(C157,'Dados de consulta'!$A$2:$C$38,3,0),8))</f>
        <v>0</v>
      </c>
      <c r="BA157" s="97">
        <f>IF(OR(AY157="SÁB",AY157="DOM"),0,IFERROR(8-VLOOKUP(D157,'Dados de consulta'!$A$2:$C$38,3,0),8))</f>
        <v>0</v>
      </c>
      <c r="BB157" s="97">
        <f>IF(OR(AY157="SÁB",AY157="DOM"),0,IFERROR(8-VLOOKUP(E157,'Dados de consulta'!$A$2:$C$38,3,0),8))</f>
        <v>0</v>
      </c>
      <c r="BC157" s="97">
        <f>IF(OR(AY157="SÁB",AY157="DOM"),0,IFERROR(8-VLOOKUP(F157,'Dados de consulta'!$A$2:$C$38,3,0),8))</f>
        <v>0</v>
      </c>
      <c r="BD157" s="97">
        <f>IF(OR(AY157="SÁB",AY157="DOM"),0,IFERROR(8-VLOOKUP(G157,'Dados de consulta'!$A$2:$C$38,3,0),8))</f>
        <v>0</v>
      </c>
      <c r="BE157" s="97">
        <f>IF(OR(AY157="SÁB",AY157="DOM"),0,IFERROR(8-VLOOKUP(H157,'Dados de consulta'!$A$2:$C$38,3,0),8))</f>
        <v>0</v>
      </c>
      <c r="BF157" s="97">
        <f>IF(OR(AY157="SÁB",AY157="DOM"),0,IFERROR(8-VLOOKUP(I157,'Dados de consulta'!$A$2:$C$38,3,0),8))</f>
        <v>0</v>
      </c>
      <c r="BG157" s="97">
        <f>IF(OR(AY157="SÁB",AY157="DOM"),0,IFERROR(8-VLOOKUP(J157,'Dados de consulta'!$A$2:$C$38,3,0),8))</f>
        <v>0</v>
      </c>
      <c r="BH157" s="97">
        <f>IF(OR(AY157="SÁB",AY157="DOM"),0,IFERROR(8-VLOOKUP(K157,'Dados de consulta'!$A$2:$C$38,3,0),8))</f>
        <v>0</v>
      </c>
      <c r="BI157" s="97">
        <f>IF(OR(AY157="SÁB",AY157="DOM"),0,IFERROR(8-VLOOKUP(L157,'Dados de consulta'!$A$2:$C$38,3,0),8))</f>
        <v>0</v>
      </c>
      <c r="BJ157" s="97">
        <f>IF(OR(AY157="SÁB",AY157="DOM"),0,IFERROR(8-VLOOKUP(M157,'Dados de consulta'!$A$2:$C$38,3,0),8))</f>
        <v>0</v>
      </c>
      <c r="BK157" s="97">
        <f>IF(OR(AY157="SÁB",AY157="DOM"),0,IFERROR(8-VLOOKUP(N157,'Dados de consulta'!$A$2:$C$38,3,0),8))</f>
        <v>0</v>
      </c>
      <c r="BL157" s="97">
        <f>IF(OR(AY157="SÁB",AY157="DOM"),0,IFERROR(8-VLOOKUP(O157,'Dados de consulta'!$A$2:$C$38,3,0),8))</f>
        <v>0</v>
      </c>
      <c r="BM157" s="97">
        <f>IF(OR(AY157="SÁB",AY157="DOM"),0,IFERROR(8-VLOOKUP(P157,'Dados de consulta'!$A$2:$C$38,3,0),8))</f>
        <v>0</v>
      </c>
      <c r="BN157" s="97">
        <f>IF(OR(AY157="SÁB",AY157="DOM"),0,IFERROR(8-VLOOKUP(Q157,'Dados de consulta'!$A$2:$C$38,3,0),8))</f>
        <v>0</v>
      </c>
      <c r="BO157" s="97">
        <f>IF(OR(AY157="SÁB",AY157="DOM"),0,IFERROR(8-VLOOKUP(R157,'Dados de consulta'!$A$2:$C$38,3,0),8))</f>
        <v>0</v>
      </c>
      <c r="BP157" s="97">
        <f>IF(OR(AY157="SÁB",AY157="DOM"),0,IFERROR(8-VLOOKUP(S157,'Dados de consulta'!$A$2:$C$38,3,0),8))</f>
        <v>0</v>
      </c>
      <c r="BQ157" s="113">
        <f>IFERROR(6-VLOOKUP(T157,'Dados de consulta'!$A$2:$C$38,3,0)+2,6)</f>
        <v>6</v>
      </c>
      <c r="BR157" s="114">
        <f t="shared" si="76"/>
        <v>0</v>
      </c>
      <c r="BS157">
        <f t="shared" si="52"/>
        <v>0</v>
      </c>
      <c r="BU157">
        <f>IFERROR(8-VLOOKUP(U157,'Dados de consulta'!$A:$D,3,0),8)</f>
        <v>8</v>
      </c>
      <c r="BV157">
        <f>IFERROR(8-VLOOKUP(V157,'Dados de consulta'!$A:$D,3,0),8)</f>
        <v>8</v>
      </c>
      <c r="BW157">
        <f t="shared" si="77"/>
        <v>16</v>
      </c>
    </row>
    <row r="158" spans="1:75" ht="15" hidden="1" x14ac:dyDescent="0.2">
      <c r="A158" s="98">
        <v>42281</v>
      </c>
      <c r="B158" s="129" t="str">
        <f t="shared" si="53"/>
        <v>dom</v>
      </c>
      <c r="C158" s="132"/>
      <c r="D158" s="132"/>
      <c r="E158" s="132"/>
      <c r="F158" s="132"/>
      <c r="G158" s="132">
        <v>4</v>
      </c>
      <c r="H158" s="132"/>
      <c r="I158" s="132"/>
      <c r="J158" s="132"/>
      <c r="K158" s="132"/>
      <c r="L158" s="132"/>
      <c r="M158" s="132">
        <v>101</v>
      </c>
      <c r="N158" s="132"/>
      <c r="O158" s="132"/>
      <c r="P158" s="132"/>
      <c r="Q158" s="132"/>
      <c r="R158" s="132"/>
      <c r="S158" s="132"/>
      <c r="T158" s="132"/>
      <c r="U158" s="151"/>
      <c r="V158" s="151"/>
      <c r="W158" s="307" t="s">
        <v>193</v>
      </c>
      <c r="X158" s="308"/>
      <c r="Y158" s="38">
        <f t="shared" si="54"/>
        <v>8</v>
      </c>
      <c r="Z158" s="38">
        <f t="shared" si="55"/>
        <v>0</v>
      </c>
      <c r="AA158" s="38">
        <f t="shared" si="56"/>
        <v>0</v>
      </c>
      <c r="AB158" s="38">
        <f t="shared" si="64"/>
        <v>0</v>
      </c>
      <c r="AC158" s="38">
        <f t="shared" si="65"/>
        <v>0</v>
      </c>
      <c r="AD158" s="38">
        <f t="shared" si="66"/>
        <v>0</v>
      </c>
      <c r="AE158" s="38">
        <f t="shared" si="67"/>
        <v>0</v>
      </c>
      <c r="AF158" s="38">
        <f t="shared" si="68"/>
        <v>0</v>
      </c>
      <c r="AG158" s="33">
        <f t="shared" si="69"/>
        <v>0</v>
      </c>
      <c r="AH158" s="33">
        <f t="shared" si="70"/>
        <v>0</v>
      </c>
      <c r="AI158" s="33">
        <f t="shared" si="71"/>
        <v>0</v>
      </c>
      <c r="AJ158" s="33">
        <f t="shared" si="72"/>
        <v>0</v>
      </c>
      <c r="AK158" s="34">
        <f t="shared" si="73"/>
        <v>0</v>
      </c>
      <c r="AL158" s="35">
        <f t="shared" si="74"/>
        <v>0</v>
      </c>
      <c r="AM158" s="34">
        <f t="shared" si="57"/>
        <v>0</v>
      </c>
      <c r="AN158" s="36">
        <f t="shared" si="75"/>
        <v>0</v>
      </c>
      <c r="AO158" s="6">
        <f t="shared" si="58"/>
        <v>0</v>
      </c>
      <c r="AP158">
        <f t="shared" si="59"/>
        <v>8</v>
      </c>
      <c r="AQ158" s="6">
        <f t="shared" si="60"/>
        <v>0</v>
      </c>
      <c r="AR158" s="6">
        <f t="shared" si="61"/>
        <v>0</v>
      </c>
      <c r="AS158" s="6"/>
      <c r="AX158" s="95">
        <f t="shared" si="62"/>
        <v>42281</v>
      </c>
      <c r="AY158" s="96" t="str">
        <f t="shared" si="63"/>
        <v>dom</v>
      </c>
      <c r="AZ158" s="97">
        <f>IF(OR(AY158="SÁB",AY158="DOM"),0,IFERROR(8-VLOOKUP(C158,'Dados de consulta'!$A$2:$C$38,3,0),8))</f>
        <v>0</v>
      </c>
      <c r="BA158" s="97">
        <f>IF(OR(AY158="SÁB",AY158="DOM"),0,IFERROR(8-VLOOKUP(D158,'Dados de consulta'!$A$2:$C$38,3,0),8))</f>
        <v>0</v>
      </c>
      <c r="BB158" s="97">
        <f>IF(OR(AY158="SÁB",AY158="DOM"),0,IFERROR(8-VLOOKUP(E158,'Dados de consulta'!$A$2:$C$38,3,0),8))</f>
        <v>0</v>
      </c>
      <c r="BC158" s="97">
        <f>IF(OR(AY158="SÁB",AY158="DOM"),0,IFERROR(8-VLOOKUP(F158,'Dados de consulta'!$A$2:$C$38,3,0),8))</f>
        <v>0</v>
      </c>
      <c r="BD158" s="97">
        <f>IF(OR(AY158="SÁB",AY158="DOM"),0,IFERROR(8-VLOOKUP(G158,'Dados de consulta'!$A$2:$C$38,3,0),8))</f>
        <v>0</v>
      </c>
      <c r="BE158" s="97">
        <f>IF(OR(AY158="SÁB",AY158="DOM"),0,IFERROR(8-VLOOKUP(H158,'Dados de consulta'!$A$2:$C$38,3,0),8))</f>
        <v>0</v>
      </c>
      <c r="BF158" s="97">
        <f>IF(OR(AY158="SÁB",AY158="DOM"),0,IFERROR(8-VLOOKUP(I158,'Dados de consulta'!$A$2:$C$38,3,0),8))</f>
        <v>0</v>
      </c>
      <c r="BG158" s="97">
        <f>IF(OR(AY158="SÁB",AY158="DOM"),0,IFERROR(8-VLOOKUP(J158,'Dados de consulta'!$A$2:$C$38,3,0),8))</f>
        <v>0</v>
      </c>
      <c r="BH158" s="97">
        <f>IF(OR(AY158="SÁB",AY158="DOM"),0,IFERROR(8-VLOOKUP(K158,'Dados de consulta'!$A$2:$C$38,3,0),8))</f>
        <v>0</v>
      </c>
      <c r="BI158" s="97">
        <f>IF(OR(AY158="SÁB",AY158="DOM"),0,IFERROR(8-VLOOKUP(L158,'Dados de consulta'!$A$2:$C$38,3,0),8))</f>
        <v>0</v>
      </c>
      <c r="BJ158" s="97">
        <f>IF(OR(AY158="SÁB",AY158="DOM"),0,IFERROR(8-VLOOKUP(M158,'Dados de consulta'!$A$2:$C$38,3,0),8))</f>
        <v>0</v>
      </c>
      <c r="BK158" s="97">
        <f>IF(OR(AY158="SÁB",AY158="DOM"),0,IFERROR(8-VLOOKUP(N158,'Dados de consulta'!$A$2:$C$38,3,0),8))</f>
        <v>0</v>
      </c>
      <c r="BL158" s="97">
        <f>IF(OR(AY158="SÁB",AY158="DOM"),0,IFERROR(8-VLOOKUP(O158,'Dados de consulta'!$A$2:$C$38,3,0),8))</f>
        <v>0</v>
      </c>
      <c r="BM158" s="97">
        <f>IF(OR(AY158="SÁB",AY158="DOM"),0,IFERROR(8-VLOOKUP(P158,'Dados de consulta'!$A$2:$C$38,3,0),8))</f>
        <v>0</v>
      </c>
      <c r="BN158" s="97">
        <f>IF(OR(AY158="SÁB",AY158="DOM"),0,IFERROR(8-VLOOKUP(Q158,'Dados de consulta'!$A$2:$C$38,3,0),8))</f>
        <v>0</v>
      </c>
      <c r="BO158" s="97">
        <f>IF(OR(AY158="SÁB",AY158="DOM"),0,IFERROR(8-VLOOKUP(R158,'Dados de consulta'!$A$2:$C$38,3,0),8))</f>
        <v>0</v>
      </c>
      <c r="BP158" s="97">
        <f>IF(OR(AY158="SÁB",AY158="DOM"),0,IFERROR(8-VLOOKUP(S158,'Dados de consulta'!$A$2:$C$38,3,0),8))</f>
        <v>0</v>
      </c>
      <c r="BQ158" s="113">
        <f>IFERROR(6-VLOOKUP(T158,'Dados de consulta'!$A$2:$C$38,3,0)+2,6)</f>
        <v>6</v>
      </c>
      <c r="BR158" s="114">
        <f t="shared" si="76"/>
        <v>0</v>
      </c>
      <c r="BS158">
        <f t="shared" si="52"/>
        <v>0</v>
      </c>
      <c r="BU158">
        <f>IFERROR(8-VLOOKUP(U158,'Dados de consulta'!$A:$D,3,0),8)</f>
        <v>8</v>
      </c>
      <c r="BV158">
        <f>IFERROR(8-VLOOKUP(V158,'Dados de consulta'!$A:$D,3,0),8)</f>
        <v>8</v>
      </c>
      <c r="BW158">
        <f t="shared" si="77"/>
        <v>16</v>
      </c>
    </row>
    <row r="159" spans="1:75" ht="15" hidden="1" x14ac:dyDescent="0.2">
      <c r="A159" s="98">
        <v>42282</v>
      </c>
      <c r="B159" s="129" t="str">
        <f t="shared" si="53"/>
        <v>seg</v>
      </c>
      <c r="C159" s="132"/>
      <c r="D159" s="132"/>
      <c r="E159" s="132"/>
      <c r="F159" s="132"/>
      <c r="G159" s="132">
        <v>4</v>
      </c>
      <c r="H159" s="132"/>
      <c r="I159" s="132"/>
      <c r="J159" s="132"/>
      <c r="K159" s="132"/>
      <c r="L159" s="132"/>
      <c r="M159" s="132">
        <v>101</v>
      </c>
      <c r="N159" s="132"/>
      <c r="O159" s="132"/>
      <c r="P159" s="132"/>
      <c r="Q159" s="132"/>
      <c r="R159" s="132"/>
      <c r="S159" s="132"/>
      <c r="T159" s="132"/>
      <c r="U159" s="151"/>
      <c r="V159" s="151"/>
      <c r="W159" s="307" t="s">
        <v>193</v>
      </c>
      <c r="X159" s="308"/>
      <c r="Y159" s="38">
        <f t="shared" si="54"/>
        <v>8</v>
      </c>
      <c r="Z159" s="38">
        <f t="shared" si="55"/>
        <v>0</v>
      </c>
      <c r="AA159" s="38">
        <f t="shared" si="56"/>
        <v>0</v>
      </c>
      <c r="AB159" s="38">
        <f t="shared" si="64"/>
        <v>0</v>
      </c>
      <c r="AC159" s="38">
        <f t="shared" si="65"/>
        <v>0</v>
      </c>
      <c r="AD159" s="38">
        <f t="shared" si="66"/>
        <v>0</v>
      </c>
      <c r="AE159" s="38">
        <f t="shared" si="67"/>
        <v>0</v>
      </c>
      <c r="AF159" s="38">
        <f t="shared" si="68"/>
        <v>0</v>
      </c>
      <c r="AG159" s="33">
        <f t="shared" si="69"/>
        <v>8</v>
      </c>
      <c r="AH159" s="33">
        <f t="shared" si="70"/>
        <v>0</v>
      </c>
      <c r="AI159" s="33">
        <f t="shared" si="71"/>
        <v>0</v>
      </c>
      <c r="AJ159" s="33">
        <f t="shared" si="72"/>
        <v>0</v>
      </c>
      <c r="AK159" s="34">
        <f t="shared" si="73"/>
        <v>5.6338028169014086E-2</v>
      </c>
      <c r="AL159" s="35">
        <f t="shared" si="74"/>
        <v>0</v>
      </c>
      <c r="AM159" s="34">
        <f t="shared" si="57"/>
        <v>0</v>
      </c>
      <c r="AN159" s="36">
        <f t="shared" si="75"/>
        <v>0</v>
      </c>
      <c r="AO159" s="6">
        <f t="shared" si="58"/>
        <v>0</v>
      </c>
      <c r="AP159">
        <f t="shared" si="59"/>
        <v>8</v>
      </c>
      <c r="AQ159" s="6">
        <f t="shared" si="60"/>
        <v>0</v>
      </c>
      <c r="AR159" s="6">
        <f t="shared" si="61"/>
        <v>0</v>
      </c>
      <c r="AS159" s="6"/>
      <c r="AX159" s="95">
        <f t="shared" si="62"/>
        <v>42282</v>
      </c>
      <c r="AY159" s="96" t="str">
        <f t="shared" si="63"/>
        <v>seg</v>
      </c>
      <c r="AZ159" s="97">
        <f>IF(OR(AY159="SÁB",AY159="DOM"),0,IFERROR(8-VLOOKUP(C159,'Dados de consulta'!$A$2:$C$38,3,0),8))</f>
        <v>8</v>
      </c>
      <c r="BA159" s="97">
        <f>IF(OR(AY159="SÁB",AY159="DOM"),0,IFERROR(8-VLOOKUP(D159,'Dados de consulta'!$A$2:$C$38,3,0),8))</f>
        <v>8</v>
      </c>
      <c r="BB159" s="97">
        <f>IF(OR(AY159="SÁB",AY159="DOM"),0,IFERROR(8-VLOOKUP(E159,'Dados de consulta'!$A$2:$C$38,3,0),8))</f>
        <v>8</v>
      </c>
      <c r="BC159" s="97">
        <f>IF(OR(AY159="SÁB",AY159="DOM"),0,IFERROR(8-VLOOKUP(F159,'Dados de consulta'!$A$2:$C$38,3,0),8))</f>
        <v>8</v>
      </c>
      <c r="BD159" s="97">
        <f>IF(OR(AY159="SÁB",AY159="DOM"),0,IFERROR(8-VLOOKUP(G159,'Dados de consulta'!$A$2:$C$38,3,0),8))</f>
        <v>0</v>
      </c>
      <c r="BE159" s="97">
        <f>IF(OR(AY159="SÁB",AY159="DOM"),0,IFERROR(8-VLOOKUP(H159,'Dados de consulta'!$A$2:$C$38,3,0),8))</f>
        <v>8</v>
      </c>
      <c r="BF159" s="97">
        <f>IF(OR(AY159="SÁB",AY159="DOM"),0,IFERROR(8-VLOOKUP(I159,'Dados de consulta'!$A$2:$C$38,3,0),8))</f>
        <v>8</v>
      </c>
      <c r="BG159" s="97">
        <f>IF(OR(AY159="SÁB",AY159="DOM"),0,IFERROR(8-VLOOKUP(J159,'Dados de consulta'!$A$2:$C$38,3,0),8))</f>
        <v>8</v>
      </c>
      <c r="BH159" s="97">
        <f>IF(OR(AY159="SÁB",AY159="DOM"),0,IFERROR(8-VLOOKUP(K159,'Dados de consulta'!$A$2:$C$38,3,0),8))</f>
        <v>8</v>
      </c>
      <c r="BI159" s="97">
        <f>IF(OR(AY159="SÁB",AY159="DOM"),0,IFERROR(8-VLOOKUP(L159,'Dados de consulta'!$A$2:$C$38,3,0),8))</f>
        <v>8</v>
      </c>
      <c r="BJ159" s="97">
        <f>IF(OR(AY159="SÁB",AY159="DOM"),0,IFERROR(8-VLOOKUP(M159,'Dados de consulta'!$A$2:$C$38,3,0),8))</f>
        <v>0</v>
      </c>
      <c r="BK159" s="97">
        <f>IF(OR(AY159="SÁB",AY159="DOM"),0,IFERROR(8-VLOOKUP(N159,'Dados de consulta'!$A$2:$C$38,3,0),8))</f>
        <v>8</v>
      </c>
      <c r="BL159" s="97">
        <f>IF(OR(AY159="SÁB",AY159="DOM"),0,IFERROR(8-VLOOKUP(O159,'Dados de consulta'!$A$2:$C$38,3,0),8))</f>
        <v>8</v>
      </c>
      <c r="BM159" s="97">
        <f>IF(OR(AY159="SÁB",AY159="DOM"),0,IFERROR(8-VLOOKUP(P159,'Dados de consulta'!$A$2:$C$38,3,0),8))</f>
        <v>8</v>
      </c>
      <c r="BN159" s="97">
        <f>IF(OR(AY159="SÁB",AY159="DOM"),0,IFERROR(8-VLOOKUP(Q159,'Dados de consulta'!$A$2:$C$38,3,0),8))</f>
        <v>8</v>
      </c>
      <c r="BO159" s="97">
        <f>IF(OR(AY159="SÁB",AY159="DOM"),0,IFERROR(8-VLOOKUP(R159,'Dados de consulta'!$A$2:$C$38,3,0),8))</f>
        <v>8</v>
      </c>
      <c r="BP159" s="97">
        <f>IF(OR(AY159="SÁB",AY159="DOM"),0,IFERROR(8-VLOOKUP(S159,'Dados de consulta'!$A$2:$C$38,3,0),8))</f>
        <v>8</v>
      </c>
      <c r="BQ159" s="113">
        <f>IFERROR(6-VLOOKUP(T159,'Dados de consulta'!$A$2:$C$38,3,0)+2,6)</f>
        <v>6</v>
      </c>
      <c r="BR159" s="114">
        <f t="shared" si="76"/>
        <v>126</v>
      </c>
      <c r="BS159">
        <f t="shared" si="52"/>
        <v>134</v>
      </c>
      <c r="BU159">
        <f>IFERROR(8-VLOOKUP(U159,'Dados de consulta'!$A:$D,3,0),8)</f>
        <v>8</v>
      </c>
      <c r="BV159">
        <f>IFERROR(8-VLOOKUP(V159,'Dados de consulta'!$A:$D,3,0),8)</f>
        <v>8</v>
      </c>
      <c r="BW159">
        <f t="shared" si="77"/>
        <v>16</v>
      </c>
    </row>
    <row r="160" spans="1:75" ht="15" hidden="1" x14ac:dyDescent="0.2">
      <c r="A160" s="98">
        <v>42283</v>
      </c>
      <c r="B160" s="129" t="str">
        <f t="shared" si="53"/>
        <v>ter</v>
      </c>
      <c r="C160" s="132">
        <v>6</v>
      </c>
      <c r="D160" s="132"/>
      <c r="E160" s="132">
        <v>6</v>
      </c>
      <c r="F160" s="132">
        <v>6</v>
      </c>
      <c r="G160" s="132">
        <v>4</v>
      </c>
      <c r="H160" s="132">
        <v>6</v>
      </c>
      <c r="I160" s="132">
        <v>6</v>
      </c>
      <c r="J160" s="132">
        <v>6</v>
      </c>
      <c r="K160" s="132">
        <v>6</v>
      </c>
      <c r="L160" s="132">
        <v>6</v>
      </c>
      <c r="M160" s="132">
        <v>101</v>
      </c>
      <c r="N160" s="132">
        <v>6</v>
      </c>
      <c r="O160" s="132">
        <v>6</v>
      </c>
      <c r="P160" s="132">
        <v>6</v>
      </c>
      <c r="Q160" s="132">
        <v>6</v>
      </c>
      <c r="R160" s="132">
        <v>6</v>
      </c>
      <c r="S160" s="132">
        <v>2</v>
      </c>
      <c r="T160" s="132">
        <v>6</v>
      </c>
      <c r="U160" s="151">
        <v>6</v>
      </c>
      <c r="V160" s="151">
        <v>6</v>
      </c>
      <c r="W160" s="307" t="s">
        <v>193</v>
      </c>
      <c r="X160" s="308"/>
      <c r="Y160" s="38">
        <f t="shared" si="54"/>
        <v>8</v>
      </c>
      <c r="Z160" s="38">
        <f t="shared" si="55"/>
        <v>8</v>
      </c>
      <c r="AA160" s="38">
        <f t="shared" si="56"/>
        <v>0</v>
      </c>
      <c r="AB160" s="38">
        <f t="shared" si="64"/>
        <v>104</v>
      </c>
      <c r="AC160" s="38">
        <f t="shared" si="65"/>
        <v>0</v>
      </c>
      <c r="AD160" s="38">
        <f t="shared" si="66"/>
        <v>0</v>
      </c>
      <c r="AE160" s="38">
        <f t="shared" si="67"/>
        <v>0</v>
      </c>
      <c r="AF160" s="38">
        <f t="shared" si="68"/>
        <v>6</v>
      </c>
      <c r="AG160" s="33">
        <f t="shared" si="69"/>
        <v>8</v>
      </c>
      <c r="AH160" s="33">
        <f t="shared" si="70"/>
        <v>8</v>
      </c>
      <c r="AI160" s="33">
        <f t="shared" si="71"/>
        <v>0</v>
      </c>
      <c r="AJ160" s="33">
        <f t="shared" si="72"/>
        <v>110</v>
      </c>
      <c r="AK160" s="34">
        <f t="shared" si="73"/>
        <v>5.6338028169014086E-2</v>
      </c>
      <c r="AL160" s="35">
        <f t="shared" si="74"/>
        <v>5.6338028169014086E-2</v>
      </c>
      <c r="AM160" s="34">
        <f t="shared" si="57"/>
        <v>0</v>
      </c>
      <c r="AN160" s="36">
        <f t="shared" si="75"/>
        <v>0.77464788732394363</v>
      </c>
      <c r="AO160" s="6">
        <f t="shared" si="58"/>
        <v>0</v>
      </c>
      <c r="AP160">
        <f t="shared" si="59"/>
        <v>8</v>
      </c>
      <c r="AQ160" s="6">
        <f t="shared" si="60"/>
        <v>0</v>
      </c>
      <c r="AR160" s="6">
        <f t="shared" si="61"/>
        <v>0</v>
      </c>
      <c r="AS160" s="6"/>
      <c r="AX160" s="95">
        <f t="shared" si="62"/>
        <v>42283</v>
      </c>
      <c r="AY160" s="96" t="str">
        <f t="shared" si="63"/>
        <v>ter</v>
      </c>
      <c r="AZ160" s="97">
        <f>IF(OR(AY160="SÁB",AY160="DOM"),0,IFERROR(8-VLOOKUP(C160,'Dados de consulta'!$A$2:$C$38,3,0),8))</f>
        <v>0</v>
      </c>
      <c r="BA160" s="97">
        <f>IF(OR(AY160="SÁB",AY160="DOM"),0,IFERROR(8-VLOOKUP(D160,'Dados de consulta'!$A$2:$C$38,3,0),8))</f>
        <v>8</v>
      </c>
      <c r="BB160" s="97">
        <f>IF(OR(AY160="SÁB",AY160="DOM"),0,IFERROR(8-VLOOKUP(E160,'Dados de consulta'!$A$2:$C$38,3,0),8))</f>
        <v>0</v>
      </c>
      <c r="BC160" s="97">
        <f>IF(OR(AY160="SÁB",AY160="DOM"),0,IFERROR(8-VLOOKUP(F160,'Dados de consulta'!$A$2:$C$38,3,0),8))</f>
        <v>0</v>
      </c>
      <c r="BD160" s="97">
        <f>IF(OR(AY160="SÁB",AY160="DOM"),0,IFERROR(8-VLOOKUP(G160,'Dados de consulta'!$A$2:$C$38,3,0),8))</f>
        <v>0</v>
      </c>
      <c r="BE160" s="97">
        <f>IF(OR(AY160="SÁB",AY160="DOM"),0,IFERROR(8-VLOOKUP(H160,'Dados de consulta'!$A$2:$C$38,3,0),8))</f>
        <v>0</v>
      </c>
      <c r="BF160" s="97">
        <f>IF(OR(AY160="SÁB",AY160="DOM"),0,IFERROR(8-VLOOKUP(I160,'Dados de consulta'!$A$2:$C$38,3,0),8))</f>
        <v>0</v>
      </c>
      <c r="BG160" s="97">
        <f>IF(OR(AY160="SÁB",AY160="DOM"),0,IFERROR(8-VLOOKUP(J160,'Dados de consulta'!$A$2:$C$38,3,0),8))</f>
        <v>0</v>
      </c>
      <c r="BH160" s="97">
        <f>IF(OR(AY160="SÁB",AY160="DOM"),0,IFERROR(8-VLOOKUP(K160,'Dados de consulta'!$A$2:$C$38,3,0),8))</f>
        <v>0</v>
      </c>
      <c r="BI160" s="97">
        <f>IF(OR(AY160="SÁB",AY160="DOM"),0,IFERROR(8-VLOOKUP(L160,'Dados de consulta'!$A$2:$C$38,3,0),8))</f>
        <v>0</v>
      </c>
      <c r="BJ160" s="97">
        <f>IF(OR(AY160="SÁB",AY160="DOM"),0,IFERROR(8-VLOOKUP(M160,'Dados de consulta'!$A$2:$C$38,3,0),8))</f>
        <v>0</v>
      </c>
      <c r="BK160" s="97">
        <f>IF(OR(AY160="SÁB",AY160="DOM"),0,IFERROR(8-VLOOKUP(N160,'Dados de consulta'!$A$2:$C$38,3,0),8))</f>
        <v>0</v>
      </c>
      <c r="BL160" s="97">
        <f>IF(OR(AY160="SÁB",AY160="DOM"),0,IFERROR(8-VLOOKUP(O160,'Dados de consulta'!$A$2:$C$38,3,0),8))</f>
        <v>0</v>
      </c>
      <c r="BM160" s="97">
        <f>IF(OR(AY160="SÁB",AY160="DOM"),0,IFERROR(8-VLOOKUP(P160,'Dados de consulta'!$A$2:$C$38,3,0),8))</f>
        <v>0</v>
      </c>
      <c r="BN160" s="97">
        <f>IF(OR(AY160="SÁB",AY160="DOM"),0,IFERROR(8-VLOOKUP(Q160,'Dados de consulta'!$A$2:$C$38,3,0),8))</f>
        <v>0</v>
      </c>
      <c r="BO160" s="97">
        <f>IF(OR(AY160="SÁB",AY160="DOM"),0,IFERROR(8-VLOOKUP(R160,'Dados de consulta'!$A$2:$C$38,3,0),8))</f>
        <v>0</v>
      </c>
      <c r="BP160" s="97">
        <f>IF(OR(AY160="SÁB",AY160="DOM"),0,IFERROR(8-VLOOKUP(S160,'Dados de consulta'!$A$2:$C$38,3,0),8))</f>
        <v>0</v>
      </c>
      <c r="BQ160" s="113">
        <f>IFERROR(6-VLOOKUP(T160,'Dados de consulta'!$A$2:$C$38,3,0)+2,6)</f>
        <v>0</v>
      </c>
      <c r="BR160" s="114">
        <f t="shared" si="76"/>
        <v>8</v>
      </c>
      <c r="BS160">
        <f t="shared" si="52"/>
        <v>134</v>
      </c>
      <c r="BU160">
        <f>IFERROR(8-VLOOKUP(U160,'Dados de consulta'!$A:$D,3,0),8)</f>
        <v>0</v>
      </c>
      <c r="BV160">
        <f>IFERROR(8-VLOOKUP(V160,'Dados de consulta'!$A:$D,3,0),8)</f>
        <v>0</v>
      </c>
      <c r="BW160">
        <f t="shared" si="77"/>
        <v>0</v>
      </c>
    </row>
    <row r="161" spans="1:75" ht="15" hidden="1" x14ac:dyDescent="0.2">
      <c r="A161" s="98">
        <v>42284</v>
      </c>
      <c r="B161" s="129" t="str">
        <f t="shared" si="53"/>
        <v>qua</v>
      </c>
      <c r="C161" s="132"/>
      <c r="D161" s="132"/>
      <c r="E161" s="132">
        <v>8</v>
      </c>
      <c r="F161" s="132"/>
      <c r="G161" s="132">
        <v>4</v>
      </c>
      <c r="H161" s="132"/>
      <c r="I161" s="132"/>
      <c r="J161" s="132"/>
      <c r="K161" s="132"/>
      <c r="L161" s="132"/>
      <c r="M161" s="132">
        <v>101</v>
      </c>
      <c r="N161" s="132"/>
      <c r="O161" s="132"/>
      <c r="P161" s="132"/>
      <c r="Q161" s="132"/>
      <c r="R161" s="132"/>
      <c r="S161" s="132"/>
      <c r="T161" s="132">
        <v>8</v>
      </c>
      <c r="U161" s="151"/>
      <c r="V161" s="151">
        <v>18</v>
      </c>
      <c r="W161" s="307" t="s">
        <v>193</v>
      </c>
      <c r="X161" s="308"/>
      <c r="Y161" s="38">
        <f t="shared" si="54"/>
        <v>16</v>
      </c>
      <c r="Z161" s="38">
        <f t="shared" si="55"/>
        <v>0</v>
      </c>
      <c r="AA161" s="38">
        <f t="shared" si="56"/>
        <v>0</v>
      </c>
      <c r="AB161" s="38">
        <f t="shared" si="64"/>
        <v>0</v>
      </c>
      <c r="AC161" s="38">
        <f t="shared" si="65"/>
        <v>6</v>
      </c>
      <c r="AD161" s="38">
        <f t="shared" si="66"/>
        <v>0</v>
      </c>
      <c r="AE161" s="38">
        <f t="shared" si="67"/>
        <v>0</v>
      </c>
      <c r="AF161" s="38">
        <f t="shared" si="68"/>
        <v>0</v>
      </c>
      <c r="AG161" s="33">
        <f t="shared" si="69"/>
        <v>22</v>
      </c>
      <c r="AH161" s="33">
        <f t="shared" si="70"/>
        <v>0</v>
      </c>
      <c r="AI161" s="33">
        <f t="shared" si="71"/>
        <v>0</v>
      </c>
      <c r="AJ161" s="33">
        <f t="shared" si="72"/>
        <v>0</v>
      </c>
      <c r="AK161" s="34">
        <f t="shared" si="73"/>
        <v>0.15492957746478872</v>
      </c>
      <c r="AL161" s="35">
        <f t="shared" si="74"/>
        <v>0</v>
      </c>
      <c r="AM161" s="34">
        <f t="shared" si="57"/>
        <v>0</v>
      </c>
      <c r="AN161" s="36">
        <f t="shared" si="75"/>
        <v>0</v>
      </c>
      <c r="AO161" s="6">
        <f t="shared" si="58"/>
        <v>0</v>
      </c>
      <c r="AP161">
        <f t="shared" si="59"/>
        <v>8</v>
      </c>
      <c r="AQ161" s="6">
        <f t="shared" si="60"/>
        <v>0</v>
      </c>
      <c r="AR161" s="6">
        <f t="shared" si="61"/>
        <v>0</v>
      </c>
      <c r="AS161" s="6"/>
      <c r="AX161" s="95">
        <f t="shared" si="62"/>
        <v>42284</v>
      </c>
      <c r="AY161" s="96" t="str">
        <f t="shared" si="63"/>
        <v>qua</v>
      </c>
      <c r="AZ161" s="97">
        <f>IF(OR(AY161="SÁB",AY161="DOM"),0,IFERROR(8-VLOOKUP(C161,'Dados de consulta'!$A$2:$C$38,3,0),8))</f>
        <v>8</v>
      </c>
      <c r="BA161" s="97">
        <f>IF(OR(AY161="SÁB",AY161="DOM"),0,IFERROR(8-VLOOKUP(D161,'Dados de consulta'!$A$2:$C$38,3,0),8))</f>
        <v>8</v>
      </c>
      <c r="BB161" s="97">
        <f>IF(OR(AY161="SÁB",AY161="DOM"),0,IFERROR(8-VLOOKUP(E161,'Dados de consulta'!$A$2:$C$38,3,0),8))</f>
        <v>0</v>
      </c>
      <c r="BC161" s="97">
        <f>IF(OR(AY161="SÁB",AY161="DOM"),0,IFERROR(8-VLOOKUP(F161,'Dados de consulta'!$A$2:$C$38,3,0),8))</f>
        <v>8</v>
      </c>
      <c r="BD161" s="97">
        <f>IF(OR(AY161="SÁB",AY161="DOM"),0,IFERROR(8-VLOOKUP(G161,'Dados de consulta'!$A$2:$C$38,3,0),8))</f>
        <v>0</v>
      </c>
      <c r="BE161" s="97">
        <f>IF(OR(AY161="SÁB",AY161="DOM"),0,IFERROR(8-VLOOKUP(H161,'Dados de consulta'!$A$2:$C$38,3,0),8))</f>
        <v>8</v>
      </c>
      <c r="BF161" s="97">
        <f>IF(OR(AY161="SÁB",AY161="DOM"),0,IFERROR(8-VLOOKUP(I161,'Dados de consulta'!$A$2:$C$38,3,0),8))</f>
        <v>8</v>
      </c>
      <c r="BG161" s="97">
        <f>IF(OR(AY161="SÁB",AY161="DOM"),0,IFERROR(8-VLOOKUP(J161,'Dados de consulta'!$A$2:$C$38,3,0),8))</f>
        <v>8</v>
      </c>
      <c r="BH161" s="97">
        <f>IF(OR(AY161="SÁB",AY161="DOM"),0,IFERROR(8-VLOOKUP(K161,'Dados de consulta'!$A$2:$C$38,3,0),8))</f>
        <v>8</v>
      </c>
      <c r="BI161" s="97">
        <f>IF(OR(AY161="SÁB",AY161="DOM"),0,IFERROR(8-VLOOKUP(L161,'Dados de consulta'!$A$2:$C$38,3,0),8))</f>
        <v>8</v>
      </c>
      <c r="BJ161" s="97">
        <f>IF(OR(AY161="SÁB",AY161="DOM"),0,IFERROR(8-VLOOKUP(M161,'Dados de consulta'!$A$2:$C$38,3,0),8))</f>
        <v>0</v>
      </c>
      <c r="BK161" s="97">
        <f>IF(OR(AY161="SÁB",AY161="DOM"),0,IFERROR(8-VLOOKUP(N161,'Dados de consulta'!$A$2:$C$38,3,0),8))</f>
        <v>8</v>
      </c>
      <c r="BL161" s="97">
        <f>IF(OR(AY161="SÁB",AY161="DOM"),0,IFERROR(8-VLOOKUP(O161,'Dados de consulta'!$A$2:$C$38,3,0),8))</f>
        <v>8</v>
      </c>
      <c r="BM161" s="97">
        <f>IF(OR(AY161="SÁB",AY161="DOM"),0,IFERROR(8-VLOOKUP(P161,'Dados de consulta'!$A$2:$C$38,3,0),8))</f>
        <v>8</v>
      </c>
      <c r="BN161" s="97">
        <f>IF(OR(AY161="SÁB",AY161="DOM"),0,IFERROR(8-VLOOKUP(Q161,'Dados de consulta'!$A$2:$C$38,3,0),8))</f>
        <v>8</v>
      </c>
      <c r="BO161" s="97">
        <f>IF(OR(AY161="SÁB",AY161="DOM"),0,IFERROR(8-VLOOKUP(R161,'Dados de consulta'!$A$2:$C$38,3,0),8))</f>
        <v>8</v>
      </c>
      <c r="BP161" s="97">
        <f>IF(OR(AY161="SÁB",AY161="DOM"),0,IFERROR(8-VLOOKUP(S161,'Dados de consulta'!$A$2:$C$38,3,0),8))</f>
        <v>8</v>
      </c>
      <c r="BQ161" s="113">
        <f>IFERROR(6-VLOOKUP(T161,'Dados de consulta'!$A$2:$C$38,3,0)+2,6)</f>
        <v>0</v>
      </c>
      <c r="BR161" s="114">
        <f t="shared" si="76"/>
        <v>112</v>
      </c>
      <c r="BS161">
        <f t="shared" si="52"/>
        <v>134</v>
      </c>
      <c r="BU161">
        <f>IFERROR(8-VLOOKUP(U161,'Dados de consulta'!$A:$D,3,0),8)</f>
        <v>8</v>
      </c>
      <c r="BV161">
        <f>IFERROR(8-VLOOKUP(V161,'Dados de consulta'!$A:$D,3,0),8)</f>
        <v>0</v>
      </c>
      <c r="BW161">
        <f t="shared" si="77"/>
        <v>8</v>
      </c>
    </row>
    <row r="162" spans="1:75" ht="15" hidden="1" x14ac:dyDescent="0.2">
      <c r="A162" s="98">
        <v>42285</v>
      </c>
      <c r="B162" s="129" t="str">
        <f t="shared" si="53"/>
        <v>qui</v>
      </c>
      <c r="C162" s="132"/>
      <c r="D162" s="132"/>
      <c r="E162" s="132">
        <v>8</v>
      </c>
      <c r="F162" s="132"/>
      <c r="G162" s="132">
        <v>4</v>
      </c>
      <c r="H162" s="132"/>
      <c r="I162" s="132"/>
      <c r="J162" s="132"/>
      <c r="K162" s="132"/>
      <c r="L162" s="132"/>
      <c r="M162" s="132">
        <v>101</v>
      </c>
      <c r="N162" s="132"/>
      <c r="O162" s="132"/>
      <c r="P162" s="132"/>
      <c r="Q162" s="132"/>
      <c r="R162" s="132"/>
      <c r="S162" s="132"/>
      <c r="T162" s="132">
        <v>8</v>
      </c>
      <c r="U162" s="151"/>
      <c r="V162" s="151">
        <v>18</v>
      </c>
      <c r="W162" s="307" t="s">
        <v>193</v>
      </c>
      <c r="X162" s="308"/>
      <c r="Y162" s="38">
        <f t="shared" si="54"/>
        <v>16</v>
      </c>
      <c r="Z162" s="38">
        <f t="shared" si="55"/>
        <v>0</v>
      </c>
      <c r="AA162" s="38">
        <f t="shared" si="56"/>
        <v>0</v>
      </c>
      <c r="AB162" s="38">
        <f t="shared" si="64"/>
        <v>0</v>
      </c>
      <c r="AC162" s="38">
        <f t="shared" si="65"/>
        <v>6</v>
      </c>
      <c r="AD162" s="38">
        <f t="shared" si="66"/>
        <v>0</v>
      </c>
      <c r="AE162" s="38">
        <f t="shared" si="67"/>
        <v>0</v>
      </c>
      <c r="AF162" s="38">
        <f t="shared" si="68"/>
        <v>0</v>
      </c>
      <c r="AG162" s="33">
        <f t="shared" si="69"/>
        <v>22</v>
      </c>
      <c r="AH162" s="33">
        <f t="shared" si="70"/>
        <v>0</v>
      </c>
      <c r="AI162" s="33">
        <f t="shared" si="71"/>
        <v>0</v>
      </c>
      <c r="AJ162" s="33">
        <f t="shared" si="72"/>
        <v>0</v>
      </c>
      <c r="AK162" s="34">
        <f t="shared" si="73"/>
        <v>0.15492957746478872</v>
      </c>
      <c r="AL162" s="35">
        <f t="shared" si="74"/>
        <v>0</v>
      </c>
      <c r="AM162" s="34">
        <f t="shared" si="57"/>
        <v>0</v>
      </c>
      <c r="AN162" s="36">
        <f t="shared" si="75"/>
        <v>0</v>
      </c>
      <c r="AO162" s="6">
        <f t="shared" si="58"/>
        <v>0</v>
      </c>
      <c r="AP162">
        <f t="shared" si="59"/>
        <v>8</v>
      </c>
      <c r="AQ162" s="6">
        <f t="shared" si="60"/>
        <v>0</v>
      </c>
      <c r="AR162" s="6">
        <f t="shared" si="61"/>
        <v>0</v>
      </c>
      <c r="AS162" s="6"/>
      <c r="AX162" s="95">
        <f t="shared" si="62"/>
        <v>42285</v>
      </c>
      <c r="AY162" s="96" t="str">
        <f t="shared" si="63"/>
        <v>qui</v>
      </c>
      <c r="AZ162" s="97">
        <f>IF(OR(AY162="SÁB",AY162="DOM"),0,IFERROR(8-VLOOKUP(C162,'Dados de consulta'!$A$2:$C$38,3,0),8))</f>
        <v>8</v>
      </c>
      <c r="BA162" s="97">
        <f>IF(OR(AY162="SÁB",AY162="DOM"),0,IFERROR(8-VLOOKUP(D162,'Dados de consulta'!$A$2:$C$38,3,0),8))</f>
        <v>8</v>
      </c>
      <c r="BB162" s="97">
        <f>IF(OR(AY162="SÁB",AY162="DOM"),0,IFERROR(8-VLOOKUP(E162,'Dados de consulta'!$A$2:$C$38,3,0),8))</f>
        <v>0</v>
      </c>
      <c r="BC162" s="97">
        <f>IF(OR(AY162="SÁB",AY162="DOM"),0,IFERROR(8-VLOOKUP(F162,'Dados de consulta'!$A$2:$C$38,3,0),8))</f>
        <v>8</v>
      </c>
      <c r="BD162" s="97">
        <f>IF(OR(AY162="SÁB",AY162="DOM"),0,IFERROR(8-VLOOKUP(G162,'Dados de consulta'!$A$2:$C$38,3,0),8))</f>
        <v>0</v>
      </c>
      <c r="BE162" s="97">
        <f>IF(OR(AY162="SÁB",AY162="DOM"),0,IFERROR(8-VLOOKUP(H162,'Dados de consulta'!$A$2:$C$38,3,0),8))</f>
        <v>8</v>
      </c>
      <c r="BF162" s="97">
        <f>IF(OR(AY162="SÁB",AY162="DOM"),0,IFERROR(8-VLOOKUP(I162,'Dados de consulta'!$A$2:$C$38,3,0),8))</f>
        <v>8</v>
      </c>
      <c r="BG162" s="97">
        <f>IF(OR(AY162="SÁB",AY162="DOM"),0,IFERROR(8-VLOOKUP(J162,'Dados de consulta'!$A$2:$C$38,3,0),8))</f>
        <v>8</v>
      </c>
      <c r="BH162" s="97">
        <f>IF(OR(AY162="SÁB",AY162="DOM"),0,IFERROR(8-VLOOKUP(K162,'Dados de consulta'!$A$2:$C$38,3,0),8))</f>
        <v>8</v>
      </c>
      <c r="BI162" s="97">
        <f>IF(OR(AY162="SÁB",AY162="DOM"),0,IFERROR(8-VLOOKUP(L162,'Dados de consulta'!$A$2:$C$38,3,0),8))</f>
        <v>8</v>
      </c>
      <c r="BJ162" s="97">
        <f>IF(OR(AY162="SÁB",AY162="DOM"),0,IFERROR(8-VLOOKUP(M162,'Dados de consulta'!$A$2:$C$38,3,0),8))</f>
        <v>0</v>
      </c>
      <c r="BK162" s="97">
        <f>IF(OR(AY162="SÁB",AY162="DOM"),0,IFERROR(8-VLOOKUP(N162,'Dados de consulta'!$A$2:$C$38,3,0),8))</f>
        <v>8</v>
      </c>
      <c r="BL162" s="97">
        <f>IF(OR(AY162="SÁB",AY162="DOM"),0,IFERROR(8-VLOOKUP(O162,'Dados de consulta'!$A$2:$C$38,3,0),8))</f>
        <v>8</v>
      </c>
      <c r="BM162" s="97">
        <f>IF(OR(AY162="SÁB",AY162="DOM"),0,IFERROR(8-VLOOKUP(P162,'Dados de consulta'!$A$2:$C$38,3,0),8))</f>
        <v>8</v>
      </c>
      <c r="BN162" s="97">
        <f>IF(OR(AY162="SÁB",AY162="DOM"),0,IFERROR(8-VLOOKUP(Q162,'Dados de consulta'!$A$2:$C$38,3,0),8))</f>
        <v>8</v>
      </c>
      <c r="BO162" s="97">
        <f>IF(OR(AY162="SÁB",AY162="DOM"),0,IFERROR(8-VLOOKUP(R162,'Dados de consulta'!$A$2:$C$38,3,0),8))</f>
        <v>8</v>
      </c>
      <c r="BP162" s="97">
        <f>IF(OR(AY162="SÁB",AY162="DOM"),0,IFERROR(8-VLOOKUP(S162,'Dados de consulta'!$A$2:$C$38,3,0),8))</f>
        <v>8</v>
      </c>
      <c r="BQ162" s="113">
        <f>IFERROR(6-VLOOKUP(T162,'Dados de consulta'!$A$2:$C$38,3,0)+2,6)</f>
        <v>0</v>
      </c>
      <c r="BR162" s="114">
        <f t="shared" si="76"/>
        <v>112</v>
      </c>
      <c r="BS162">
        <f t="shared" si="52"/>
        <v>134</v>
      </c>
      <c r="BU162">
        <f>IFERROR(8-VLOOKUP(U162,'Dados de consulta'!$A:$D,3,0),8)</f>
        <v>8</v>
      </c>
      <c r="BV162">
        <f>IFERROR(8-VLOOKUP(V162,'Dados de consulta'!$A:$D,3,0),8)</f>
        <v>0</v>
      </c>
      <c r="BW162">
        <f t="shared" si="77"/>
        <v>8</v>
      </c>
    </row>
    <row r="163" spans="1:75" ht="15" hidden="1" x14ac:dyDescent="0.2">
      <c r="A163" s="98">
        <v>42286</v>
      </c>
      <c r="B163" s="129" t="str">
        <f t="shared" si="53"/>
        <v>sex</v>
      </c>
      <c r="C163" s="132"/>
      <c r="D163" s="132"/>
      <c r="E163" s="132">
        <v>8</v>
      </c>
      <c r="F163" s="132"/>
      <c r="G163" s="132">
        <v>4</v>
      </c>
      <c r="H163" s="132"/>
      <c r="I163" s="132"/>
      <c r="J163" s="132"/>
      <c r="K163" s="132"/>
      <c r="L163" s="132"/>
      <c r="M163" s="132">
        <v>101</v>
      </c>
      <c r="N163" s="132"/>
      <c r="O163" s="132"/>
      <c r="P163" s="132"/>
      <c r="Q163" s="132"/>
      <c r="R163" s="132"/>
      <c r="S163" s="132"/>
      <c r="T163" s="132"/>
      <c r="U163" s="151"/>
      <c r="V163" s="151">
        <v>18</v>
      </c>
      <c r="W163" s="307" t="s">
        <v>193</v>
      </c>
      <c r="X163" s="308"/>
      <c r="Y163" s="38">
        <f t="shared" si="54"/>
        <v>16</v>
      </c>
      <c r="Z163" s="38">
        <f t="shared" si="55"/>
        <v>0</v>
      </c>
      <c r="AA163" s="38">
        <f t="shared" si="56"/>
        <v>0</v>
      </c>
      <c r="AB163" s="38">
        <f t="shared" si="64"/>
        <v>0</v>
      </c>
      <c r="AC163" s="38">
        <f t="shared" si="65"/>
        <v>0</v>
      </c>
      <c r="AD163" s="38">
        <f t="shared" si="66"/>
        <v>0</v>
      </c>
      <c r="AE163" s="38">
        <f t="shared" si="67"/>
        <v>0</v>
      </c>
      <c r="AF163" s="38">
        <f t="shared" si="68"/>
        <v>0</v>
      </c>
      <c r="AG163" s="33">
        <f t="shared" si="69"/>
        <v>16</v>
      </c>
      <c r="AH163" s="33">
        <f t="shared" si="70"/>
        <v>0</v>
      </c>
      <c r="AI163" s="33">
        <f t="shared" si="71"/>
        <v>0</v>
      </c>
      <c r="AJ163" s="33">
        <f t="shared" si="72"/>
        <v>0</v>
      </c>
      <c r="AK163" s="34">
        <f t="shared" si="73"/>
        <v>0.11267605633802817</v>
      </c>
      <c r="AL163" s="35">
        <f t="shared" si="74"/>
        <v>0</v>
      </c>
      <c r="AM163" s="34">
        <f t="shared" si="57"/>
        <v>0</v>
      </c>
      <c r="AN163" s="36">
        <f t="shared" si="75"/>
        <v>0</v>
      </c>
      <c r="AO163" s="6">
        <f t="shared" si="58"/>
        <v>0</v>
      </c>
      <c r="AP163">
        <f t="shared" si="59"/>
        <v>8</v>
      </c>
      <c r="AQ163" s="6">
        <f t="shared" si="60"/>
        <v>0</v>
      </c>
      <c r="AR163" s="6">
        <f t="shared" si="61"/>
        <v>0</v>
      </c>
      <c r="AS163" s="6"/>
      <c r="AX163" s="95">
        <f t="shared" si="62"/>
        <v>42286</v>
      </c>
      <c r="AY163" s="96" t="str">
        <f t="shared" si="63"/>
        <v>sex</v>
      </c>
      <c r="AZ163" s="97">
        <f>IF(OR(AY163="SÁB",AY163="DOM"),0,IFERROR(8-VLOOKUP(C163,'Dados de consulta'!$A$2:$C$38,3,0),8))</f>
        <v>8</v>
      </c>
      <c r="BA163" s="97">
        <f>IF(OR(AY163="SÁB",AY163="DOM"),0,IFERROR(8-VLOOKUP(D163,'Dados de consulta'!$A$2:$C$38,3,0),8))</f>
        <v>8</v>
      </c>
      <c r="BB163" s="97">
        <f>IF(OR(AY163="SÁB",AY163="DOM"),0,IFERROR(8-VLOOKUP(E163,'Dados de consulta'!$A$2:$C$38,3,0),8))</f>
        <v>0</v>
      </c>
      <c r="BC163" s="97">
        <f>IF(OR(AY163="SÁB",AY163="DOM"),0,IFERROR(8-VLOOKUP(F163,'Dados de consulta'!$A$2:$C$38,3,0),8))</f>
        <v>8</v>
      </c>
      <c r="BD163" s="97">
        <f>IF(OR(AY163="SÁB",AY163="DOM"),0,IFERROR(8-VLOOKUP(G163,'Dados de consulta'!$A$2:$C$38,3,0),8))</f>
        <v>0</v>
      </c>
      <c r="BE163" s="97">
        <f>IF(OR(AY163="SÁB",AY163="DOM"),0,IFERROR(8-VLOOKUP(H163,'Dados de consulta'!$A$2:$C$38,3,0),8))</f>
        <v>8</v>
      </c>
      <c r="BF163" s="97">
        <f>IF(OR(AY163="SÁB",AY163="DOM"),0,IFERROR(8-VLOOKUP(I163,'Dados de consulta'!$A$2:$C$38,3,0),8))</f>
        <v>8</v>
      </c>
      <c r="BG163" s="97">
        <f>IF(OR(AY163="SÁB",AY163="DOM"),0,IFERROR(8-VLOOKUP(J163,'Dados de consulta'!$A$2:$C$38,3,0),8))</f>
        <v>8</v>
      </c>
      <c r="BH163" s="97">
        <f>IF(OR(AY163="SÁB",AY163="DOM"),0,IFERROR(8-VLOOKUP(K163,'Dados de consulta'!$A$2:$C$38,3,0),8))</f>
        <v>8</v>
      </c>
      <c r="BI163" s="97">
        <f>IF(OR(AY163="SÁB",AY163="DOM"),0,IFERROR(8-VLOOKUP(L163,'Dados de consulta'!$A$2:$C$38,3,0),8))</f>
        <v>8</v>
      </c>
      <c r="BJ163" s="97">
        <f>IF(OR(AY163="SÁB",AY163="DOM"),0,IFERROR(8-VLOOKUP(M163,'Dados de consulta'!$A$2:$C$38,3,0),8))</f>
        <v>0</v>
      </c>
      <c r="BK163" s="97">
        <f>IF(OR(AY163="SÁB",AY163="DOM"),0,IFERROR(8-VLOOKUP(N163,'Dados de consulta'!$A$2:$C$38,3,0),8))</f>
        <v>8</v>
      </c>
      <c r="BL163" s="97">
        <f>IF(OR(AY163="SÁB",AY163="DOM"),0,IFERROR(8-VLOOKUP(O163,'Dados de consulta'!$A$2:$C$38,3,0),8))</f>
        <v>8</v>
      </c>
      <c r="BM163" s="97">
        <f>IF(OR(AY163="SÁB",AY163="DOM"),0,IFERROR(8-VLOOKUP(P163,'Dados de consulta'!$A$2:$C$38,3,0),8))</f>
        <v>8</v>
      </c>
      <c r="BN163" s="97">
        <f>IF(OR(AY163="SÁB",AY163="DOM"),0,IFERROR(8-VLOOKUP(Q163,'Dados de consulta'!$A$2:$C$38,3,0),8))</f>
        <v>8</v>
      </c>
      <c r="BO163" s="97">
        <f>IF(OR(AY163="SÁB",AY163="DOM"),0,IFERROR(8-VLOOKUP(R163,'Dados de consulta'!$A$2:$C$38,3,0),8))</f>
        <v>8</v>
      </c>
      <c r="BP163" s="97">
        <f>IF(OR(AY163="SÁB",AY163="DOM"),0,IFERROR(8-VLOOKUP(S163,'Dados de consulta'!$A$2:$C$38,3,0),8))</f>
        <v>8</v>
      </c>
      <c r="BQ163" s="113">
        <f>IFERROR(6-VLOOKUP(T163,'Dados de consulta'!$A$2:$C$38,3,0)+2,6)</f>
        <v>6</v>
      </c>
      <c r="BR163" s="114">
        <f t="shared" si="76"/>
        <v>118</v>
      </c>
      <c r="BS163">
        <f t="shared" si="52"/>
        <v>134</v>
      </c>
      <c r="BU163">
        <f>IFERROR(8-VLOOKUP(U163,'Dados de consulta'!$A:$D,3,0),8)</f>
        <v>8</v>
      </c>
      <c r="BV163">
        <f>IFERROR(8-VLOOKUP(V163,'Dados de consulta'!$A:$D,3,0),8)</f>
        <v>0</v>
      </c>
      <c r="BW163">
        <f t="shared" si="77"/>
        <v>8</v>
      </c>
    </row>
    <row r="164" spans="1:75" ht="15" hidden="1" x14ac:dyDescent="0.2">
      <c r="A164" s="98">
        <v>42287</v>
      </c>
      <c r="B164" s="129" t="str">
        <f t="shared" si="53"/>
        <v>sáb</v>
      </c>
      <c r="C164" s="132"/>
      <c r="D164" s="132"/>
      <c r="E164" s="132">
        <v>8</v>
      </c>
      <c r="F164" s="132"/>
      <c r="G164" s="132">
        <v>4</v>
      </c>
      <c r="H164" s="132"/>
      <c r="I164" s="132"/>
      <c r="J164" s="132"/>
      <c r="K164" s="132"/>
      <c r="L164" s="132"/>
      <c r="M164" s="132">
        <v>101</v>
      </c>
      <c r="N164" s="132"/>
      <c r="O164" s="132"/>
      <c r="P164" s="132"/>
      <c r="Q164" s="132"/>
      <c r="R164" s="132"/>
      <c r="S164" s="132"/>
      <c r="T164" s="132"/>
      <c r="U164" s="151"/>
      <c r="V164" s="151">
        <v>18</v>
      </c>
      <c r="W164" s="307" t="s">
        <v>193</v>
      </c>
      <c r="X164" s="308"/>
      <c r="Y164" s="38">
        <f t="shared" si="54"/>
        <v>16</v>
      </c>
      <c r="Z164" s="38">
        <f t="shared" si="55"/>
        <v>0</v>
      </c>
      <c r="AA164" s="38">
        <f t="shared" si="56"/>
        <v>0</v>
      </c>
      <c r="AB164" s="38">
        <f t="shared" si="64"/>
        <v>0</v>
      </c>
      <c r="AC164" s="38">
        <f t="shared" si="65"/>
        <v>0</v>
      </c>
      <c r="AD164" s="38">
        <f t="shared" si="66"/>
        <v>0</v>
      </c>
      <c r="AE164" s="38">
        <f t="shared" si="67"/>
        <v>0</v>
      </c>
      <c r="AF164" s="38">
        <f t="shared" si="68"/>
        <v>0</v>
      </c>
      <c r="AG164" s="33">
        <f t="shared" si="69"/>
        <v>0</v>
      </c>
      <c r="AH164" s="33">
        <f t="shared" si="70"/>
        <v>0</v>
      </c>
      <c r="AI164" s="33">
        <f t="shared" si="71"/>
        <v>0</v>
      </c>
      <c r="AJ164" s="33">
        <f t="shared" si="72"/>
        <v>0</v>
      </c>
      <c r="AK164" s="34">
        <f t="shared" si="73"/>
        <v>0</v>
      </c>
      <c r="AL164" s="35">
        <f t="shared" si="74"/>
        <v>0</v>
      </c>
      <c r="AM164" s="34">
        <f t="shared" si="57"/>
        <v>0</v>
      </c>
      <c r="AN164" s="36">
        <f t="shared" si="75"/>
        <v>0</v>
      </c>
      <c r="AO164" s="6">
        <f t="shared" si="58"/>
        <v>0</v>
      </c>
      <c r="AP164">
        <f t="shared" si="59"/>
        <v>8</v>
      </c>
      <c r="AQ164" s="6">
        <f t="shared" si="60"/>
        <v>0</v>
      </c>
      <c r="AR164" s="6">
        <f t="shared" si="61"/>
        <v>0</v>
      </c>
      <c r="AS164" s="6"/>
      <c r="AX164" s="95">
        <f t="shared" si="62"/>
        <v>42287</v>
      </c>
      <c r="AY164" s="96" t="str">
        <f t="shared" si="63"/>
        <v>sáb</v>
      </c>
      <c r="AZ164" s="97">
        <f>IF(OR(AY164="SÁB",AY164="DOM"),0,IFERROR(8-VLOOKUP(C164,'Dados de consulta'!$A$2:$C$38,3,0),8))</f>
        <v>0</v>
      </c>
      <c r="BA164" s="97">
        <f>IF(OR(AY164="SÁB",AY164="DOM"),0,IFERROR(8-VLOOKUP(D164,'Dados de consulta'!$A$2:$C$38,3,0),8))</f>
        <v>0</v>
      </c>
      <c r="BB164" s="97">
        <f>IF(OR(AY164="SÁB",AY164="DOM"),0,IFERROR(8-VLOOKUP(E164,'Dados de consulta'!$A$2:$C$38,3,0),8))</f>
        <v>0</v>
      </c>
      <c r="BC164" s="97">
        <f>IF(OR(AY164="SÁB",AY164="DOM"),0,IFERROR(8-VLOOKUP(F164,'Dados de consulta'!$A$2:$C$38,3,0),8))</f>
        <v>0</v>
      </c>
      <c r="BD164" s="97">
        <f>IF(OR(AY164="SÁB",AY164="DOM"),0,IFERROR(8-VLOOKUP(G164,'Dados de consulta'!$A$2:$C$38,3,0),8))</f>
        <v>0</v>
      </c>
      <c r="BE164" s="97">
        <f>IF(OR(AY164="SÁB",AY164="DOM"),0,IFERROR(8-VLOOKUP(H164,'Dados de consulta'!$A$2:$C$38,3,0),8))</f>
        <v>0</v>
      </c>
      <c r="BF164" s="97">
        <f>IF(OR(AY164="SÁB",AY164="DOM"),0,IFERROR(8-VLOOKUP(I164,'Dados de consulta'!$A$2:$C$38,3,0),8))</f>
        <v>0</v>
      </c>
      <c r="BG164" s="97">
        <f>IF(OR(AY164="SÁB",AY164="DOM"),0,IFERROR(8-VLOOKUP(J164,'Dados de consulta'!$A$2:$C$38,3,0),8))</f>
        <v>0</v>
      </c>
      <c r="BH164" s="97">
        <f>IF(OR(AY164="SÁB",AY164="DOM"),0,IFERROR(8-VLOOKUP(K164,'Dados de consulta'!$A$2:$C$38,3,0),8))</f>
        <v>0</v>
      </c>
      <c r="BI164" s="97">
        <f>IF(OR(AY164="SÁB",AY164="DOM"),0,IFERROR(8-VLOOKUP(L164,'Dados de consulta'!$A$2:$C$38,3,0),8))</f>
        <v>0</v>
      </c>
      <c r="BJ164" s="97">
        <f>IF(OR(AY164="SÁB",AY164="DOM"),0,IFERROR(8-VLOOKUP(M164,'Dados de consulta'!$A$2:$C$38,3,0),8))</f>
        <v>0</v>
      </c>
      <c r="BK164" s="97">
        <f>IF(OR(AY164="SÁB",AY164="DOM"),0,IFERROR(8-VLOOKUP(N164,'Dados de consulta'!$A$2:$C$38,3,0),8))</f>
        <v>0</v>
      </c>
      <c r="BL164" s="97">
        <f>IF(OR(AY164="SÁB",AY164="DOM"),0,IFERROR(8-VLOOKUP(O164,'Dados de consulta'!$A$2:$C$38,3,0),8))</f>
        <v>0</v>
      </c>
      <c r="BM164" s="97">
        <f>IF(OR(AY164="SÁB",AY164="DOM"),0,IFERROR(8-VLOOKUP(P164,'Dados de consulta'!$A$2:$C$38,3,0),8))</f>
        <v>0</v>
      </c>
      <c r="BN164" s="97">
        <f>IF(OR(AY164="SÁB",AY164="DOM"),0,IFERROR(8-VLOOKUP(Q164,'Dados de consulta'!$A$2:$C$38,3,0),8))</f>
        <v>0</v>
      </c>
      <c r="BO164" s="97">
        <f>IF(OR(AY164="SÁB",AY164="DOM"),0,IFERROR(8-VLOOKUP(R164,'Dados de consulta'!$A$2:$C$38,3,0),8))</f>
        <v>0</v>
      </c>
      <c r="BP164" s="97">
        <f>IF(OR(AY164="SÁB",AY164="DOM"),0,IFERROR(8-VLOOKUP(S164,'Dados de consulta'!$A$2:$C$38,3,0),8))</f>
        <v>0</v>
      </c>
      <c r="BQ164" s="113">
        <f>IFERROR(6-VLOOKUP(T164,'Dados de consulta'!$A$2:$C$38,3,0)+2,6)</f>
        <v>6</v>
      </c>
      <c r="BR164" s="114">
        <f t="shared" si="76"/>
        <v>0</v>
      </c>
      <c r="BS164">
        <f t="shared" si="52"/>
        <v>0</v>
      </c>
      <c r="BU164">
        <f>IFERROR(8-VLOOKUP(U164,'Dados de consulta'!$A:$D,3,0),8)</f>
        <v>8</v>
      </c>
      <c r="BV164">
        <f>IFERROR(8-VLOOKUP(V164,'Dados de consulta'!$A:$D,3,0),8)</f>
        <v>0</v>
      </c>
      <c r="BW164">
        <f t="shared" si="77"/>
        <v>8</v>
      </c>
    </row>
    <row r="165" spans="1:75" ht="15" hidden="1" x14ac:dyDescent="0.2">
      <c r="A165" s="98">
        <v>42288</v>
      </c>
      <c r="B165" s="129" t="str">
        <f t="shared" si="53"/>
        <v>dom</v>
      </c>
      <c r="C165" s="132"/>
      <c r="D165" s="132"/>
      <c r="E165" s="132">
        <v>8</v>
      </c>
      <c r="F165" s="132"/>
      <c r="G165" s="132">
        <v>4</v>
      </c>
      <c r="H165" s="132"/>
      <c r="I165" s="132"/>
      <c r="J165" s="132"/>
      <c r="K165" s="132"/>
      <c r="L165" s="132"/>
      <c r="M165" s="132">
        <v>101</v>
      </c>
      <c r="N165" s="132"/>
      <c r="O165" s="132"/>
      <c r="P165" s="132"/>
      <c r="Q165" s="132"/>
      <c r="R165" s="132"/>
      <c r="S165" s="132"/>
      <c r="T165" s="132"/>
      <c r="U165" s="151"/>
      <c r="V165" s="151">
        <v>18</v>
      </c>
      <c r="W165" s="307" t="s">
        <v>193</v>
      </c>
      <c r="X165" s="308"/>
      <c r="Y165" s="38">
        <f t="shared" si="54"/>
        <v>16</v>
      </c>
      <c r="Z165" s="38">
        <f t="shared" si="55"/>
        <v>0</v>
      </c>
      <c r="AA165" s="38">
        <f t="shared" si="56"/>
        <v>0</v>
      </c>
      <c r="AB165" s="38">
        <f t="shared" si="64"/>
        <v>0</v>
      </c>
      <c r="AC165" s="38">
        <f t="shared" si="65"/>
        <v>0</v>
      </c>
      <c r="AD165" s="38">
        <f t="shared" si="66"/>
        <v>0</v>
      </c>
      <c r="AE165" s="38">
        <f t="shared" si="67"/>
        <v>0</v>
      </c>
      <c r="AF165" s="38">
        <f t="shared" si="68"/>
        <v>0</v>
      </c>
      <c r="AG165" s="33">
        <f t="shared" si="69"/>
        <v>0</v>
      </c>
      <c r="AH165" s="33">
        <f t="shared" si="70"/>
        <v>0</v>
      </c>
      <c r="AI165" s="33">
        <f t="shared" si="71"/>
        <v>0</v>
      </c>
      <c r="AJ165" s="33">
        <f t="shared" si="72"/>
        <v>0</v>
      </c>
      <c r="AK165" s="34">
        <f t="shared" si="73"/>
        <v>0</v>
      </c>
      <c r="AL165" s="35">
        <f t="shared" si="74"/>
        <v>0</v>
      </c>
      <c r="AM165" s="34">
        <f t="shared" si="57"/>
        <v>0</v>
      </c>
      <c r="AN165" s="36">
        <f t="shared" si="75"/>
        <v>0</v>
      </c>
      <c r="AO165" s="6">
        <f t="shared" si="58"/>
        <v>0</v>
      </c>
      <c r="AP165">
        <f t="shared" si="59"/>
        <v>8</v>
      </c>
      <c r="AQ165" s="6">
        <f t="shared" si="60"/>
        <v>0</v>
      </c>
      <c r="AR165" s="6">
        <f t="shared" si="61"/>
        <v>0</v>
      </c>
      <c r="AS165" s="6"/>
      <c r="AX165" s="95">
        <f t="shared" si="62"/>
        <v>42288</v>
      </c>
      <c r="AY165" s="96" t="str">
        <f t="shared" si="63"/>
        <v>dom</v>
      </c>
      <c r="AZ165" s="97">
        <f>IF(OR(AY165="SÁB",AY165="DOM"),0,IFERROR(8-VLOOKUP(C165,'Dados de consulta'!$A$2:$C$38,3,0),8))</f>
        <v>0</v>
      </c>
      <c r="BA165" s="97">
        <f>IF(OR(AY165="SÁB",AY165="DOM"),0,IFERROR(8-VLOOKUP(D165,'Dados de consulta'!$A$2:$C$38,3,0),8))</f>
        <v>0</v>
      </c>
      <c r="BB165" s="97">
        <f>IF(OR(AY165="SÁB",AY165="DOM"),0,IFERROR(8-VLOOKUP(E165,'Dados de consulta'!$A$2:$C$38,3,0),8))</f>
        <v>0</v>
      </c>
      <c r="BC165" s="97">
        <f>IF(OR(AY165="SÁB",AY165="DOM"),0,IFERROR(8-VLOOKUP(F165,'Dados de consulta'!$A$2:$C$38,3,0),8))</f>
        <v>0</v>
      </c>
      <c r="BD165" s="97">
        <f>IF(OR(AY165="SÁB",AY165="DOM"),0,IFERROR(8-VLOOKUP(G165,'Dados de consulta'!$A$2:$C$38,3,0),8))</f>
        <v>0</v>
      </c>
      <c r="BE165" s="97">
        <f>IF(OR(AY165="SÁB",AY165="DOM"),0,IFERROR(8-VLOOKUP(H165,'Dados de consulta'!$A$2:$C$38,3,0),8))</f>
        <v>0</v>
      </c>
      <c r="BF165" s="97">
        <f>IF(OR(AY165="SÁB",AY165="DOM"),0,IFERROR(8-VLOOKUP(I165,'Dados de consulta'!$A$2:$C$38,3,0),8))</f>
        <v>0</v>
      </c>
      <c r="BG165" s="97">
        <f>IF(OR(AY165="SÁB",AY165="DOM"),0,IFERROR(8-VLOOKUP(J165,'Dados de consulta'!$A$2:$C$38,3,0),8))</f>
        <v>0</v>
      </c>
      <c r="BH165" s="97">
        <f>IF(OR(AY165="SÁB",AY165="DOM"),0,IFERROR(8-VLOOKUP(K165,'Dados de consulta'!$A$2:$C$38,3,0),8))</f>
        <v>0</v>
      </c>
      <c r="BI165" s="97">
        <f>IF(OR(AY165="SÁB",AY165="DOM"),0,IFERROR(8-VLOOKUP(L165,'Dados de consulta'!$A$2:$C$38,3,0),8))</f>
        <v>0</v>
      </c>
      <c r="BJ165" s="97">
        <f>IF(OR(AY165="SÁB",AY165="DOM"),0,IFERROR(8-VLOOKUP(M165,'Dados de consulta'!$A$2:$C$38,3,0),8))</f>
        <v>0</v>
      </c>
      <c r="BK165" s="97">
        <f>IF(OR(AY165="SÁB",AY165="DOM"),0,IFERROR(8-VLOOKUP(N165,'Dados de consulta'!$A$2:$C$38,3,0),8))</f>
        <v>0</v>
      </c>
      <c r="BL165" s="97">
        <f>IF(OR(AY165="SÁB",AY165="DOM"),0,IFERROR(8-VLOOKUP(O165,'Dados de consulta'!$A$2:$C$38,3,0),8))</f>
        <v>0</v>
      </c>
      <c r="BM165" s="97">
        <f>IF(OR(AY165="SÁB",AY165="DOM"),0,IFERROR(8-VLOOKUP(P165,'Dados de consulta'!$A$2:$C$38,3,0),8))</f>
        <v>0</v>
      </c>
      <c r="BN165" s="97">
        <f>IF(OR(AY165="SÁB",AY165="DOM"),0,IFERROR(8-VLOOKUP(Q165,'Dados de consulta'!$A$2:$C$38,3,0),8))</f>
        <v>0</v>
      </c>
      <c r="BO165" s="97">
        <f>IF(OR(AY165="SÁB",AY165="DOM"),0,IFERROR(8-VLOOKUP(R165,'Dados de consulta'!$A$2:$C$38,3,0),8))</f>
        <v>0</v>
      </c>
      <c r="BP165" s="97">
        <f>IF(OR(AY165="SÁB",AY165="DOM"),0,IFERROR(8-VLOOKUP(S165,'Dados de consulta'!$A$2:$C$38,3,0),8))</f>
        <v>0</v>
      </c>
      <c r="BQ165" s="113">
        <f>IFERROR(6-VLOOKUP(T165,'Dados de consulta'!$A$2:$C$38,3,0)+2,6)</f>
        <v>6</v>
      </c>
      <c r="BR165" s="114">
        <f t="shared" si="76"/>
        <v>0</v>
      </c>
      <c r="BS165">
        <f t="shared" si="52"/>
        <v>0</v>
      </c>
      <c r="BU165">
        <f>IFERROR(8-VLOOKUP(U165,'Dados de consulta'!$A:$D,3,0),8)</f>
        <v>8</v>
      </c>
      <c r="BV165">
        <f>IFERROR(8-VLOOKUP(V165,'Dados de consulta'!$A:$D,3,0),8)</f>
        <v>0</v>
      </c>
      <c r="BW165">
        <f t="shared" si="77"/>
        <v>8</v>
      </c>
    </row>
    <row r="166" spans="1:75" ht="15" hidden="1" x14ac:dyDescent="0.2">
      <c r="A166" s="98">
        <v>42289</v>
      </c>
      <c r="B166" s="129" t="str">
        <f t="shared" si="53"/>
        <v>seg</v>
      </c>
      <c r="C166" s="132">
        <v>17</v>
      </c>
      <c r="D166" s="132">
        <v>17</v>
      </c>
      <c r="E166" s="132">
        <v>17</v>
      </c>
      <c r="F166" s="132">
        <v>17</v>
      </c>
      <c r="G166" s="132">
        <v>17</v>
      </c>
      <c r="H166" s="132">
        <v>17</v>
      </c>
      <c r="I166" s="132">
        <v>17</v>
      </c>
      <c r="J166" s="132">
        <v>17</v>
      </c>
      <c r="K166" s="132">
        <v>17</v>
      </c>
      <c r="L166" s="132">
        <v>17</v>
      </c>
      <c r="M166" s="132">
        <v>17</v>
      </c>
      <c r="N166" s="132">
        <v>17</v>
      </c>
      <c r="O166" s="132">
        <v>17</v>
      </c>
      <c r="P166" s="132">
        <v>17</v>
      </c>
      <c r="Q166" s="132">
        <v>17</v>
      </c>
      <c r="R166" s="132">
        <v>17</v>
      </c>
      <c r="S166" s="132">
        <v>17</v>
      </c>
      <c r="T166" s="132">
        <v>17</v>
      </c>
      <c r="U166" s="151">
        <v>17</v>
      </c>
      <c r="V166" s="151">
        <v>17</v>
      </c>
      <c r="W166" s="307" t="s">
        <v>193</v>
      </c>
      <c r="X166" s="308"/>
      <c r="Y166" s="38">
        <f t="shared" si="54"/>
        <v>0</v>
      </c>
      <c r="Z166" s="38">
        <f t="shared" si="55"/>
        <v>0</v>
      </c>
      <c r="AA166" s="38">
        <f t="shared" si="56"/>
        <v>0</v>
      </c>
      <c r="AB166" s="38">
        <f t="shared" si="64"/>
        <v>0</v>
      </c>
      <c r="AC166" s="38">
        <f t="shared" si="65"/>
        <v>0</v>
      </c>
      <c r="AD166" s="38">
        <f t="shared" si="66"/>
        <v>0</v>
      </c>
      <c r="AE166" s="38">
        <f t="shared" si="67"/>
        <v>0</v>
      </c>
      <c r="AF166" s="38">
        <f t="shared" si="68"/>
        <v>0</v>
      </c>
      <c r="AG166" s="33">
        <f t="shared" si="69"/>
        <v>0</v>
      </c>
      <c r="AH166" s="33">
        <f t="shared" si="70"/>
        <v>0</v>
      </c>
      <c r="AI166" s="33">
        <f t="shared" si="71"/>
        <v>0</v>
      </c>
      <c r="AJ166" s="33">
        <f t="shared" si="72"/>
        <v>0</v>
      </c>
      <c r="AK166" s="34">
        <f t="shared" si="73"/>
        <v>0</v>
      </c>
      <c r="AL166" s="35">
        <f t="shared" si="74"/>
        <v>0</v>
      </c>
      <c r="AM166" s="34">
        <f t="shared" si="57"/>
        <v>0</v>
      </c>
      <c r="AN166" s="36">
        <f t="shared" si="75"/>
        <v>0</v>
      </c>
      <c r="AO166" s="6">
        <f t="shared" si="58"/>
        <v>0</v>
      </c>
      <c r="AP166">
        <f t="shared" si="59"/>
        <v>0</v>
      </c>
      <c r="AQ166" s="6">
        <f t="shared" si="60"/>
        <v>0</v>
      </c>
      <c r="AR166" s="6">
        <f t="shared" si="61"/>
        <v>0</v>
      </c>
      <c r="AS166" s="6"/>
      <c r="AX166" s="95">
        <f t="shared" si="62"/>
        <v>42289</v>
      </c>
      <c r="AY166" s="96" t="str">
        <f t="shared" si="63"/>
        <v>seg</v>
      </c>
      <c r="AZ166" s="97">
        <f>IF(OR(AY166="SÁB",AY166="DOM"),0,IFERROR(8-VLOOKUP(C166,'Dados de consulta'!$A$2:$C$38,3,0),8))</f>
        <v>0</v>
      </c>
      <c r="BA166" s="97">
        <f>IF(OR(AY166="SÁB",AY166="DOM"),0,IFERROR(8-VLOOKUP(D166,'Dados de consulta'!$A$2:$C$38,3,0),8))</f>
        <v>0</v>
      </c>
      <c r="BB166" s="97">
        <f>IF(OR(AY166="SÁB",AY166="DOM"),0,IFERROR(8-VLOOKUP(E166,'Dados de consulta'!$A$2:$C$38,3,0),8))</f>
        <v>0</v>
      </c>
      <c r="BC166" s="97">
        <f>IF(OR(AY166="SÁB",AY166="DOM"),0,IFERROR(8-VLOOKUP(F166,'Dados de consulta'!$A$2:$C$38,3,0),8))</f>
        <v>0</v>
      </c>
      <c r="BD166" s="97">
        <f>IF(OR(AY166="SÁB",AY166="DOM"),0,IFERROR(8-VLOOKUP(G166,'Dados de consulta'!$A$2:$C$38,3,0),8))</f>
        <v>0</v>
      </c>
      <c r="BE166" s="97">
        <f>IF(OR(AY166="SÁB",AY166="DOM"),0,IFERROR(8-VLOOKUP(H166,'Dados de consulta'!$A$2:$C$38,3,0),8))</f>
        <v>0</v>
      </c>
      <c r="BF166" s="97">
        <f>IF(OR(AY166="SÁB",AY166="DOM"),0,IFERROR(8-VLOOKUP(I166,'Dados de consulta'!$A$2:$C$38,3,0),8))</f>
        <v>0</v>
      </c>
      <c r="BG166" s="97">
        <f>IF(OR(AY166="SÁB",AY166="DOM"),0,IFERROR(8-VLOOKUP(J166,'Dados de consulta'!$A$2:$C$38,3,0),8))</f>
        <v>0</v>
      </c>
      <c r="BH166" s="97">
        <f>IF(OR(AY166="SÁB",AY166="DOM"),0,IFERROR(8-VLOOKUP(K166,'Dados de consulta'!$A$2:$C$38,3,0),8))</f>
        <v>0</v>
      </c>
      <c r="BI166" s="97">
        <f>IF(OR(AY166="SÁB",AY166="DOM"),0,IFERROR(8-VLOOKUP(L166,'Dados de consulta'!$A$2:$C$38,3,0),8))</f>
        <v>0</v>
      </c>
      <c r="BJ166" s="97">
        <f>IF(OR(AY166="SÁB",AY166="DOM"),0,IFERROR(8-VLOOKUP(M166,'Dados de consulta'!$A$2:$C$38,3,0),8))</f>
        <v>0</v>
      </c>
      <c r="BK166" s="97">
        <f>IF(OR(AY166="SÁB",AY166="DOM"),0,IFERROR(8-VLOOKUP(N166,'Dados de consulta'!$A$2:$C$38,3,0),8))</f>
        <v>0</v>
      </c>
      <c r="BL166" s="97">
        <f>IF(OR(AY166="SÁB",AY166="DOM"),0,IFERROR(8-VLOOKUP(O166,'Dados de consulta'!$A$2:$C$38,3,0),8))</f>
        <v>0</v>
      </c>
      <c r="BM166" s="97">
        <f>IF(OR(AY166="SÁB",AY166="DOM"),0,IFERROR(8-VLOOKUP(P166,'Dados de consulta'!$A$2:$C$38,3,0),8))</f>
        <v>0</v>
      </c>
      <c r="BN166" s="97">
        <f>IF(OR(AY166="SÁB",AY166="DOM"),0,IFERROR(8-VLOOKUP(Q166,'Dados de consulta'!$A$2:$C$38,3,0),8))</f>
        <v>0</v>
      </c>
      <c r="BO166" s="97">
        <f>IF(OR(AY166="SÁB",AY166="DOM"),0,IFERROR(8-VLOOKUP(R166,'Dados de consulta'!$A$2:$C$38,3,0),8))</f>
        <v>0</v>
      </c>
      <c r="BP166" s="97">
        <f>IF(OR(AY166="SÁB",AY166="DOM"),0,IFERROR(8-VLOOKUP(S166,'Dados de consulta'!$A$2:$C$38,3,0),8))</f>
        <v>0</v>
      </c>
      <c r="BQ166" s="113">
        <f>IFERROR(6-VLOOKUP(T166,'Dados de consulta'!$A$2:$C$38,3,0)+2,6)</f>
        <v>0</v>
      </c>
      <c r="BR166" s="114">
        <f t="shared" si="76"/>
        <v>0</v>
      </c>
      <c r="BS166">
        <f t="shared" si="52"/>
        <v>142</v>
      </c>
      <c r="BU166">
        <f>IFERROR(8-VLOOKUP(U166,'Dados de consulta'!$A:$D,3,0),8)</f>
        <v>0</v>
      </c>
      <c r="BV166">
        <f>IFERROR(8-VLOOKUP(V166,'Dados de consulta'!$A:$D,3,0),8)</f>
        <v>0</v>
      </c>
      <c r="BW166">
        <f t="shared" si="77"/>
        <v>0</v>
      </c>
    </row>
    <row r="167" spans="1:75" ht="15" hidden="1" x14ac:dyDescent="0.2">
      <c r="A167" s="98">
        <v>42290</v>
      </c>
      <c r="B167" s="129" t="str">
        <f t="shared" si="53"/>
        <v>ter</v>
      </c>
      <c r="C167" s="132"/>
      <c r="D167" s="132"/>
      <c r="E167" s="132">
        <v>8</v>
      </c>
      <c r="F167" s="132"/>
      <c r="G167" s="132">
        <v>4</v>
      </c>
      <c r="H167" s="132"/>
      <c r="I167" s="132"/>
      <c r="J167" s="132"/>
      <c r="K167" s="132"/>
      <c r="L167" s="132"/>
      <c r="M167" s="132">
        <v>101</v>
      </c>
      <c r="N167" s="132"/>
      <c r="O167" s="132"/>
      <c r="P167" s="132"/>
      <c r="Q167" s="132">
        <v>18</v>
      </c>
      <c r="R167" s="132" t="s">
        <v>194</v>
      </c>
      <c r="S167" s="132"/>
      <c r="T167" s="132"/>
      <c r="U167" s="151"/>
      <c r="V167" s="151">
        <v>18</v>
      </c>
      <c r="W167" s="307" t="s">
        <v>193</v>
      </c>
      <c r="X167" s="308"/>
      <c r="Y167" s="38">
        <f t="shared" si="54"/>
        <v>20</v>
      </c>
      <c r="Z167" s="38">
        <f t="shared" si="55"/>
        <v>8</v>
      </c>
      <c r="AA167" s="38">
        <f t="shared" si="56"/>
        <v>0</v>
      </c>
      <c r="AB167" s="38">
        <f t="shared" si="64"/>
        <v>0</v>
      </c>
      <c r="AC167" s="38">
        <f t="shared" si="65"/>
        <v>0</v>
      </c>
      <c r="AD167" s="38">
        <f t="shared" si="66"/>
        <v>0</v>
      </c>
      <c r="AE167" s="38">
        <f t="shared" si="67"/>
        <v>0</v>
      </c>
      <c r="AF167" s="38">
        <f t="shared" si="68"/>
        <v>0</v>
      </c>
      <c r="AG167" s="33">
        <f t="shared" si="69"/>
        <v>20</v>
      </c>
      <c r="AH167" s="33">
        <f t="shared" si="70"/>
        <v>8</v>
      </c>
      <c r="AI167" s="33">
        <f t="shared" si="71"/>
        <v>0</v>
      </c>
      <c r="AJ167" s="33">
        <f t="shared" si="72"/>
        <v>0</v>
      </c>
      <c r="AK167" s="34">
        <f t="shared" si="73"/>
        <v>0.14084507042253522</v>
      </c>
      <c r="AL167" s="35">
        <f t="shared" si="74"/>
        <v>5.6338028169014086E-2</v>
      </c>
      <c r="AM167" s="34">
        <f t="shared" si="57"/>
        <v>0</v>
      </c>
      <c r="AN167" s="36">
        <f t="shared" si="75"/>
        <v>0</v>
      </c>
      <c r="AO167" s="6">
        <f t="shared" si="58"/>
        <v>0</v>
      </c>
      <c r="AP167">
        <f t="shared" si="59"/>
        <v>8</v>
      </c>
      <c r="AQ167" s="6">
        <f t="shared" si="60"/>
        <v>0</v>
      </c>
      <c r="AR167" s="6">
        <f t="shared" si="61"/>
        <v>0</v>
      </c>
      <c r="AS167" s="6"/>
      <c r="AX167" s="95">
        <f t="shared" si="62"/>
        <v>42290</v>
      </c>
      <c r="AY167" s="96" t="str">
        <f t="shared" si="63"/>
        <v>ter</v>
      </c>
      <c r="AZ167" s="97">
        <f>IF(OR(AY167="SÁB",AY167="DOM"),0,IFERROR(8-VLOOKUP(C167,'Dados de consulta'!$A$2:$C$38,3,0),8))</f>
        <v>8</v>
      </c>
      <c r="BA167" s="97">
        <f>IF(OR(AY167="SÁB",AY167="DOM"),0,IFERROR(8-VLOOKUP(D167,'Dados de consulta'!$A$2:$C$38,3,0),8))</f>
        <v>8</v>
      </c>
      <c r="BB167" s="97">
        <f>IF(OR(AY167="SÁB",AY167="DOM"),0,IFERROR(8-VLOOKUP(E167,'Dados de consulta'!$A$2:$C$38,3,0),8))</f>
        <v>0</v>
      </c>
      <c r="BC167" s="97">
        <f>IF(OR(AY167="SÁB",AY167="DOM"),0,IFERROR(8-VLOOKUP(F167,'Dados de consulta'!$A$2:$C$38,3,0),8))</f>
        <v>8</v>
      </c>
      <c r="BD167" s="97">
        <f>IF(OR(AY167="SÁB",AY167="DOM"),0,IFERROR(8-VLOOKUP(G167,'Dados de consulta'!$A$2:$C$38,3,0),8))</f>
        <v>0</v>
      </c>
      <c r="BE167" s="97">
        <f>IF(OR(AY167="SÁB",AY167="DOM"),0,IFERROR(8-VLOOKUP(H167,'Dados de consulta'!$A$2:$C$38,3,0),8))</f>
        <v>8</v>
      </c>
      <c r="BF167" s="97">
        <f>IF(OR(AY167="SÁB",AY167="DOM"),0,IFERROR(8-VLOOKUP(I167,'Dados de consulta'!$A$2:$C$38,3,0),8))</f>
        <v>8</v>
      </c>
      <c r="BG167" s="97">
        <f>IF(OR(AY167="SÁB",AY167="DOM"),0,IFERROR(8-VLOOKUP(J167,'Dados de consulta'!$A$2:$C$38,3,0),8))</f>
        <v>8</v>
      </c>
      <c r="BH167" s="97">
        <f>IF(OR(AY167="SÁB",AY167="DOM"),0,IFERROR(8-VLOOKUP(K167,'Dados de consulta'!$A$2:$C$38,3,0),8))</f>
        <v>8</v>
      </c>
      <c r="BI167" s="97">
        <f>IF(OR(AY167="SÁB",AY167="DOM"),0,IFERROR(8-VLOOKUP(L167,'Dados de consulta'!$A$2:$C$38,3,0),8))</f>
        <v>8</v>
      </c>
      <c r="BJ167" s="97">
        <f>IF(OR(AY167="SÁB",AY167="DOM"),0,IFERROR(8-VLOOKUP(M167,'Dados de consulta'!$A$2:$C$38,3,0),8))</f>
        <v>0</v>
      </c>
      <c r="BK167" s="97">
        <f>IF(OR(AY167="SÁB",AY167="DOM"),0,IFERROR(8-VLOOKUP(N167,'Dados de consulta'!$A$2:$C$38,3,0),8))</f>
        <v>8</v>
      </c>
      <c r="BL167" s="97">
        <f>IF(OR(AY167="SÁB",AY167="DOM"),0,IFERROR(8-VLOOKUP(O167,'Dados de consulta'!$A$2:$C$38,3,0),8))</f>
        <v>8</v>
      </c>
      <c r="BM167" s="97">
        <f>IF(OR(AY167="SÁB",AY167="DOM"),0,IFERROR(8-VLOOKUP(P167,'Dados de consulta'!$A$2:$C$38,3,0),8))</f>
        <v>8</v>
      </c>
      <c r="BN167" s="97">
        <f>IF(OR(AY167="SÁB",AY167="DOM"),0,IFERROR(8-VLOOKUP(Q167,'Dados de consulta'!$A$2:$C$38,3,0),8))</f>
        <v>0</v>
      </c>
      <c r="BO167" s="97">
        <f>IF(OR(AY167="SÁB",AY167="DOM"),0,IFERROR(8-VLOOKUP(R167,'Dados de consulta'!$A$2:$C$38,3,0),8))</f>
        <v>4</v>
      </c>
      <c r="BP167" s="97">
        <f>IF(OR(AY167="SÁB",AY167="DOM"),0,IFERROR(8-VLOOKUP(S167,'Dados de consulta'!$A$2:$C$38,3,0),8))</f>
        <v>8</v>
      </c>
      <c r="BQ167" s="113">
        <f>IFERROR(6-VLOOKUP(T167,'Dados de consulta'!$A$2:$C$38,3,0)+2,6)</f>
        <v>6</v>
      </c>
      <c r="BR167" s="114">
        <f t="shared" si="76"/>
        <v>106</v>
      </c>
      <c r="BS167">
        <f t="shared" si="52"/>
        <v>134</v>
      </c>
      <c r="BU167">
        <f>IFERROR(8-VLOOKUP(U167,'Dados de consulta'!$A:$D,3,0),8)</f>
        <v>8</v>
      </c>
      <c r="BV167">
        <f>IFERROR(8-VLOOKUP(V167,'Dados de consulta'!$A:$D,3,0),8)</f>
        <v>0</v>
      </c>
      <c r="BW167">
        <f t="shared" si="77"/>
        <v>8</v>
      </c>
    </row>
    <row r="168" spans="1:75" ht="15" hidden="1" x14ac:dyDescent="0.2">
      <c r="A168" s="98">
        <v>42291</v>
      </c>
      <c r="B168" s="129" t="str">
        <f t="shared" si="53"/>
        <v>qua</v>
      </c>
      <c r="C168" s="132"/>
      <c r="D168" s="132"/>
      <c r="E168" s="132">
        <v>8</v>
      </c>
      <c r="F168" s="132">
        <v>6</v>
      </c>
      <c r="G168" s="132">
        <v>4</v>
      </c>
      <c r="H168" s="132">
        <v>6</v>
      </c>
      <c r="I168" s="132">
        <v>6</v>
      </c>
      <c r="J168" s="132">
        <v>6</v>
      </c>
      <c r="K168" s="132">
        <v>6</v>
      </c>
      <c r="L168" s="132">
        <v>6</v>
      </c>
      <c r="M168" s="132">
        <v>101</v>
      </c>
      <c r="N168" s="132">
        <v>6</v>
      </c>
      <c r="O168" s="132">
        <v>6</v>
      </c>
      <c r="P168" s="132">
        <v>6</v>
      </c>
      <c r="Q168" s="132">
        <v>18</v>
      </c>
      <c r="R168" s="132"/>
      <c r="S168" s="132">
        <v>6</v>
      </c>
      <c r="T168" s="132"/>
      <c r="U168" s="151">
        <v>6</v>
      </c>
      <c r="V168" s="151">
        <v>18</v>
      </c>
      <c r="W168" s="307" t="s">
        <v>193</v>
      </c>
      <c r="X168" s="308"/>
      <c r="Y168" s="38">
        <f t="shared" si="54"/>
        <v>16</v>
      </c>
      <c r="Z168" s="38">
        <f t="shared" si="55"/>
        <v>8</v>
      </c>
      <c r="AA168" s="38">
        <f t="shared" si="56"/>
        <v>0</v>
      </c>
      <c r="AB168" s="38">
        <f t="shared" si="64"/>
        <v>80</v>
      </c>
      <c r="AC168" s="38">
        <f t="shared" si="65"/>
        <v>0</v>
      </c>
      <c r="AD168" s="38">
        <f t="shared" si="66"/>
        <v>0</v>
      </c>
      <c r="AE168" s="38">
        <f t="shared" si="67"/>
        <v>0</v>
      </c>
      <c r="AF168" s="38">
        <f t="shared" si="68"/>
        <v>0</v>
      </c>
      <c r="AG168" s="33">
        <f t="shared" si="69"/>
        <v>16</v>
      </c>
      <c r="AH168" s="33">
        <f t="shared" si="70"/>
        <v>8</v>
      </c>
      <c r="AI168" s="33">
        <f t="shared" si="71"/>
        <v>0</v>
      </c>
      <c r="AJ168" s="33">
        <f t="shared" si="72"/>
        <v>80</v>
      </c>
      <c r="AK168" s="34">
        <f t="shared" si="73"/>
        <v>0.11267605633802817</v>
      </c>
      <c r="AL168" s="35">
        <f t="shared" si="74"/>
        <v>5.6338028169014086E-2</v>
      </c>
      <c r="AM168" s="34">
        <f t="shared" si="57"/>
        <v>0</v>
      </c>
      <c r="AN168" s="36">
        <f t="shared" si="75"/>
        <v>0.56338028169014087</v>
      </c>
      <c r="AO168" s="6">
        <f t="shared" si="58"/>
        <v>0</v>
      </c>
      <c r="AP168">
        <f t="shared" si="59"/>
        <v>8</v>
      </c>
      <c r="AQ168" s="6">
        <f t="shared" si="60"/>
        <v>0</v>
      </c>
      <c r="AR168" s="6">
        <f t="shared" si="61"/>
        <v>0</v>
      </c>
      <c r="AS168" s="6"/>
      <c r="AX168" s="95">
        <f t="shared" si="62"/>
        <v>42291</v>
      </c>
      <c r="AY168" s="96" t="str">
        <f t="shared" si="63"/>
        <v>qua</v>
      </c>
      <c r="AZ168" s="97">
        <f>IF(OR(AY168="SÁB",AY168="DOM"),0,IFERROR(8-VLOOKUP(C168,'Dados de consulta'!$A$2:$C$38,3,0),8))</f>
        <v>8</v>
      </c>
      <c r="BA168" s="97">
        <f>IF(OR(AY168="SÁB",AY168="DOM"),0,IFERROR(8-VLOOKUP(D168,'Dados de consulta'!$A$2:$C$38,3,0),8))</f>
        <v>8</v>
      </c>
      <c r="BB168" s="97">
        <f>IF(OR(AY168="SÁB",AY168="DOM"),0,IFERROR(8-VLOOKUP(E168,'Dados de consulta'!$A$2:$C$38,3,0),8))</f>
        <v>0</v>
      </c>
      <c r="BC168" s="97">
        <f>IF(OR(AY168="SÁB",AY168="DOM"),0,IFERROR(8-VLOOKUP(F168,'Dados de consulta'!$A$2:$C$38,3,0),8))</f>
        <v>0</v>
      </c>
      <c r="BD168" s="97">
        <f>IF(OR(AY168="SÁB",AY168="DOM"),0,IFERROR(8-VLOOKUP(G168,'Dados de consulta'!$A$2:$C$38,3,0),8))</f>
        <v>0</v>
      </c>
      <c r="BE168" s="97">
        <f>IF(OR(AY168="SÁB",AY168="DOM"),0,IFERROR(8-VLOOKUP(H168,'Dados de consulta'!$A$2:$C$38,3,0),8))</f>
        <v>0</v>
      </c>
      <c r="BF168" s="97">
        <f>IF(OR(AY168="SÁB",AY168="DOM"),0,IFERROR(8-VLOOKUP(I168,'Dados de consulta'!$A$2:$C$38,3,0),8))</f>
        <v>0</v>
      </c>
      <c r="BG168" s="97">
        <f>IF(OR(AY168="SÁB",AY168="DOM"),0,IFERROR(8-VLOOKUP(J168,'Dados de consulta'!$A$2:$C$38,3,0),8))</f>
        <v>0</v>
      </c>
      <c r="BH168" s="97">
        <f>IF(OR(AY168="SÁB",AY168="DOM"),0,IFERROR(8-VLOOKUP(K168,'Dados de consulta'!$A$2:$C$38,3,0),8))</f>
        <v>0</v>
      </c>
      <c r="BI168" s="97">
        <f>IF(OR(AY168="SÁB",AY168="DOM"),0,IFERROR(8-VLOOKUP(L168,'Dados de consulta'!$A$2:$C$38,3,0),8))</f>
        <v>0</v>
      </c>
      <c r="BJ168" s="97">
        <f>IF(OR(AY168="SÁB",AY168="DOM"),0,IFERROR(8-VLOOKUP(M168,'Dados de consulta'!$A$2:$C$38,3,0),8))</f>
        <v>0</v>
      </c>
      <c r="BK168" s="97">
        <f>IF(OR(AY168="SÁB",AY168="DOM"),0,IFERROR(8-VLOOKUP(N168,'Dados de consulta'!$A$2:$C$38,3,0),8))</f>
        <v>0</v>
      </c>
      <c r="BL168" s="97">
        <f>IF(OR(AY168="SÁB",AY168="DOM"),0,IFERROR(8-VLOOKUP(O168,'Dados de consulta'!$A$2:$C$38,3,0),8))</f>
        <v>0</v>
      </c>
      <c r="BM168" s="97">
        <f>IF(OR(AY168="SÁB",AY168="DOM"),0,IFERROR(8-VLOOKUP(P168,'Dados de consulta'!$A$2:$C$38,3,0),8))</f>
        <v>0</v>
      </c>
      <c r="BN168" s="97">
        <f>IF(OR(AY168="SÁB",AY168="DOM"),0,IFERROR(8-VLOOKUP(Q168,'Dados de consulta'!$A$2:$C$38,3,0),8))</f>
        <v>0</v>
      </c>
      <c r="BO168" s="97">
        <f>IF(OR(AY168="SÁB",AY168="DOM"),0,IFERROR(8-VLOOKUP(R168,'Dados de consulta'!$A$2:$C$38,3,0),8))</f>
        <v>8</v>
      </c>
      <c r="BP168" s="97">
        <f>IF(OR(AY168="SÁB",AY168="DOM"),0,IFERROR(8-VLOOKUP(S168,'Dados de consulta'!$A$2:$C$38,3,0),8))</f>
        <v>0</v>
      </c>
      <c r="BQ168" s="113">
        <f>IFERROR(6-VLOOKUP(T168,'Dados de consulta'!$A$2:$C$38,3,0)+2,6)</f>
        <v>6</v>
      </c>
      <c r="BR168" s="114">
        <f t="shared" si="76"/>
        <v>30</v>
      </c>
      <c r="BS168">
        <f t="shared" si="52"/>
        <v>134</v>
      </c>
      <c r="BU168">
        <f>IFERROR(8-VLOOKUP(U168,'Dados de consulta'!$A:$D,3,0),8)</f>
        <v>0</v>
      </c>
      <c r="BV168">
        <f>IFERROR(8-VLOOKUP(V168,'Dados de consulta'!$A:$D,3,0),8)</f>
        <v>0</v>
      </c>
      <c r="BW168">
        <f t="shared" si="77"/>
        <v>0</v>
      </c>
    </row>
    <row r="169" spans="1:75" ht="15" hidden="1" x14ac:dyDescent="0.2">
      <c r="A169" s="98">
        <v>42292</v>
      </c>
      <c r="B169" s="129" t="str">
        <f t="shared" si="53"/>
        <v>qui</v>
      </c>
      <c r="C169" s="132"/>
      <c r="D169" s="132"/>
      <c r="E169" s="132">
        <v>1</v>
      </c>
      <c r="F169" s="132"/>
      <c r="G169" s="132">
        <v>4</v>
      </c>
      <c r="H169" s="132"/>
      <c r="I169" s="132"/>
      <c r="J169" s="132"/>
      <c r="K169" s="132"/>
      <c r="L169" s="132"/>
      <c r="M169" s="132">
        <v>101</v>
      </c>
      <c r="N169" s="132"/>
      <c r="O169" s="132"/>
      <c r="P169" s="132"/>
      <c r="Q169" s="132">
        <v>18</v>
      </c>
      <c r="R169" s="132"/>
      <c r="S169" s="132"/>
      <c r="T169" s="132"/>
      <c r="U169" s="151"/>
      <c r="V169" s="151">
        <v>18</v>
      </c>
      <c r="W169" s="307" t="s">
        <v>193</v>
      </c>
      <c r="X169" s="308"/>
      <c r="Y169" s="38">
        <f t="shared" si="54"/>
        <v>8</v>
      </c>
      <c r="Z169" s="38">
        <f t="shared" si="55"/>
        <v>16</v>
      </c>
      <c r="AA169" s="38">
        <f t="shared" si="56"/>
        <v>0</v>
      </c>
      <c r="AB169" s="38">
        <f t="shared" si="64"/>
        <v>0</v>
      </c>
      <c r="AC169" s="38">
        <f t="shared" si="65"/>
        <v>0</v>
      </c>
      <c r="AD169" s="38">
        <f t="shared" si="66"/>
        <v>0</v>
      </c>
      <c r="AE169" s="38">
        <f t="shared" si="67"/>
        <v>0</v>
      </c>
      <c r="AF169" s="38">
        <f t="shared" si="68"/>
        <v>0</v>
      </c>
      <c r="AG169" s="33">
        <f t="shared" si="69"/>
        <v>8</v>
      </c>
      <c r="AH169" s="33">
        <f t="shared" si="70"/>
        <v>16</v>
      </c>
      <c r="AI169" s="33">
        <f t="shared" si="71"/>
        <v>0</v>
      </c>
      <c r="AJ169" s="33">
        <f t="shared" si="72"/>
        <v>0</v>
      </c>
      <c r="AK169" s="34">
        <f t="shared" si="73"/>
        <v>5.6338028169014086E-2</v>
      </c>
      <c r="AL169" s="35">
        <f t="shared" si="74"/>
        <v>0.11267605633802817</v>
      </c>
      <c r="AM169" s="34">
        <f t="shared" si="57"/>
        <v>0</v>
      </c>
      <c r="AN169" s="36">
        <f t="shared" si="75"/>
        <v>0</v>
      </c>
      <c r="AO169" s="6">
        <f t="shared" si="58"/>
        <v>0</v>
      </c>
      <c r="AP169">
        <f t="shared" si="59"/>
        <v>8</v>
      </c>
      <c r="AQ169" s="6">
        <f t="shared" si="60"/>
        <v>0</v>
      </c>
      <c r="AR169" s="6">
        <f t="shared" si="61"/>
        <v>0</v>
      </c>
      <c r="AS169" s="6"/>
      <c r="AX169" s="95">
        <f t="shared" si="62"/>
        <v>42292</v>
      </c>
      <c r="AY169" s="96" t="str">
        <f t="shared" si="63"/>
        <v>qui</v>
      </c>
      <c r="AZ169" s="97">
        <f>IF(OR(AY169="SÁB",AY169="DOM"),0,IFERROR(8-VLOOKUP(C169,'Dados de consulta'!$A$2:$C$38,3,0),8))</f>
        <v>8</v>
      </c>
      <c r="BA169" s="97">
        <f>IF(OR(AY169="SÁB",AY169="DOM"),0,IFERROR(8-VLOOKUP(D169,'Dados de consulta'!$A$2:$C$38,3,0),8))</f>
        <v>8</v>
      </c>
      <c r="BB169" s="97">
        <f>IF(OR(AY169="SÁB",AY169="DOM"),0,IFERROR(8-VLOOKUP(E169,'Dados de consulta'!$A$2:$C$38,3,0),8))</f>
        <v>0</v>
      </c>
      <c r="BC169" s="97">
        <f>IF(OR(AY169="SÁB",AY169="DOM"),0,IFERROR(8-VLOOKUP(F169,'Dados de consulta'!$A$2:$C$38,3,0),8))</f>
        <v>8</v>
      </c>
      <c r="BD169" s="97">
        <f>IF(OR(AY169="SÁB",AY169="DOM"),0,IFERROR(8-VLOOKUP(G169,'Dados de consulta'!$A$2:$C$38,3,0),8))</f>
        <v>0</v>
      </c>
      <c r="BE169" s="97">
        <f>IF(OR(AY169="SÁB",AY169="DOM"),0,IFERROR(8-VLOOKUP(H169,'Dados de consulta'!$A$2:$C$38,3,0),8))</f>
        <v>8</v>
      </c>
      <c r="BF169" s="97">
        <f>IF(OR(AY169="SÁB",AY169="DOM"),0,IFERROR(8-VLOOKUP(I169,'Dados de consulta'!$A$2:$C$38,3,0),8))</f>
        <v>8</v>
      </c>
      <c r="BG169" s="97">
        <f>IF(OR(AY169="SÁB",AY169="DOM"),0,IFERROR(8-VLOOKUP(J169,'Dados de consulta'!$A$2:$C$38,3,0),8))</f>
        <v>8</v>
      </c>
      <c r="BH169" s="97">
        <f>IF(OR(AY169="SÁB",AY169="DOM"),0,IFERROR(8-VLOOKUP(K169,'Dados de consulta'!$A$2:$C$38,3,0),8))</f>
        <v>8</v>
      </c>
      <c r="BI169" s="97">
        <f>IF(OR(AY169="SÁB",AY169="DOM"),0,IFERROR(8-VLOOKUP(L169,'Dados de consulta'!$A$2:$C$38,3,0),8))</f>
        <v>8</v>
      </c>
      <c r="BJ169" s="97">
        <f>IF(OR(AY169="SÁB",AY169="DOM"),0,IFERROR(8-VLOOKUP(M169,'Dados de consulta'!$A$2:$C$38,3,0),8))</f>
        <v>0</v>
      </c>
      <c r="BK169" s="97">
        <f>IF(OR(AY169="SÁB",AY169="DOM"),0,IFERROR(8-VLOOKUP(N169,'Dados de consulta'!$A$2:$C$38,3,0),8))</f>
        <v>8</v>
      </c>
      <c r="BL169" s="97">
        <f>IF(OR(AY169="SÁB",AY169="DOM"),0,IFERROR(8-VLOOKUP(O169,'Dados de consulta'!$A$2:$C$38,3,0),8))</f>
        <v>8</v>
      </c>
      <c r="BM169" s="97">
        <f>IF(OR(AY169="SÁB",AY169="DOM"),0,IFERROR(8-VLOOKUP(P169,'Dados de consulta'!$A$2:$C$38,3,0),8))</f>
        <v>8</v>
      </c>
      <c r="BN169" s="97">
        <f>IF(OR(AY169="SÁB",AY169="DOM"),0,IFERROR(8-VLOOKUP(Q169,'Dados de consulta'!$A$2:$C$38,3,0),8))</f>
        <v>0</v>
      </c>
      <c r="BO169" s="97">
        <f>IF(OR(AY169="SÁB",AY169="DOM"),0,IFERROR(8-VLOOKUP(R169,'Dados de consulta'!$A$2:$C$38,3,0),8))</f>
        <v>8</v>
      </c>
      <c r="BP169" s="97">
        <f>IF(OR(AY169="SÁB",AY169="DOM"),0,IFERROR(8-VLOOKUP(S169,'Dados de consulta'!$A$2:$C$38,3,0),8))</f>
        <v>8</v>
      </c>
      <c r="BQ169" s="113">
        <f>IFERROR(6-VLOOKUP(T169,'Dados de consulta'!$A$2:$C$38,3,0)+2,6)</f>
        <v>6</v>
      </c>
      <c r="BR169" s="114">
        <f t="shared" si="76"/>
        <v>110</v>
      </c>
      <c r="BS169">
        <f t="shared" si="52"/>
        <v>134</v>
      </c>
      <c r="BU169">
        <f>IFERROR(8-VLOOKUP(U169,'Dados de consulta'!$A:$D,3,0),8)</f>
        <v>8</v>
      </c>
      <c r="BV169">
        <f>IFERROR(8-VLOOKUP(V169,'Dados de consulta'!$A:$D,3,0),8)</f>
        <v>0</v>
      </c>
      <c r="BW169">
        <f t="shared" si="77"/>
        <v>8</v>
      </c>
    </row>
    <row r="170" spans="1:75" ht="15" hidden="1" x14ac:dyDescent="0.2">
      <c r="A170" s="98">
        <v>42293</v>
      </c>
      <c r="B170" s="129" t="str">
        <f t="shared" si="53"/>
        <v>sex</v>
      </c>
      <c r="C170" s="132"/>
      <c r="D170" s="132"/>
      <c r="E170" s="132">
        <v>1</v>
      </c>
      <c r="F170" s="132"/>
      <c r="G170" s="132">
        <v>4</v>
      </c>
      <c r="H170" s="132"/>
      <c r="I170" s="132"/>
      <c r="J170" s="132"/>
      <c r="K170" s="132"/>
      <c r="L170" s="132"/>
      <c r="M170" s="132">
        <v>101</v>
      </c>
      <c r="N170" s="132"/>
      <c r="O170" s="132"/>
      <c r="P170" s="132"/>
      <c r="Q170" s="132">
        <v>18</v>
      </c>
      <c r="R170" s="132"/>
      <c r="S170" s="132"/>
      <c r="T170" s="132"/>
      <c r="U170" s="151"/>
      <c r="V170" s="151">
        <v>18</v>
      </c>
      <c r="W170" s="307" t="s">
        <v>193</v>
      </c>
      <c r="X170" s="308"/>
      <c r="Y170" s="38">
        <f t="shared" si="54"/>
        <v>8</v>
      </c>
      <c r="Z170" s="38">
        <f t="shared" si="55"/>
        <v>16</v>
      </c>
      <c r="AA170" s="38">
        <f t="shared" si="56"/>
        <v>0</v>
      </c>
      <c r="AB170" s="38">
        <f t="shared" si="64"/>
        <v>0</v>
      </c>
      <c r="AC170" s="38">
        <f t="shared" si="65"/>
        <v>0</v>
      </c>
      <c r="AD170" s="38">
        <f t="shared" si="66"/>
        <v>0</v>
      </c>
      <c r="AE170" s="38">
        <f t="shared" si="67"/>
        <v>0</v>
      </c>
      <c r="AF170" s="38">
        <f t="shared" si="68"/>
        <v>0</v>
      </c>
      <c r="AG170" s="33">
        <f t="shared" si="69"/>
        <v>8</v>
      </c>
      <c r="AH170" s="33">
        <f t="shared" si="70"/>
        <v>16</v>
      </c>
      <c r="AI170" s="33">
        <f t="shared" si="71"/>
        <v>0</v>
      </c>
      <c r="AJ170" s="33">
        <f t="shared" si="72"/>
        <v>0</v>
      </c>
      <c r="AK170" s="34">
        <f t="shared" si="73"/>
        <v>5.6338028169014086E-2</v>
      </c>
      <c r="AL170" s="35">
        <f t="shared" si="74"/>
        <v>0.11267605633802817</v>
      </c>
      <c r="AM170" s="34">
        <f t="shared" si="57"/>
        <v>0</v>
      </c>
      <c r="AN170" s="36">
        <f t="shared" si="75"/>
        <v>0</v>
      </c>
      <c r="AO170" s="6">
        <f t="shared" si="58"/>
        <v>0</v>
      </c>
      <c r="AP170">
        <f t="shared" si="59"/>
        <v>8</v>
      </c>
      <c r="AQ170" s="6">
        <f t="shared" si="60"/>
        <v>0</v>
      </c>
      <c r="AR170" s="6">
        <f t="shared" si="61"/>
        <v>0</v>
      </c>
      <c r="AS170" s="6"/>
      <c r="AX170" s="95">
        <f t="shared" si="62"/>
        <v>42293</v>
      </c>
      <c r="AY170" s="96" t="str">
        <f t="shared" si="63"/>
        <v>sex</v>
      </c>
      <c r="AZ170" s="97">
        <f>IF(OR(AY170="SÁB",AY170="DOM"),0,IFERROR(8-VLOOKUP(C170,'Dados de consulta'!$A$2:$C$38,3,0),8))</f>
        <v>8</v>
      </c>
      <c r="BA170" s="97">
        <f>IF(OR(AY170="SÁB",AY170="DOM"),0,IFERROR(8-VLOOKUP(D170,'Dados de consulta'!$A$2:$C$38,3,0),8))</f>
        <v>8</v>
      </c>
      <c r="BB170" s="97">
        <f>IF(OR(AY170="SÁB",AY170="DOM"),0,IFERROR(8-VLOOKUP(E170,'Dados de consulta'!$A$2:$C$38,3,0),8))</f>
        <v>0</v>
      </c>
      <c r="BC170" s="97">
        <f>IF(OR(AY170="SÁB",AY170="DOM"),0,IFERROR(8-VLOOKUP(F170,'Dados de consulta'!$A$2:$C$38,3,0),8))</f>
        <v>8</v>
      </c>
      <c r="BD170" s="97">
        <f>IF(OR(AY170="SÁB",AY170="DOM"),0,IFERROR(8-VLOOKUP(G170,'Dados de consulta'!$A$2:$C$38,3,0),8))</f>
        <v>0</v>
      </c>
      <c r="BE170" s="97">
        <f>IF(OR(AY170="SÁB",AY170="DOM"),0,IFERROR(8-VLOOKUP(H170,'Dados de consulta'!$A$2:$C$38,3,0),8))</f>
        <v>8</v>
      </c>
      <c r="BF170" s="97">
        <f>IF(OR(AY170="SÁB",AY170="DOM"),0,IFERROR(8-VLOOKUP(I170,'Dados de consulta'!$A$2:$C$38,3,0),8))</f>
        <v>8</v>
      </c>
      <c r="BG170" s="97">
        <f>IF(OR(AY170="SÁB",AY170="DOM"),0,IFERROR(8-VLOOKUP(J170,'Dados de consulta'!$A$2:$C$38,3,0),8))</f>
        <v>8</v>
      </c>
      <c r="BH170" s="97">
        <f>IF(OR(AY170="SÁB",AY170="DOM"),0,IFERROR(8-VLOOKUP(K170,'Dados de consulta'!$A$2:$C$38,3,0),8))</f>
        <v>8</v>
      </c>
      <c r="BI170" s="97">
        <f>IF(OR(AY170="SÁB",AY170="DOM"),0,IFERROR(8-VLOOKUP(L170,'Dados de consulta'!$A$2:$C$38,3,0),8))</f>
        <v>8</v>
      </c>
      <c r="BJ170" s="97">
        <f>IF(OR(AY170="SÁB",AY170="DOM"),0,IFERROR(8-VLOOKUP(M170,'Dados de consulta'!$A$2:$C$38,3,0),8))</f>
        <v>0</v>
      </c>
      <c r="BK170" s="97">
        <f>IF(OR(AY170="SÁB",AY170="DOM"),0,IFERROR(8-VLOOKUP(N170,'Dados de consulta'!$A$2:$C$38,3,0),8))</f>
        <v>8</v>
      </c>
      <c r="BL170" s="97">
        <f>IF(OR(AY170="SÁB",AY170="DOM"),0,IFERROR(8-VLOOKUP(O170,'Dados de consulta'!$A$2:$C$38,3,0),8))</f>
        <v>8</v>
      </c>
      <c r="BM170" s="97">
        <f>IF(OR(AY170="SÁB",AY170="DOM"),0,IFERROR(8-VLOOKUP(P170,'Dados de consulta'!$A$2:$C$38,3,0),8))</f>
        <v>8</v>
      </c>
      <c r="BN170" s="97">
        <f>IF(OR(AY170="SÁB",AY170="DOM"),0,IFERROR(8-VLOOKUP(Q170,'Dados de consulta'!$A$2:$C$38,3,0),8))</f>
        <v>0</v>
      </c>
      <c r="BO170" s="97">
        <f>IF(OR(AY170="SÁB",AY170="DOM"),0,IFERROR(8-VLOOKUP(R170,'Dados de consulta'!$A$2:$C$38,3,0),8))</f>
        <v>8</v>
      </c>
      <c r="BP170" s="97">
        <f>IF(OR(AY170="SÁB",AY170="DOM"),0,IFERROR(8-VLOOKUP(S170,'Dados de consulta'!$A$2:$C$38,3,0),8))</f>
        <v>8</v>
      </c>
      <c r="BQ170" s="113">
        <f>IFERROR(6-VLOOKUP(T170,'Dados de consulta'!$A$2:$C$38,3,0)+2,6)</f>
        <v>6</v>
      </c>
      <c r="BR170" s="114">
        <f t="shared" si="76"/>
        <v>110</v>
      </c>
      <c r="BS170">
        <f t="shared" si="52"/>
        <v>134</v>
      </c>
      <c r="BU170">
        <f>IFERROR(8-VLOOKUP(U170,'Dados de consulta'!$A:$D,3,0),8)</f>
        <v>8</v>
      </c>
      <c r="BV170">
        <f>IFERROR(8-VLOOKUP(V170,'Dados de consulta'!$A:$D,3,0),8)</f>
        <v>0</v>
      </c>
      <c r="BW170">
        <f t="shared" si="77"/>
        <v>8</v>
      </c>
    </row>
    <row r="171" spans="1:75" ht="15" hidden="1" x14ac:dyDescent="0.2">
      <c r="A171" s="98">
        <v>42294</v>
      </c>
      <c r="B171" s="129" t="str">
        <f t="shared" si="53"/>
        <v>sáb</v>
      </c>
      <c r="C171" s="132"/>
      <c r="D171" s="132"/>
      <c r="E171" s="132"/>
      <c r="F171" s="132"/>
      <c r="G171" s="132">
        <v>4</v>
      </c>
      <c r="H171" s="132"/>
      <c r="I171" s="132"/>
      <c r="J171" s="132"/>
      <c r="K171" s="132"/>
      <c r="L171" s="132"/>
      <c r="M171" s="132">
        <v>101</v>
      </c>
      <c r="N171" s="132"/>
      <c r="O171" s="132"/>
      <c r="P171" s="132"/>
      <c r="Q171" s="132">
        <v>18</v>
      </c>
      <c r="R171" s="132"/>
      <c r="S171" s="132"/>
      <c r="T171" s="132"/>
      <c r="U171" s="151"/>
      <c r="V171" s="151"/>
      <c r="W171" s="307" t="s">
        <v>193</v>
      </c>
      <c r="X171" s="308"/>
      <c r="Y171" s="38">
        <f t="shared" si="54"/>
        <v>8</v>
      </c>
      <c r="Z171" s="38">
        <f t="shared" si="55"/>
        <v>8</v>
      </c>
      <c r="AA171" s="38">
        <f t="shared" si="56"/>
        <v>0</v>
      </c>
      <c r="AB171" s="38">
        <f t="shared" si="64"/>
        <v>0</v>
      </c>
      <c r="AC171" s="38">
        <f t="shared" si="65"/>
        <v>0</v>
      </c>
      <c r="AD171" s="38">
        <f t="shared" si="66"/>
        <v>0</v>
      </c>
      <c r="AE171" s="38">
        <f t="shared" si="67"/>
        <v>0</v>
      </c>
      <c r="AF171" s="38">
        <f t="shared" si="68"/>
        <v>0</v>
      </c>
      <c r="AG171" s="33">
        <f t="shared" si="69"/>
        <v>0</v>
      </c>
      <c r="AH171" s="33">
        <f t="shared" si="70"/>
        <v>0</v>
      </c>
      <c r="AI171" s="33">
        <f t="shared" si="71"/>
        <v>0</v>
      </c>
      <c r="AJ171" s="33">
        <f t="shared" si="72"/>
        <v>0</v>
      </c>
      <c r="AK171" s="34">
        <f t="shared" si="73"/>
        <v>0</v>
      </c>
      <c r="AL171" s="35">
        <f t="shared" si="74"/>
        <v>0</v>
      </c>
      <c r="AM171" s="34">
        <f t="shared" si="57"/>
        <v>0</v>
      </c>
      <c r="AN171" s="36">
        <f t="shared" si="75"/>
        <v>0</v>
      </c>
      <c r="AO171" s="6">
        <f t="shared" si="58"/>
        <v>0</v>
      </c>
      <c r="AP171">
        <f t="shared" si="59"/>
        <v>8</v>
      </c>
      <c r="AQ171" s="6">
        <f t="shared" si="60"/>
        <v>0</v>
      </c>
      <c r="AR171" s="6">
        <f t="shared" si="61"/>
        <v>0</v>
      </c>
      <c r="AS171" s="6"/>
      <c r="AX171" s="95">
        <f t="shared" si="62"/>
        <v>42294</v>
      </c>
      <c r="AY171" s="96" t="str">
        <f t="shared" si="63"/>
        <v>sáb</v>
      </c>
      <c r="AZ171" s="97">
        <f>IF(OR(AY171="SÁB",AY171="DOM"),0,IFERROR(8-VLOOKUP(C171,'Dados de consulta'!$A$2:$C$38,3,0),8))</f>
        <v>0</v>
      </c>
      <c r="BA171" s="97">
        <f>IF(OR(AY171="SÁB",AY171="DOM"),0,IFERROR(8-VLOOKUP(D171,'Dados de consulta'!$A$2:$C$38,3,0),8))</f>
        <v>0</v>
      </c>
      <c r="BB171" s="97">
        <f>IF(OR(AY171="SÁB",AY171="DOM"),0,IFERROR(8-VLOOKUP(E171,'Dados de consulta'!$A$2:$C$38,3,0),8))</f>
        <v>0</v>
      </c>
      <c r="BC171" s="97">
        <f>IF(OR(AY171="SÁB",AY171="DOM"),0,IFERROR(8-VLOOKUP(F171,'Dados de consulta'!$A$2:$C$38,3,0),8))</f>
        <v>0</v>
      </c>
      <c r="BD171" s="97">
        <f>IF(OR(AY171="SÁB",AY171="DOM"),0,IFERROR(8-VLOOKUP(G171,'Dados de consulta'!$A$2:$C$38,3,0),8))</f>
        <v>0</v>
      </c>
      <c r="BE171" s="97">
        <f>IF(OR(AY171="SÁB",AY171="DOM"),0,IFERROR(8-VLOOKUP(H171,'Dados de consulta'!$A$2:$C$38,3,0),8))</f>
        <v>0</v>
      </c>
      <c r="BF171" s="97">
        <f>IF(OR(AY171="SÁB",AY171="DOM"),0,IFERROR(8-VLOOKUP(I171,'Dados de consulta'!$A$2:$C$38,3,0),8))</f>
        <v>0</v>
      </c>
      <c r="BG171" s="97">
        <f>IF(OR(AY171="SÁB",AY171="DOM"),0,IFERROR(8-VLOOKUP(J171,'Dados de consulta'!$A$2:$C$38,3,0),8))</f>
        <v>0</v>
      </c>
      <c r="BH171" s="97">
        <f>IF(OR(AY171="SÁB",AY171="DOM"),0,IFERROR(8-VLOOKUP(K171,'Dados de consulta'!$A$2:$C$38,3,0),8))</f>
        <v>0</v>
      </c>
      <c r="BI171" s="97">
        <f>IF(OR(AY171="SÁB",AY171="DOM"),0,IFERROR(8-VLOOKUP(L171,'Dados de consulta'!$A$2:$C$38,3,0),8))</f>
        <v>0</v>
      </c>
      <c r="BJ171" s="97">
        <f>IF(OR(AY171="SÁB",AY171="DOM"),0,IFERROR(8-VLOOKUP(M171,'Dados de consulta'!$A$2:$C$38,3,0),8))</f>
        <v>0</v>
      </c>
      <c r="BK171" s="97">
        <f>IF(OR(AY171="SÁB",AY171="DOM"),0,IFERROR(8-VLOOKUP(N171,'Dados de consulta'!$A$2:$C$38,3,0),8))</f>
        <v>0</v>
      </c>
      <c r="BL171" s="97">
        <f>IF(OR(AY171="SÁB",AY171="DOM"),0,IFERROR(8-VLOOKUP(O171,'Dados de consulta'!$A$2:$C$38,3,0),8))</f>
        <v>0</v>
      </c>
      <c r="BM171" s="97">
        <f>IF(OR(AY171="SÁB",AY171="DOM"),0,IFERROR(8-VLOOKUP(P171,'Dados de consulta'!$A$2:$C$38,3,0),8))</f>
        <v>0</v>
      </c>
      <c r="BN171" s="97">
        <f>IF(OR(AY171="SÁB",AY171="DOM"),0,IFERROR(8-VLOOKUP(Q171,'Dados de consulta'!$A$2:$C$38,3,0),8))</f>
        <v>0</v>
      </c>
      <c r="BO171" s="97">
        <f>IF(OR(AY171="SÁB",AY171="DOM"),0,IFERROR(8-VLOOKUP(R171,'Dados de consulta'!$A$2:$C$38,3,0),8))</f>
        <v>0</v>
      </c>
      <c r="BP171" s="97">
        <f>IF(OR(AY171="SÁB",AY171="DOM"),0,IFERROR(8-VLOOKUP(S171,'Dados de consulta'!$A$2:$C$38,3,0),8))</f>
        <v>0</v>
      </c>
      <c r="BQ171" s="113">
        <f>IFERROR(6-VLOOKUP(T171,'Dados de consulta'!$A$2:$C$38,3,0)+2,6)</f>
        <v>6</v>
      </c>
      <c r="BR171" s="114">
        <f t="shared" si="76"/>
        <v>0</v>
      </c>
      <c r="BS171">
        <f t="shared" si="52"/>
        <v>0</v>
      </c>
      <c r="BU171">
        <f>IFERROR(8-VLOOKUP(U171,'Dados de consulta'!$A:$D,3,0),8)</f>
        <v>8</v>
      </c>
      <c r="BV171">
        <f>IFERROR(8-VLOOKUP(V171,'Dados de consulta'!$A:$D,3,0),8)</f>
        <v>8</v>
      </c>
      <c r="BW171">
        <f t="shared" si="77"/>
        <v>16</v>
      </c>
    </row>
    <row r="172" spans="1:75" ht="15" hidden="1" x14ac:dyDescent="0.2">
      <c r="A172" s="98">
        <v>42295</v>
      </c>
      <c r="B172" s="129" t="str">
        <f t="shared" si="53"/>
        <v>dom</v>
      </c>
      <c r="C172" s="132"/>
      <c r="D172" s="132"/>
      <c r="E172" s="132"/>
      <c r="F172" s="132"/>
      <c r="G172" s="132">
        <v>4</v>
      </c>
      <c r="H172" s="132"/>
      <c r="I172" s="132"/>
      <c r="J172" s="132"/>
      <c r="K172" s="132"/>
      <c r="L172" s="132"/>
      <c r="M172" s="132">
        <v>101</v>
      </c>
      <c r="N172" s="132"/>
      <c r="O172" s="132"/>
      <c r="P172" s="132"/>
      <c r="Q172" s="132">
        <v>18</v>
      </c>
      <c r="R172" s="132"/>
      <c r="S172" s="132"/>
      <c r="T172" s="132"/>
      <c r="U172" s="151"/>
      <c r="V172" s="151"/>
      <c r="W172" s="307" t="s">
        <v>193</v>
      </c>
      <c r="X172" s="308"/>
      <c r="Y172" s="38">
        <f t="shared" si="54"/>
        <v>8</v>
      </c>
      <c r="Z172" s="38">
        <f t="shared" si="55"/>
        <v>8</v>
      </c>
      <c r="AA172" s="38">
        <f t="shared" si="56"/>
        <v>0</v>
      </c>
      <c r="AB172" s="38">
        <f t="shared" si="64"/>
        <v>0</v>
      </c>
      <c r="AC172" s="38">
        <f t="shared" si="65"/>
        <v>0</v>
      </c>
      <c r="AD172" s="38">
        <f t="shared" si="66"/>
        <v>0</v>
      </c>
      <c r="AE172" s="38">
        <f t="shared" si="67"/>
        <v>0</v>
      </c>
      <c r="AF172" s="38">
        <f t="shared" si="68"/>
        <v>0</v>
      </c>
      <c r="AG172" s="33">
        <f t="shared" si="69"/>
        <v>0</v>
      </c>
      <c r="AH172" s="33">
        <f t="shared" si="70"/>
        <v>0</v>
      </c>
      <c r="AI172" s="33">
        <f t="shared" si="71"/>
        <v>0</v>
      </c>
      <c r="AJ172" s="33">
        <f t="shared" si="72"/>
        <v>0</v>
      </c>
      <c r="AK172" s="34">
        <f t="shared" si="73"/>
        <v>0</v>
      </c>
      <c r="AL172" s="35">
        <f t="shared" si="74"/>
        <v>0</v>
      </c>
      <c r="AM172" s="34">
        <f t="shared" si="57"/>
        <v>0</v>
      </c>
      <c r="AN172" s="36">
        <f t="shared" si="75"/>
        <v>0</v>
      </c>
      <c r="AO172" s="6">
        <f t="shared" si="58"/>
        <v>0</v>
      </c>
      <c r="AP172">
        <f t="shared" si="59"/>
        <v>8</v>
      </c>
      <c r="AQ172" s="6">
        <f t="shared" si="60"/>
        <v>0</v>
      </c>
      <c r="AR172" s="6">
        <f t="shared" si="61"/>
        <v>0</v>
      </c>
      <c r="AS172" s="6"/>
      <c r="AX172" s="95">
        <f t="shared" si="62"/>
        <v>42295</v>
      </c>
      <c r="AY172" s="96" t="str">
        <f t="shared" si="63"/>
        <v>dom</v>
      </c>
      <c r="AZ172" s="97">
        <f>IF(OR(AY172="SÁB",AY172="DOM"),0,IFERROR(8-VLOOKUP(C172,'Dados de consulta'!$A$2:$C$38,3,0),8))</f>
        <v>0</v>
      </c>
      <c r="BA172" s="97">
        <f>IF(OR(AY172="SÁB",AY172="DOM"),0,IFERROR(8-VLOOKUP(D172,'Dados de consulta'!$A$2:$C$38,3,0),8))</f>
        <v>0</v>
      </c>
      <c r="BB172" s="97">
        <f>IF(OR(AY172="SÁB",AY172="DOM"),0,IFERROR(8-VLOOKUP(E172,'Dados de consulta'!$A$2:$C$38,3,0),8))</f>
        <v>0</v>
      </c>
      <c r="BC172" s="97">
        <f>IF(OR(AY172="SÁB",AY172="DOM"),0,IFERROR(8-VLOOKUP(F172,'Dados de consulta'!$A$2:$C$38,3,0),8))</f>
        <v>0</v>
      </c>
      <c r="BD172" s="97">
        <f>IF(OR(AY172="SÁB",AY172="DOM"),0,IFERROR(8-VLOOKUP(G172,'Dados de consulta'!$A$2:$C$38,3,0),8))</f>
        <v>0</v>
      </c>
      <c r="BE172" s="97">
        <f>IF(OR(AY172="SÁB",AY172="DOM"),0,IFERROR(8-VLOOKUP(H172,'Dados de consulta'!$A$2:$C$38,3,0),8))</f>
        <v>0</v>
      </c>
      <c r="BF172" s="97">
        <f>IF(OR(AY172="SÁB",AY172="DOM"),0,IFERROR(8-VLOOKUP(I172,'Dados de consulta'!$A$2:$C$38,3,0),8))</f>
        <v>0</v>
      </c>
      <c r="BG172" s="97">
        <f>IF(OR(AY172="SÁB",AY172="DOM"),0,IFERROR(8-VLOOKUP(J172,'Dados de consulta'!$A$2:$C$38,3,0),8))</f>
        <v>0</v>
      </c>
      <c r="BH172" s="97">
        <f>IF(OR(AY172="SÁB",AY172="DOM"),0,IFERROR(8-VLOOKUP(K172,'Dados de consulta'!$A$2:$C$38,3,0),8))</f>
        <v>0</v>
      </c>
      <c r="BI172" s="97">
        <f>IF(OR(AY172="SÁB",AY172="DOM"),0,IFERROR(8-VLOOKUP(L172,'Dados de consulta'!$A$2:$C$38,3,0),8))</f>
        <v>0</v>
      </c>
      <c r="BJ172" s="97">
        <f>IF(OR(AY172="SÁB",AY172="DOM"),0,IFERROR(8-VLOOKUP(M172,'Dados de consulta'!$A$2:$C$38,3,0),8))</f>
        <v>0</v>
      </c>
      <c r="BK172" s="97">
        <f>IF(OR(AY172="SÁB",AY172="DOM"),0,IFERROR(8-VLOOKUP(N172,'Dados de consulta'!$A$2:$C$38,3,0),8))</f>
        <v>0</v>
      </c>
      <c r="BL172" s="97">
        <f>IF(OR(AY172="SÁB",AY172="DOM"),0,IFERROR(8-VLOOKUP(O172,'Dados de consulta'!$A$2:$C$38,3,0),8))</f>
        <v>0</v>
      </c>
      <c r="BM172" s="97">
        <f>IF(OR(AY172="SÁB",AY172="DOM"),0,IFERROR(8-VLOOKUP(P172,'Dados de consulta'!$A$2:$C$38,3,0),8))</f>
        <v>0</v>
      </c>
      <c r="BN172" s="97">
        <f>IF(OR(AY172="SÁB",AY172="DOM"),0,IFERROR(8-VLOOKUP(Q172,'Dados de consulta'!$A$2:$C$38,3,0),8))</f>
        <v>0</v>
      </c>
      <c r="BO172" s="97">
        <f>IF(OR(AY172="SÁB",AY172="DOM"),0,IFERROR(8-VLOOKUP(R172,'Dados de consulta'!$A$2:$C$38,3,0),8))</f>
        <v>0</v>
      </c>
      <c r="BP172" s="97">
        <f>IF(OR(AY172="SÁB",AY172="DOM"),0,IFERROR(8-VLOOKUP(S172,'Dados de consulta'!$A$2:$C$38,3,0),8))</f>
        <v>0</v>
      </c>
      <c r="BQ172" s="113">
        <f>IFERROR(6-VLOOKUP(T172,'Dados de consulta'!$A$2:$C$38,3,0)+2,6)</f>
        <v>6</v>
      </c>
      <c r="BR172" s="114">
        <f t="shared" si="76"/>
        <v>0</v>
      </c>
      <c r="BS172">
        <f t="shared" si="52"/>
        <v>0</v>
      </c>
      <c r="BU172">
        <f>IFERROR(8-VLOOKUP(U172,'Dados de consulta'!$A:$D,3,0),8)</f>
        <v>8</v>
      </c>
      <c r="BV172">
        <f>IFERROR(8-VLOOKUP(V172,'Dados de consulta'!$A:$D,3,0),8)</f>
        <v>8</v>
      </c>
      <c r="BW172">
        <f t="shared" si="77"/>
        <v>16</v>
      </c>
    </row>
    <row r="173" spans="1:75" ht="15" hidden="1" x14ac:dyDescent="0.2">
      <c r="A173" s="98">
        <v>42296</v>
      </c>
      <c r="B173" s="129" t="str">
        <f t="shared" si="53"/>
        <v>seg</v>
      </c>
      <c r="C173" s="132"/>
      <c r="D173" s="132"/>
      <c r="E173" s="132" t="s">
        <v>196</v>
      </c>
      <c r="F173" s="132"/>
      <c r="G173" s="132">
        <v>4</v>
      </c>
      <c r="H173" s="132"/>
      <c r="I173" s="132"/>
      <c r="J173" s="132"/>
      <c r="K173" s="132"/>
      <c r="L173" s="132"/>
      <c r="M173" s="132">
        <v>101</v>
      </c>
      <c r="N173" s="132"/>
      <c r="O173" s="132"/>
      <c r="P173" s="132"/>
      <c r="Q173" s="132">
        <v>18</v>
      </c>
      <c r="R173" s="132" t="s">
        <v>196</v>
      </c>
      <c r="S173" s="132"/>
      <c r="T173" s="132"/>
      <c r="U173" s="151"/>
      <c r="V173" s="151"/>
      <c r="W173" s="307" t="s">
        <v>193</v>
      </c>
      <c r="X173" s="308"/>
      <c r="Y173" s="38">
        <f t="shared" si="54"/>
        <v>8</v>
      </c>
      <c r="Z173" s="38">
        <f t="shared" si="55"/>
        <v>8</v>
      </c>
      <c r="AA173" s="38">
        <f t="shared" si="56"/>
        <v>8</v>
      </c>
      <c r="AB173" s="38">
        <f t="shared" si="64"/>
        <v>0</v>
      </c>
      <c r="AC173" s="38">
        <f t="shared" si="65"/>
        <v>0</v>
      </c>
      <c r="AD173" s="38">
        <f t="shared" si="66"/>
        <v>0</v>
      </c>
      <c r="AE173" s="38">
        <f t="shared" si="67"/>
        <v>0</v>
      </c>
      <c r="AF173" s="38">
        <f t="shared" si="68"/>
        <v>0</v>
      </c>
      <c r="AG173" s="33">
        <f t="shared" si="69"/>
        <v>8</v>
      </c>
      <c r="AH173" s="33">
        <f t="shared" si="70"/>
        <v>8</v>
      </c>
      <c r="AI173" s="33">
        <f t="shared" si="71"/>
        <v>8</v>
      </c>
      <c r="AJ173" s="33">
        <f t="shared" si="72"/>
        <v>0</v>
      </c>
      <c r="AK173" s="34">
        <f t="shared" si="73"/>
        <v>5.6338028169014086E-2</v>
      </c>
      <c r="AL173" s="35">
        <f t="shared" si="74"/>
        <v>5.6338028169014086E-2</v>
      </c>
      <c r="AM173" s="34">
        <f t="shared" si="57"/>
        <v>5.6338028169014086E-2</v>
      </c>
      <c r="AN173" s="36">
        <f t="shared" si="75"/>
        <v>0</v>
      </c>
      <c r="AO173" s="6">
        <f t="shared" si="58"/>
        <v>0</v>
      </c>
      <c r="AP173">
        <f t="shared" si="59"/>
        <v>8</v>
      </c>
      <c r="AQ173" s="6">
        <f t="shared" si="60"/>
        <v>0</v>
      </c>
      <c r="AR173" s="6">
        <f t="shared" si="61"/>
        <v>0</v>
      </c>
      <c r="AS173" s="6"/>
      <c r="AX173" s="95">
        <f t="shared" si="62"/>
        <v>42296</v>
      </c>
      <c r="AY173" s="96" t="str">
        <f t="shared" si="63"/>
        <v>seg</v>
      </c>
      <c r="AZ173" s="97">
        <f>IF(OR(AY173="SÁB",AY173="DOM"),0,IFERROR(8-VLOOKUP(C173,'Dados de consulta'!$A$2:$C$38,3,0),8))</f>
        <v>8</v>
      </c>
      <c r="BA173" s="97">
        <f>IF(OR(AY173="SÁB",AY173="DOM"),0,IFERROR(8-VLOOKUP(D173,'Dados de consulta'!$A$2:$C$38,3,0),8))</f>
        <v>8</v>
      </c>
      <c r="BB173" s="97">
        <f>IF(OR(AY173="SÁB",AY173="DOM"),0,IFERROR(8-VLOOKUP(E173,'Dados de consulta'!$A$2:$C$38,3,0),8))</f>
        <v>4</v>
      </c>
      <c r="BC173" s="97">
        <f>IF(OR(AY173="SÁB",AY173="DOM"),0,IFERROR(8-VLOOKUP(F173,'Dados de consulta'!$A$2:$C$38,3,0),8))</f>
        <v>8</v>
      </c>
      <c r="BD173" s="97">
        <f>IF(OR(AY173="SÁB",AY173="DOM"),0,IFERROR(8-VLOOKUP(G173,'Dados de consulta'!$A$2:$C$38,3,0),8))</f>
        <v>0</v>
      </c>
      <c r="BE173" s="97">
        <f>IF(OR(AY173="SÁB",AY173="DOM"),0,IFERROR(8-VLOOKUP(H173,'Dados de consulta'!$A$2:$C$38,3,0),8))</f>
        <v>8</v>
      </c>
      <c r="BF173" s="97">
        <f>IF(OR(AY173="SÁB",AY173="DOM"),0,IFERROR(8-VLOOKUP(I173,'Dados de consulta'!$A$2:$C$38,3,0),8))</f>
        <v>8</v>
      </c>
      <c r="BG173" s="97">
        <f>IF(OR(AY173="SÁB",AY173="DOM"),0,IFERROR(8-VLOOKUP(J173,'Dados de consulta'!$A$2:$C$38,3,0),8))</f>
        <v>8</v>
      </c>
      <c r="BH173" s="97">
        <f>IF(OR(AY173="SÁB",AY173="DOM"),0,IFERROR(8-VLOOKUP(K173,'Dados de consulta'!$A$2:$C$38,3,0),8))</f>
        <v>8</v>
      </c>
      <c r="BI173" s="97">
        <f>IF(OR(AY173="SÁB",AY173="DOM"),0,IFERROR(8-VLOOKUP(L173,'Dados de consulta'!$A$2:$C$38,3,0),8))</f>
        <v>8</v>
      </c>
      <c r="BJ173" s="97">
        <f>IF(OR(AY173="SÁB",AY173="DOM"),0,IFERROR(8-VLOOKUP(M173,'Dados de consulta'!$A$2:$C$38,3,0),8))</f>
        <v>0</v>
      </c>
      <c r="BK173" s="97">
        <f>IF(OR(AY173="SÁB",AY173="DOM"),0,IFERROR(8-VLOOKUP(N173,'Dados de consulta'!$A$2:$C$38,3,0),8))</f>
        <v>8</v>
      </c>
      <c r="BL173" s="97">
        <f>IF(OR(AY173="SÁB",AY173="DOM"),0,IFERROR(8-VLOOKUP(O173,'Dados de consulta'!$A$2:$C$38,3,0),8))</f>
        <v>8</v>
      </c>
      <c r="BM173" s="97">
        <f>IF(OR(AY173="SÁB",AY173="DOM"),0,IFERROR(8-VLOOKUP(P173,'Dados de consulta'!$A$2:$C$38,3,0),8))</f>
        <v>8</v>
      </c>
      <c r="BN173" s="97">
        <f>IF(OR(AY173="SÁB",AY173="DOM"),0,IFERROR(8-VLOOKUP(Q173,'Dados de consulta'!$A$2:$C$38,3,0),8))</f>
        <v>0</v>
      </c>
      <c r="BO173" s="97">
        <f>IF(OR(AY173="SÁB",AY173="DOM"),0,IFERROR(8-VLOOKUP(R173,'Dados de consulta'!$A$2:$C$38,3,0),8))</f>
        <v>4</v>
      </c>
      <c r="BP173" s="97">
        <f>IF(OR(AY173="SÁB",AY173="DOM"),0,IFERROR(8-VLOOKUP(S173,'Dados de consulta'!$A$2:$C$38,3,0),8))</f>
        <v>8</v>
      </c>
      <c r="BQ173" s="113">
        <f>IFERROR(6-VLOOKUP(T173,'Dados de consulta'!$A$2:$C$38,3,0)+2,6)</f>
        <v>6</v>
      </c>
      <c r="BR173" s="114">
        <f t="shared" si="76"/>
        <v>110</v>
      </c>
      <c r="BS173">
        <f t="shared" si="52"/>
        <v>134</v>
      </c>
      <c r="BU173">
        <f>IFERROR(8-VLOOKUP(U173,'Dados de consulta'!$A:$D,3,0),8)</f>
        <v>8</v>
      </c>
      <c r="BV173">
        <f>IFERROR(8-VLOOKUP(V173,'Dados de consulta'!$A:$D,3,0),8)</f>
        <v>8</v>
      </c>
      <c r="BW173">
        <f t="shared" si="77"/>
        <v>16</v>
      </c>
    </row>
    <row r="174" spans="1:75" ht="15" hidden="1" x14ac:dyDescent="0.2">
      <c r="A174" s="98">
        <v>42297</v>
      </c>
      <c r="B174" s="129" t="str">
        <f t="shared" si="53"/>
        <v>ter</v>
      </c>
      <c r="C174" s="132"/>
      <c r="D174" s="132"/>
      <c r="E174" s="132" t="s">
        <v>196</v>
      </c>
      <c r="F174" s="132"/>
      <c r="G174" s="132">
        <v>4</v>
      </c>
      <c r="H174" s="132">
        <v>8</v>
      </c>
      <c r="I174" s="132"/>
      <c r="J174" s="132"/>
      <c r="K174" s="132"/>
      <c r="L174" s="132"/>
      <c r="M174" s="132">
        <v>101</v>
      </c>
      <c r="N174" s="132"/>
      <c r="O174" s="132"/>
      <c r="P174" s="132"/>
      <c r="Q174" s="132">
        <v>18</v>
      </c>
      <c r="R174" s="132"/>
      <c r="S174" s="132"/>
      <c r="T174" s="132"/>
      <c r="U174" s="151" t="s">
        <v>197</v>
      </c>
      <c r="V174" s="151"/>
      <c r="W174" s="307" t="s">
        <v>193</v>
      </c>
      <c r="X174" s="308"/>
      <c r="Y174" s="38">
        <f t="shared" si="54"/>
        <v>16</v>
      </c>
      <c r="Z174" s="38">
        <f t="shared" si="55"/>
        <v>8</v>
      </c>
      <c r="AA174" s="38">
        <f t="shared" si="56"/>
        <v>4</v>
      </c>
      <c r="AB174" s="38">
        <f t="shared" si="64"/>
        <v>0</v>
      </c>
      <c r="AC174" s="38">
        <f t="shared" si="65"/>
        <v>0</v>
      </c>
      <c r="AD174" s="38">
        <f t="shared" si="66"/>
        <v>0</v>
      </c>
      <c r="AE174" s="38">
        <f t="shared" si="67"/>
        <v>0</v>
      </c>
      <c r="AF174" s="38">
        <f t="shared" si="68"/>
        <v>0</v>
      </c>
      <c r="AG174" s="33">
        <f t="shared" si="69"/>
        <v>16</v>
      </c>
      <c r="AH174" s="33">
        <f t="shared" si="70"/>
        <v>8</v>
      </c>
      <c r="AI174" s="33">
        <f t="shared" si="71"/>
        <v>4</v>
      </c>
      <c r="AJ174" s="33">
        <f t="shared" si="72"/>
        <v>0</v>
      </c>
      <c r="AK174" s="34">
        <f t="shared" si="73"/>
        <v>0.11267605633802817</v>
      </c>
      <c r="AL174" s="35">
        <f t="shared" si="74"/>
        <v>5.6338028169014086E-2</v>
      </c>
      <c r="AM174" s="34">
        <f t="shared" si="57"/>
        <v>2.8169014084507043E-2</v>
      </c>
      <c r="AN174" s="36">
        <f t="shared" si="75"/>
        <v>0</v>
      </c>
      <c r="AO174" s="6">
        <f t="shared" si="58"/>
        <v>0</v>
      </c>
      <c r="AP174">
        <f t="shared" si="59"/>
        <v>8</v>
      </c>
      <c r="AQ174" s="6">
        <f t="shared" si="60"/>
        <v>0</v>
      </c>
      <c r="AR174" s="6">
        <f t="shared" si="61"/>
        <v>0</v>
      </c>
      <c r="AS174" s="6"/>
      <c r="AX174" s="95">
        <f t="shared" si="62"/>
        <v>42297</v>
      </c>
      <c r="AY174" s="96" t="str">
        <f t="shared" si="63"/>
        <v>ter</v>
      </c>
      <c r="AZ174" s="97">
        <f>IF(OR(AY174="SÁB",AY174="DOM"),0,IFERROR(8-VLOOKUP(C174,'Dados de consulta'!$A$2:$C$38,3,0),8))</f>
        <v>8</v>
      </c>
      <c r="BA174" s="97">
        <f>IF(OR(AY174="SÁB",AY174="DOM"),0,IFERROR(8-VLOOKUP(D174,'Dados de consulta'!$A$2:$C$38,3,0),8))</f>
        <v>8</v>
      </c>
      <c r="BB174" s="97">
        <f>IF(OR(AY174="SÁB",AY174="DOM"),0,IFERROR(8-VLOOKUP(E174,'Dados de consulta'!$A$2:$C$38,3,0),8))</f>
        <v>4</v>
      </c>
      <c r="BC174" s="97">
        <f>IF(OR(AY174="SÁB",AY174="DOM"),0,IFERROR(8-VLOOKUP(F174,'Dados de consulta'!$A$2:$C$38,3,0),8))</f>
        <v>8</v>
      </c>
      <c r="BD174" s="97">
        <f>IF(OR(AY174="SÁB",AY174="DOM"),0,IFERROR(8-VLOOKUP(G174,'Dados de consulta'!$A$2:$C$38,3,0),8))</f>
        <v>0</v>
      </c>
      <c r="BE174" s="97">
        <f>IF(OR(AY174="SÁB",AY174="DOM"),0,IFERROR(8-VLOOKUP(H174,'Dados de consulta'!$A$2:$C$38,3,0),8))</f>
        <v>0</v>
      </c>
      <c r="BF174" s="97">
        <f>IF(OR(AY174="SÁB",AY174="DOM"),0,IFERROR(8-VLOOKUP(I174,'Dados de consulta'!$A$2:$C$38,3,0),8))</f>
        <v>8</v>
      </c>
      <c r="BG174" s="97">
        <f>IF(OR(AY174="SÁB",AY174="DOM"),0,IFERROR(8-VLOOKUP(J174,'Dados de consulta'!$A$2:$C$38,3,0),8))</f>
        <v>8</v>
      </c>
      <c r="BH174" s="97">
        <f>IF(OR(AY174="SÁB",AY174="DOM"),0,IFERROR(8-VLOOKUP(K174,'Dados de consulta'!$A$2:$C$38,3,0),8))</f>
        <v>8</v>
      </c>
      <c r="BI174" s="97">
        <f>IF(OR(AY174="SÁB",AY174="DOM"),0,IFERROR(8-VLOOKUP(L174,'Dados de consulta'!$A$2:$C$38,3,0),8))</f>
        <v>8</v>
      </c>
      <c r="BJ174" s="97">
        <f>IF(OR(AY174="SÁB",AY174="DOM"),0,IFERROR(8-VLOOKUP(M174,'Dados de consulta'!$A$2:$C$38,3,0),8))</f>
        <v>0</v>
      </c>
      <c r="BK174" s="97">
        <f>IF(OR(AY174="SÁB",AY174="DOM"),0,IFERROR(8-VLOOKUP(N174,'Dados de consulta'!$A$2:$C$38,3,0),8))</f>
        <v>8</v>
      </c>
      <c r="BL174" s="97">
        <f>IF(OR(AY174="SÁB",AY174="DOM"),0,IFERROR(8-VLOOKUP(O174,'Dados de consulta'!$A$2:$C$38,3,0),8))</f>
        <v>8</v>
      </c>
      <c r="BM174" s="97">
        <f>IF(OR(AY174="SÁB",AY174="DOM"),0,IFERROR(8-VLOOKUP(P174,'Dados de consulta'!$A$2:$C$38,3,0),8))</f>
        <v>8</v>
      </c>
      <c r="BN174" s="97">
        <f>IF(OR(AY174="SÁB",AY174="DOM"),0,IFERROR(8-VLOOKUP(Q174,'Dados de consulta'!$A$2:$C$38,3,0),8))</f>
        <v>0</v>
      </c>
      <c r="BO174" s="97">
        <f>IF(OR(AY174="SÁB",AY174="DOM"),0,IFERROR(8-VLOOKUP(R174,'Dados de consulta'!$A$2:$C$38,3,0),8))</f>
        <v>8</v>
      </c>
      <c r="BP174" s="97">
        <f>IF(OR(AY174="SÁB",AY174="DOM"),0,IFERROR(8-VLOOKUP(S174,'Dados de consulta'!$A$2:$C$38,3,0),8))</f>
        <v>8</v>
      </c>
      <c r="BQ174" s="113">
        <f>IFERROR(6-VLOOKUP(T174,'Dados de consulta'!$A$2:$C$38,3,0)+2,6)</f>
        <v>6</v>
      </c>
      <c r="BR174" s="114">
        <f t="shared" si="76"/>
        <v>106</v>
      </c>
      <c r="BS174">
        <f t="shared" si="52"/>
        <v>134</v>
      </c>
      <c r="BU174">
        <f>IFERROR(8-VLOOKUP(U174,'Dados de consulta'!$A:$D,3,0),8)</f>
        <v>4</v>
      </c>
      <c r="BV174">
        <f>IFERROR(8-VLOOKUP(V174,'Dados de consulta'!$A:$D,3,0),8)</f>
        <v>8</v>
      </c>
      <c r="BW174">
        <f t="shared" si="77"/>
        <v>12</v>
      </c>
    </row>
    <row r="175" spans="1:75" ht="15" hidden="1" x14ac:dyDescent="0.2">
      <c r="A175" s="98">
        <v>42298</v>
      </c>
      <c r="B175" s="129" t="str">
        <f t="shared" si="53"/>
        <v>qua</v>
      </c>
      <c r="C175" s="132"/>
      <c r="D175" s="132"/>
      <c r="E175" s="132" t="s">
        <v>196</v>
      </c>
      <c r="F175" s="132"/>
      <c r="G175" s="132">
        <v>4</v>
      </c>
      <c r="H175" s="132"/>
      <c r="I175" s="132"/>
      <c r="J175" s="132"/>
      <c r="K175" s="132"/>
      <c r="L175" s="132"/>
      <c r="M175" s="132">
        <v>101</v>
      </c>
      <c r="N175" s="132"/>
      <c r="O175" s="132"/>
      <c r="P175" s="132"/>
      <c r="Q175" s="132">
        <v>18</v>
      </c>
      <c r="R175" s="132"/>
      <c r="S175" s="132"/>
      <c r="T175" s="132"/>
      <c r="U175" s="151"/>
      <c r="V175" s="151"/>
      <c r="W175" s="307" t="s">
        <v>193</v>
      </c>
      <c r="X175" s="308"/>
      <c r="Y175" s="38">
        <f t="shared" si="54"/>
        <v>8</v>
      </c>
      <c r="Z175" s="38">
        <f t="shared" si="55"/>
        <v>8</v>
      </c>
      <c r="AA175" s="38">
        <f t="shared" si="56"/>
        <v>4</v>
      </c>
      <c r="AB175" s="38">
        <f t="shared" si="64"/>
        <v>0</v>
      </c>
      <c r="AC175" s="38">
        <f t="shared" si="65"/>
        <v>0</v>
      </c>
      <c r="AD175" s="38">
        <f t="shared" si="66"/>
        <v>0</v>
      </c>
      <c r="AE175" s="38">
        <f t="shared" si="67"/>
        <v>0</v>
      </c>
      <c r="AF175" s="38">
        <f t="shared" si="68"/>
        <v>0</v>
      </c>
      <c r="AG175" s="33">
        <f t="shared" si="69"/>
        <v>8</v>
      </c>
      <c r="AH175" s="33">
        <f t="shared" si="70"/>
        <v>8</v>
      </c>
      <c r="AI175" s="33">
        <f t="shared" si="71"/>
        <v>4</v>
      </c>
      <c r="AJ175" s="33">
        <f t="shared" si="72"/>
        <v>0</v>
      </c>
      <c r="AK175" s="34">
        <f t="shared" si="73"/>
        <v>5.6338028169014086E-2</v>
      </c>
      <c r="AL175" s="35">
        <f t="shared" si="74"/>
        <v>5.6338028169014086E-2</v>
      </c>
      <c r="AM175" s="34">
        <f t="shared" si="57"/>
        <v>2.8169014084507043E-2</v>
      </c>
      <c r="AN175" s="36">
        <f t="shared" si="75"/>
        <v>0</v>
      </c>
      <c r="AO175" s="6">
        <f t="shared" si="58"/>
        <v>0</v>
      </c>
      <c r="AP175">
        <f t="shared" si="59"/>
        <v>8</v>
      </c>
      <c r="AQ175" s="6">
        <f t="shared" si="60"/>
        <v>0</v>
      </c>
      <c r="AR175" s="6">
        <f t="shared" si="61"/>
        <v>0</v>
      </c>
      <c r="AS175" s="6"/>
      <c r="AX175" s="95">
        <f t="shared" si="62"/>
        <v>42298</v>
      </c>
      <c r="AY175" s="96" t="str">
        <f t="shared" si="63"/>
        <v>qua</v>
      </c>
      <c r="AZ175" s="97">
        <f>IF(OR(AY175="SÁB",AY175="DOM"),0,IFERROR(8-VLOOKUP(C175,'Dados de consulta'!$A$2:$C$38,3,0),8))</f>
        <v>8</v>
      </c>
      <c r="BA175" s="97">
        <f>IF(OR(AY175="SÁB",AY175="DOM"),0,IFERROR(8-VLOOKUP(D175,'Dados de consulta'!$A$2:$C$38,3,0),8))</f>
        <v>8</v>
      </c>
      <c r="BB175" s="97">
        <f>IF(OR(AY175="SÁB",AY175="DOM"),0,IFERROR(8-VLOOKUP(E175,'Dados de consulta'!$A$2:$C$38,3,0),8))</f>
        <v>4</v>
      </c>
      <c r="BC175" s="97">
        <f>IF(OR(AY175="SÁB",AY175="DOM"),0,IFERROR(8-VLOOKUP(F175,'Dados de consulta'!$A$2:$C$38,3,0),8))</f>
        <v>8</v>
      </c>
      <c r="BD175" s="97">
        <f>IF(OR(AY175="SÁB",AY175="DOM"),0,IFERROR(8-VLOOKUP(G175,'Dados de consulta'!$A$2:$C$38,3,0),8))</f>
        <v>0</v>
      </c>
      <c r="BE175" s="97">
        <f>IF(OR(AY175="SÁB",AY175="DOM"),0,IFERROR(8-VLOOKUP(H175,'Dados de consulta'!$A$2:$C$38,3,0),8))</f>
        <v>8</v>
      </c>
      <c r="BF175" s="97">
        <f>IF(OR(AY175="SÁB",AY175="DOM"),0,IFERROR(8-VLOOKUP(I175,'Dados de consulta'!$A$2:$C$38,3,0),8))</f>
        <v>8</v>
      </c>
      <c r="BG175" s="97">
        <f>IF(OR(AY175="SÁB",AY175="DOM"),0,IFERROR(8-VLOOKUP(J175,'Dados de consulta'!$A$2:$C$38,3,0),8))</f>
        <v>8</v>
      </c>
      <c r="BH175" s="97">
        <f>IF(OR(AY175="SÁB",AY175="DOM"),0,IFERROR(8-VLOOKUP(K175,'Dados de consulta'!$A$2:$C$38,3,0),8))</f>
        <v>8</v>
      </c>
      <c r="BI175" s="97">
        <f>IF(OR(AY175="SÁB",AY175="DOM"),0,IFERROR(8-VLOOKUP(L175,'Dados de consulta'!$A$2:$C$38,3,0),8))</f>
        <v>8</v>
      </c>
      <c r="BJ175" s="97">
        <f>IF(OR(AY175="SÁB",AY175="DOM"),0,IFERROR(8-VLOOKUP(M175,'Dados de consulta'!$A$2:$C$38,3,0),8))</f>
        <v>0</v>
      </c>
      <c r="BK175" s="97">
        <f>IF(OR(AY175="SÁB",AY175="DOM"),0,IFERROR(8-VLOOKUP(N175,'Dados de consulta'!$A$2:$C$38,3,0),8))</f>
        <v>8</v>
      </c>
      <c r="BL175" s="97">
        <f>IF(OR(AY175="SÁB",AY175="DOM"),0,IFERROR(8-VLOOKUP(O175,'Dados de consulta'!$A$2:$C$38,3,0),8))</f>
        <v>8</v>
      </c>
      <c r="BM175" s="97">
        <f>IF(OR(AY175="SÁB",AY175="DOM"),0,IFERROR(8-VLOOKUP(P175,'Dados de consulta'!$A$2:$C$38,3,0),8))</f>
        <v>8</v>
      </c>
      <c r="BN175" s="97">
        <f>IF(OR(AY175="SÁB",AY175="DOM"),0,IFERROR(8-VLOOKUP(Q175,'Dados de consulta'!$A$2:$C$38,3,0),8))</f>
        <v>0</v>
      </c>
      <c r="BO175" s="97">
        <f>IF(OR(AY175="SÁB",AY175="DOM"),0,IFERROR(8-VLOOKUP(R175,'Dados de consulta'!$A$2:$C$38,3,0),8))</f>
        <v>8</v>
      </c>
      <c r="BP175" s="97">
        <f>IF(OR(AY175="SÁB",AY175="DOM"),0,IFERROR(8-VLOOKUP(S175,'Dados de consulta'!$A$2:$C$38,3,0),8))</f>
        <v>8</v>
      </c>
      <c r="BQ175" s="113">
        <f>IFERROR(6-VLOOKUP(T175,'Dados de consulta'!$A$2:$C$38,3,0)+2,6)</f>
        <v>6</v>
      </c>
      <c r="BR175" s="114">
        <f t="shared" si="76"/>
        <v>114</v>
      </c>
      <c r="BS175">
        <f t="shared" si="52"/>
        <v>134</v>
      </c>
      <c r="BU175">
        <f>IFERROR(8-VLOOKUP(U175,'Dados de consulta'!$A:$D,3,0),8)</f>
        <v>8</v>
      </c>
      <c r="BV175">
        <f>IFERROR(8-VLOOKUP(V175,'Dados de consulta'!$A:$D,3,0),8)</f>
        <v>8</v>
      </c>
      <c r="BW175">
        <f t="shared" si="77"/>
        <v>16</v>
      </c>
    </row>
    <row r="176" spans="1:75" ht="15" hidden="1" x14ac:dyDescent="0.2">
      <c r="A176" s="98">
        <v>42299</v>
      </c>
      <c r="B176" s="129" t="str">
        <f t="shared" si="53"/>
        <v>qui</v>
      </c>
      <c r="C176" s="132"/>
      <c r="D176" s="132"/>
      <c r="E176" s="132" t="s">
        <v>196</v>
      </c>
      <c r="F176" s="132"/>
      <c r="G176" s="132">
        <v>4</v>
      </c>
      <c r="H176" s="132"/>
      <c r="I176" s="132"/>
      <c r="J176" s="132"/>
      <c r="K176" s="132"/>
      <c r="L176" s="132"/>
      <c r="M176" s="132">
        <v>101</v>
      </c>
      <c r="N176" s="132"/>
      <c r="O176" s="132"/>
      <c r="P176" s="132"/>
      <c r="Q176" s="132">
        <v>18</v>
      </c>
      <c r="R176" s="132"/>
      <c r="S176" s="132"/>
      <c r="T176" s="132"/>
      <c r="U176" s="151"/>
      <c r="V176" s="151"/>
      <c r="W176" s="307" t="s">
        <v>193</v>
      </c>
      <c r="X176" s="308"/>
      <c r="Y176" s="38">
        <f t="shared" si="54"/>
        <v>8</v>
      </c>
      <c r="Z176" s="38">
        <f t="shared" si="55"/>
        <v>8</v>
      </c>
      <c r="AA176" s="38">
        <f t="shared" si="56"/>
        <v>4</v>
      </c>
      <c r="AB176" s="38">
        <f t="shared" si="64"/>
        <v>0</v>
      </c>
      <c r="AC176" s="38">
        <f t="shared" si="65"/>
        <v>0</v>
      </c>
      <c r="AD176" s="38">
        <f t="shared" si="66"/>
        <v>0</v>
      </c>
      <c r="AE176" s="38">
        <f t="shared" si="67"/>
        <v>0</v>
      </c>
      <c r="AF176" s="38">
        <f t="shared" si="68"/>
        <v>0</v>
      </c>
      <c r="AG176" s="33">
        <f t="shared" si="69"/>
        <v>8</v>
      </c>
      <c r="AH176" s="33">
        <f t="shared" si="70"/>
        <v>8</v>
      </c>
      <c r="AI176" s="33">
        <f t="shared" si="71"/>
        <v>4</v>
      </c>
      <c r="AJ176" s="33">
        <f t="shared" si="72"/>
        <v>0</v>
      </c>
      <c r="AK176" s="34">
        <f t="shared" si="73"/>
        <v>5.6338028169014086E-2</v>
      </c>
      <c r="AL176" s="35">
        <f t="shared" si="74"/>
        <v>5.6338028169014086E-2</v>
      </c>
      <c r="AM176" s="34">
        <f t="shared" si="57"/>
        <v>2.8169014084507043E-2</v>
      </c>
      <c r="AN176" s="36">
        <f t="shared" si="75"/>
        <v>0</v>
      </c>
      <c r="AO176" s="6">
        <f t="shared" si="58"/>
        <v>0</v>
      </c>
      <c r="AP176">
        <f t="shared" si="59"/>
        <v>8</v>
      </c>
      <c r="AQ176" s="6">
        <f t="shared" si="60"/>
        <v>0</v>
      </c>
      <c r="AR176" s="6">
        <f t="shared" si="61"/>
        <v>0</v>
      </c>
      <c r="AS176" s="6"/>
      <c r="AX176" s="95">
        <f t="shared" si="62"/>
        <v>42299</v>
      </c>
      <c r="AY176" s="96" t="str">
        <f t="shared" si="63"/>
        <v>qui</v>
      </c>
      <c r="AZ176" s="97">
        <f>IF(OR(AY176="SÁB",AY176="DOM"),0,IFERROR(8-VLOOKUP(C176,'Dados de consulta'!$A$2:$C$38,3,0),8))</f>
        <v>8</v>
      </c>
      <c r="BA176" s="97">
        <f>IF(OR(AY176="SÁB",AY176="DOM"),0,IFERROR(8-VLOOKUP(D176,'Dados de consulta'!$A$2:$C$38,3,0),8))</f>
        <v>8</v>
      </c>
      <c r="BB176" s="97">
        <f>IF(OR(AY176="SÁB",AY176="DOM"),0,IFERROR(8-VLOOKUP(E176,'Dados de consulta'!$A$2:$C$38,3,0),8))</f>
        <v>4</v>
      </c>
      <c r="BC176" s="97">
        <f>IF(OR(AY176="SÁB",AY176="DOM"),0,IFERROR(8-VLOOKUP(F176,'Dados de consulta'!$A$2:$C$38,3,0),8))</f>
        <v>8</v>
      </c>
      <c r="BD176" s="97">
        <f>IF(OR(AY176="SÁB",AY176="DOM"),0,IFERROR(8-VLOOKUP(G176,'Dados de consulta'!$A$2:$C$38,3,0),8))</f>
        <v>0</v>
      </c>
      <c r="BE176" s="97">
        <f>IF(OR(AY176="SÁB",AY176="DOM"),0,IFERROR(8-VLOOKUP(H176,'Dados de consulta'!$A$2:$C$38,3,0),8))</f>
        <v>8</v>
      </c>
      <c r="BF176" s="97">
        <f>IF(OR(AY176="SÁB",AY176="DOM"),0,IFERROR(8-VLOOKUP(I176,'Dados de consulta'!$A$2:$C$38,3,0),8))</f>
        <v>8</v>
      </c>
      <c r="BG176" s="97">
        <f>IF(OR(AY176="SÁB",AY176="DOM"),0,IFERROR(8-VLOOKUP(J176,'Dados de consulta'!$A$2:$C$38,3,0),8))</f>
        <v>8</v>
      </c>
      <c r="BH176" s="97">
        <f>IF(OR(AY176="SÁB",AY176="DOM"),0,IFERROR(8-VLOOKUP(K176,'Dados de consulta'!$A$2:$C$38,3,0),8))</f>
        <v>8</v>
      </c>
      <c r="BI176" s="97">
        <f>IF(OR(AY176="SÁB",AY176="DOM"),0,IFERROR(8-VLOOKUP(L176,'Dados de consulta'!$A$2:$C$38,3,0),8))</f>
        <v>8</v>
      </c>
      <c r="BJ176" s="97">
        <f>IF(OR(AY176="SÁB",AY176="DOM"),0,IFERROR(8-VLOOKUP(M176,'Dados de consulta'!$A$2:$C$38,3,0),8))</f>
        <v>0</v>
      </c>
      <c r="BK176" s="97">
        <f>IF(OR(AY176="SÁB",AY176="DOM"),0,IFERROR(8-VLOOKUP(N176,'Dados de consulta'!$A$2:$C$38,3,0),8))</f>
        <v>8</v>
      </c>
      <c r="BL176" s="97">
        <f>IF(OR(AY176="SÁB",AY176="DOM"),0,IFERROR(8-VLOOKUP(O176,'Dados de consulta'!$A$2:$C$38,3,0),8))</f>
        <v>8</v>
      </c>
      <c r="BM176" s="97">
        <f>IF(OR(AY176="SÁB",AY176="DOM"),0,IFERROR(8-VLOOKUP(P176,'Dados de consulta'!$A$2:$C$38,3,0),8))</f>
        <v>8</v>
      </c>
      <c r="BN176" s="97">
        <f>IF(OR(AY176="SÁB",AY176="DOM"),0,IFERROR(8-VLOOKUP(Q176,'Dados de consulta'!$A$2:$C$38,3,0),8))</f>
        <v>0</v>
      </c>
      <c r="BO176" s="97">
        <f>IF(OR(AY176="SÁB",AY176="DOM"),0,IFERROR(8-VLOOKUP(R176,'Dados de consulta'!$A$2:$C$38,3,0),8))</f>
        <v>8</v>
      </c>
      <c r="BP176" s="97">
        <f>IF(OR(AY176="SÁB",AY176="DOM"),0,IFERROR(8-VLOOKUP(S176,'Dados de consulta'!$A$2:$C$38,3,0),8))</f>
        <v>8</v>
      </c>
      <c r="BQ176" s="113">
        <f>IFERROR(6-VLOOKUP(T176,'Dados de consulta'!$A$2:$C$38,3,0)+2,6)</f>
        <v>6</v>
      </c>
      <c r="BR176" s="114">
        <f t="shared" si="76"/>
        <v>114</v>
      </c>
      <c r="BS176">
        <f t="shared" si="52"/>
        <v>134</v>
      </c>
      <c r="BU176">
        <f>IFERROR(8-VLOOKUP(U176,'Dados de consulta'!$A:$D,3,0),8)</f>
        <v>8</v>
      </c>
      <c r="BV176">
        <f>IFERROR(8-VLOOKUP(V176,'Dados de consulta'!$A:$D,3,0),8)</f>
        <v>8</v>
      </c>
      <c r="BW176">
        <f t="shared" si="77"/>
        <v>16</v>
      </c>
    </row>
    <row r="177" spans="1:75" ht="15" hidden="1" x14ac:dyDescent="0.2">
      <c r="A177" s="98">
        <v>42300</v>
      </c>
      <c r="B177" s="129" t="str">
        <f t="shared" si="53"/>
        <v>sex</v>
      </c>
      <c r="C177" s="132"/>
      <c r="D177" s="132"/>
      <c r="E177" s="132" t="s">
        <v>196</v>
      </c>
      <c r="F177" s="132">
        <v>1</v>
      </c>
      <c r="G177" s="132">
        <v>4</v>
      </c>
      <c r="H177" s="132"/>
      <c r="I177" s="132"/>
      <c r="J177" s="132"/>
      <c r="K177" s="132"/>
      <c r="L177" s="132"/>
      <c r="M177" s="132">
        <v>101</v>
      </c>
      <c r="N177" s="132"/>
      <c r="O177" s="132"/>
      <c r="P177" s="132"/>
      <c r="Q177" s="132">
        <v>18</v>
      </c>
      <c r="R177" s="132"/>
      <c r="S177" s="132"/>
      <c r="T177" s="132"/>
      <c r="U177" s="151"/>
      <c r="V177" s="151"/>
      <c r="W177" s="307" t="s">
        <v>193</v>
      </c>
      <c r="X177" s="308"/>
      <c r="Y177" s="38">
        <f t="shared" si="54"/>
        <v>8</v>
      </c>
      <c r="Z177" s="38">
        <f t="shared" si="55"/>
        <v>16</v>
      </c>
      <c r="AA177" s="38">
        <f t="shared" si="56"/>
        <v>4</v>
      </c>
      <c r="AB177" s="38">
        <f t="shared" si="64"/>
        <v>0</v>
      </c>
      <c r="AC177" s="38">
        <f t="shared" si="65"/>
        <v>0</v>
      </c>
      <c r="AD177" s="38">
        <f t="shared" si="66"/>
        <v>0</v>
      </c>
      <c r="AE177" s="38">
        <f t="shared" si="67"/>
        <v>0</v>
      </c>
      <c r="AF177" s="38">
        <f t="shared" si="68"/>
        <v>0</v>
      </c>
      <c r="AG177" s="33">
        <f t="shared" si="69"/>
        <v>8</v>
      </c>
      <c r="AH177" s="33">
        <f t="shared" si="70"/>
        <v>16</v>
      </c>
      <c r="AI177" s="33">
        <f t="shared" si="71"/>
        <v>4</v>
      </c>
      <c r="AJ177" s="33">
        <f t="shared" si="72"/>
        <v>0</v>
      </c>
      <c r="AK177" s="34">
        <f t="shared" si="73"/>
        <v>5.6338028169014086E-2</v>
      </c>
      <c r="AL177" s="35">
        <f t="shared" si="74"/>
        <v>0.11267605633802817</v>
      </c>
      <c r="AM177" s="34">
        <f t="shared" si="57"/>
        <v>2.8169014084507043E-2</v>
      </c>
      <c r="AN177" s="36">
        <f t="shared" si="75"/>
        <v>0</v>
      </c>
      <c r="AO177" s="6">
        <f t="shared" si="58"/>
        <v>0</v>
      </c>
      <c r="AP177">
        <f t="shared" si="59"/>
        <v>8</v>
      </c>
      <c r="AQ177" s="6">
        <f t="shared" si="60"/>
        <v>0</v>
      </c>
      <c r="AR177" s="6">
        <f t="shared" si="61"/>
        <v>0</v>
      </c>
      <c r="AS177" s="6"/>
      <c r="AX177" s="95">
        <f t="shared" si="62"/>
        <v>42300</v>
      </c>
      <c r="AY177" s="96" t="str">
        <f t="shared" si="63"/>
        <v>sex</v>
      </c>
      <c r="AZ177" s="97">
        <f>IF(OR(AY177="SÁB",AY177="DOM"),0,IFERROR(8-VLOOKUP(C177,'Dados de consulta'!$A$2:$C$38,3,0),8))</f>
        <v>8</v>
      </c>
      <c r="BA177" s="97">
        <f>IF(OR(AY177="SÁB",AY177="DOM"),0,IFERROR(8-VLOOKUP(D177,'Dados de consulta'!$A$2:$C$38,3,0),8))</f>
        <v>8</v>
      </c>
      <c r="BB177" s="97">
        <f>IF(OR(AY177="SÁB",AY177="DOM"),0,IFERROR(8-VLOOKUP(E177,'Dados de consulta'!$A$2:$C$38,3,0),8))</f>
        <v>4</v>
      </c>
      <c r="BC177" s="97">
        <f>IF(OR(AY177="SÁB",AY177="DOM"),0,IFERROR(8-VLOOKUP(F177,'Dados de consulta'!$A$2:$C$38,3,0),8))</f>
        <v>0</v>
      </c>
      <c r="BD177" s="97">
        <f>IF(OR(AY177="SÁB",AY177="DOM"),0,IFERROR(8-VLOOKUP(G177,'Dados de consulta'!$A$2:$C$38,3,0),8))</f>
        <v>0</v>
      </c>
      <c r="BE177" s="97">
        <f>IF(OR(AY177="SÁB",AY177="DOM"),0,IFERROR(8-VLOOKUP(H177,'Dados de consulta'!$A$2:$C$38,3,0),8))</f>
        <v>8</v>
      </c>
      <c r="BF177" s="97">
        <f>IF(OR(AY177="SÁB",AY177="DOM"),0,IFERROR(8-VLOOKUP(I177,'Dados de consulta'!$A$2:$C$38,3,0),8))</f>
        <v>8</v>
      </c>
      <c r="BG177" s="97">
        <f>IF(OR(AY177="SÁB",AY177="DOM"),0,IFERROR(8-VLOOKUP(J177,'Dados de consulta'!$A$2:$C$38,3,0),8))</f>
        <v>8</v>
      </c>
      <c r="BH177" s="97">
        <f>IF(OR(AY177="SÁB",AY177="DOM"),0,IFERROR(8-VLOOKUP(K177,'Dados de consulta'!$A$2:$C$38,3,0),8))</f>
        <v>8</v>
      </c>
      <c r="BI177" s="97">
        <f>IF(OR(AY177="SÁB",AY177="DOM"),0,IFERROR(8-VLOOKUP(L177,'Dados de consulta'!$A$2:$C$38,3,0),8))</f>
        <v>8</v>
      </c>
      <c r="BJ177" s="97">
        <f>IF(OR(AY177="SÁB",AY177="DOM"),0,IFERROR(8-VLOOKUP(M177,'Dados de consulta'!$A$2:$C$38,3,0),8))</f>
        <v>0</v>
      </c>
      <c r="BK177" s="97">
        <f>IF(OR(AY177="SÁB",AY177="DOM"),0,IFERROR(8-VLOOKUP(N177,'Dados de consulta'!$A$2:$C$38,3,0),8))</f>
        <v>8</v>
      </c>
      <c r="BL177" s="97">
        <f>IF(OR(AY177="SÁB",AY177="DOM"),0,IFERROR(8-VLOOKUP(O177,'Dados de consulta'!$A$2:$C$38,3,0),8))</f>
        <v>8</v>
      </c>
      <c r="BM177" s="97">
        <f>IF(OR(AY177="SÁB",AY177="DOM"),0,IFERROR(8-VLOOKUP(P177,'Dados de consulta'!$A$2:$C$38,3,0),8))</f>
        <v>8</v>
      </c>
      <c r="BN177" s="97">
        <f>IF(OR(AY177="SÁB",AY177="DOM"),0,IFERROR(8-VLOOKUP(Q177,'Dados de consulta'!$A$2:$C$38,3,0),8))</f>
        <v>0</v>
      </c>
      <c r="BO177" s="97">
        <f>IF(OR(AY177="SÁB",AY177="DOM"),0,IFERROR(8-VLOOKUP(R177,'Dados de consulta'!$A$2:$C$38,3,0),8))</f>
        <v>8</v>
      </c>
      <c r="BP177" s="97">
        <f>IF(OR(AY177="SÁB",AY177="DOM"),0,IFERROR(8-VLOOKUP(S177,'Dados de consulta'!$A$2:$C$38,3,0),8))</f>
        <v>8</v>
      </c>
      <c r="BQ177" s="113">
        <f>IFERROR(6-VLOOKUP(T177,'Dados de consulta'!$A$2:$C$38,3,0)+2,6)</f>
        <v>6</v>
      </c>
      <c r="BR177" s="114">
        <f t="shared" si="76"/>
        <v>106</v>
      </c>
      <c r="BS177">
        <f t="shared" si="52"/>
        <v>134</v>
      </c>
      <c r="BU177">
        <f>IFERROR(8-VLOOKUP(U177,'Dados de consulta'!$A:$D,3,0),8)</f>
        <v>8</v>
      </c>
      <c r="BV177">
        <f>IFERROR(8-VLOOKUP(V177,'Dados de consulta'!$A:$D,3,0),8)</f>
        <v>8</v>
      </c>
      <c r="BW177">
        <f t="shared" si="77"/>
        <v>16</v>
      </c>
    </row>
    <row r="178" spans="1:75" ht="15" hidden="1" x14ac:dyDescent="0.2">
      <c r="A178" s="98">
        <v>42301</v>
      </c>
      <c r="B178" s="129" t="str">
        <f t="shared" si="53"/>
        <v>sáb</v>
      </c>
      <c r="C178" s="132"/>
      <c r="D178" s="132"/>
      <c r="E178" s="132"/>
      <c r="F178" s="132"/>
      <c r="G178" s="132">
        <v>4</v>
      </c>
      <c r="H178" s="132"/>
      <c r="I178" s="132"/>
      <c r="J178" s="132"/>
      <c r="K178" s="132"/>
      <c r="L178" s="132"/>
      <c r="M178" s="132">
        <v>101</v>
      </c>
      <c r="N178" s="132"/>
      <c r="O178" s="132"/>
      <c r="P178" s="132"/>
      <c r="Q178" s="132">
        <v>18</v>
      </c>
      <c r="R178" s="132"/>
      <c r="S178" s="132"/>
      <c r="T178" s="132"/>
      <c r="U178" s="151"/>
      <c r="V178" s="151"/>
      <c r="W178" s="307" t="s">
        <v>193</v>
      </c>
      <c r="X178" s="308"/>
      <c r="Y178" s="38">
        <f t="shared" si="54"/>
        <v>8</v>
      </c>
      <c r="Z178" s="38">
        <f t="shared" si="55"/>
        <v>8</v>
      </c>
      <c r="AA178" s="38">
        <f t="shared" si="56"/>
        <v>0</v>
      </c>
      <c r="AB178" s="38">
        <f t="shared" si="64"/>
        <v>0</v>
      </c>
      <c r="AC178" s="38">
        <f t="shared" si="65"/>
        <v>0</v>
      </c>
      <c r="AD178" s="38">
        <f t="shared" si="66"/>
        <v>0</v>
      </c>
      <c r="AE178" s="38">
        <f t="shared" si="67"/>
        <v>0</v>
      </c>
      <c r="AF178" s="38">
        <f t="shared" si="68"/>
        <v>0</v>
      </c>
      <c r="AG178" s="33">
        <f t="shared" si="69"/>
        <v>0</v>
      </c>
      <c r="AH178" s="33">
        <f t="shared" si="70"/>
        <v>0</v>
      </c>
      <c r="AI178" s="33">
        <f t="shared" si="71"/>
        <v>0</v>
      </c>
      <c r="AJ178" s="33">
        <f t="shared" si="72"/>
        <v>0</v>
      </c>
      <c r="AK178" s="34">
        <f t="shared" si="73"/>
        <v>0</v>
      </c>
      <c r="AL178" s="35">
        <f t="shared" si="74"/>
        <v>0</v>
      </c>
      <c r="AM178" s="34">
        <f t="shared" si="57"/>
        <v>0</v>
      </c>
      <c r="AN178" s="36">
        <f t="shared" si="75"/>
        <v>0</v>
      </c>
      <c r="AO178" s="6">
        <f t="shared" si="58"/>
        <v>0</v>
      </c>
      <c r="AP178">
        <f t="shared" si="59"/>
        <v>8</v>
      </c>
      <c r="AQ178" s="6">
        <f t="shared" si="60"/>
        <v>0</v>
      </c>
      <c r="AR178" s="6">
        <f t="shared" si="61"/>
        <v>0</v>
      </c>
      <c r="AS178" s="6"/>
      <c r="AX178" s="95">
        <f t="shared" si="62"/>
        <v>42301</v>
      </c>
      <c r="AY178" s="96" t="str">
        <f t="shared" si="63"/>
        <v>sáb</v>
      </c>
      <c r="AZ178" s="97">
        <f>IF(OR(AY178="SÁB",AY178="DOM"),0,IFERROR(8-VLOOKUP(C178,'Dados de consulta'!$A$2:$C$38,3,0),8))</f>
        <v>0</v>
      </c>
      <c r="BA178" s="97">
        <f>IF(OR(AY178="SÁB",AY178="DOM"),0,IFERROR(8-VLOOKUP(D178,'Dados de consulta'!$A$2:$C$38,3,0),8))</f>
        <v>0</v>
      </c>
      <c r="BB178" s="97">
        <f>IF(OR(AY178="SÁB",AY178="DOM"),0,IFERROR(8-VLOOKUP(E178,'Dados de consulta'!$A$2:$C$38,3,0),8))</f>
        <v>0</v>
      </c>
      <c r="BC178" s="97">
        <f>IF(OR(AY178="SÁB",AY178="DOM"),0,IFERROR(8-VLOOKUP(F178,'Dados de consulta'!$A$2:$C$38,3,0),8))</f>
        <v>0</v>
      </c>
      <c r="BD178" s="97">
        <f>IF(OR(AY178="SÁB",AY178="DOM"),0,IFERROR(8-VLOOKUP(G178,'Dados de consulta'!$A$2:$C$38,3,0),8))</f>
        <v>0</v>
      </c>
      <c r="BE178" s="97">
        <f>IF(OR(AY178="SÁB",AY178="DOM"),0,IFERROR(8-VLOOKUP(H178,'Dados de consulta'!$A$2:$C$38,3,0),8))</f>
        <v>0</v>
      </c>
      <c r="BF178" s="97">
        <f>IF(OR(AY178="SÁB",AY178="DOM"),0,IFERROR(8-VLOOKUP(I178,'Dados de consulta'!$A$2:$C$38,3,0),8))</f>
        <v>0</v>
      </c>
      <c r="BG178" s="97">
        <f>IF(OR(AY178="SÁB",AY178="DOM"),0,IFERROR(8-VLOOKUP(J178,'Dados de consulta'!$A$2:$C$38,3,0),8))</f>
        <v>0</v>
      </c>
      <c r="BH178" s="97">
        <f>IF(OR(AY178="SÁB",AY178="DOM"),0,IFERROR(8-VLOOKUP(K178,'Dados de consulta'!$A$2:$C$38,3,0),8))</f>
        <v>0</v>
      </c>
      <c r="BI178" s="97">
        <f>IF(OR(AY178="SÁB",AY178="DOM"),0,IFERROR(8-VLOOKUP(L178,'Dados de consulta'!$A$2:$C$38,3,0),8))</f>
        <v>0</v>
      </c>
      <c r="BJ178" s="97">
        <f>IF(OR(AY178="SÁB",AY178="DOM"),0,IFERROR(8-VLOOKUP(M178,'Dados de consulta'!$A$2:$C$38,3,0),8))</f>
        <v>0</v>
      </c>
      <c r="BK178" s="97">
        <f>IF(OR(AY178="SÁB",AY178="DOM"),0,IFERROR(8-VLOOKUP(N178,'Dados de consulta'!$A$2:$C$38,3,0),8))</f>
        <v>0</v>
      </c>
      <c r="BL178" s="97">
        <f>IF(OR(AY178="SÁB",AY178="DOM"),0,IFERROR(8-VLOOKUP(O178,'Dados de consulta'!$A$2:$C$38,3,0),8))</f>
        <v>0</v>
      </c>
      <c r="BM178" s="97">
        <f>IF(OR(AY178="SÁB",AY178="DOM"),0,IFERROR(8-VLOOKUP(P178,'Dados de consulta'!$A$2:$C$38,3,0),8))</f>
        <v>0</v>
      </c>
      <c r="BN178" s="97">
        <f>IF(OR(AY178="SÁB",AY178="DOM"),0,IFERROR(8-VLOOKUP(Q178,'Dados de consulta'!$A$2:$C$38,3,0),8))</f>
        <v>0</v>
      </c>
      <c r="BO178" s="97">
        <f>IF(OR(AY178="SÁB",AY178="DOM"),0,IFERROR(8-VLOOKUP(R178,'Dados de consulta'!$A$2:$C$38,3,0),8))</f>
        <v>0</v>
      </c>
      <c r="BP178" s="97">
        <f>IF(OR(AY178="SÁB",AY178="DOM"),0,IFERROR(8-VLOOKUP(S178,'Dados de consulta'!$A$2:$C$38,3,0),8))</f>
        <v>0</v>
      </c>
      <c r="BQ178" s="113">
        <f>IFERROR(6-VLOOKUP(T178,'Dados de consulta'!$A$2:$C$38,3,0)+2,6)</f>
        <v>6</v>
      </c>
      <c r="BR178" s="114">
        <f t="shared" si="76"/>
        <v>0</v>
      </c>
      <c r="BS178">
        <f t="shared" si="52"/>
        <v>0</v>
      </c>
      <c r="BU178">
        <f>IFERROR(8-VLOOKUP(U178,'Dados de consulta'!$A:$D,3,0),8)</f>
        <v>8</v>
      </c>
      <c r="BV178">
        <f>IFERROR(8-VLOOKUP(V178,'Dados de consulta'!$A:$D,3,0),8)</f>
        <v>8</v>
      </c>
      <c r="BW178">
        <f t="shared" si="77"/>
        <v>16</v>
      </c>
    </row>
    <row r="179" spans="1:75" ht="15" hidden="1" x14ac:dyDescent="0.2">
      <c r="A179" s="98">
        <v>42302</v>
      </c>
      <c r="B179" s="129" t="str">
        <f t="shared" si="53"/>
        <v>dom</v>
      </c>
      <c r="C179" s="132"/>
      <c r="D179" s="132"/>
      <c r="E179" s="132"/>
      <c r="F179" s="132"/>
      <c r="G179" s="132">
        <v>4</v>
      </c>
      <c r="H179" s="132"/>
      <c r="I179" s="132"/>
      <c r="J179" s="132"/>
      <c r="K179" s="132"/>
      <c r="L179" s="132"/>
      <c r="M179" s="132">
        <v>101</v>
      </c>
      <c r="N179" s="132"/>
      <c r="O179" s="132"/>
      <c r="P179" s="132"/>
      <c r="Q179" s="132">
        <v>18</v>
      </c>
      <c r="R179" s="132"/>
      <c r="S179" s="132"/>
      <c r="T179" s="132"/>
      <c r="U179" s="151"/>
      <c r="V179" s="151"/>
      <c r="W179" s="307" t="s">
        <v>193</v>
      </c>
      <c r="X179" s="308"/>
      <c r="Y179" s="38">
        <f t="shared" si="54"/>
        <v>8</v>
      </c>
      <c r="Z179" s="38">
        <f t="shared" si="55"/>
        <v>8</v>
      </c>
      <c r="AA179" s="38">
        <f t="shared" si="56"/>
        <v>0</v>
      </c>
      <c r="AB179" s="38">
        <f t="shared" si="64"/>
        <v>0</v>
      </c>
      <c r="AC179" s="38">
        <f t="shared" si="65"/>
        <v>0</v>
      </c>
      <c r="AD179" s="38">
        <f t="shared" si="66"/>
        <v>0</v>
      </c>
      <c r="AE179" s="38">
        <f t="shared" si="67"/>
        <v>0</v>
      </c>
      <c r="AF179" s="38">
        <f t="shared" si="68"/>
        <v>0</v>
      </c>
      <c r="AG179" s="33">
        <f t="shared" si="69"/>
        <v>0</v>
      </c>
      <c r="AH179" s="33">
        <f t="shared" si="70"/>
        <v>0</v>
      </c>
      <c r="AI179" s="33">
        <f t="shared" si="71"/>
        <v>0</v>
      </c>
      <c r="AJ179" s="33">
        <f t="shared" si="72"/>
        <v>0</v>
      </c>
      <c r="AK179" s="34">
        <f t="shared" si="73"/>
        <v>0</v>
      </c>
      <c r="AL179" s="35">
        <f t="shared" si="74"/>
        <v>0</v>
      </c>
      <c r="AM179" s="34">
        <f t="shared" si="57"/>
        <v>0</v>
      </c>
      <c r="AN179" s="36">
        <f t="shared" si="75"/>
        <v>0</v>
      </c>
      <c r="AO179" s="6">
        <f t="shared" si="58"/>
        <v>0</v>
      </c>
      <c r="AP179">
        <f t="shared" si="59"/>
        <v>8</v>
      </c>
      <c r="AQ179" s="6">
        <f t="shared" si="60"/>
        <v>0</v>
      </c>
      <c r="AR179" s="6">
        <f t="shared" si="61"/>
        <v>0</v>
      </c>
      <c r="AS179" s="6"/>
      <c r="AX179" s="95">
        <f t="shared" si="62"/>
        <v>42302</v>
      </c>
      <c r="AY179" s="96" t="str">
        <f t="shared" si="63"/>
        <v>dom</v>
      </c>
      <c r="AZ179" s="97">
        <f>IF(OR(AY179="SÁB",AY179="DOM"),0,IFERROR(8-VLOOKUP(C179,'Dados de consulta'!$A$2:$C$38,3,0),8))</f>
        <v>0</v>
      </c>
      <c r="BA179" s="97">
        <f>IF(OR(AY179="SÁB",AY179="DOM"),0,IFERROR(8-VLOOKUP(D179,'Dados de consulta'!$A$2:$C$38,3,0),8))</f>
        <v>0</v>
      </c>
      <c r="BB179" s="97">
        <f>IF(OR(AY179="SÁB",AY179="DOM"),0,IFERROR(8-VLOOKUP(E179,'Dados de consulta'!$A$2:$C$38,3,0),8))</f>
        <v>0</v>
      </c>
      <c r="BC179" s="97">
        <f>IF(OR(AY179="SÁB",AY179="DOM"),0,IFERROR(8-VLOOKUP(F179,'Dados de consulta'!$A$2:$C$38,3,0),8))</f>
        <v>0</v>
      </c>
      <c r="BD179" s="97">
        <f>IF(OR(AY179="SÁB",AY179="DOM"),0,IFERROR(8-VLOOKUP(G179,'Dados de consulta'!$A$2:$C$38,3,0),8))</f>
        <v>0</v>
      </c>
      <c r="BE179" s="97">
        <f>IF(OR(AY179="SÁB",AY179="DOM"),0,IFERROR(8-VLOOKUP(H179,'Dados de consulta'!$A$2:$C$38,3,0),8))</f>
        <v>0</v>
      </c>
      <c r="BF179" s="97">
        <f>IF(OR(AY179="SÁB",AY179="DOM"),0,IFERROR(8-VLOOKUP(I179,'Dados de consulta'!$A$2:$C$38,3,0),8))</f>
        <v>0</v>
      </c>
      <c r="BG179" s="97">
        <f>IF(OR(AY179="SÁB",AY179="DOM"),0,IFERROR(8-VLOOKUP(J179,'Dados de consulta'!$A$2:$C$38,3,0),8))</f>
        <v>0</v>
      </c>
      <c r="BH179" s="97">
        <f>IF(OR(AY179="SÁB",AY179="DOM"),0,IFERROR(8-VLOOKUP(K179,'Dados de consulta'!$A$2:$C$38,3,0),8))</f>
        <v>0</v>
      </c>
      <c r="BI179" s="97">
        <f>IF(OR(AY179="SÁB",AY179="DOM"),0,IFERROR(8-VLOOKUP(L179,'Dados de consulta'!$A$2:$C$38,3,0),8))</f>
        <v>0</v>
      </c>
      <c r="BJ179" s="97">
        <f>IF(OR(AY179="SÁB",AY179="DOM"),0,IFERROR(8-VLOOKUP(M179,'Dados de consulta'!$A$2:$C$38,3,0),8))</f>
        <v>0</v>
      </c>
      <c r="BK179" s="97">
        <f>IF(OR(AY179="SÁB",AY179="DOM"),0,IFERROR(8-VLOOKUP(N179,'Dados de consulta'!$A$2:$C$38,3,0),8))</f>
        <v>0</v>
      </c>
      <c r="BL179" s="97">
        <f>IF(OR(AY179="SÁB",AY179="DOM"),0,IFERROR(8-VLOOKUP(O179,'Dados de consulta'!$A$2:$C$38,3,0),8))</f>
        <v>0</v>
      </c>
      <c r="BM179" s="97">
        <f>IF(OR(AY179="SÁB",AY179="DOM"),0,IFERROR(8-VLOOKUP(P179,'Dados de consulta'!$A$2:$C$38,3,0),8))</f>
        <v>0</v>
      </c>
      <c r="BN179" s="97">
        <f>IF(OR(AY179="SÁB",AY179="DOM"),0,IFERROR(8-VLOOKUP(Q179,'Dados de consulta'!$A$2:$C$38,3,0),8))</f>
        <v>0</v>
      </c>
      <c r="BO179" s="97">
        <f>IF(OR(AY179="SÁB",AY179="DOM"),0,IFERROR(8-VLOOKUP(R179,'Dados de consulta'!$A$2:$C$38,3,0),8))</f>
        <v>0</v>
      </c>
      <c r="BP179" s="97">
        <f>IF(OR(AY179="SÁB",AY179="DOM"),0,IFERROR(8-VLOOKUP(S179,'Dados de consulta'!$A$2:$C$38,3,0),8))</f>
        <v>0</v>
      </c>
      <c r="BQ179" s="113">
        <f>IFERROR(6-VLOOKUP(T179,'Dados de consulta'!$A$2:$C$38,3,0)+2,6)</f>
        <v>6</v>
      </c>
      <c r="BR179" s="114">
        <f t="shared" si="76"/>
        <v>0</v>
      </c>
      <c r="BS179">
        <f t="shared" si="52"/>
        <v>0</v>
      </c>
      <c r="BU179">
        <f>IFERROR(8-VLOOKUP(U179,'Dados de consulta'!$A:$D,3,0),8)</f>
        <v>8</v>
      </c>
      <c r="BV179">
        <f>IFERROR(8-VLOOKUP(V179,'Dados de consulta'!$A:$D,3,0),8)</f>
        <v>8</v>
      </c>
      <c r="BW179">
        <f t="shared" si="77"/>
        <v>16</v>
      </c>
    </row>
    <row r="180" spans="1:75" ht="15" hidden="1" x14ac:dyDescent="0.2">
      <c r="A180" s="98">
        <v>42303</v>
      </c>
      <c r="B180" s="129" t="str">
        <f t="shared" si="53"/>
        <v>seg</v>
      </c>
      <c r="C180" s="132"/>
      <c r="D180" s="132"/>
      <c r="E180" s="132" t="s">
        <v>198</v>
      </c>
      <c r="F180" s="132"/>
      <c r="G180" s="132">
        <v>4</v>
      </c>
      <c r="H180" s="132"/>
      <c r="I180" s="132"/>
      <c r="J180" s="132"/>
      <c r="K180" s="132"/>
      <c r="L180" s="132"/>
      <c r="M180" s="132">
        <v>101</v>
      </c>
      <c r="N180" s="132"/>
      <c r="O180" s="132"/>
      <c r="P180" s="132"/>
      <c r="Q180" s="132">
        <v>18</v>
      </c>
      <c r="R180" s="132" t="s">
        <v>196</v>
      </c>
      <c r="S180" s="132">
        <v>1</v>
      </c>
      <c r="T180" s="132"/>
      <c r="U180" s="151">
        <v>101</v>
      </c>
      <c r="V180" s="151"/>
      <c r="W180" s="307" t="s">
        <v>193</v>
      </c>
      <c r="X180" s="308"/>
      <c r="Y180" s="38">
        <f t="shared" si="54"/>
        <v>12</v>
      </c>
      <c r="Z180" s="38">
        <f t="shared" si="55"/>
        <v>16</v>
      </c>
      <c r="AA180" s="38">
        <f t="shared" si="56"/>
        <v>4</v>
      </c>
      <c r="AB180" s="38">
        <f t="shared" si="64"/>
        <v>0</v>
      </c>
      <c r="AC180" s="38">
        <f t="shared" si="65"/>
        <v>0</v>
      </c>
      <c r="AD180" s="38">
        <f t="shared" si="66"/>
        <v>0</v>
      </c>
      <c r="AE180" s="38">
        <f t="shared" si="67"/>
        <v>0</v>
      </c>
      <c r="AF180" s="38">
        <f t="shared" si="68"/>
        <v>0</v>
      </c>
      <c r="AG180" s="33">
        <f t="shared" si="69"/>
        <v>12</v>
      </c>
      <c r="AH180" s="33">
        <f t="shared" si="70"/>
        <v>16</v>
      </c>
      <c r="AI180" s="33">
        <f t="shared" si="71"/>
        <v>4</v>
      </c>
      <c r="AJ180" s="33">
        <f t="shared" si="72"/>
        <v>0</v>
      </c>
      <c r="AK180" s="34">
        <f t="shared" si="73"/>
        <v>8.4507042253521125E-2</v>
      </c>
      <c r="AL180" s="35">
        <f t="shared" si="74"/>
        <v>0.11267605633802817</v>
      </c>
      <c r="AM180" s="34">
        <f t="shared" si="57"/>
        <v>2.8169014084507043E-2</v>
      </c>
      <c r="AN180" s="36">
        <f t="shared" si="75"/>
        <v>0</v>
      </c>
      <c r="AO180" s="6">
        <f t="shared" si="58"/>
        <v>0</v>
      </c>
      <c r="AP180">
        <f t="shared" si="59"/>
        <v>8</v>
      </c>
      <c r="AQ180" s="6">
        <f t="shared" si="60"/>
        <v>0</v>
      </c>
      <c r="AR180" s="6">
        <f t="shared" si="61"/>
        <v>0</v>
      </c>
      <c r="AS180" s="6"/>
      <c r="AX180" s="95">
        <f t="shared" si="62"/>
        <v>42303</v>
      </c>
      <c r="AY180" s="96" t="str">
        <f t="shared" si="63"/>
        <v>seg</v>
      </c>
      <c r="AZ180" s="97">
        <f>IF(OR(AY180="SÁB",AY180="DOM"),0,IFERROR(8-VLOOKUP(C180,'Dados de consulta'!$A$2:$C$38,3,0),8))</f>
        <v>8</v>
      </c>
      <c r="BA180" s="97">
        <f>IF(OR(AY180="SÁB",AY180="DOM"),0,IFERROR(8-VLOOKUP(D180,'Dados de consulta'!$A$2:$C$38,3,0),8))</f>
        <v>8</v>
      </c>
      <c r="BB180" s="97">
        <f>IF(OR(AY180="SÁB",AY180="DOM"),0,IFERROR(8-VLOOKUP(E180,'Dados de consulta'!$A$2:$C$38,3,0),8))</f>
        <v>4</v>
      </c>
      <c r="BC180" s="97">
        <f>IF(OR(AY180="SÁB",AY180="DOM"),0,IFERROR(8-VLOOKUP(F180,'Dados de consulta'!$A$2:$C$38,3,0),8))</f>
        <v>8</v>
      </c>
      <c r="BD180" s="97">
        <f>IF(OR(AY180="SÁB",AY180="DOM"),0,IFERROR(8-VLOOKUP(G180,'Dados de consulta'!$A$2:$C$38,3,0),8))</f>
        <v>0</v>
      </c>
      <c r="BE180" s="97">
        <f>IF(OR(AY180="SÁB",AY180="DOM"),0,IFERROR(8-VLOOKUP(H180,'Dados de consulta'!$A$2:$C$38,3,0),8))</f>
        <v>8</v>
      </c>
      <c r="BF180" s="97">
        <f>IF(OR(AY180="SÁB",AY180="DOM"),0,IFERROR(8-VLOOKUP(I180,'Dados de consulta'!$A$2:$C$38,3,0),8))</f>
        <v>8</v>
      </c>
      <c r="BG180" s="97">
        <f>IF(OR(AY180="SÁB",AY180="DOM"),0,IFERROR(8-VLOOKUP(J180,'Dados de consulta'!$A$2:$C$38,3,0),8))</f>
        <v>8</v>
      </c>
      <c r="BH180" s="97">
        <f>IF(OR(AY180="SÁB",AY180="DOM"),0,IFERROR(8-VLOOKUP(K180,'Dados de consulta'!$A$2:$C$38,3,0),8))</f>
        <v>8</v>
      </c>
      <c r="BI180" s="97">
        <f>IF(OR(AY180="SÁB",AY180="DOM"),0,IFERROR(8-VLOOKUP(L180,'Dados de consulta'!$A$2:$C$38,3,0),8))</f>
        <v>8</v>
      </c>
      <c r="BJ180" s="97">
        <f>IF(OR(AY180="SÁB",AY180="DOM"),0,IFERROR(8-VLOOKUP(M180,'Dados de consulta'!$A$2:$C$38,3,0),8))</f>
        <v>0</v>
      </c>
      <c r="BK180" s="97">
        <f>IF(OR(AY180="SÁB",AY180="DOM"),0,IFERROR(8-VLOOKUP(N180,'Dados de consulta'!$A$2:$C$38,3,0),8))</f>
        <v>8</v>
      </c>
      <c r="BL180" s="97">
        <f>IF(OR(AY180="SÁB",AY180="DOM"),0,IFERROR(8-VLOOKUP(O180,'Dados de consulta'!$A$2:$C$38,3,0),8))</f>
        <v>8</v>
      </c>
      <c r="BM180" s="97">
        <f>IF(OR(AY180="SÁB",AY180="DOM"),0,IFERROR(8-VLOOKUP(P180,'Dados de consulta'!$A$2:$C$38,3,0),8))</f>
        <v>8</v>
      </c>
      <c r="BN180" s="97">
        <f>IF(OR(AY180="SÁB",AY180="DOM"),0,IFERROR(8-VLOOKUP(Q180,'Dados de consulta'!$A$2:$C$38,3,0),8))</f>
        <v>0</v>
      </c>
      <c r="BO180" s="97">
        <f>IF(OR(AY180="SÁB",AY180="DOM"),0,IFERROR(8-VLOOKUP(R180,'Dados de consulta'!$A$2:$C$38,3,0),8))</f>
        <v>4</v>
      </c>
      <c r="BP180" s="97">
        <f>IF(OR(AY180="SÁB",AY180="DOM"),0,IFERROR(8-VLOOKUP(S180,'Dados de consulta'!$A$2:$C$38,3,0),8))</f>
        <v>0</v>
      </c>
      <c r="BQ180" s="113">
        <f>IFERROR(6-VLOOKUP(T180,'Dados de consulta'!$A$2:$C$38,3,0)+2,6)</f>
        <v>6</v>
      </c>
      <c r="BR180" s="114">
        <f t="shared" si="76"/>
        <v>102</v>
      </c>
      <c r="BS180">
        <f t="shared" si="52"/>
        <v>134</v>
      </c>
      <c r="BU180">
        <f>IFERROR(8-VLOOKUP(U180,'Dados de consulta'!$A:$D,3,0),8)</f>
        <v>0</v>
      </c>
      <c r="BV180">
        <f>IFERROR(8-VLOOKUP(V180,'Dados de consulta'!$A:$D,3,0),8)</f>
        <v>8</v>
      </c>
      <c r="BW180">
        <f t="shared" si="77"/>
        <v>8</v>
      </c>
    </row>
    <row r="181" spans="1:75" ht="15" hidden="1" x14ac:dyDescent="0.2">
      <c r="A181" s="98">
        <v>42304</v>
      </c>
      <c r="B181" s="129" t="str">
        <f t="shared" si="53"/>
        <v>ter</v>
      </c>
      <c r="C181" s="132"/>
      <c r="D181" s="132"/>
      <c r="E181" s="132"/>
      <c r="F181" s="132"/>
      <c r="G181" s="132">
        <v>4</v>
      </c>
      <c r="H181" s="132"/>
      <c r="I181" s="132"/>
      <c r="J181" s="132"/>
      <c r="K181" s="132"/>
      <c r="L181" s="132"/>
      <c r="M181" s="132">
        <v>101</v>
      </c>
      <c r="N181" s="132"/>
      <c r="O181" s="132"/>
      <c r="P181" s="132"/>
      <c r="Q181" s="132">
        <v>18</v>
      </c>
      <c r="R181" s="132" t="s">
        <v>196</v>
      </c>
      <c r="S181" s="132"/>
      <c r="T181" s="132"/>
      <c r="U181" s="151">
        <v>101</v>
      </c>
      <c r="V181" s="151"/>
      <c r="W181" s="307" t="s">
        <v>193</v>
      </c>
      <c r="X181" s="308"/>
      <c r="Y181" s="38">
        <f t="shared" si="54"/>
        <v>8</v>
      </c>
      <c r="Z181" s="38">
        <f t="shared" si="55"/>
        <v>8</v>
      </c>
      <c r="AA181" s="38">
        <f t="shared" si="56"/>
        <v>4</v>
      </c>
      <c r="AB181" s="38">
        <f t="shared" si="64"/>
        <v>0</v>
      </c>
      <c r="AC181" s="38">
        <f t="shared" si="65"/>
        <v>0</v>
      </c>
      <c r="AD181" s="38">
        <f t="shared" si="66"/>
        <v>0</v>
      </c>
      <c r="AE181" s="38">
        <f t="shared" si="67"/>
        <v>0</v>
      </c>
      <c r="AF181" s="38">
        <f t="shared" si="68"/>
        <v>0</v>
      </c>
      <c r="AG181" s="33">
        <f t="shared" si="69"/>
        <v>8</v>
      </c>
      <c r="AH181" s="33">
        <f t="shared" si="70"/>
        <v>8</v>
      </c>
      <c r="AI181" s="33">
        <f t="shared" si="71"/>
        <v>4</v>
      </c>
      <c r="AJ181" s="33">
        <f t="shared" si="72"/>
        <v>0</v>
      </c>
      <c r="AK181" s="34">
        <f t="shared" si="73"/>
        <v>5.6338028169014086E-2</v>
      </c>
      <c r="AL181" s="35">
        <f t="shared" si="74"/>
        <v>5.6338028169014086E-2</v>
      </c>
      <c r="AM181" s="34">
        <f t="shared" si="57"/>
        <v>2.8169014084507043E-2</v>
      </c>
      <c r="AN181" s="36">
        <f t="shared" si="75"/>
        <v>0</v>
      </c>
      <c r="AO181" s="6">
        <f t="shared" si="58"/>
        <v>0</v>
      </c>
      <c r="AP181">
        <f t="shared" si="59"/>
        <v>8</v>
      </c>
      <c r="AQ181" s="6">
        <f t="shared" si="60"/>
        <v>0</v>
      </c>
      <c r="AR181" s="6">
        <f t="shared" si="61"/>
        <v>0</v>
      </c>
      <c r="AS181" s="6"/>
      <c r="AX181" s="95">
        <f t="shared" si="62"/>
        <v>42304</v>
      </c>
      <c r="AY181" s="96" t="str">
        <f t="shared" si="63"/>
        <v>ter</v>
      </c>
      <c r="AZ181" s="97">
        <f>IF(OR(AY181="SÁB",AY181="DOM"),0,IFERROR(8-VLOOKUP(C181,'Dados de consulta'!$A$2:$C$38,3,0),8))</f>
        <v>8</v>
      </c>
      <c r="BA181" s="97">
        <f>IF(OR(AY181="SÁB",AY181="DOM"),0,IFERROR(8-VLOOKUP(D181,'Dados de consulta'!$A$2:$C$38,3,0),8))</f>
        <v>8</v>
      </c>
      <c r="BB181" s="97">
        <f>IF(OR(AY181="SÁB",AY181="DOM"),0,IFERROR(8-VLOOKUP(E181,'Dados de consulta'!$A$2:$C$38,3,0),8))</f>
        <v>8</v>
      </c>
      <c r="BC181" s="97">
        <f>IF(OR(AY181="SÁB",AY181="DOM"),0,IFERROR(8-VLOOKUP(F181,'Dados de consulta'!$A$2:$C$38,3,0),8))</f>
        <v>8</v>
      </c>
      <c r="BD181" s="97">
        <f>IF(OR(AY181="SÁB",AY181="DOM"),0,IFERROR(8-VLOOKUP(G181,'Dados de consulta'!$A$2:$C$38,3,0),8))</f>
        <v>0</v>
      </c>
      <c r="BE181" s="97">
        <f>IF(OR(AY181="SÁB",AY181="DOM"),0,IFERROR(8-VLOOKUP(H181,'Dados de consulta'!$A$2:$C$38,3,0),8))</f>
        <v>8</v>
      </c>
      <c r="BF181" s="97">
        <f>IF(OR(AY181="SÁB",AY181="DOM"),0,IFERROR(8-VLOOKUP(I181,'Dados de consulta'!$A$2:$C$38,3,0),8))</f>
        <v>8</v>
      </c>
      <c r="BG181" s="97">
        <f>IF(OR(AY181="SÁB",AY181="DOM"),0,IFERROR(8-VLOOKUP(J181,'Dados de consulta'!$A$2:$C$38,3,0),8))</f>
        <v>8</v>
      </c>
      <c r="BH181" s="97">
        <f>IF(OR(AY181="SÁB",AY181="DOM"),0,IFERROR(8-VLOOKUP(K181,'Dados de consulta'!$A$2:$C$38,3,0),8))</f>
        <v>8</v>
      </c>
      <c r="BI181" s="97">
        <f>IF(OR(AY181="SÁB",AY181="DOM"),0,IFERROR(8-VLOOKUP(L181,'Dados de consulta'!$A$2:$C$38,3,0),8))</f>
        <v>8</v>
      </c>
      <c r="BJ181" s="97">
        <f>IF(OR(AY181="SÁB",AY181="DOM"),0,IFERROR(8-VLOOKUP(M181,'Dados de consulta'!$A$2:$C$38,3,0),8))</f>
        <v>0</v>
      </c>
      <c r="BK181" s="97">
        <f>IF(OR(AY181="SÁB",AY181="DOM"),0,IFERROR(8-VLOOKUP(N181,'Dados de consulta'!$A$2:$C$38,3,0),8))</f>
        <v>8</v>
      </c>
      <c r="BL181" s="97">
        <f>IF(OR(AY181="SÁB",AY181="DOM"),0,IFERROR(8-VLOOKUP(O181,'Dados de consulta'!$A$2:$C$38,3,0),8))</f>
        <v>8</v>
      </c>
      <c r="BM181" s="97">
        <f>IF(OR(AY181="SÁB",AY181="DOM"),0,IFERROR(8-VLOOKUP(P181,'Dados de consulta'!$A$2:$C$38,3,0),8))</f>
        <v>8</v>
      </c>
      <c r="BN181" s="97">
        <f>IF(OR(AY181="SÁB",AY181="DOM"),0,IFERROR(8-VLOOKUP(Q181,'Dados de consulta'!$A$2:$C$38,3,0),8))</f>
        <v>0</v>
      </c>
      <c r="BO181" s="97">
        <f>IF(OR(AY181="SÁB",AY181="DOM"),0,IFERROR(8-VLOOKUP(R181,'Dados de consulta'!$A$2:$C$38,3,0),8))</f>
        <v>4</v>
      </c>
      <c r="BP181" s="97">
        <f>IF(OR(AY181="SÁB",AY181="DOM"),0,IFERROR(8-VLOOKUP(S181,'Dados de consulta'!$A$2:$C$38,3,0),8))</f>
        <v>8</v>
      </c>
      <c r="BQ181" s="113">
        <f>IFERROR(6-VLOOKUP(T181,'Dados de consulta'!$A$2:$C$38,3,0)+2,6)</f>
        <v>6</v>
      </c>
      <c r="BR181" s="114">
        <f t="shared" si="76"/>
        <v>114</v>
      </c>
      <c r="BS181">
        <f t="shared" si="52"/>
        <v>134</v>
      </c>
      <c r="BU181">
        <f>IFERROR(8-VLOOKUP(U181,'Dados de consulta'!$A:$D,3,0),8)</f>
        <v>0</v>
      </c>
      <c r="BV181">
        <f>IFERROR(8-VLOOKUP(V181,'Dados de consulta'!$A:$D,3,0),8)</f>
        <v>8</v>
      </c>
      <c r="BW181">
        <f t="shared" si="77"/>
        <v>8</v>
      </c>
    </row>
    <row r="182" spans="1:75" ht="15" hidden="1" x14ac:dyDescent="0.2">
      <c r="A182" s="98">
        <v>42305</v>
      </c>
      <c r="B182" s="129" t="str">
        <f t="shared" si="53"/>
        <v>qua</v>
      </c>
      <c r="C182" s="132"/>
      <c r="D182" s="132"/>
      <c r="E182" s="132"/>
      <c r="F182" s="132"/>
      <c r="G182" s="132">
        <v>4</v>
      </c>
      <c r="H182" s="132"/>
      <c r="I182" s="132"/>
      <c r="J182" s="132"/>
      <c r="K182" s="132"/>
      <c r="L182" s="132"/>
      <c r="M182" s="132">
        <v>101</v>
      </c>
      <c r="N182" s="132"/>
      <c r="O182" s="132"/>
      <c r="P182" s="132"/>
      <c r="Q182" s="132">
        <v>18</v>
      </c>
      <c r="R182" s="132"/>
      <c r="S182" s="132"/>
      <c r="T182" s="132"/>
      <c r="U182" s="151">
        <v>101</v>
      </c>
      <c r="V182" s="151"/>
      <c r="W182" s="307" t="s">
        <v>193</v>
      </c>
      <c r="X182" s="308"/>
      <c r="Y182" s="38">
        <f t="shared" si="54"/>
        <v>8</v>
      </c>
      <c r="Z182" s="38">
        <f t="shared" si="55"/>
        <v>8</v>
      </c>
      <c r="AA182" s="38">
        <f t="shared" si="56"/>
        <v>0</v>
      </c>
      <c r="AB182" s="38">
        <f t="shared" si="64"/>
        <v>0</v>
      </c>
      <c r="AC182" s="38">
        <f t="shared" si="65"/>
        <v>0</v>
      </c>
      <c r="AD182" s="38">
        <f t="shared" si="66"/>
        <v>0</v>
      </c>
      <c r="AE182" s="38">
        <f t="shared" si="67"/>
        <v>0</v>
      </c>
      <c r="AF182" s="38">
        <f t="shared" si="68"/>
        <v>0</v>
      </c>
      <c r="AG182" s="33">
        <f t="shared" si="69"/>
        <v>8</v>
      </c>
      <c r="AH182" s="33">
        <f t="shared" si="70"/>
        <v>8</v>
      </c>
      <c r="AI182" s="33">
        <f t="shared" si="71"/>
        <v>0</v>
      </c>
      <c r="AJ182" s="33">
        <f t="shared" si="72"/>
        <v>0</v>
      </c>
      <c r="AK182" s="34">
        <f t="shared" si="73"/>
        <v>5.6338028169014086E-2</v>
      </c>
      <c r="AL182" s="35">
        <f t="shared" si="74"/>
        <v>5.6338028169014086E-2</v>
      </c>
      <c r="AM182" s="34">
        <f t="shared" si="57"/>
        <v>0</v>
      </c>
      <c r="AN182" s="36">
        <f t="shared" si="75"/>
        <v>0</v>
      </c>
      <c r="AO182" s="6">
        <f t="shared" si="58"/>
        <v>0</v>
      </c>
      <c r="AP182">
        <f t="shared" si="59"/>
        <v>8</v>
      </c>
      <c r="AQ182" s="6">
        <f t="shared" si="60"/>
        <v>0</v>
      </c>
      <c r="AR182" s="6">
        <f t="shared" si="61"/>
        <v>0</v>
      </c>
      <c r="AS182" s="6"/>
      <c r="AX182" s="95">
        <f t="shared" si="62"/>
        <v>42305</v>
      </c>
      <c r="AY182" s="96" t="str">
        <f t="shared" si="63"/>
        <v>qua</v>
      </c>
      <c r="AZ182" s="97">
        <f>IF(OR(AY182="SÁB",AY182="DOM"),0,IFERROR(8-VLOOKUP(C182,'Dados de consulta'!$A$2:$C$38,3,0),8))</f>
        <v>8</v>
      </c>
      <c r="BA182" s="97">
        <f>IF(OR(AY182="SÁB",AY182="DOM"),0,IFERROR(8-VLOOKUP(D182,'Dados de consulta'!$A$2:$C$38,3,0),8))</f>
        <v>8</v>
      </c>
      <c r="BB182" s="97">
        <f>IF(OR(AY182="SÁB",AY182="DOM"),0,IFERROR(8-VLOOKUP(E182,'Dados de consulta'!$A$2:$C$38,3,0),8))</f>
        <v>8</v>
      </c>
      <c r="BC182" s="97">
        <f>IF(OR(AY182="SÁB",AY182="DOM"),0,IFERROR(8-VLOOKUP(F182,'Dados de consulta'!$A$2:$C$38,3,0),8))</f>
        <v>8</v>
      </c>
      <c r="BD182" s="97">
        <f>IF(OR(AY182="SÁB",AY182="DOM"),0,IFERROR(8-VLOOKUP(G182,'Dados de consulta'!$A$2:$C$38,3,0),8))</f>
        <v>0</v>
      </c>
      <c r="BE182" s="97">
        <f>IF(OR(AY182="SÁB",AY182="DOM"),0,IFERROR(8-VLOOKUP(H182,'Dados de consulta'!$A$2:$C$38,3,0),8))</f>
        <v>8</v>
      </c>
      <c r="BF182" s="97">
        <f>IF(OR(AY182="SÁB",AY182="DOM"),0,IFERROR(8-VLOOKUP(I182,'Dados de consulta'!$A$2:$C$38,3,0),8))</f>
        <v>8</v>
      </c>
      <c r="BG182" s="97">
        <f>IF(OR(AY182="SÁB",AY182="DOM"),0,IFERROR(8-VLOOKUP(J182,'Dados de consulta'!$A$2:$C$38,3,0),8))</f>
        <v>8</v>
      </c>
      <c r="BH182" s="97">
        <f>IF(OR(AY182="SÁB",AY182="DOM"),0,IFERROR(8-VLOOKUP(K182,'Dados de consulta'!$A$2:$C$38,3,0),8))</f>
        <v>8</v>
      </c>
      <c r="BI182" s="97">
        <f>IF(OR(AY182="SÁB",AY182="DOM"),0,IFERROR(8-VLOOKUP(L182,'Dados de consulta'!$A$2:$C$38,3,0),8))</f>
        <v>8</v>
      </c>
      <c r="BJ182" s="97">
        <f>IF(OR(AY182="SÁB",AY182="DOM"),0,IFERROR(8-VLOOKUP(M182,'Dados de consulta'!$A$2:$C$38,3,0),8))</f>
        <v>0</v>
      </c>
      <c r="BK182" s="97">
        <f>IF(OR(AY182="SÁB",AY182="DOM"),0,IFERROR(8-VLOOKUP(N182,'Dados de consulta'!$A$2:$C$38,3,0),8))</f>
        <v>8</v>
      </c>
      <c r="BL182" s="97">
        <f>IF(OR(AY182="SÁB",AY182="DOM"),0,IFERROR(8-VLOOKUP(O182,'Dados de consulta'!$A$2:$C$38,3,0),8))</f>
        <v>8</v>
      </c>
      <c r="BM182" s="97">
        <f>IF(OR(AY182="SÁB",AY182="DOM"),0,IFERROR(8-VLOOKUP(P182,'Dados de consulta'!$A$2:$C$38,3,0),8))</f>
        <v>8</v>
      </c>
      <c r="BN182" s="97">
        <f>IF(OR(AY182="SÁB",AY182="DOM"),0,IFERROR(8-VLOOKUP(Q182,'Dados de consulta'!$A$2:$C$38,3,0),8))</f>
        <v>0</v>
      </c>
      <c r="BO182" s="97">
        <f>IF(OR(AY182="SÁB",AY182="DOM"),0,IFERROR(8-VLOOKUP(R182,'Dados de consulta'!$A$2:$C$38,3,0),8))</f>
        <v>8</v>
      </c>
      <c r="BP182" s="97">
        <f>IF(OR(AY182="SÁB",AY182="DOM"),0,IFERROR(8-VLOOKUP(S182,'Dados de consulta'!$A$2:$C$38,3,0),8))</f>
        <v>8</v>
      </c>
      <c r="BQ182" s="113">
        <f>IFERROR(6-VLOOKUP(T182,'Dados de consulta'!$A$2:$C$38,3,0)+2,6)</f>
        <v>6</v>
      </c>
      <c r="BR182" s="114">
        <f t="shared" si="76"/>
        <v>118</v>
      </c>
      <c r="BS182">
        <f t="shared" si="52"/>
        <v>134</v>
      </c>
      <c r="BU182">
        <f>IFERROR(8-VLOOKUP(U182,'Dados de consulta'!$A:$D,3,0),8)</f>
        <v>0</v>
      </c>
      <c r="BV182">
        <f>IFERROR(8-VLOOKUP(V182,'Dados de consulta'!$A:$D,3,0),8)</f>
        <v>8</v>
      </c>
      <c r="BW182">
        <f t="shared" si="77"/>
        <v>8</v>
      </c>
    </row>
    <row r="183" spans="1:75" ht="15" hidden="1" x14ac:dyDescent="0.2">
      <c r="A183" s="98">
        <v>42306</v>
      </c>
      <c r="B183" s="129" t="str">
        <f t="shared" si="53"/>
        <v>qui</v>
      </c>
      <c r="C183" s="132"/>
      <c r="D183" s="132"/>
      <c r="E183" s="132"/>
      <c r="F183" s="132"/>
      <c r="G183" s="132">
        <v>4</v>
      </c>
      <c r="H183" s="132"/>
      <c r="I183" s="132"/>
      <c r="J183" s="132"/>
      <c r="K183" s="132"/>
      <c r="L183" s="132"/>
      <c r="M183" s="132">
        <v>101</v>
      </c>
      <c r="N183" s="132"/>
      <c r="O183" s="132"/>
      <c r="P183" s="132"/>
      <c r="Q183" s="132">
        <v>18</v>
      </c>
      <c r="R183" s="132"/>
      <c r="S183" s="132"/>
      <c r="T183" s="132"/>
      <c r="U183" s="151">
        <v>101</v>
      </c>
      <c r="V183" s="151"/>
      <c r="W183" s="307" t="s">
        <v>193</v>
      </c>
      <c r="X183" s="308"/>
      <c r="Y183" s="38">
        <f t="shared" si="54"/>
        <v>8</v>
      </c>
      <c r="Z183" s="38">
        <f t="shared" si="55"/>
        <v>8</v>
      </c>
      <c r="AA183" s="38">
        <f t="shared" si="56"/>
        <v>0</v>
      </c>
      <c r="AB183" s="38">
        <f t="shared" si="64"/>
        <v>0</v>
      </c>
      <c r="AC183" s="38">
        <f t="shared" si="65"/>
        <v>0</v>
      </c>
      <c r="AD183" s="38">
        <f t="shared" si="66"/>
        <v>0</v>
      </c>
      <c r="AE183" s="38">
        <f t="shared" si="67"/>
        <v>0</v>
      </c>
      <c r="AF183" s="38">
        <f t="shared" si="68"/>
        <v>0</v>
      </c>
      <c r="AG183" s="33">
        <f t="shared" si="69"/>
        <v>8</v>
      </c>
      <c r="AH183" s="33">
        <f t="shared" si="70"/>
        <v>8</v>
      </c>
      <c r="AI183" s="33">
        <f t="shared" si="71"/>
        <v>0</v>
      </c>
      <c r="AJ183" s="33">
        <f t="shared" si="72"/>
        <v>0</v>
      </c>
      <c r="AK183" s="34">
        <f t="shared" si="73"/>
        <v>5.6338028169014086E-2</v>
      </c>
      <c r="AL183" s="35">
        <f t="shared" si="74"/>
        <v>5.6338028169014086E-2</v>
      </c>
      <c r="AM183" s="34">
        <f t="shared" si="57"/>
        <v>0</v>
      </c>
      <c r="AN183" s="36">
        <f t="shared" si="75"/>
        <v>0</v>
      </c>
      <c r="AO183" s="6">
        <f t="shared" si="58"/>
        <v>0</v>
      </c>
      <c r="AP183">
        <f t="shared" si="59"/>
        <v>8</v>
      </c>
      <c r="AQ183" s="6">
        <f t="shared" si="60"/>
        <v>0</v>
      </c>
      <c r="AR183" s="6">
        <f t="shared" si="61"/>
        <v>0</v>
      </c>
      <c r="AS183" s="6"/>
      <c r="AX183" s="95">
        <f t="shared" si="62"/>
        <v>42306</v>
      </c>
      <c r="AY183" s="96" t="str">
        <f t="shared" si="63"/>
        <v>qui</v>
      </c>
      <c r="AZ183" s="97">
        <f>IF(OR(AY183="SÁB",AY183="DOM"),0,IFERROR(8-VLOOKUP(C183,'Dados de consulta'!$A$2:$C$38,3,0),8))</f>
        <v>8</v>
      </c>
      <c r="BA183" s="97">
        <f>IF(OR(AY183="SÁB",AY183="DOM"),0,IFERROR(8-VLOOKUP(D183,'Dados de consulta'!$A$2:$C$38,3,0),8))</f>
        <v>8</v>
      </c>
      <c r="BB183" s="97">
        <f>IF(OR(AY183="SÁB",AY183="DOM"),0,IFERROR(8-VLOOKUP(E183,'Dados de consulta'!$A$2:$C$38,3,0),8))</f>
        <v>8</v>
      </c>
      <c r="BC183" s="97">
        <f>IF(OR(AY183="SÁB",AY183="DOM"),0,IFERROR(8-VLOOKUP(F183,'Dados de consulta'!$A$2:$C$38,3,0),8))</f>
        <v>8</v>
      </c>
      <c r="BD183" s="97">
        <f>IF(OR(AY183="SÁB",AY183="DOM"),0,IFERROR(8-VLOOKUP(G183,'Dados de consulta'!$A$2:$C$38,3,0),8))</f>
        <v>0</v>
      </c>
      <c r="BE183" s="97">
        <f>IF(OR(AY183="SÁB",AY183="DOM"),0,IFERROR(8-VLOOKUP(H183,'Dados de consulta'!$A$2:$C$38,3,0),8))</f>
        <v>8</v>
      </c>
      <c r="BF183" s="97">
        <f>IF(OR(AY183="SÁB",AY183="DOM"),0,IFERROR(8-VLOOKUP(I183,'Dados de consulta'!$A$2:$C$38,3,0),8))</f>
        <v>8</v>
      </c>
      <c r="BG183" s="97">
        <f>IF(OR(AY183="SÁB",AY183="DOM"),0,IFERROR(8-VLOOKUP(J183,'Dados de consulta'!$A$2:$C$38,3,0),8))</f>
        <v>8</v>
      </c>
      <c r="BH183" s="97">
        <f>IF(OR(AY183="SÁB",AY183="DOM"),0,IFERROR(8-VLOOKUP(K183,'Dados de consulta'!$A$2:$C$38,3,0),8))</f>
        <v>8</v>
      </c>
      <c r="BI183" s="97">
        <f>IF(OR(AY183="SÁB",AY183="DOM"),0,IFERROR(8-VLOOKUP(L183,'Dados de consulta'!$A$2:$C$38,3,0),8))</f>
        <v>8</v>
      </c>
      <c r="BJ183" s="97">
        <f>IF(OR(AY183="SÁB",AY183="DOM"),0,IFERROR(8-VLOOKUP(M183,'Dados de consulta'!$A$2:$C$38,3,0),8))</f>
        <v>0</v>
      </c>
      <c r="BK183" s="97">
        <f>IF(OR(AY183="SÁB",AY183="DOM"),0,IFERROR(8-VLOOKUP(N183,'Dados de consulta'!$A$2:$C$38,3,0),8))</f>
        <v>8</v>
      </c>
      <c r="BL183" s="97">
        <f>IF(OR(AY183="SÁB",AY183="DOM"),0,IFERROR(8-VLOOKUP(O183,'Dados de consulta'!$A$2:$C$38,3,0),8))</f>
        <v>8</v>
      </c>
      <c r="BM183" s="97">
        <f>IF(OR(AY183="SÁB",AY183="DOM"),0,IFERROR(8-VLOOKUP(P183,'Dados de consulta'!$A$2:$C$38,3,0),8))</f>
        <v>8</v>
      </c>
      <c r="BN183" s="97">
        <f>IF(OR(AY183="SÁB",AY183="DOM"),0,IFERROR(8-VLOOKUP(Q183,'Dados de consulta'!$A$2:$C$38,3,0),8))</f>
        <v>0</v>
      </c>
      <c r="BO183" s="97">
        <f>IF(OR(AY183="SÁB",AY183="DOM"),0,IFERROR(8-VLOOKUP(R183,'Dados de consulta'!$A$2:$C$38,3,0),8))</f>
        <v>8</v>
      </c>
      <c r="BP183" s="97">
        <f>IF(OR(AY183="SÁB",AY183="DOM"),0,IFERROR(8-VLOOKUP(S183,'Dados de consulta'!$A$2:$C$38,3,0),8))</f>
        <v>8</v>
      </c>
      <c r="BQ183" s="113">
        <f>IFERROR(6-VLOOKUP(T183,'Dados de consulta'!$A$2:$C$38,3,0)+2,6)</f>
        <v>6</v>
      </c>
      <c r="BR183" s="114">
        <f t="shared" si="76"/>
        <v>118</v>
      </c>
      <c r="BS183">
        <f t="shared" si="52"/>
        <v>134</v>
      </c>
      <c r="BU183">
        <f>IFERROR(8-VLOOKUP(U183,'Dados de consulta'!$A:$D,3,0),8)</f>
        <v>0</v>
      </c>
      <c r="BV183">
        <f>IFERROR(8-VLOOKUP(V183,'Dados de consulta'!$A:$D,3,0),8)</f>
        <v>8</v>
      </c>
      <c r="BW183">
        <f t="shared" si="77"/>
        <v>8</v>
      </c>
    </row>
    <row r="184" spans="1:75" ht="15" hidden="1" x14ac:dyDescent="0.2">
      <c r="A184" s="98">
        <v>42307</v>
      </c>
      <c r="B184" s="129" t="str">
        <f t="shared" si="53"/>
        <v>sex</v>
      </c>
      <c r="C184" s="132"/>
      <c r="D184" s="132"/>
      <c r="E184" s="132"/>
      <c r="F184" s="132"/>
      <c r="G184" s="132">
        <v>4</v>
      </c>
      <c r="H184" s="132"/>
      <c r="I184" s="132"/>
      <c r="J184" s="132"/>
      <c r="K184" s="132"/>
      <c r="L184" s="132"/>
      <c r="M184" s="132">
        <v>101</v>
      </c>
      <c r="N184" s="132"/>
      <c r="O184" s="132"/>
      <c r="P184" s="132"/>
      <c r="Q184" s="132">
        <v>18</v>
      </c>
      <c r="R184" s="132"/>
      <c r="S184" s="132"/>
      <c r="T184" s="132"/>
      <c r="U184" s="151">
        <v>101</v>
      </c>
      <c r="V184" s="151"/>
      <c r="W184" s="307" t="s">
        <v>193</v>
      </c>
      <c r="X184" s="308"/>
      <c r="Y184" s="38">
        <f t="shared" si="54"/>
        <v>8</v>
      </c>
      <c r="Z184" s="38">
        <f t="shared" si="55"/>
        <v>8</v>
      </c>
      <c r="AA184" s="38">
        <f t="shared" si="56"/>
        <v>0</v>
      </c>
      <c r="AB184" s="38">
        <f t="shared" si="64"/>
        <v>0</v>
      </c>
      <c r="AC184" s="38">
        <f t="shared" si="65"/>
        <v>0</v>
      </c>
      <c r="AD184" s="38">
        <f t="shared" si="66"/>
        <v>0</v>
      </c>
      <c r="AE184" s="38">
        <f t="shared" si="67"/>
        <v>0</v>
      </c>
      <c r="AF184" s="38">
        <f t="shared" si="68"/>
        <v>0</v>
      </c>
      <c r="AG184" s="33">
        <f t="shared" si="69"/>
        <v>8</v>
      </c>
      <c r="AH184" s="33">
        <f t="shared" si="70"/>
        <v>8</v>
      </c>
      <c r="AI184" s="33">
        <f t="shared" si="71"/>
        <v>0</v>
      </c>
      <c r="AJ184" s="33">
        <f t="shared" si="72"/>
        <v>0</v>
      </c>
      <c r="AK184" s="34">
        <f t="shared" si="73"/>
        <v>5.6338028169014086E-2</v>
      </c>
      <c r="AL184" s="35">
        <f t="shared" si="74"/>
        <v>5.6338028169014086E-2</v>
      </c>
      <c r="AM184" s="34">
        <f t="shared" si="57"/>
        <v>0</v>
      </c>
      <c r="AN184" s="36">
        <f t="shared" si="75"/>
        <v>0</v>
      </c>
      <c r="AO184" s="6">
        <f t="shared" si="58"/>
        <v>0</v>
      </c>
      <c r="AP184">
        <f t="shared" si="59"/>
        <v>8</v>
      </c>
      <c r="AQ184" s="6">
        <f t="shared" si="60"/>
        <v>0</v>
      </c>
      <c r="AR184" s="6">
        <f t="shared" si="61"/>
        <v>0</v>
      </c>
      <c r="AS184" s="6"/>
      <c r="AX184" s="95">
        <f t="shared" si="62"/>
        <v>42307</v>
      </c>
      <c r="AY184" s="96" t="str">
        <f t="shared" si="63"/>
        <v>sex</v>
      </c>
      <c r="AZ184" s="97">
        <f>IF(OR(AY184="SÁB",AY184="DOM"),0,IFERROR(8-VLOOKUP(C184,'Dados de consulta'!$A$2:$C$38,3,0),8))</f>
        <v>8</v>
      </c>
      <c r="BA184" s="97">
        <f>IF(OR(AY184="SÁB",AY184="DOM"),0,IFERROR(8-VLOOKUP(D184,'Dados de consulta'!$A$2:$C$38,3,0),8))</f>
        <v>8</v>
      </c>
      <c r="BB184" s="97">
        <f>IF(OR(AY184="SÁB",AY184="DOM"),0,IFERROR(8-VLOOKUP(E184,'Dados de consulta'!$A$2:$C$38,3,0),8))</f>
        <v>8</v>
      </c>
      <c r="BC184" s="97">
        <f>IF(OR(AY184="SÁB",AY184="DOM"),0,IFERROR(8-VLOOKUP(F184,'Dados de consulta'!$A$2:$C$38,3,0),8))</f>
        <v>8</v>
      </c>
      <c r="BD184" s="97">
        <f>IF(OR(AY184="SÁB",AY184="DOM"),0,IFERROR(8-VLOOKUP(G184,'Dados de consulta'!$A$2:$C$38,3,0),8))</f>
        <v>0</v>
      </c>
      <c r="BE184" s="97">
        <f>IF(OR(AY184="SÁB",AY184="DOM"),0,IFERROR(8-VLOOKUP(H184,'Dados de consulta'!$A$2:$C$38,3,0),8))</f>
        <v>8</v>
      </c>
      <c r="BF184" s="97">
        <f>IF(OR(AY184="SÁB",AY184="DOM"),0,IFERROR(8-VLOOKUP(I184,'Dados de consulta'!$A$2:$C$38,3,0),8))</f>
        <v>8</v>
      </c>
      <c r="BG184" s="97">
        <f>IF(OR(AY184="SÁB",AY184="DOM"),0,IFERROR(8-VLOOKUP(J184,'Dados de consulta'!$A$2:$C$38,3,0),8))</f>
        <v>8</v>
      </c>
      <c r="BH184" s="97">
        <f>IF(OR(AY184="SÁB",AY184="DOM"),0,IFERROR(8-VLOOKUP(K184,'Dados de consulta'!$A$2:$C$38,3,0),8))</f>
        <v>8</v>
      </c>
      <c r="BI184" s="97">
        <f>IF(OR(AY184="SÁB",AY184="DOM"),0,IFERROR(8-VLOOKUP(L184,'Dados de consulta'!$A$2:$C$38,3,0),8))</f>
        <v>8</v>
      </c>
      <c r="BJ184" s="97">
        <f>IF(OR(AY184="SÁB",AY184="DOM"),0,IFERROR(8-VLOOKUP(M184,'Dados de consulta'!$A$2:$C$38,3,0),8))</f>
        <v>0</v>
      </c>
      <c r="BK184" s="97">
        <f>IF(OR(AY184="SÁB",AY184="DOM"),0,IFERROR(8-VLOOKUP(N184,'Dados de consulta'!$A$2:$C$38,3,0),8))</f>
        <v>8</v>
      </c>
      <c r="BL184" s="97">
        <f>IF(OR(AY184="SÁB",AY184="DOM"),0,IFERROR(8-VLOOKUP(O184,'Dados de consulta'!$A$2:$C$38,3,0),8))</f>
        <v>8</v>
      </c>
      <c r="BM184" s="97">
        <f>IF(OR(AY184="SÁB",AY184="DOM"),0,IFERROR(8-VLOOKUP(P184,'Dados de consulta'!$A$2:$C$38,3,0),8))</f>
        <v>8</v>
      </c>
      <c r="BN184" s="97">
        <f>IF(OR(AY184="SÁB",AY184="DOM"),0,IFERROR(8-VLOOKUP(Q184,'Dados de consulta'!$A$2:$C$38,3,0),8))</f>
        <v>0</v>
      </c>
      <c r="BO184" s="97">
        <f>IF(OR(AY184="SÁB",AY184="DOM"),0,IFERROR(8-VLOOKUP(R184,'Dados de consulta'!$A$2:$C$38,3,0),8))</f>
        <v>8</v>
      </c>
      <c r="BP184" s="97">
        <f>IF(OR(AY184="SÁB",AY184="DOM"),0,IFERROR(8-VLOOKUP(S184,'Dados de consulta'!$A$2:$C$38,3,0),8))</f>
        <v>8</v>
      </c>
      <c r="BQ184" s="113">
        <f>IFERROR(6-VLOOKUP(T184,'Dados de consulta'!$A$2:$C$38,3,0)+2,6)</f>
        <v>6</v>
      </c>
      <c r="BR184" s="114">
        <f t="shared" si="76"/>
        <v>118</v>
      </c>
      <c r="BS184">
        <f t="shared" si="52"/>
        <v>134</v>
      </c>
      <c r="BU184">
        <f>IFERROR(8-VLOOKUP(U184,'Dados de consulta'!$A:$D,3,0),8)</f>
        <v>0</v>
      </c>
      <c r="BV184">
        <f>IFERROR(8-VLOOKUP(V184,'Dados de consulta'!$A:$D,3,0),8)</f>
        <v>8</v>
      </c>
      <c r="BW184">
        <f t="shared" si="77"/>
        <v>8</v>
      </c>
    </row>
    <row r="185" spans="1:75" ht="15" hidden="1" x14ac:dyDescent="0.2">
      <c r="A185" s="98">
        <v>42308</v>
      </c>
      <c r="B185" s="129" t="str">
        <f t="shared" si="53"/>
        <v>sáb</v>
      </c>
      <c r="C185" s="132"/>
      <c r="D185" s="132"/>
      <c r="E185" s="132"/>
      <c r="F185" s="132"/>
      <c r="G185" s="132">
        <v>4</v>
      </c>
      <c r="H185" s="132"/>
      <c r="I185" s="132"/>
      <c r="J185" s="132"/>
      <c r="K185" s="132"/>
      <c r="L185" s="132"/>
      <c r="M185" s="132">
        <v>101</v>
      </c>
      <c r="N185" s="132"/>
      <c r="O185" s="132"/>
      <c r="P185" s="132"/>
      <c r="Q185" s="132"/>
      <c r="R185" s="132"/>
      <c r="S185" s="132"/>
      <c r="T185" s="132"/>
      <c r="U185" s="151">
        <v>101</v>
      </c>
      <c r="V185" s="151"/>
      <c r="W185" s="307" t="s">
        <v>193</v>
      </c>
      <c r="X185" s="308"/>
      <c r="Y185" s="38">
        <f t="shared" si="54"/>
        <v>8</v>
      </c>
      <c r="Z185" s="38">
        <f t="shared" si="55"/>
        <v>0</v>
      </c>
      <c r="AA185" s="38">
        <f t="shared" si="56"/>
        <v>0</v>
      </c>
      <c r="AB185" s="38">
        <f t="shared" si="64"/>
        <v>0</v>
      </c>
      <c r="AC185" s="38">
        <f t="shared" si="65"/>
        <v>0</v>
      </c>
      <c r="AD185" s="38">
        <f t="shared" si="66"/>
        <v>0</v>
      </c>
      <c r="AE185" s="38">
        <f t="shared" si="67"/>
        <v>0</v>
      </c>
      <c r="AF185" s="38">
        <f t="shared" si="68"/>
        <v>0</v>
      </c>
      <c r="AG185" s="33">
        <f t="shared" si="69"/>
        <v>0</v>
      </c>
      <c r="AH185" s="33">
        <f t="shared" si="70"/>
        <v>0</v>
      </c>
      <c r="AI185" s="33">
        <f t="shared" si="71"/>
        <v>0</v>
      </c>
      <c r="AJ185" s="33">
        <f t="shared" si="72"/>
        <v>0</v>
      </c>
      <c r="AK185" s="34">
        <f t="shared" si="73"/>
        <v>0</v>
      </c>
      <c r="AL185" s="35">
        <f t="shared" si="74"/>
        <v>0</v>
      </c>
      <c r="AM185" s="34">
        <f t="shared" si="57"/>
        <v>0</v>
      </c>
      <c r="AN185" s="36">
        <f t="shared" si="75"/>
        <v>0</v>
      </c>
      <c r="AO185" s="6">
        <f t="shared" si="58"/>
        <v>0</v>
      </c>
      <c r="AP185">
        <f t="shared" si="59"/>
        <v>8</v>
      </c>
      <c r="AQ185" s="6">
        <f t="shared" si="60"/>
        <v>0</v>
      </c>
      <c r="AR185" s="6">
        <f t="shared" si="61"/>
        <v>0</v>
      </c>
      <c r="AS185" s="6"/>
      <c r="AX185" s="95">
        <f t="shared" si="62"/>
        <v>42308</v>
      </c>
      <c r="AY185" s="96" t="str">
        <f t="shared" si="63"/>
        <v>sáb</v>
      </c>
      <c r="AZ185" s="97">
        <f>IF(OR(AY185="SÁB",AY185="DOM"),0,IFERROR(8-VLOOKUP(C185,'Dados de consulta'!$A$2:$C$38,3,0),8))</f>
        <v>0</v>
      </c>
      <c r="BA185" s="97">
        <f>IF(OR(AY185="SÁB",AY185="DOM"),0,IFERROR(8-VLOOKUP(D185,'Dados de consulta'!$A$2:$C$38,3,0),8))</f>
        <v>0</v>
      </c>
      <c r="BB185" s="97">
        <f>IF(OR(AY185="SÁB",AY185="DOM"),0,IFERROR(8-VLOOKUP(E185,'Dados de consulta'!$A$2:$C$38,3,0),8))</f>
        <v>0</v>
      </c>
      <c r="BC185" s="97">
        <f>IF(OR(AY185="SÁB",AY185="DOM"),0,IFERROR(8-VLOOKUP(F185,'Dados de consulta'!$A$2:$C$38,3,0),8))</f>
        <v>0</v>
      </c>
      <c r="BD185" s="97">
        <f>IF(OR(AY185="SÁB",AY185="DOM"),0,IFERROR(8-VLOOKUP(G185,'Dados de consulta'!$A$2:$C$38,3,0),8))</f>
        <v>0</v>
      </c>
      <c r="BE185" s="97">
        <f>IF(OR(AY185="SÁB",AY185="DOM"),0,IFERROR(8-VLOOKUP(H185,'Dados de consulta'!$A$2:$C$38,3,0),8))</f>
        <v>0</v>
      </c>
      <c r="BF185" s="97">
        <f>IF(OR(AY185="SÁB",AY185="DOM"),0,IFERROR(8-VLOOKUP(I185,'Dados de consulta'!$A$2:$C$38,3,0),8))</f>
        <v>0</v>
      </c>
      <c r="BG185" s="97">
        <f>IF(OR(AY185="SÁB",AY185="DOM"),0,IFERROR(8-VLOOKUP(J185,'Dados de consulta'!$A$2:$C$38,3,0),8))</f>
        <v>0</v>
      </c>
      <c r="BH185" s="97">
        <f>IF(OR(AY185="SÁB",AY185="DOM"),0,IFERROR(8-VLOOKUP(K185,'Dados de consulta'!$A$2:$C$38,3,0),8))</f>
        <v>0</v>
      </c>
      <c r="BI185" s="97">
        <f>IF(OR(AY185="SÁB",AY185="DOM"),0,IFERROR(8-VLOOKUP(L185,'Dados de consulta'!$A$2:$C$38,3,0),8))</f>
        <v>0</v>
      </c>
      <c r="BJ185" s="97">
        <f>IF(OR(AY185="SÁB",AY185="DOM"),0,IFERROR(8-VLOOKUP(M185,'Dados de consulta'!$A$2:$C$38,3,0),8))</f>
        <v>0</v>
      </c>
      <c r="BK185" s="97">
        <f>IF(OR(AY185="SÁB",AY185="DOM"),0,IFERROR(8-VLOOKUP(N185,'Dados de consulta'!$A$2:$C$38,3,0),8))</f>
        <v>0</v>
      </c>
      <c r="BL185" s="97">
        <f>IF(OR(AY185="SÁB",AY185="DOM"),0,IFERROR(8-VLOOKUP(O185,'Dados de consulta'!$A$2:$C$38,3,0),8))</f>
        <v>0</v>
      </c>
      <c r="BM185" s="97">
        <f>IF(OR(AY185="SÁB",AY185="DOM"),0,IFERROR(8-VLOOKUP(P185,'Dados de consulta'!$A$2:$C$38,3,0),8))</f>
        <v>0</v>
      </c>
      <c r="BN185" s="97">
        <f>IF(OR(AY185="SÁB",AY185="DOM"),0,IFERROR(8-VLOOKUP(Q185,'Dados de consulta'!$A$2:$C$38,3,0),8))</f>
        <v>0</v>
      </c>
      <c r="BO185" s="97">
        <f>IF(OR(AY185="SÁB",AY185="DOM"),0,IFERROR(8-VLOOKUP(R185,'Dados de consulta'!$A$2:$C$38,3,0),8))</f>
        <v>0</v>
      </c>
      <c r="BP185" s="97">
        <f>IF(OR(AY185="SÁB",AY185="DOM"),0,IFERROR(8-VLOOKUP(S185,'Dados de consulta'!$A$2:$C$38,3,0),8))</f>
        <v>0</v>
      </c>
      <c r="BQ185" s="113">
        <f>IFERROR(6-VLOOKUP(T185,'Dados de consulta'!$A$2:$C$38,3,0)+2,6)</f>
        <v>6</v>
      </c>
      <c r="BR185" s="114">
        <f t="shared" si="76"/>
        <v>0</v>
      </c>
      <c r="BS185">
        <f t="shared" si="52"/>
        <v>0</v>
      </c>
      <c r="BU185">
        <f>IFERROR(8-VLOOKUP(U185,'Dados de consulta'!$A:$D,3,0),8)</f>
        <v>0</v>
      </c>
      <c r="BV185">
        <f>IFERROR(8-VLOOKUP(V185,'Dados de consulta'!$A:$D,3,0),8)</f>
        <v>8</v>
      </c>
      <c r="BW185">
        <f t="shared" si="77"/>
        <v>8</v>
      </c>
    </row>
    <row r="186" spans="1:75" ht="15" hidden="1" x14ac:dyDescent="0.2">
      <c r="A186" s="98">
        <v>42309</v>
      </c>
      <c r="B186" s="129" t="str">
        <f t="shared" si="53"/>
        <v>dom</v>
      </c>
      <c r="C186" s="132"/>
      <c r="D186" s="132"/>
      <c r="E186" s="132"/>
      <c r="F186" s="132"/>
      <c r="G186" s="132">
        <v>4</v>
      </c>
      <c r="H186" s="132"/>
      <c r="I186" s="132"/>
      <c r="J186" s="132"/>
      <c r="K186" s="132"/>
      <c r="L186" s="132"/>
      <c r="M186" s="132">
        <v>101</v>
      </c>
      <c r="N186" s="132"/>
      <c r="O186" s="132"/>
      <c r="P186" s="132"/>
      <c r="Q186" s="132"/>
      <c r="R186" s="132"/>
      <c r="S186" s="132"/>
      <c r="T186" s="132"/>
      <c r="U186" s="151">
        <v>101</v>
      </c>
      <c r="V186" s="151"/>
      <c r="W186" s="307" t="s">
        <v>193</v>
      </c>
      <c r="X186" s="308"/>
      <c r="Y186" s="38">
        <f t="shared" si="54"/>
        <v>8</v>
      </c>
      <c r="Z186" s="38">
        <f t="shared" si="55"/>
        <v>0</v>
      </c>
      <c r="AA186" s="38">
        <f t="shared" si="56"/>
        <v>0</v>
      </c>
      <c r="AB186" s="38">
        <f t="shared" si="64"/>
        <v>0</v>
      </c>
      <c r="AC186" s="38">
        <f t="shared" si="65"/>
        <v>0</v>
      </c>
      <c r="AD186" s="38">
        <f t="shared" si="66"/>
        <v>0</v>
      </c>
      <c r="AE186" s="38">
        <f t="shared" si="67"/>
        <v>0</v>
      </c>
      <c r="AF186" s="38">
        <f t="shared" si="68"/>
        <v>0</v>
      </c>
      <c r="AG186" s="33">
        <f t="shared" si="69"/>
        <v>0</v>
      </c>
      <c r="AH186" s="33">
        <f t="shared" si="70"/>
        <v>0</v>
      </c>
      <c r="AI186" s="33">
        <f t="shared" si="71"/>
        <v>0</v>
      </c>
      <c r="AJ186" s="33">
        <f t="shared" si="72"/>
        <v>0</v>
      </c>
      <c r="AK186" s="34">
        <f t="shared" si="73"/>
        <v>0</v>
      </c>
      <c r="AL186" s="35">
        <f t="shared" si="74"/>
        <v>0</v>
      </c>
      <c r="AM186" s="34">
        <f t="shared" si="57"/>
        <v>0</v>
      </c>
      <c r="AN186" s="36">
        <f t="shared" si="75"/>
        <v>0</v>
      </c>
      <c r="AO186" s="6">
        <f t="shared" si="58"/>
        <v>0</v>
      </c>
      <c r="AP186">
        <f t="shared" si="59"/>
        <v>8</v>
      </c>
      <c r="AQ186" s="6">
        <f t="shared" si="60"/>
        <v>0</v>
      </c>
      <c r="AR186" s="6">
        <f t="shared" si="61"/>
        <v>0</v>
      </c>
      <c r="AS186" s="6"/>
      <c r="AX186" s="95">
        <f t="shared" si="62"/>
        <v>42309</v>
      </c>
      <c r="AY186" s="96" t="str">
        <f t="shared" si="63"/>
        <v>dom</v>
      </c>
      <c r="AZ186" s="97">
        <f>IF(OR(AY186="SÁB",AY186="DOM"),0,IFERROR(8-VLOOKUP(C186,'Dados de consulta'!$A$2:$C$38,3,0),8))</f>
        <v>0</v>
      </c>
      <c r="BA186" s="97">
        <f>IF(OR(AY186="SÁB",AY186="DOM"),0,IFERROR(8-VLOOKUP(D186,'Dados de consulta'!$A$2:$C$38,3,0),8))</f>
        <v>0</v>
      </c>
      <c r="BB186" s="97">
        <f>IF(OR(AY186="SÁB",AY186="DOM"),0,IFERROR(8-VLOOKUP(E186,'Dados de consulta'!$A$2:$C$38,3,0),8))</f>
        <v>0</v>
      </c>
      <c r="BC186" s="97">
        <f>IF(OR(AY186="SÁB",AY186="DOM"),0,IFERROR(8-VLOOKUP(F186,'Dados de consulta'!$A$2:$C$38,3,0),8))</f>
        <v>0</v>
      </c>
      <c r="BD186" s="97">
        <f>IF(OR(AY186="SÁB",AY186="DOM"),0,IFERROR(8-VLOOKUP(G186,'Dados de consulta'!$A$2:$C$38,3,0),8))</f>
        <v>0</v>
      </c>
      <c r="BE186" s="97">
        <f>IF(OR(AY186="SÁB",AY186="DOM"),0,IFERROR(8-VLOOKUP(H186,'Dados de consulta'!$A$2:$C$38,3,0),8))</f>
        <v>0</v>
      </c>
      <c r="BF186" s="97">
        <f>IF(OR(AY186="SÁB",AY186="DOM"),0,IFERROR(8-VLOOKUP(I186,'Dados de consulta'!$A$2:$C$38,3,0),8))</f>
        <v>0</v>
      </c>
      <c r="BG186" s="97">
        <f>IF(OR(AY186="SÁB",AY186="DOM"),0,IFERROR(8-VLOOKUP(J186,'Dados de consulta'!$A$2:$C$38,3,0),8))</f>
        <v>0</v>
      </c>
      <c r="BH186" s="97">
        <f>IF(OR(AY186="SÁB",AY186="DOM"),0,IFERROR(8-VLOOKUP(K186,'Dados de consulta'!$A$2:$C$38,3,0),8))</f>
        <v>0</v>
      </c>
      <c r="BI186" s="97">
        <f>IF(OR(AY186="SÁB",AY186="DOM"),0,IFERROR(8-VLOOKUP(L186,'Dados de consulta'!$A$2:$C$38,3,0),8))</f>
        <v>0</v>
      </c>
      <c r="BJ186" s="97">
        <f>IF(OR(AY186="SÁB",AY186="DOM"),0,IFERROR(8-VLOOKUP(M186,'Dados de consulta'!$A$2:$C$38,3,0),8))</f>
        <v>0</v>
      </c>
      <c r="BK186" s="97">
        <f>IF(OR(AY186="SÁB",AY186="DOM"),0,IFERROR(8-VLOOKUP(N186,'Dados de consulta'!$A$2:$C$38,3,0),8))</f>
        <v>0</v>
      </c>
      <c r="BL186" s="97">
        <f>IF(OR(AY186="SÁB",AY186="DOM"),0,IFERROR(8-VLOOKUP(O186,'Dados de consulta'!$A$2:$C$38,3,0),8))</f>
        <v>0</v>
      </c>
      <c r="BM186" s="97">
        <f>IF(OR(AY186="SÁB",AY186="DOM"),0,IFERROR(8-VLOOKUP(P186,'Dados de consulta'!$A$2:$C$38,3,0),8))</f>
        <v>0</v>
      </c>
      <c r="BN186" s="97">
        <f>IF(OR(AY186="SÁB",AY186="DOM"),0,IFERROR(8-VLOOKUP(Q186,'Dados de consulta'!$A$2:$C$38,3,0),8))</f>
        <v>0</v>
      </c>
      <c r="BO186" s="97">
        <f>IF(OR(AY186="SÁB",AY186="DOM"),0,IFERROR(8-VLOOKUP(R186,'Dados de consulta'!$A$2:$C$38,3,0),8))</f>
        <v>0</v>
      </c>
      <c r="BP186" s="97">
        <f>IF(OR(AY186="SÁB",AY186="DOM"),0,IFERROR(8-VLOOKUP(S186,'Dados de consulta'!$A$2:$C$38,3,0),8))</f>
        <v>0</v>
      </c>
      <c r="BQ186" s="113">
        <f>IFERROR(6-VLOOKUP(T186,'Dados de consulta'!$A$2:$C$38,3,0)+2,6)</f>
        <v>6</v>
      </c>
      <c r="BR186" s="114">
        <f t="shared" si="76"/>
        <v>0</v>
      </c>
      <c r="BS186">
        <f t="shared" si="52"/>
        <v>0</v>
      </c>
      <c r="BU186">
        <f>IFERROR(8-VLOOKUP(U186,'Dados de consulta'!$A:$D,3,0),8)</f>
        <v>0</v>
      </c>
      <c r="BV186">
        <f>IFERROR(8-VLOOKUP(V186,'Dados de consulta'!$A:$D,3,0),8)</f>
        <v>8</v>
      </c>
      <c r="BW186">
        <f t="shared" si="77"/>
        <v>8</v>
      </c>
    </row>
    <row r="187" spans="1:75" ht="15" hidden="1" x14ac:dyDescent="0.2">
      <c r="A187" s="98">
        <v>42310</v>
      </c>
      <c r="B187" s="129" t="str">
        <f t="shared" si="53"/>
        <v>seg</v>
      </c>
      <c r="C187" s="132">
        <v>17</v>
      </c>
      <c r="D187" s="132">
        <v>17</v>
      </c>
      <c r="E187" s="132">
        <v>17</v>
      </c>
      <c r="F187" s="132">
        <v>17</v>
      </c>
      <c r="G187" s="132">
        <v>17</v>
      </c>
      <c r="H187" s="132">
        <v>17</v>
      </c>
      <c r="I187" s="132">
        <v>17</v>
      </c>
      <c r="J187" s="132">
        <v>17</v>
      </c>
      <c r="K187" s="132">
        <v>17</v>
      </c>
      <c r="L187" s="132">
        <v>17</v>
      </c>
      <c r="M187" s="132">
        <v>17</v>
      </c>
      <c r="N187" s="132">
        <v>17</v>
      </c>
      <c r="O187" s="132">
        <v>17</v>
      </c>
      <c r="P187" s="132">
        <v>17</v>
      </c>
      <c r="Q187" s="132">
        <v>17</v>
      </c>
      <c r="R187" s="132">
        <v>17</v>
      </c>
      <c r="S187" s="132">
        <v>17</v>
      </c>
      <c r="T187" s="132">
        <v>17</v>
      </c>
      <c r="U187" s="151">
        <v>17</v>
      </c>
      <c r="V187" s="151">
        <v>17</v>
      </c>
      <c r="W187" s="307" t="s">
        <v>193</v>
      </c>
      <c r="X187" s="308"/>
      <c r="Y187" s="38">
        <f t="shared" si="54"/>
        <v>0</v>
      </c>
      <c r="Z187" s="38">
        <f t="shared" si="55"/>
        <v>0</v>
      </c>
      <c r="AA187" s="38">
        <f t="shared" si="56"/>
        <v>0</v>
      </c>
      <c r="AB187" s="38">
        <f t="shared" si="64"/>
        <v>0</v>
      </c>
      <c r="AC187" s="38">
        <f t="shared" si="65"/>
        <v>0</v>
      </c>
      <c r="AD187" s="38">
        <f t="shared" si="66"/>
        <v>0</v>
      </c>
      <c r="AE187" s="38">
        <f t="shared" si="67"/>
        <v>0</v>
      </c>
      <c r="AF187" s="38">
        <f t="shared" si="68"/>
        <v>0</v>
      </c>
      <c r="AG187" s="33">
        <f t="shared" si="69"/>
        <v>0</v>
      </c>
      <c r="AH187" s="33">
        <f t="shared" si="70"/>
        <v>0</v>
      </c>
      <c r="AI187" s="33">
        <f t="shared" si="71"/>
        <v>0</v>
      </c>
      <c r="AJ187" s="33">
        <f t="shared" si="72"/>
        <v>0</v>
      </c>
      <c r="AK187" s="34">
        <f t="shared" si="73"/>
        <v>0</v>
      </c>
      <c r="AL187" s="35">
        <f t="shared" si="74"/>
        <v>0</v>
      </c>
      <c r="AM187" s="34">
        <f t="shared" si="57"/>
        <v>0</v>
      </c>
      <c r="AN187" s="36">
        <f t="shared" si="75"/>
        <v>0</v>
      </c>
      <c r="AO187" s="6">
        <f t="shared" si="58"/>
        <v>0</v>
      </c>
      <c r="AP187">
        <f t="shared" si="59"/>
        <v>0</v>
      </c>
      <c r="AQ187" s="6">
        <f t="shared" si="60"/>
        <v>0</v>
      </c>
      <c r="AR187" s="6">
        <f t="shared" si="61"/>
        <v>0</v>
      </c>
      <c r="AS187" s="6"/>
      <c r="AX187" s="95">
        <f t="shared" si="62"/>
        <v>42310</v>
      </c>
      <c r="AY187" s="96" t="str">
        <f t="shared" si="63"/>
        <v>seg</v>
      </c>
      <c r="AZ187" s="97">
        <f>IF(OR(AY187="SÁB",AY187="DOM"),0,IFERROR(8-VLOOKUP(C187,'Dados de consulta'!$A$2:$C$38,3,0),8))</f>
        <v>0</v>
      </c>
      <c r="BA187" s="97">
        <f>IF(OR(AY187="SÁB",AY187="DOM"),0,IFERROR(8-VLOOKUP(D187,'Dados de consulta'!$A$2:$C$38,3,0),8))</f>
        <v>0</v>
      </c>
      <c r="BB187" s="97">
        <f>IF(OR(AY187="SÁB",AY187="DOM"),0,IFERROR(8-VLOOKUP(E187,'Dados de consulta'!$A$2:$C$38,3,0),8))</f>
        <v>0</v>
      </c>
      <c r="BC187" s="97">
        <f>IF(OR(AY187="SÁB",AY187="DOM"),0,IFERROR(8-VLOOKUP(F187,'Dados de consulta'!$A$2:$C$38,3,0),8))</f>
        <v>0</v>
      </c>
      <c r="BD187" s="97">
        <f>IF(OR(AY187="SÁB",AY187="DOM"),0,IFERROR(8-VLOOKUP(G187,'Dados de consulta'!$A$2:$C$38,3,0),8))</f>
        <v>0</v>
      </c>
      <c r="BE187" s="97">
        <f>IF(OR(AY187="SÁB",AY187="DOM"),0,IFERROR(8-VLOOKUP(H187,'Dados de consulta'!$A$2:$C$38,3,0),8))</f>
        <v>0</v>
      </c>
      <c r="BF187" s="97">
        <f>IF(OR(AY187="SÁB",AY187="DOM"),0,IFERROR(8-VLOOKUP(I187,'Dados de consulta'!$A$2:$C$38,3,0),8))</f>
        <v>0</v>
      </c>
      <c r="BG187" s="97">
        <f>IF(OR(AY187="SÁB",AY187="DOM"),0,IFERROR(8-VLOOKUP(J187,'Dados de consulta'!$A$2:$C$38,3,0),8))</f>
        <v>0</v>
      </c>
      <c r="BH187" s="97">
        <f>IF(OR(AY187="SÁB",AY187="DOM"),0,IFERROR(8-VLOOKUP(K187,'Dados de consulta'!$A$2:$C$38,3,0),8))</f>
        <v>0</v>
      </c>
      <c r="BI187" s="97">
        <f>IF(OR(AY187="SÁB",AY187="DOM"),0,IFERROR(8-VLOOKUP(L187,'Dados de consulta'!$A$2:$C$38,3,0),8))</f>
        <v>0</v>
      </c>
      <c r="BJ187" s="97">
        <f>IF(OR(AY187="SÁB",AY187="DOM"),0,IFERROR(8-VLOOKUP(M187,'Dados de consulta'!$A$2:$C$38,3,0),8))</f>
        <v>0</v>
      </c>
      <c r="BK187" s="97">
        <f>IF(OR(AY187="SÁB",AY187="DOM"),0,IFERROR(8-VLOOKUP(N187,'Dados de consulta'!$A$2:$C$38,3,0),8))</f>
        <v>0</v>
      </c>
      <c r="BL187" s="97">
        <f>IF(OR(AY187="SÁB",AY187="DOM"),0,IFERROR(8-VLOOKUP(O187,'Dados de consulta'!$A$2:$C$38,3,0),8))</f>
        <v>0</v>
      </c>
      <c r="BM187" s="97">
        <f>IF(OR(AY187="SÁB",AY187="DOM"),0,IFERROR(8-VLOOKUP(P187,'Dados de consulta'!$A$2:$C$38,3,0),8))</f>
        <v>0</v>
      </c>
      <c r="BN187" s="97">
        <f>IF(OR(AY187="SÁB",AY187="DOM"),0,IFERROR(8-VLOOKUP(Q187,'Dados de consulta'!$A$2:$C$38,3,0),8))</f>
        <v>0</v>
      </c>
      <c r="BO187" s="97">
        <f>IF(OR(AY187="SÁB",AY187="DOM"),0,IFERROR(8-VLOOKUP(R187,'Dados de consulta'!$A$2:$C$38,3,0),8))</f>
        <v>0</v>
      </c>
      <c r="BP187" s="97">
        <f>IF(OR(AY187="SÁB",AY187="DOM"),0,IFERROR(8-VLOOKUP(S187,'Dados de consulta'!$A$2:$C$38,3,0),8))</f>
        <v>0</v>
      </c>
      <c r="BQ187" s="113">
        <f>IFERROR(6-VLOOKUP(T187,'Dados de consulta'!$A$2:$C$38,3,0)+2,6)</f>
        <v>0</v>
      </c>
      <c r="BR187" s="114">
        <f t="shared" si="76"/>
        <v>0</v>
      </c>
      <c r="BS187">
        <f t="shared" si="52"/>
        <v>142</v>
      </c>
      <c r="BU187">
        <f>IFERROR(8-VLOOKUP(U187,'Dados de consulta'!$A:$D,3,0),8)</f>
        <v>0</v>
      </c>
      <c r="BV187">
        <f>IFERROR(8-VLOOKUP(V187,'Dados de consulta'!$A:$D,3,0),8)</f>
        <v>0</v>
      </c>
      <c r="BW187">
        <f t="shared" si="77"/>
        <v>0</v>
      </c>
    </row>
    <row r="188" spans="1:75" ht="15" hidden="1" x14ac:dyDescent="0.2">
      <c r="A188" s="98">
        <v>42311</v>
      </c>
      <c r="B188" s="129" t="str">
        <f t="shared" si="53"/>
        <v>ter</v>
      </c>
      <c r="C188" s="132"/>
      <c r="D188" s="132"/>
      <c r="E188" s="132"/>
      <c r="F188" s="132"/>
      <c r="G188" s="132">
        <v>4</v>
      </c>
      <c r="H188" s="132"/>
      <c r="I188" s="132"/>
      <c r="J188" s="132"/>
      <c r="K188" s="132"/>
      <c r="L188" s="132"/>
      <c r="M188" s="132">
        <v>101</v>
      </c>
      <c r="N188" s="132"/>
      <c r="O188" s="132"/>
      <c r="P188" s="132"/>
      <c r="Q188" s="132"/>
      <c r="R188" s="132"/>
      <c r="S188" s="132">
        <v>1</v>
      </c>
      <c r="T188" s="132"/>
      <c r="U188" s="151">
        <v>101</v>
      </c>
      <c r="V188" s="151"/>
      <c r="W188" s="307" t="s">
        <v>193</v>
      </c>
      <c r="X188" s="308"/>
      <c r="Y188" s="38">
        <f t="shared" si="54"/>
        <v>8</v>
      </c>
      <c r="Z188" s="38">
        <f t="shared" si="55"/>
        <v>8</v>
      </c>
      <c r="AA188" s="38">
        <f t="shared" si="56"/>
        <v>0</v>
      </c>
      <c r="AB188" s="38">
        <f t="shared" si="64"/>
        <v>0</v>
      </c>
      <c r="AC188" s="38">
        <f t="shared" si="65"/>
        <v>0</v>
      </c>
      <c r="AD188" s="38">
        <f t="shared" si="66"/>
        <v>0</v>
      </c>
      <c r="AE188" s="38">
        <f t="shared" si="67"/>
        <v>0</v>
      </c>
      <c r="AF188" s="38">
        <f t="shared" si="68"/>
        <v>0</v>
      </c>
      <c r="AG188" s="33">
        <f t="shared" si="69"/>
        <v>8</v>
      </c>
      <c r="AH188" s="33">
        <f t="shared" si="70"/>
        <v>8</v>
      </c>
      <c r="AI188" s="33">
        <f t="shared" si="71"/>
        <v>0</v>
      </c>
      <c r="AJ188" s="33">
        <f t="shared" si="72"/>
        <v>0</v>
      </c>
      <c r="AK188" s="34">
        <f t="shared" si="73"/>
        <v>5.6338028169014086E-2</v>
      </c>
      <c r="AL188" s="35">
        <f t="shared" si="74"/>
        <v>5.6338028169014086E-2</v>
      </c>
      <c r="AM188" s="34">
        <f t="shared" si="57"/>
        <v>0</v>
      </c>
      <c r="AN188" s="36">
        <f t="shared" si="75"/>
        <v>0</v>
      </c>
      <c r="AO188" s="6">
        <f t="shared" si="58"/>
        <v>0</v>
      </c>
      <c r="AP188">
        <f t="shared" si="59"/>
        <v>8</v>
      </c>
      <c r="AQ188" s="6">
        <f t="shared" si="60"/>
        <v>0</v>
      </c>
      <c r="AR188" s="6">
        <f t="shared" si="61"/>
        <v>0</v>
      </c>
      <c r="AS188" s="6"/>
      <c r="AX188" s="95">
        <f t="shared" si="62"/>
        <v>42311</v>
      </c>
      <c r="AY188" s="96" t="str">
        <f t="shared" si="63"/>
        <v>ter</v>
      </c>
      <c r="AZ188" s="97">
        <f>IF(OR(AY188="SÁB",AY188="DOM"),0,IFERROR(8-VLOOKUP(C188,'Dados de consulta'!$A$2:$C$38,3,0),8))</f>
        <v>8</v>
      </c>
      <c r="BA188" s="97">
        <f>IF(OR(AY188="SÁB",AY188="DOM"),0,IFERROR(8-VLOOKUP(D188,'Dados de consulta'!$A$2:$C$38,3,0),8))</f>
        <v>8</v>
      </c>
      <c r="BB188" s="97">
        <f>IF(OR(AY188="SÁB",AY188="DOM"),0,IFERROR(8-VLOOKUP(E188,'Dados de consulta'!$A$2:$C$38,3,0),8))</f>
        <v>8</v>
      </c>
      <c r="BC188" s="97">
        <f>IF(OR(AY188="SÁB",AY188="DOM"),0,IFERROR(8-VLOOKUP(F188,'Dados de consulta'!$A$2:$C$38,3,0),8))</f>
        <v>8</v>
      </c>
      <c r="BD188" s="97">
        <f>IF(OR(AY188="SÁB",AY188="DOM"),0,IFERROR(8-VLOOKUP(G188,'Dados de consulta'!$A$2:$C$38,3,0),8))</f>
        <v>0</v>
      </c>
      <c r="BE188" s="97">
        <f>IF(OR(AY188="SÁB",AY188="DOM"),0,IFERROR(8-VLOOKUP(H188,'Dados de consulta'!$A$2:$C$38,3,0),8))</f>
        <v>8</v>
      </c>
      <c r="BF188" s="97">
        <f>IF(OR(AY188="SÁB",AY188="DOM"),0,IFERROR(8-VLOOKUP(I188,'Dados de consulta'!$A$2:$C$38,3,0),8))</f>
        <v>8</v>
      </c>
      <c r="BG188" s="97">
        <f>IF(OR(AY188="SÁB",AY188="DOM"),0,IFERROR(8-VLOOKUP(J188,'Dados de consulta'!$A$2:$C$38,3,0),8))</f>
        <v>8</v>
      </c>
      <c r="BH188" s="97">
        <f>IF(OR(AY188="SÁB",AY188="DOM"),0,IFERROR(8-VLOOKUP(K188,'Dados de consulta'!$A$2:$C$38,3,0),8))</f>
        <v>8</v>
      </c>
      <c r="BI188" s="97">
        <f>IF(OR(AY188="SÁB",AY188="DOM"),0,IFERROR(8-VLOOKUP(L188,'Dados de consulta'!$A$2:$C$38,3,0),8))</f>
        <v>8</v>
      </c>
      <c r="BJ188" s="97">
        <f>IF(OR(AY188="SÁB",AY188="DOM"),0,IFERROR(8-VLOOKUP(M188,'Dados de consulta'!$A$2:$C$38,3,0),8))</f>
        <v>0</v>
      </c>
      <c r="BK188" s="97">
        <f>IF(OR(AY188="SÁB",AY188="DOM"),0,IFERROR(8-VLOOKUP(N188,'Dados de consulta'!$A$2:$C$38,3,0),8))</f>
        <v>8</v>
      </c>
      <c r="BL188" s="97">
        <f>IF(OR(AY188="SÁB",AY188="DOM"),0,IFERROR(8-VLOOKUP(O188,'Dados de consulta'!$A$2:$C$38,3,0),8))</f>
        <v>8</v>
      </c>
      <c r="BM188" s="97">
        <f>IF(OR(AY188="SÁB",AY188="DOM"),0,IFERROR(8-VLOOKUP(P188,'Dados de consulta'!$A$2:$C$38,3,0),8))</f>
        <v>8</v>
      </c>
      <c r="BN188" s="97">
        <f>IF(OR(AY188="SÁB",AY188="DOM"),0,IFERROR(8-VLOOKUP(Q188,'Dados de consulta'!$A$2:$C$38,3,0),8))</f>
        <v>8</v>
      </c>
      <c r="BO188" s="97">
        <f>IF(OR(AY188="SÁB",AY188="DOM"),0,IFERROR(8-VLOOKUP(R188,'Dados de consulta'!$A$2:$C$38,3,0),8))</f>
        <v>8</v>
      </c>
      <c r="BP188" s="97">
        <f>IF(OR(AY188="SÁB",AY188="DOM"),0,IFERROR(8-VLOOKUP(S188,'Dados de consulta'!$A$2:$C$38,3,0),8))</f>
        <v>0</v>
      </c>
      <c r="BQ188" s="113">
        <f>IFERROR(6-VLOOKUP(T188,'Dados de consulta'!$A$2:$C$38,3,0)+2,6)</f>
        <v>6</v>
      </c>
      <c r="BR188" s="114">
        <f t="shared" si="76"/>
        <v>118</v>
      </c>
      <c r="BS188">
        <f t="shared" si="52"/>
        <v>134</v>
      </c>
      <c r="BU188">
        <f>IFERROR(8-VLOOKUP(U188,'Dados de consulta'!$A:$D,3,0),8)</f>
        <v>0</v>
      </c>
      <c r="BV188">
        <f>IFERROR(8-VLOOKUP(V188,'Dados de consulta'!$A:$D,3,0),8)</f>
        <v>8</v>
      </c>
      <c r="BW188">
        <f t="shared" si="77"/>
        <v>8</v>
      </c>
    </row>
    <row r="189" spans="1:75" ht="15" hidden="1" x14ac:dyDescent="0.2">
      <c r="A189" s="98">
        <v>42312</v>
      </c>
      <c r="B189" s="129" t="str">
        <f t="shared" si="53"/>
        <v>qua</v>
      </c>
      <c r="C189" s="132"/>
      <c r="D189" s="132"/>
      <c r="E189" s="132"/>
      <c r="F189" s="132"/>
      <c r="G189" s="132">
        <v>4</v>
      </c>
      <c r="H189" s="132"/>
      <c r="I189" s="132"/>
      <c r="J189" s="132"/>
      <c r="K189" s="132"/>
      <c r="L189" s="132"/>
      <c r="M189" s="132">
        <v>101</v>
      </c>
      <c r="N189" s="132"/>
      <c r="O189" s="132"/>
      <c r="P189" s="132"/>
      <c r="Q189" s="132"/>
      <c r="R189" s="132"/>
      <c r="S189" s="132"/>
      <c r="T189" s="132"/>
      <c r="U189" s="151">
        <v>101</v>
      </c>
      <c r="V189" s="151"/>
      <c r="W189" s="307" t="s">
        <v>193</v>
      </c>
      <c r="X189" s="308"/>
      <c r="Y189" s="38">
        <f t="shared" si="54"/>
        <v>8</v>
      </c>
      <c r="Z189" s="38">
        <f t="shared" si="55"/>
        <v>0</v>
      </c>
      <c r="AA189" s="38">
        <f t="shared" si="56"/>
        <v>0</v>
      </c>
      <c r="AB189" s="38">
        <f t="shared" si="64"/>
        <v>0</v>
      </c>
      <c r="AC189" s="38">
        <f t="shared" si="65"/>
        <v>0</v>
      </c>
      <c r="AD189" s="38">
        <f t="shared" si="66"/>
        <v>0</v>
      </c>
      <c r="AE189" s="38">
        <f t="shared" si="67"/>
        <v>0</v>
      </c>
      <c r="AF189" s="38">
        <f t="shared" si="68"/>
        <v>0</v>
      </c>
      <c r="AG189" s="33">
        <f t="shared" si="69"/>
        <v>8</v>
      </c>
      <c r="AH189" s="33">
        <f t="shared" si="70"/>
        <v>0</v>
      </c>
      <c r="AI189" s="33">
        <f t="shared" si="71"/>
        <v>0</v>
      </c>
      <c r="AJ189" s="33">
        <f t="shared" si="72"/>
        <v>0</v>
      </c>
      <c r="AK189" s="34">
        <f t="shared" si="73"/>
        <v>5.6338028169014086E-2</v>
      </c>
      <c r="AL189" s="35">
        <f t="shared" si="74"/>
        <v>0</v>
      </c>
      <c r="AM189" s="34">
        <f t="shared" si="57"/>
        <v>0</v>
      </c>
      <c r="AN189" s="36">
        <f t="shared" si="75"/>
        <v>0</v>
      </c>
      <c r="AO189" s="6">
        <f t="shared" si="58"/>
        <v>0</v>
      </c>
      <c r="AP189">
        <f t="shared" si="59"/>
        <v>8</v>
      </c>
      <c r="AQ189" s="6">
        <f t="shared" si="60"/>
        <v>0</v>
      </c>
      <c r="AR189" s="6">
        <f t="shared" si="61"/>
        <v>0</v>
      </c>
      <c r="AS189" s="6"/>
      <c r="AX189" s="95">
        <f t="shared" si="62"/>
        <v>42312</v>
      </c>
      <c r="AY189" s="96" t="str">
        <f t="shared" si="63"/>
        <v>qua</v>
      </c>
      <c r="AZ189" s="97">
        <f>IF(OR(AY189="SÁB",AY189="DOM"),0,IFERROR(8-VLOOKUP(C189,'Dados de consulta'!$A$2:$C$38,3,0),8))</f>
        <v>8</v>
      </c>
      <c r="BA189" s="97">
        <f>IF(OR(AY189="SÁB",AY189="DOM"),0,IFERROR(8-VLOOKUP(D189,'Dados de consulta'!$A$2:$C$38,3,0),8))</f>
        <v>8</v>
      </c>
      <c r="BB189" s="97">
        <f>IF(OR(AY189="SÁB",AY189="DOM"),0,IFERROR(8-VLOOKUP(E189,'Dados de consulta'!$A$2:$C$38,3,0),8))</f>
        <v>8</v>
      </c>
      <c r="BC189" s="97">
        <f>IF(OR(AY189="SÁB",AY189="DOM"),0,IFERROR(8-VLOOKUP(F189,'Dados de consulta'!$A$2:$C$38,3,0),8))</f>
        <v>8</v>
      </c>
      <c r="BD189" s="97">
        <f>IF(OR(AY189="SÁB",AY189="DOM"),0,IFERROR(8-VLOOKUP(G189,'Dados de consulta'!$A$2:$C$38,3,0),8))</f>
        <v>0</v>
      </c>
      <c r="BE189" s="97">
        <f>IF(OR(AY189="SÁB",AY189="DOM"),0,IFERROR(8-VLOOKUP(H189,'Dados de consulta'!$A$2:$C$38,3,0),8))</f>
        <v>8</v>
      </c>
      <c r="BF189" s="97">
        <f>IF(OR(AY189="SÁB",AY189="DOM"),0,IFERROR(8-VLOOKUP(I189,'Dados de consulta'!$A$2:$C$38,3,0),8))</f>
        <v>8</v>
      </c>
      <c r="BG189" s="97">
        <f>IF(OR(AY189="SÁB",AY189="DOM"),0,IFERROR(8-VLOOKUP(J189,'Dados de consulta'!$A$2:$C$38,3,0),8))</f>
        <v>8</v>
      </c>
      <c r="BH189" s="97">
        <f>IF(OR(AY189="SÁB",AY189="DOM"),0,IFERROR(8-VLOOKUP(K189,'Dados de consulta'!$A$2:$C$38,3,0),8))</f>
        <v>8</v>
      </c>
      <c r="BI189" s="97">
        <f>IF(OR(AY189="SÁB",AY189="DOM"),0,IFERROR(8-VLOOKUP(L189,'Dados de consulta'!$A$2:$C$38,3,0),8))</f>
        <v>8</v>
      </c>
      <c r="BJ189" s="97">
        <f>IF(OR(AY189="SÁB",AY189="DOM"),0,IFERROR(8-VLOOKUP(M189,'Dados de consulta'!$A$2:$C$38,3,0),8))</f>
        <v>0</v>
      </c>
      <c r="BK189" s="97">
        <f>IF(OR(AY189="SÁB",AY189="DOM"),0,IFERROR(8-VLOOKUP(N189,'Dados de consulta'!$A$2:$C$38,3,0),8))</f>
        <v>8</v>
      </c>
      <c r="BL189" s="97">
        <f>IF(OR(AY189="SÁB",AY189="DOM"),0,IFERROR(8-VLOOKUP(O189,'Dados de consulta'!$A$2:$C$38,3,0),8))</f>
        <v>8</v>
      </c>
      <c r="BM189" s="97">
        <f>IF(OR(AY189="SÁB",AY189="DOM"),0,IFERROR(8-VLOOKUP(P189,'Dados de consulta'!$A$2:$C$38,3,0),8))</f>
        <v>8</v>
      </c>
      <c r="BN189" s="97">
        <f>IF(OR(AY189="SÁB",AY189="DOM"),0,IFERROR(8-VLOOKUP(Q189,'Dados de consulta'!$A$2:$C$38,3,0),8))</f>
        <v>8</v>
      </c>
      <c r="BO189" s="97">
        <f>IF(OR(AY189="SÁB",AY189="DOM"),0,IFERROR(8-VLOOKUP(R189,'Dados de consulta'!$A$2:$C$38,3,0),8))</f>
        <v>8</v>
      </c>
      <c r="BP189" s="97">
        <f>IF(OR(AY189="SÁB",AY189="DOM"),0,IFERROR(8-VLOOKUP(S189,'Dados de consulta'!$A$2:$C$38,3,0),8))</f>
        <v>8</v>
      </c>
      <c r="BQ189" s="113">
        <f>IFERROR(6-VLOOKUP(T189,'Dados de consulta'!$A$2:$C$38,3,0)+2,6)</f>
        <v>6</v>
      </c>
      <c r="BR189" s="114">
        <f t="shared" si="76"/>
        <v>126</v>
      </c>
      <c r="BS189">
        <f t="shared" si="52"/>
        <v>134</v>
      </c>
      <c r="BU189">
        <f>IFERROR(8-VLOOKUP(U189,'Dados de consulta'!$A:$D,3,0),8)</f>
        <v>0</v>
      </c>
      <c r="BV189">
        <f>IFERROR(8-VLOOKUP(V189,'Dados de consulta'!$A:$D,3,0),8)</f>
        <v>8</v>
      </c>
      <c r="BW189">
        <f t="shared" si="77"/>
        <v>8</v>
      </c>
    </row>
    <row r="190" spans="1:75" ht="15" hidden="1" x14ac:dyDescent="0.2">
      <c r="A190" s="98">
        <v>42313</v>
      </c>
      <c r="B190" s="129" t="str">
        <f t="shared" si="53"/>
        <v>qui</v>
      </c>
      <c r="C190" s="132"/>
      <c r="D190" s="132"/>
      <c r="E190" s="132"/>
      <c r="F190" s="132"/>
      <c r="G190" s="132">
        <v>4</v>
      </c>
      <c r="H190" s="132"/>
      <c r="I190" s="132"/>
      <c r="J190" s="132"/>
      <c r="K190" s="132"/>
      <c r="L190" s="132" t="s">
        <v>194</v>
      </c>
      <c r="M190" s="132">
        <v>101</v>
      </c>
      <c r="N190" s="132"/>
      <c r="O190" s="132"/>
      <c r="P190" s="132"/>
      <c r="Q190" s="132"/>
      <c r="R190" s="132"/>
      <c r="S190" s="132"/>
      <c r="T190" s="132"/>
      <c r="U190" s="151">
        <v>101</v>
      </c>
      <c r="V190" s="151"/>
      <c r="W190" s="307" t="s">
        <v>193</v>
      </c>
      <c r="X190" s="308"/>
      <c r="Y190" s="38">
        <f t="shared" si="54"/>
        <v>12</v>
      </c>
      <c r="Z190" s="38">
        <f t="shared" si="55"/>
        <v>0</v>
      </c>
      <c r="AA190" s="38">
        <f t="shared" si="56"/>
        <v>0</v>
      </c>
      <c r="AB190" s="38">
        <f t="shared" si="64"/>
        <v>0</v>
      </c>
      <c r="AC190" s="38">
        <f t="shared" si="65"/>
        <v>0</v>
      </c>
      <c r="AD190" s="38">
        <f t="shared" si="66"/>
        <v>0</v>
      </c>
      <c r="AE190" s="38">
        <f t="shared" si="67"/>
        <v>0</v>
      </c>
      <c r="AF190" s="38">
        <f t="shared" si="68"/>
        <v>0</v>
      </c>
      <c r="AG190" s="33">
        <f t="shared" si="69"/>
        <v>12</v>
      </c>
      <c r="AH190" s="33">
        <f t="shared" si="70"/>
        <v>0</v>
      </c>
      <c r="AI190" s="33">
        <f t="shared" si="71"/>
        <v>0</v>
      </c>
      <c r="AJ190" s="33">
        <f t="shared" si="72"/>
        <v>0</v>
      </c>
      <c r="AK190" s="34">
        <f t="shared" si="73"/>
        <v>8.4507042253521125E-2</v>
      </c>
      <c r="AL190" s="35">
        <f t="shared" si="74"/>
        <v>0</v>
      </c>
      <c r="AM190" s="34">
        <f t="shared" si="57"/>
        <v>0</v>
      </c>
      <c r="AN190" s="36">
        <f t="shared" si="75"/>
        <v>0</v>
      </c>
      <c r="AO190" s="6">
        <f t="shared" si="58"/>
        <v>0</v>
      </c>
      <c r="AP190">
        <f t="shared" si="59"/>
        <v>8</v>
      </c>
      <c r="AQ190" s="6">
        <f t="shared" si="60"/>
        <v>0</v>
      </c>
      <c r="AR190" s="6">
        <f t="shared" si="61"/>
        <v>0</v>
      </c>
      <c r="AS190" s="6"/>
      <c r="AX190" s="95">
        <f t="shared" si="62"/>
        <v>42313</v>
      </c>
      <c r="AY190" s="96" t="str">
        <f t="shared" si="63"/>
        <v>qui</v>
      </c>
      <c r="AZ190" s="97">
        <f>IF(OR(AY190="SÁB",AY190="DOM"),0,IFERROR(8-VLOOKUP(C190,'Dados de consulta'!$A$2:$C$38,3,0),8))</f>
        <v>8</v>
      </c>
      <c r="BA190" s="97">
        <f>IF(OR(AY190="SÁB",AY190="DOM"),0,IFERROR(8-VLOOKUP(D190,'Dados de consulta'!$A$2:$C$38,3,0),8))</f>
        <v>8</v>
      </c>
      <c r="BB190" s="97">
        <f>IF(OR(AY190="SÁB",AY190="DOM"),0,IFERROR(8-VLOOKUP(E190,'Dados de consulta'!$A$2:$C$38,3,0),8))</f>
        <v>8</v>
      </c>
      <c r="BC190" s="97">
        <f>IF(OR(AY190="SÁB",AY190="DOM"),0,IFERROR(8-VLOOKUP(F190,'Dados de consulta'!$A$2:$C$38,3,0),8))</f>
        <v>8</v>
      </c>
      <c r="BD190" s="97">
        <f>IF(OR(AY190="SÁB",AY190="DOM"),0,IFERROR(8-VLOOKUP(G190,'Dados de consulta'!$A$2:$C$38,3,0),8))</f>
        <v>0</v>
      </c>
      <c r="BE190" s="97">
        <f>IF(OR(AY190="SÁB",AY190="DOM"),0,IFERROR(8-VLOOKUP(H190,'Dados de consulta'!$A$2:$C$38,3,0),8))</f>
        <v>8</v>
      </c>
      <c r="BF190" s="97">
        <f>IF(OR(AY190="SÁB",AY190="DOM"),0,IFERROR(8-VLOOKUP(I190,'Dados de consulta'!$A$2:$C$38,3,0),8))</f>
        <v>8</v>
      </c>
      <c r="BG190" s="97">
        <f>IF(OR(AY190="SÁB",AY190="DOM"),0,IFERROR(8-VLOOKUP(J190,'Dados de consulta'!$A$2:$C$38,3,0),8))</f>
        <v>8</v>
      </c>
      <c r="BH190" s="97">
        <f>IF(OR(AY190="SÁB",AY190="DOM"),0,IFERROR(8-VLOOKUP(K190,'Dados de consulta'!$A$2:$C$38,3,0),8))</f>
        <v>8</v>
      </c>
      <c r="BI190" s="97">
        <f>IF(OR(AY190="SÁB",AY190="DOM"),0,IFERROR(8-VLOOKUP(L190,'Dados de consulta'!$A$2:$C$38,3,0),8))</f>
        <v>4</v>
      </c>
      <c r="BJ190" s="97">
        <f>IF(OR(AY190="SÁB",AY190="DOM"),0,IFERROR(8-VLOOKUP(M190,'Dados de consulta'!$A$2:$C$38,3,0),8))</f>
        <v>0</v>
      </c>
      <c r="BK190" s="97">
        <f>IF(OR(AY190="SÁB",AY190="DOM"),0,IFERROR(8-VLOOKUP(N190,'Dados de consulta'!$A$2:$C$38,3,0),8))</f>
        <v>8</v>
      </c>
      <c r="BL190" s="97">
        <f>IF(OR(AY190="SÁB",AY190="DOM"),0,IFERROR(8-VLOOKUP(O190,'Dados de consulta'!$A$2:$C$38,3,0),8))</f>
        <v>8</v>
      </c>
      <c r="BM190" s="97">
        <f>IF(OR(AY190="SÁB",AY190="DOM"),0,IFERROR(8-VLOOKUP(P190,'Dados de consulta'!$A$2:$C$38,3,0),8))</f>
        <v>8</v>
      </c>
      <c r="BN190" s="97">
        <f>IF(OR(AY190="SÁB",AY190="DOM"),0,IFERROR(8-VLOOKUP(Q190,'Dados de consulta'!$A$2:$C$38,3,0),8))</f>
        <v>8</v>
      </c>
      <c r="BO190" s="97">
        <f>IF(OR(AY190="SÁB",AY190="DOM"),0,IFERROR(8-VLOOKUP(R190,'Dados de consulta'!$A$2:$C$38,3,0),8))</f>
        <v>8</v>
      </c>
      <c r="BP190" s="97">
        <f>IF(OR(AY190="SÁB",AY190="DOM"),0,IFERROR(8-VLOOKUP(S190,'Dados de consulta'!$A$2:$C$38,3,0),8))</f>
        <v>8</v>
      </c>
      <c r="BQ190" s="113">
        <f>IFERROR(6-VLOOKUP(T190,'Dados de consulta'!$A$2:$C$38,3,0)+2,6)</f>
        <v>6</v>
      </c>
      <c r="BR190" s="114">
        <f t="shared" si="76"/>
        <v>122</v>
      </c>
      <c r="BS190">
        <f t="shared" ref="BS190:BS253" si="78">IF(R191=17,0,IF(OR(AY190="SÁB",AY190="DOM"),0,((COUNT(AZ190:BQ190)-1)*8+6)-SUM(AO190:AR190)))</f>
        <v>134</v>
      </c>
      <c r="BU190">
        <f>IFERROR(8-VLOOKUP(U190,'Dados de consulta'!$A:$D,3,0),8)</f>
        <v>0</v>
      </c>
      <c r="BV190">
        <f>IFERROR(8-VLOOKUP(V190,'Dados de consulta'!$A:$D,3,0),8)</f>
        <v>8</v>
      </c>
      <c r="BW190">
        <f t="shared" si="77"/>
        <v>8</v>
      </c>
    </row>
    <row r="191" spans="1:75" ht="15" hidden="1" x14ac:dyDescent="0.2">
      <c r="A191" s="98">
        <v>42314</v>
      </c>
      <c r="B191" s="129" t="str">
        <f t="shared" si="53"/>
        <v>sex</v>
      </c>
      <c r="C191" s="132"/>
      <c r="D191" s="132"/>
      <c r="E191" s="132">
        <v>1</v>
      </c>
      <c r="F191" s="132"/>
      <c r="G191" s="132">
        <v>4</v>
      </c>
      <c r="H191" s="132"/>
      <c r="I191" s="132"/>
      <c r="J191" s="132"/>
      <c r="K191" s="132">
        <v>2</v>
      </c>
      <c r="L191" s="132"/>
      <c r="M191" s="132">
        <v>101</v>
      </c>
      <c r="N191" s="132"/>
      <c r="O191" s="132"/>
      <c r="P191" s="132"/>
      <c r="Q191" s="132"/>
      <c r="R191" s="132" t="s">
        <v>196</v>
      </c>
      <c r="S191" s="132"/>
      <c r="T191" s="132"/>
      <c r="U191" s="151">
        <v>101</v>
      </c>
      <c r="V191" s="151"/>
      <c r="W191" s="307" t="s">
        <v>193</v>
      </c>
      <c r="X191" s="308"/>
      <c r="Y191" s="38">
        <f t="shared" si="54"/>
        <v>8</v>
      </c>
      <c r="Z191" s="38">
        <f t="shared" si="55"/>
        <v>16</v>
      </c>
      <c r="AA191" s="38">
        <f t="shared" si="56"/>
        <v>4</v>
      </c>
      <c r="AB191" s="38">
        <f t="shared" si="64"/>
        <v>0</v>
      </c>
      <c r="AC191" s="38">
        <f t="shared" si="65"/>
        <v>0</v>
      </c>
      <c r="AD191" s="38">
        <f t="shared" si="66"/>
        <v>0</v>
      </c>
      <c r="AE191" s="38">
        <f t="shared" si="67"/>
        <v>0</v>
      </c>
      <c r="AF191" s="38">
        <f t="shared" si="68"/>
        <v>0</v>
      </c>
      <c r="AG191" s="33">
        <f t="shared" si="69"/>
        <v>8</v>
      </c>
      <c r="AH191" s="33">
        <f t="shared" si="70"/>
        <v>16</v>
      </c>
      <c r="AI191" s="33">
        <f t="shared" si="71"/>
        <v>4</v>
      </c>
      <c r="AJ191" s="33">
        <f t="shared" si="72"/>
        <v>0</v>
      </c>
      <c r="AK191" s="34">
        <f t="shared" si="73"/>
        <v>5.6338028169014086E-2</v>
      </c>
      <c r="AL191" s="35">
        <f t="shared" si="74"/>
        <v>0.11267605633802817</v>
      </c>
      <c r="AM191" s="34">
        <f t="shared" si="57"/>
        <v>2.8169014084507043E-2</v>
      </c>
      <c r="AN191" s="36">
        <f t="shared" si="75"/>
        <v>0</v>
      </c>
      <c r="AO191" s="6">
        <f t="shared" si="58"/>
        <v>0</v>
      </c>
      <c r="AP191">
        <f t="shared" si="59"/>
        <v>8</v>
      </c>
      <c r="AQ191" s="6">
        <f t="shared" si="60"/>
        <v>0</v>
      </c>
      <c r="AR191" s="6">
        <f t="shared" si="61"/>
        <v>0</v>
      </c>
      <c r="AS191" s="6"/>
      <c r="AX191" s="95">
        <f t="shared" si="62"/>
        <v>42314</v>
      </c>
      <c r="AY191" s="96" t="str">
        <f t="shared" si="63"/>
        <v>sex</v>
      </c>
      <c r="AZ191" s="97">
        <f>IF(OR(AY191="SÁB",AY191="DOM"),0,IFERROR(8-VLOOKUP(C191,'Dados de consulta'!$A$2:$C$38,3,0),8))</f>
        <v>8</v>
      </c>
      <c r="BA191" s="97">
        <f>IF(OR(AY191="SÁB",AY191="DOM"),0,IFERROR(8-VLOOKUP(D191,'Dados de consulta'!$A$2:$C$38,3,0),8))</f>
        <v>8</v>
      </c>
      <c r="BB191" s="97">
        <f>IF(OR(AY191="SÁB",AY191="DOM"),0,IFERROR(8-VLOOKUP(E191,'Dados de consulta'!$A$2:$C$38,3,0),8))</f>
        <v>0</v>
      </c>
      <c r="BC191" s="97">
        <f>IF(OR(AY191="SÁB",AY191="DOM"),0,IFERROR(8-VLOOKUP(F191,'Dados de consulta'!$A$2:$C$38,3,0),8))</f>
        <v>8</v>
      </c>
      <c r="BD191" s="97">
        <f>IF(OR(AY191="SÁB",AY191="DOM"),0,IFERROR(8-VLOOKUP(G191,'Dados de consulta'!$A$2:$C$38,3,0),8))</f>
        <v>0</v>
      </c>
      <c r="BE191" s="97">
        <f>IF(OR(AY191="SÁB",AY191="DOM"),0,IFERROR(8-VLOOKUP(H191,'Dados de consulta'!$A$2:$C$38,3,0),8))</f>
        <v>8</v>
      </c>
      <c r="BF191" s="97">
        <f>IF(OR(AY191="SÁB",AY191="DOM"),0,IFERROR(8-VLOOKUP(I191,'Dados de consulta'!$A$2:$C$38,3,0),8))</f>
        <v>8</v>
      </c>
      <c r="BG191" s="97">
        <f>IF(OR(AY191="SÁB",AY191="DOM"),0,IFERROR(8-VLOOKUP(J191,'Dados de consulta'!$A$2:$C$38,3,0),8))</f>
        <v>8</v>
      </c>
      <c r="BH191" s="97">
        <f>IF(OR(AY191="SÁB",AY191="DOM"),0,IFERROR(8-VLOOKUP(K191,'Dados de consulta'!$A$2:$C$38,3,0),8))</f>
        <v>0</v>
      </c>
      <c r="BI191" s="97">
        <f>IF(OR(AY191="SÁB",AY191="DOM"),0,IFERROR(8-VLOOKUP(L191,'Dados de consulta'!$A$2:$C$38,3,0),8))</f>
        <v>8</v>
      </c>
      <c r="BJ191" s="97">
        <f>IF(OR(AY191="SÁB",AY191="DOM"),0,IFERROR(8-VLOOKUP(M191,'Dados de consulta'!$A$2:$C$38,3,0),8))</f>
        <v>0</v>
      </c>
      <c r="BK191" s="97">
        <f>IF(OR(AY191="SÁB",AY191="DOM"),0,IFERROR(8-VLOOKUP(N191,'Dados de consulta'!$A$2:$C$38,3,0),8))</f>
        <v>8</v>
      </c>
      <c r="BL191" s="97">
        <f>IF(OR(AY191="SÁB",AY191="DOM"),0,IFERROR(8-VLOOKUP(O191,'Dados de consulta'!$A$2:$C$38,3,0),8))</f>
        <v>8</v>
      </c>
      <c r="BM191" s="97">
        <f>IF(OR(AY191="SÁB",AY191="DOM"),0,IFERROR(8-VLOOKUP(P191,'Dados de consulta'!$A$2:$C$38,3,0),8))</f>
        <v>8</v>
      </c>
      <c r="BN191" s="97">
        <f>IF(OR(AY191="SÁB",AY191="DOM"),0,IFERROR(8-VLOOKUP(Q191,'Dados de consulta'!$A$2:$C$38,3,0),8))</f>
        <v>8</v>
      </c>
      <c r="BO191" s="97">
        <f>IF(OR(AY191="SÁB",AY191="DOM"),0,IFERROR(8-VLOOKUP(R191,'Dados de consulta'!$A$2:$C$38,3,0),8))</f>
        <v>4</v>
      </c>
      <c r="BP191" s="97">
        <f>IF(OR(AY191="SÁB",AY191="DOM"),0,IFERROR(8-VLOOKUP(S191,'Dados de consulta'!$A$2:$C$38,3,0),8))</f>
        <v>8</v>
      </c>
      <c r="BQ191" s="113">
        <f>IFERROR(6-VLOOKUP(T191,'Dados de consulta'!$A$2:$C$38,3,0)+2,6)</f>
        <v>6</v>
      </c>
      <c r="BR191" s="114">
        <f t="shared" si="76"/>
        <v>106</v>
      </c>
      <c r="BS191">
        <f t="shared" si="78"/>
        <v>134</v>
      </c>
      <c r="BU191">
        <f>IFERROR(8-VLOOKUP(U191,'Dados de consulta'!$A:$D,3,0),8)</f>
        <v>0</v>
      </c>
      <c r="BV191">
        <f>IFERROR(8-VLOOKUP(V191,'Dados de consulta'!$A:$D,3,0),8)</f>
        <v>8</v>
      </c>
      <c r="BW191">
        <f t="shared" si="77"/>
        <v>8</v>
      </c>
    </row>
    <row r="192" spans="1:75" ht="15" hidden="1" x14ac:dyDescent="0.2">
      <c r="A192" s="98">
        <v>42315</v>
      </c>
      <c r="B192" s="129" t="str">
        <f t="shared" si="53"/>
        <v>sáb</v>
      </c>
      <c r="C192" s="132"/>
      <c r="D192" s="132"/>
      <c r="E192" s="132"/>
      <c r="F192" s="132"/>
      <c r="G192" s="132">
        <v>4</v>
      </c>
      <c r="H192" s="132"/>
      <c r="I192" s="132"/>
      <c r="J192" s="132"/>
      <c r="K192" s="132"/>
      <c r="L192" s="132"/>
      <c r="M192" s="132">
        <v>101</v>
      </c>
      <c r="N192" s="132"/>
      <c r="O192" s="132"/>
      <c r="P192" s="132"/>
      <c r="Q192" s="132"/>
      <c r="R192" s="132"/>
      <c r="S192" s="132"/>
      <c r="T192" s="132"/>
      <c r="U192" s="151">
        <v>101</v>
      </c>
      <c r="V192" s="151"/>
      <c r="W192" s="307" t="s">
        <v>193</v>
      </c>
      <c r="X192" s="308"/>
      <c r="Y192" s="38">
        <f t="shared" si="54"/>
        <v>8</v>
      </c>
      <c r="Z192" s="38">
        <f t="shared" si="55"/>
        <v>0</v>
      </c>
      <c r="AA192" s="38">
        <f t="shared" si="56"/>
        <v>0</v>
      </c>
      <c r="AB192" s="38">
        <f t="shared" si="64"/>
        <v>0</v>
      </c>
      <c r="AC192" s="38">
        <f t="shared" si="65"/>
        <v>0</v>
      </c>
      <c r="AD192" s="38">
        <f t="shared" si="66"/>
        <v>0</v>
      </c>
      <c r="AE192" s="38">
        <f t="shared" si="67"/>
        <v>0</v>
      </c>
      <c r="AF192" s="38">
        <f t="shared" si="68"/>
        <v>0</v>
      </c>
      <c r="AG192" s="33">
        <f t="shared" si="69"/>
        <v>0</v>
      </c>
      <c r="AH192" s="33">
        <f t="shared" si="70"/>
        <v>0</v>
      </c>
      <c r="AI192" s="33">
        <f t="shared" si="71"/>
        <v>0</v>
      </c>
      <c r="AJ192" s="33">
        <f t="shared" si="72"/>
        <v>0</v>
      </c>
      <c r="AK192" s="34">
        <f t="shared" si="73"/>
        <v>0</v>
      </c>
      <c r="AL192" s="35">
        <f t="shared" si="74"/>
        <v>0</v>
      </c>
      <c r="AM192" s="34">
        <f t="shared" si="57"/>
        <v>0</v>
      </c>
      <c r="AN192" s="36">
        <f t="shared" si="75"/>
        <v>0</v>
      </c>
      <c r="AO192" s="6">
        <f t="shared" si="58"/>
        <v>0</v>
      </c>
      <c r="AP192">
        <f t="shared" si="59"/>
        <v>8</v>
      </c>
      <c r="AQ192" s="6">
        <f t="shared" si="60"/>
        <v>0</v>
      </c>
      <c r="AR192" s="6">
        <f t="shared" si="61"/>
        <v>0</v>
      </c>
      <c r="AS192" s="6"/>
      <c r="AX192" s="95">
        <f t="shared" si="62"/>
        <v>42315</v>
      </c>
      <c r="AY192" s="96" t="str">
        <f t="shared" si="63"/>
        <v>sáb</v>
      </c>
      <c r="AZ192" s="97">
        <f>IF(OR(AY192="SÁB",AY192="DOM"),0,IFERROR(8-VLOOKUP(C192,'Dados de consulta'!$A$2:$C$38,3,0),8))</f>
        <v>0</v>
      </c>
      <c r="BA192" s="97">
        <f>IF(OR(AY192="SÁB",AY192="DOM"),0,IFERROR(8-VLOOKUP(D192,'Dados de consulta'!$A$2:$C$38,3,0),8))</f>
        <v>0</v>
      </c>
      <c r="BB192" s="97">
        <f>IF(OR(AY192="SÁB",AY192="DOM"),0,IFERROR(8-VLOOKUP(E192,'Dados de consulta'!$A$2:$C$38,3,0),8))</f>
        <v>0</v>
      </c>
      <c r="BC192" s="97">
        <f>IF(OR(AY192="SÁB",AY192="DOM"),0,IFERROR(8-VLOOKUP(F192,'Dados de consulta'!$A$2:$C$38,3,0),8))</f>
        <v>0</v>
      </c>
      <c r="BD192" s="97">
        <f>IF(OR(AY192="SÁB",AY192="DOM"),0,IFERROR(8-VLOOKUP(G192,'Dados de consulta'!$A$2:$C$38,3,0),8))</f>
        <v>0</v>
      </c>
      <c r="BE192" s="97">
        <f>IF(OR(AY192="SÁB",AY192="DOM"),0,IFERROR(8-VLOOKUP(H192,'Dados de consulta'!$A$2:$C$38,3,0),8))</f>
        <v>0</v>
      </c>
      <c r="BF192" s="97">
        <f>IF(OR(AY192="SÁB",AY192="DOM"),0,IFERROR(8-VLOOKUP(I192,'Dados de consulta'!$A$2:$C$38,3,0),8))</f>
        <v>0</v>
      </c>
      <c r="BG192" s="97">
        <f>IF(OR(AY192="SÁB",AY192="DOM"),0,IFERROR(8-VLOOKUP(J192,'Dados de consulta'!$A$2:$C$38,3,0),8))</f>
        <v>0</v>
      </c>
      <c r="BH192" s="97">
        <f>IF(OR(AY192="SÁB",AY192="DOM"),0,IFERROR(8-VLOOKUP(K192,'Dados de consulta'!$A$2:$C$38,3,0),8))</f>
        <v>0</v>
      </c>
      <c r="BI192" s="97">
        <f>IF(OR(AY192="SÁB",AY192="DOM"),0,IFERROR(8-VLOOKUP(L192,'Dados de consulta'!$A$2:$C$38,3,0),8))</f>
        <v>0</v>
      </c>
      <c r="BJ192" s="97">
        <f>IF(OR(AY192="SÁB",AY192="DOM"),0,IFERROR(8-VLOOKUP(M192,'Dados de consulta'!$A$2:$C$38,3,0),8))</f>
        <v>0</v>
      </c>
      <c r="BK192" s="97">
        <f>IF(OR(AY192="SÁB",AY192="DOM"),0,IFERROR(8-VLOOKUP(N192,'Dados de consulta'!$A$2:$C$38,3,0),8))</f>
        <v>0</v>
      </c>
      <c r="BL192" s="97">
        <f>IF(OR(AY192="SÁB",AY192="DOM"),0,IFERROR(8-VLOOKUP(O192,'Dados de consulta'!$A$2:$C$38,3,0),8))</f>
        <v>0</v>
      </c>
      <c r="BM192" s="97">
        <f>IF(OR(AY192="SÁB",AY192="DOM"),0,IFERROR(8-VLOOKUP(P192,'Dados de consulta'!$A$2:$C$38,3,0),8))</f>
        <v>0</v>
      </c>
      <c r="BN192" s="97">
        <f>IF(OR(AY192="SÁB",AY192="DOM"),0,IFERROR(8-VLOOKUP(Q192,'Dados de consulta'!$A$2:$C$38,3,0),8))</f>
        <v>0</v>
      </c>
      <c r="BO192" s="97">
        <f>IF(OR(AY192="SÁB",AY192="DOM"),0,IFERROR(8-VLOOKUP(R192,'Dados de consulta'!$A$2:$C$38,3,0),8))</f>
        <v>0</v>
      </c>
      <c r="BP192" s="97">
        <f>IF(OR(AY192="SÁB",AY192="DOM"),0,IFERROR(8-VLOOKUP(S192,'Dados de consulta'!$A$2:$C$38,3,0),8))</f>
        <v>0</v>
      </c>
      <c r="BQ192" s="113">
        <f>IFERROR(6-VLOOKUP(T192,'Dados de consulta'!$A$2:$C$38,3,0)+2,6)</f>
        <v>6</v>
      </c>
      <c r="BR192" s="114">
        <f t="shared" si="76"/>
        <v>0</v>
      </c>
      <c r="BS192">
        <f t="shared" si="78"/>
        <v>0</v>
      </c>
      <c r="BU192">
        <f>IFERROR(8-VLOOKUP(U192,'Dados de consulta'!$A:$D,3,0),8)</f>
        <v>0</v>
      </c>
      <c r="BV192">
        <f>IFERROR(8-VLOOKUP(V192,'Dados de consulta'!$A:$D,3,0),8)</f>
        <v>8</v>
      </c>
      <c r="BW192">
        <f t="shared" si="77"/>
        <v>8</v>
      </c>
    </row>
    <row r="193" spans="1:75" ht="15" hidden="1" x14ac:dyDescent="0.2">
      <c r="A193" s="98">
        <v>42316</v>
      </c>
      <c r="B193" s="129" t="str">
        <f t="shared" si="53"/>
        <v>dom</v>
      </c>
      <c r="C193" s="132"/>
      <c r="D193" s="132"/>
      <c r="E193" s="132"/>
      <c r="F193" s="132"/>
      <c r="G193" s="132">
        <v>4</v>
      </c>
      <c r="H193" s="132"/>
      <c r="I193" s="132"/>
      <c r="J193" s="132"/>
      <c r="K193" s="132"/>
      <c r="L193" s="132"/>
      <c r="M193" s="132">
        <v>101</v>
      </c>
      <c r="N193" s="132"/>
      <c r="O193" s="132"/>
      <c r="P193" s="132"/>
      <c r="Q193" s="132"/>
      <c r="R193" s="132"/>
      <c r="S193" s="132"/>
      <c r="T193" s="132"/>
      <c r="U193" s="151">
        <v>101</v>
      </c>
      <c r="V193" s="151"/>
      <c r="W193" s="307" t="s">
        <v>193</v>
      </c>
      <c r="X193" s="308"/>
      <c r="Y193" s="38">
        <f t="shared" si="54"/>
        <v>8</v>
      </c>
      <c r="Z193" s="38">
        <f t="shared" si="55"/>
        <v>0</v>
      </c>
      <c r="AA193" s="38">
        <f t="shared" si="56"/>
        <v>0</v>
      </c>
      <c r="AB193" s="38">
        <f t="shared" si="64"/>
        <v>0</v>
      </c>
      <c r="AC193" s="38">
        <f t="shared" si="65"/>
        <v>0</v>
      </c>
      <c r="AD193" s="38">
        <f t="shared" si="66"/>
        <v>0</v>
      </c>
      <c r="AE193" s="38">
        <f t="shared" si="67"/>
        <v>0</v>
      </c>
      <c r="AF193" s="38">
        <f t="shared" si="68"/>
        <v>0</v>
      </c>
      <c r="AG193" s="33">
        <f t="shared" si="69"/>
        <v>0</v>
      </c>
      <c r="AH193" s="33">
        <f t="shared" si="70"/>
        <v>0</v>
      </c>
      <c r="AI193" s="33">
        <f t="shared" si="71"/>
        <v>0</v>
      </c>
      <c r="AJ193" s="33">
        <f t="shared" si="72"/>
        <v>0</v>
      </c>
      <c r="AK193" s="34">
        <f t="shared" si="73"/>
        <v>0</v>
      </c>
      <c r="AL193" s="35">
        <f t="shared" si="74"/>
        <v>0</v>
      </c>
      <c r="AM193" s="34">
        <f t="shared" si="57"/>
        <v>0</v>
      </c>
      <c r="AN193" s="36">
        <f t="shared" si="75"/>
        <v>0</v>
      </c>
      <c r="AO193" s="6">
        <f t="shared" si="58"/>
        <v>0</v>
      </c>
      <c r="AP193">
        <f t="shared" si="59"/>
        <v>8</v>
      </c>
      <c r="AQ193" s="6">
        <f t="shared" si="60"/>
        <v>0</v>
      </c>
      <c r="AR193" s="6">
        <f t="shared" si="61"/>
        <v>0</v>
      </c>
      <c r="AS193" s="6"/>
      <c r="AX193" s="95">
        <f t="shared" si="62"/>
        <v>42316</v>
      </c>
      <c r="AY193" s="96" t="str">
        <f t="shared" si="63"/>
        <v>dom</v>
      </c>
      <c r="AZ193" s="97">
        <f>IF(OR(AY193="SÁB",AY193="DOM"),0,IFERROR(8-VLOOKUP(C193,'Dados de consulta'!$A$2:$C$38,3,0),8))</f>
        <v>0</v>
      </c>
      <c r="BA193" s="97">
        <f>IF(OR(AY193="SÁB",AY193="DOM"),0,IFERROR(8-VLOOKUP(D193,'Dados de consulta'!$A$2:$C$38,3,0),8))</f>
        <v>0</v>
      </c>
      <c r="BB193" s="97">
        <f>IF(OR(AY193="SÁB",AY193="DOM"),0,IFERROR(8-VLOOKUP(E193,'Dados de consulta'!$A$2:$C$38,3,0),8))</f>
        <v>0</v>
      </c>
      <c r="BC193" s="97">
        <f>IF(OR(AY193="SÁB",AY193="DOM"),0,IFERROR(8-VLOOKUP(F193,'Dados de consulta'!$A$2:$C$38,3,0),8))</f>
        <v>0</v>
      </c>
      <c r="BD193" s="97">
        <f>IF(OR(AY193="SÁB",AY193="DOM"),0,IFERROR(8-VLOOKUP(G193,'Dados de consulta'!$A$2:$C$38,3,0),8))</f>
        <v>0</v>
      </c>
      <c r="BE193" s="97">
        <f>IF(OR(AY193="SÁB",AY193="DOM"),0,IFERROR(8-VLOOKUP(H193,'Dados de consulta'!$A$2:$C$38,3,0),8))</f>
        <v>0</v>
      </c>
      <c r="BF193" s="97">
        <f>IF(OR(AY193="SÁB",AY193="DOM"),0,IFERROR(8-VLOOKUP(I193,'Dados de consulta'!$A$2:$C$38,3,0),8))</f>
        <v>0</v>
      </c>
      <c r="BG193" s="97">
        <f>IF(OR(AY193="SÁB",AY193="DOM"),0,IFERROR(8-VLOOKUP(J193,'Dados de consulta'!$A$2:$C$38,3,0),8))</f>
        <v>0</v>
      </c>
      <c r="BH193" s="97">
        <f>IF(OR(AY193="SÁB",AY193="DOM"),0,IFERROR(8-VLOOKUP(K193,'Dados de consulta'!$A$2:$C$38,3,0),8))</f>
        <v>0</v>
      </c>
      <c r="BI193" s="97">
        <f>IF(OR(AY193="SÁB",AY193="DOM"),0,IFERROR(8-VLOOKUP(L193,'Dados de consulta'!$A$2:$C$38,3,0),8))</f>
        <v>0</v>
      </c>
      <c r="BJ193" s="97">
        <f>IF(OR(AY193="SÁB",AY193="DOM"),0,IFERROR(8-VLOOKUP(M193,'Dados de consulta'!$A$2:$C$38,3,0),8))</f>
        <v>0</v>
      </c>
      <c r="BK193" s="97">
        <f>IF(OR(AY193="SÁB",AY193="DOM"),0,IFERROR(8-VLOOKUP(N193,'Dados de consulta'!$A$2:$C$38,3,0),8))</f>
        <v>0</v>
      </c>
      <c r="BL193" s="97">
        <f>IF(OR(AY193="SÁB",AY193="DOM"),0,IFERROR(8-VLOOKUP(O193,'Dados de consulta'!$A$2:$C$38,3,0),8))</f>
        <v>0</v>
      </c>
      <c r="BM193" s="97">
        <f>IF(OR(AY193="SÁB",AY193="DOM"),0,IFERROR(8-VLOOKUP(P193,'Dados de consulta'!$A$2:$C$38,3,0),8))</f>
        <v>0</v>
      </c>
      <c r="BN193" s="97">
        <f>IF(OR(AY193="SÁB",AY193="DOM"),0,IFERROR(8-VLOOKUP(Q193,'Dados de consulta'!$A$2:$C$38,3,0),8))</f>
        <v>0</v>
      </c>
      <c r="BO193" s="97">
        <f>IF(OR(AY193="SÁB",AY193="DOM"),0,IFERROR(8-VLOOKUP(R193,'Dados de consulta'!$A$2:$C$38,3,0),8))</f>
        <v>0</v>
      </c>
      <c r="BP193" s="97">
        <f>IF(OR(AY193="SÁB",AY193="DOM"),0,IFERROR(8-VLOOKUP(S193,'Dados de consulta'!$A$2:$C$38,3,0),8))</f>
        <v>0</v>
      </c>
      <c r="BQ193" s="113">
        <f>IFERROR(6-VLOOKUP(T193,'Dados de consulta'!$A$2:$C$38,3,0)+2,6)</f>
        <v>6</v>
      </c>
      <c r="BR193" s="114">
        <f t="shared" si="76"/>
        <v>0</v>
      </c>
      <c r="BS193">
        <f t="shared" si="78"/>
        <v>0</v>
      </c>
      <c r="BU193">
        <f>IFERROR(8-VLOOKUP(U193,'Dados de consulta'!$A:$D,3,0),8)</f>
        <v>0</v>
      </c>
      <c r="BV193">
        <f>IFERROR(8-VLOOKUP(V193,'Dados de consulta'!$A:$D,3,0),8)</f>
        <v>8</v>
      </c>
      <c r="BW193">
        <f t="shared" si="77"/>
        <v>8</v>
      </c>
    </row>
    <row r="194" spans="1:75" ht="15" hidden="1" x14ac:dyDescent="0.2">
      <c r="A194" s="98">
        <v>42317</v>
      </c>
      <c r="B194" s="129" t="str">
        <f t="shared" ref="B194:B257" si="79">TEXT(A194,"ddd")</f>
        <v>seg</v>
      </c>
      <c r="C194" s="132">
        <v>2</v>
      </c>
      <c r="D194" s="132"/>
      <c r="E194" s="132"/>
      <c r="F194" s="132"/>
      <c r="G194" s="132">
        <v>4</v>
      </c>
      <c r="H194" s="132"/>
      <c r="I194" s="132"/>
      <c r="J194" s="132"/>
      <c r="K194" s="132"/>
      <c r="L194" s="132"/>
      <c r="M194" s="132">
        <v>101</v>
      </c>
      <c r="N194" s="132"/>
      <c r="O194" s="132"/>
      <c r="P194" s="132"/>
      <c r="Q194" s="132"/>
      <c r="R194" s="132"/>
      <c r="S194" s="132"/>
      <c r="T194" s="132"/>
      <c r="U194" s="151">
        <v>101</v>
      </c>
      <c r="V194" s="151"/>
      <c r="W194" s="307" t="s">
        <v>193</v>
      </c>
      <c r="X194" s="308"/>
      <c r="Y194" s="38">
        <f t="shared" ref="Y194:Y257" si="80">(COUNTIF(C194:S194,4)+COUNTIF(C194:S194,8)+COUNTIF(C194:S194,"8P")/2+COUNTIF(C194:S194,9)+COUNTIF(C194:S194,"9P")/2+COUNTIF(C194:S194,14))*8</f>
        <v>8</v>
      </c>
      <c r="Z194" s="38">
        <f t="shared" ref="Z194:Z257" si="81">(COUNTIF(C194:S194,1)+COUNTIF(C194:S194,2)+COUNTIF(C194:S194,3)+COUNTIF(C194:S194,5)+COUNTIF(C194:S194,10)+COUNTIF(C194:S194,13)+COUNTIF(C194:S194,"13P")/2+COUNTIF(C194:S194,15)+COUNTIF(C194:S194,18)+COUNTIF(C194:S194,20)+COUNTIF(C194:S194,22)+COUNTIF(C194:S194,23)+COUNTIF(C194:S194,24)+COUNTIF(C194:S194,25)+COUNTIF(C194:S194,26)+COUNTIF(C194:S194,99))*8</f>
        <v>8</v>
      </c>
      <c r="AA194" s="38">
        <f t="shared" ref="AA194:AA257" si="82">(COUNTIF(C194:S194,28)+COUNTIF(C194:S194,"28P")/2+COUNTIF(C194:S194,29))*8</f>
        <v>0</v>
      </c>
      <c r="AB194" s="38">
        <f t="shared" si="64"/>
        <v>0</v>
      </c>
      <c r="AC194" s="38">
        <f t="shared" si="65"/>
        <v>0</v>
      </c>
      <c r="AD194" s="38">
        <f t="shared" si="66"/>
        <v>0</v>
      </c>
      <c r="AE194" s="38">
        <f t="shared" si="67"/>
        <v>0</v>
      </c>
      <c r="AF194" s="38">
        <f t="shared" si="68"/>
        <v>0</v>
      </c>
      <c r="AG194" s="33">
        <f t="shared" si="69"/>
        <v>8</v>
      </c>
      <c r="AH194" s="33">
        <f t="shared" si="70"/>
        <v>8</v>
      </c>
      <c r="AI194" s="33">
        <f t="shared" si="71"/>
        <v>0</v>
      </c>
      <c r="AJ194" s="33">
        <f t="shared" si="72"/>
        <v>0</v>
      </c>
      <c r="AK194" s="34">
        <f t="shared" si="73"/>
        <v>5.6338028169014086E-2</v>
      </c>
      <c r="AL194" s="35">
        <f t="shared" si="74"/>
        <v>5.6338028169014086E-2</v>
      </c>
      <c r="AM194" s="34">
        <f t="shared" ref="AM194:AM257" si="83">(AA194+AE194)/(COUNTA($C$1:$S$1)*8+COUNTA($T$1:$T$1)*6)</f>
        <v>0</v>
      </c>
      <c r="AN194" s="36">
        <f t="shared" si="75"/>
        <v>0</v>
      </c>
      <c r="AO194" s="6">
        <f t="shared" ref="AO194:AO257" si="84">COUNTIF(C194:S194,100)*8</f>
        <v>0</v>
      </c>
      <c r="AP194">
        <f t="shared" ref="AP194:AP257" si="85">COUNTIF(C194:S194,101)*8</f>
        <v>8</v>
      </c>
      <c r="AQ194" s="6">
        <f t="shared" ref="AQ194:AQ257" si="86">COUNTIF(T194:T194,101)*6</f>
        <v>0</v>
      </c>
      <c r="AR194" s="6">
        <f t="shared" ref="AR194:AR257" si="87">COUNTIF(T194:T194,100)*6</f>
        <v>0</v>
      </c>
      <c r="AS194" s="6"/>
      <c r="AX194" s="95">
        <f t="shared" ref="AX194:AX257" si="88">A194</f>
        <v>42317</v>
      </c>
      <c r="AY194" s="96" t="str">
        <f t="shared" ref="AY194:AY257" si="89">B194</f>
        <v>seg</v>
      </c>
      <c r="AZ194" s="97">
        <f>IF(OR(AY194="SÁB",AY194="DOM"),0,IFERROR(8-VLOOKUP(C194,'Dados de consulta'!$A$2:$C$38,3,0),8))</f>
        <v>0</v>
      </c>
      <c r="BA194" s="97">
        <f>IF(OR(AY194="SÁB",AY194="DOM"),0,IFERROR(8-VLOOKUP(D194,'Dados de consulta'!$A$2:$C$38,3,0),8))</f>
        <v>8</v>
      </c>
      <c r="BB194" s="97">
        <f>IF(OR(AY194="SÁB",AY194="DOM"),0,IFERROR(8-VLOOKUP(E194,'Dados de consulta'!$A$2:$C$38,3,0),8))</f>
        <v>8</v>
      </c>
      <c r="BC194" s="97">
        <f>IF(OR(AY194="SÁB",AY194="DOM"),0,IFERROR(8-VLOOKUP(F194,'Dados de consulta'!$A$2:$C$38,3,0),8))</f>
        <v>8</v>
      </c>
      <c r="BD194" s="97">
        <f>IF(OR(AY194="SÁB",AY194="DOM"),0,IFERROR(8-VLOOKUP(G194,'Dados de consulta'!$A$2:$C$38,3,0),8))</f>
        <v>0</v>
      </c>
      <c r="BE194" s="97">
        <f>IF(OR(AY194="SÁB",AY194="DOM"),0,IFERROR(8-VLOOKUP(H194,'Dados de consulta'!$A$2:$C$38,3,0),8))</f>
        <v>8</v>
      </c>
      <c r="BF194" s="97">
        <f>IF(OR(AY194="SÁB",AY194="DOM"),0,IFERROR(8-VLOOKUP(I194,'Dados de consulta'!$A$2:$C$38,3,0),8))</f>
        <v>8</v>
      </c>
      <c r="BG194" s="97">
        <f>IF(OR(AY194="SÁB",AY194="DOM"),0,IFERROR(8-VLOOKUP(J194,'Dados de consulta'!$A$2:$C$38,3,0),8))</f>
        <v>8</v>
      </c>
      <c r="BH194" s="97">
        <f>IF(OR(AY194="SÁB",AY194="DOM"),0,IFERROR(8-VLOOKUP(K194,'Dados de consulta'!$A$2:$C$38,3,0),8))</f>
        <v>8</v>
      </c>
      <c r="BI194" s="97">
        <f>IF(OR(AY194="SÁB",AY194="DOM"),0,IFERROR(8-VLOOKUP(L194,'Dados de consulta'!$A$2:$C$38,3,0),8))</f>
        <v>8</v>
      </c>
      <c r="BJ194" s="97">
        <f>IF(OR(AY194="SÁB",AY194="DOM"),0,IFERROR(8-VLOOKUP(M194,'Dados de consulta'!$A$2:$C$38,3,0),8))</f>
        <v>0</v>
      </c>
      <c r="BK194" s="97">
        <f>IF(OR(AY194="SÁB",AY194="DOM"),0,IFERROR(8-VLOOKUP(N194,'Dados de consulta'!$A$2:$C$38,3,0),8))</f>
        <v>8</v>
      </c>
      <c r="BL194" s="97">
        <f>IF(OR(AY194="SÁB",AY194="DOM"),0,IFERROR(8-VLOOKUP(O194,'Dados de consulta'!$A$2:$C$38,3,0),8))</f>
        <v>8</v>
      </c>
      <c r="BM194" s="97">
        <f>IF(OR(AY194="SÁB",AY194="DOM"),0,IFERROR(8-VLOOKUP(P194,'Dados de consulta'!$A$2:$C$38,3,0),8))</f>
        <v>8</v>
      </c>
      <c r="BN194" s="97">
        <f>IF(OR(AY194="SÁB",AY194="DOM"),0,IFERROR(8-VLOOKUP(Q194,'Dados de consulta'!$A$2:$C$38,3,0),8))</f>
        <v>8</v>
      </c>
      <c r="BO194" s="97">
        <f>IF(OR(AY194="SÁB",AY194="DOM"),0,IFERROR(8-VLOOKUP(R194,'Dados de consulta'!$A$2:$C$38,3,0),8))</f>
        <v>8</v>
      </c>
      <c r="BP194" s="97">
        <f>IF(OR(AY194="SÁB",AY194="DOM"),0,IFERROR(8-VLOOKUP(S194,'Dados de consulta'!$A$2:$C$38,3,0),8))</f>
        <v>8</v>
      </c>
      <c r="BQ194" s="113">
        <f>IFERROR(6-VLOOKUP(T194,'Dados de consulta'!$A$2:$C$38,3,0)+2,6)</f>
        <v>6</v>
      </c>
      <c r="BR194" s="114">
        <f t="shared" si="76"/>
        <v>118</v>
      </c>
      <c r="BS194">
        <f t="shared" si="78"/>
        <v>134</v>
      </c>
      <c r="BU194">
        <f>IFERROR(8-VLOOKUP(U194,'Dados de consulta'!$A:$D,3,0),8)</f>
        <v>0</v>
      </c>
      <c r="BV194">
        <f>IFERROR(8-VLOOKUP(V194,'Dados de consulta'!$A:$D,3,0),8)</f>
        <v>8</v>
      </c>
      <c r="BW194">
        <f t="shared" si="77"/>
        <v>8</v>
      </c>
    </row>
    <row r="195" spans="1:75" ht="15" hidden="1" x14ac:dyDescent="0.2">
      <c r="A195" s="98">
        <v>42318</v>
      </c>
      <c r="B195" s="129" t="str">
        <f t="shared" si="79"/>
        <v>ter</v>
      </c>
      <c r="C195" s="132"/>
      <c r="D195" s="132"/>
      <c r="E195" s="132"/>
      <c r="F195" s="132"/>
      <c r="G195" s="132">
        <v>4</v>
      </c>
      <c r="H195" s="132"/>
      <c r="I195" s="132"/>
      <c r="J195" s="132"/>
      <c r="K195" s="132"/>
      <c r="L195" s="132"/>
      <c r="M195" s="132">
        <v>101</v>
      </c>
      <c r="N195" s="132"/>
      <c r="O195" s="132"/>
      <c r="P195" s="132"/>
      <c r="Q195" s="132"/>
      <c r="R195" s="132"/>
      <c r="S195" s="132"/>
      <c r="T195" s="132"/>
      <c r="U195" s="151">
        <v>101</v>
      </c>
      <c r="V195" s="151"/>
      <c r="W195" s="307" t="s">
        <v>193</v>
      </c>
      <c r="X195" s="308"/>
      <c r="Y195" s="38">
        <f t="shared" si="80"/>
        <v>8</v>
      </c>
      <c r="Z195" s="38">
        <f t="shared" si="81"/>
        <v>0</v>
      </c>
      <c r="AA195" s="38">
        <f t="shared" si="82"/>
        <v>0</v>
      </c>
      <c r="AB195" s="38">
        <f t="shared" ref="AB195:AB258" si="90">(COUNTIF(C195:S195,6)+COUNTIF(C195:S195,"6P")/2+COUNTIF(C195:S195,7)+COUNTIF(C195:S195,11)+COUNTIF(C195:S195,12)+COUNTIF(C195:S195,19))*8</f>
        <v>0</v>
      </c>
      <c r="AC195" s="38">
        <f t="shared" ref="AC195:AC258" si="91">(COUNTIF(T195,4)+COUNTIF(T195,8)+COUNTIF(T195,"8P")+COUNTIF(T195,9)+COUNTIF(T195,"9P")+COUNTIF(T195,14))*6</f>
        <v>0</v>
      </c>
      <c r="AD195" s="38">
        <f t="shared" ref="AD195:AD258" si="92">(COUNTIF(T195,1)+COUNTIF(T195,2)+COUNTIF(T195,3)+COUNTIF(T195,5)+COUNTIF(T195,10)+COUNTIF(T195,13)+COUNTIF(T195,"13P")+COUNTIF(T195,15)+COUNTIF(T195,16)+COUNTIF(T195,18)+COUNTIF(T195,20)+COUNTIF(T195,21)+COUNTIF(T195,22)+COUNTIF(T195,23)+COUNTIF(T195,24)+COUNTIF(T195,25)+COUNTIF(T195,26)+COUNTIF(T195,99))*6</f>
        <v>0</v>
      </c>
      <c r="AE195" s="38">
        <f t="shared" ref="AE195:AE258" si="93">(COUNTIF(T195,28)+COUNTIF(T195,"28P")+COUNTIF(T195,29))*6</f>
        <v>0</v>
      </c>
      <c r="AF195" s="38">
        <f t="shared" ref="AF195:AF258" si="94">(COUNTIF(T195,6)+COUNTIF(T195,"6P")+COUNTIF(T195,7)+COUNTIF(T195,11)+COUNTIF(T195,12))*6</f>
        <v>0</v>
      </c>
      <c r="AG195" s="33">
        <f t="shared" ref="AG195:AG258" si="95">IF(OR(B195="SÁB",B195="DOM"),0,Y195+AC195)</f>
        <v>8</v>
      </c>
      <c r="AH195" s="33">
        <f t="shared" ref="AH195:AH258" si="96">IF(OR(B195="SÁB",B195="DOM"),0,Z195+AD195)</f>
        <v>0</v>
      </c>
      <c r="AI195" s="33">
        <f t="shared" ref="AI195:AI258" si="97">IF(OR(B195="SÁB",B195="DOM"),0,AA195+AE195)</f>
        <v>0</v>
      </c>
      <c r="AJ195" s="33">
        <f t="shared" ref="AJ195:AJ258" si="98">IF(OR(B195="SÁB",B195="DOM"),0,AB195+AF195)</f>
        <v>0</v>
      </c>
      <c r="AK195" s="34">
        <f t="shared" ref="AK195:AK258" si="99">AG195/(COUNTA($C$1:$S$1)*8+6)</f>
        <v>5.6338028169014086E-2</v>
      </c>
      <c r="AL195" s="35">
        <f t="shared" ref="AL195:AL258" si="100">AH195/(COUNTA($C$1:$S$1)*8+6)</f>
        <v>0</v>
      </c>
      <c r="AM195" s="34">
        <f t="shared" si="83"/>
        <v>0</v>
      </c>
      <c r="AN195" s="36">
        <f t="shared" ref="AN195:AN258" si="101">AJ195/(COUNTA($C$1:$S$1)*8+6)</f>
        <v>0</v>
      </c>
      <c r="AO195" s="6">
        <f t="shared" si="84"/>
        <v>0</v>
      </c>
      <c r="AP195">
        <f t="shared" si="85"/>
        <v>8</v>
      </c>
      <c r="AQ195" s="6">
        <f t="shared" si="86"/>
        <v>0</v>
      </c>
      <c r="AR195" s="6">
        <f t="shared" si="87"/>
        <v>0</v>
      </c>
      <c r="AS195" s="6"/>
      <c r="AX195" s="95">
        <f t="shared" si="88"/>
        <v>42318</v>
      </c>
      <c r="AY195" s="96" t="str">
        <f t="shared" si="89"/>
        <v>ter</v>
      </c>
      <c r="AZ195" s="97">
        <f>IF(OR(AY195="SÁB",AY195="DOM"),0,IFERROR(8-VLOOKUP(C195,'Dados de consulta'!$A$2:$C$38,3,0),8))</f>
        <v>8</v>
      </c>
      <c r="BA195" s="97">
        <f>IF(OR(AY195="SÁB",AY195="DOM"),0,IFERROR(8-VLOOKUP(D195,'Dados de consulta'!$A$2:$C$38,3,0),8))</f>
        <v>8</v>
      </c>
      <c r="BB195" s="97">
        <f>IF(OR(AY195="SÁB",AY195="DOM"),0,IFERROR(8-VLOOKUP(E195,'Dados de consulta'!$A$2:$C$38,3,0),8))</f>
        <v>8</v>
      </c>
      <c r="BC195" s="97">
        <f>IF(OR(AY195="SÁB",AY195="DOM"),0,IFERROR(8-VLOOKUP(F195,'Dados de consulta'!$A$2:$C$38,3,0),8))</f>
        <v>8</v>
      </c>
      <c r="BD195" s="97">
        <f>IF(OR(AY195="SÁB",AY195="DOM"),0,IFERROR(8-VLOOKUP(G195,'Dados de consulta'!$A$2:$C$38,3,0),8))</f>
        <v>0</v>
      </c>
      <c r="BE195" s="97">
        <f>IF(OR(AY195="SÁB",AY195="DOM"),0,IFERROR(8-VLOOKUP(H195,'Dados de consulta'!$A$2:$C$38,3,0),8))</f>
        <v>8</v>
      </c>
      <c r="BF195" s="97">
        <f>IF(OR(AY195="SÁB",AY195="DOM"),0,IFERROR(8-VLOOKUP(I195,'Dados de consulta'!$A$2:$C$38,3,0),8))</f>
        <v>8</v>
      </c>
      <c r="BG195" s="97">
        <f>IF(OR(AY195="SÁB",AY195="DOM"),0,IFERROR(8-VLOOKUP(J195,'Dados de consulta'!$A$2:$C$38,3,0),8))</f>
        <v>8</v>
      </c>
      <c r="BH195" s="97">
        <f>IF(OR(AY195="SÁB",AY195="DOM"),0,IFERROR(8-VLOOKUP(K195,'Dados de consulta'!$A$2:$C$38,3,0),8))</f>
        <v>8</v>
      </c>
      <c r="BI195" s="97">
        <f>IF(OR(AY195="SÁB",AY195="DOM"),0,IFERROR(8-VLOOKUP(L195,'Dados de consulta'!$A$2:$C$38,3,0),8))</f>
        <v>8</v>
      </c>
      <c r="BJ195" s="97">
        <f>IF(OR(AY195="SÁB",AY195="DOM"),0,IFERROR(8-VLOOKUP(M195,'Dados de consulta'!$A$2:$C$38,3,0),8))</f>
        <v>0</v>
      </c>
      <c r="BK195" s="97">
        <f>IF(OR(AY195="SÁB",AY195="DOM"),0,IFERROR(8-VLOOKUP(N195,'Dados de consulta'!$A$2:$C$38,3,0),8))</f>
        <v>8</v>
      </c>
      <c r="BL195" s="97">
        <f>IF(OR(AY195="SÁB",AY195="DOM"),0,IFERROR(8-VLOOKUP(O195,'Dados de consulta'!$A$2:$C$38,3,0),8))</f>
        <v>8</v>
      </c>
      <c r="BM195" s="97">
        <f>IF(OR(AY195="SÁB",AY195="DOM"),0,IFERROR(8-VLOOKUP(P195,'Dados de consulta'!$A$2:$C$38,3,0),8))</f>
        <v>8</v>
      </c>
      <c r="BN195" s="97">
        <f>IF(OR(AY195="SÁB",AY195="DOM"),0,IFERROR(8-VLOOKUP(Q195,'Dados de consulta'!$A$2:$C$38,3,0),8))</f>
        <v>8</v>
      </c>
      <c r="BO195" s="97">
        <f>IF(OR(AY195="SÁB",AY195="DOM"),0,IFERROR(8-VLOOKUP(R195,'Dados de consulta'!$A$2:$C$38,3,0),8))</f>
        <v>8</v>
      </c>
      <c r="BP195" s="97">
        <f>IF(OR(AY195="SÁB",AY195="DOM"),0,IFERROR(8-VLOOKUP(S195,'Dados de consulta'!$A$2:$C$38,3,0),8))</f>
        <v>8</v>
      </c>
      <c r="BQ195" s="113">
        <f>IFERROR(6-VLOOKUP(T195,'Dados de consulta'!$A$2:$C$38,3,0)+2,6)</f>
        <v>6</v>
      </c>
      <c r="BR195" s="114">
        <f t="shared" ref="BR195:BR258" si="102">IF(OR(AY195="SÁB",AY195="DOM"),0,SUM(AZ195:BQ195))</f>
        <v>126</v>
      </c>
      <c r="BS195">
        <f t="shared" si="78"/>
        <v>134</v>
      </c>
      <c r="BU195">
        <f>IFERROR(8-VLOOKUP(U195,'Dados de consulta'!$A:$D,3,0),8)</f>
        <v>0</v>
      </c>
      <c r="BV195">
        <f>IFERROR(8-VLOOKUP(V195,'Dados de consulta'!$A:$D,3,0),8)</f>
        <v>8</v>
      </c>
      <c r="BW195">
        <f t="shared" ref="BW195:BW258" si="103">BU195+BV195</f>
        <v>8</v>
      </c>
    </row>
    <row r="196" spans="1:75" ht="15" hidden="1" x14ac:dyDescent="0.2">
      <c r="A196" s="98">
        <v>42319</v>
      </c>
      <c r="B196" s="129" t="str">
        <f t="shared" si="79"/>
        <v>qua</v>
      </c>
      <c r="C196" s="132"/>
      <c r="D196" s="132"/>
      <c r="E196" s="132"/>
      <c r="F196" s="132"/>
      <c r="G196" s="132">
        <v>4</v>
      </c>
      <c r="H196" s="132"/>
      <c r="I196" s="132"/>
      <c r="J196" s="132"/>
      <c r="K196" s="132"/>
      <c r="L196" s="132"/>
      <c r="M196" s="132">
        <v>101</v>
      </c>
      <c r="N196" s="132"/>
      <c r="O196" s="132"/>
      <c r="P196" s="132"/>
      <c r="Q196" s="132"/>
      <c r="R196" s="132"/>
      <c r="S196" s="132"/>
      <c r="T196" s="132"/>
      <c r="U196" s="151"/>
      <c r="V196" s="151"/>
      <c r="W196" s="307" t="s">
        <v>193</v>
      </c>
      <c r="X196" s="308"/>
      <c r="Y196" s="38">
        <f t="shared" si="80"/>
        <v>8</v>
      </c>
      <c r="Z196" s="38">
        <f t="shared" si="81"/>
        <v>0</v>
      </c>
      <c r="AA196" s="38">
        <f t="shared" si="82"/>
        <v>0</v>
      </c>
      <c r="AB196" s="38">
        <f t="shared" si="90"/>
        <v>0</v>
      </c>
      <c r="AC196" s="38">
        <f t="shared" si="91"/>
        <v>0</v>
      </c>
      <c r="AD196" s="38">
        <f t="shared" si="92"/>
        <v>0</v>
      </c>
      <c r="AE196" s="38">
        <f t="shared" si="93"/>
        <v>0</v>
      </c>
      <c r="AF196" s="38">
        <f t="shared" si="94"/>
        <v>0</v>
      </c>
      <c r="AG196" s="33">
        <f t="shared" si="95"/>
        <v>8</v>
      </c>
      <c r="AH196" s="33">
        <f t="shared" si="96"/>
        <v>0</v>
      </c>
      <c r="AI196" s="33">
        <f t="shared" si="97"/>
        <v>0</v>
      </c>
      <c r="AJ196" s="33">
        <f t="shared" si="98"/>
        <v>0</v>
      </c>
      <c r="AK196" s="34">
        <f t="shared" si="99"/>
        <v>5.6338028169014086E-2</v>
      </c>
      <c r="AL196" s="35">
        <f t="shared" si="100"/>
        <v>0</v>
      </c>
      <c r="AM196" s="34">
        <f t="shared" si="83"/>
        <v>0</v>
      </c>
      <c r="AN196" s="36">
        <f t="shared" si="101"/>
        <v>0</v>
      </c>
      <c r="AO196" s="6">
        <f t="shared" si="84"/>
        <v>0</v>
      </c>
      <c r="AP196">
        <f t="shared" si="85"/>
        <v>8</v>
      </c>
      <c r="AQ196" s="6">
        <f t="shared" si="86"/>
        <v>0</v>
      </c>
      <c r="AR196" s="6">
        <f t="shared" si="87"/>
        <v>0</v>
      </c>
      <c r="AS196" s="6"/>
      <c r="AX196" s="95">
        <f t="shared" si="88"/>
        <v>42319</v>
      </c>
      <c r="AY196" s="96" t="str">
        <f t="shared" si="89"/>
        <v>qua</v>
      </c>
      <c r="AZ196" s="97">
        <f>IF(OR(AY196="SÁB",AY196="DOM"),0,IFERROR(8-VLOOKUP(C196,'Dados de consulta'!$A$2:$C$38,3,0),8))</f>
        <v>8</v>
      </c>
      <c r="BA196" s="97">
        <f>IF(OR(AY196="SÁB",AY196="DOM"),0,IFERROR(8-VLOOKUP(D196,'Dados de consulta'!$A$2:$C$38,3,0),8))</f>
        <v>8</v>
      </c>
      <c r="BB196" s="97">
        <f>IF(OR(AY196="SÁB",AY196="DOM"),0,IFERROR(8-VLOOKUP(E196,'Dados de consulta'!$A$2:$C$38,3,0),8))</f>
        <v>8</v>
      </c>
      <c r="BC196" s="97">
        <f>IF(OR(AY196="SÁB",AY196="DOM"),0,IFERROR(8-VLOOKUP(F196,'Dados de consulta'!$A$2:$C$38,3,0),8))</f>
        <v>8</v>
      </c>
      <c r="BD196" s="97">
        <f>IF(OR(AY196="SÁB",AY196="DOM"),0,IFERROR(8-VLOOKUP(G196,'Dados de consulta'!$A$2:$C$38,3,0),8))</f>
        <v>0</v>
      </c>
      <c r="BE196" s="97">
        <f>IF(OR(AY196="SÁB",AY196="DOM"),0,IFERROR(8-VLOOKUP(H196,'Dados de consulta'!$A$2:$C$38,3,0),8))</f>
        <v>8</v>
      </c>
      <c r="BF196" s="97">
        <f>IF(OR(AY196="SÁB",AY196="DOM"),0,IFERROR(8-VLOOKUP(I196,'Dados de consulta'!$A$2:$C$38,3,0),8))</f>
        <v>8</v>
      </c>
      <c r="BG196" s="97">
        <f>IF(OR(AY196="SÁB",AY196="DOM"),0,IFERROR(8-VLOOKUP(J196,'Dados de consulta'!$A$2:$C$38,3,0),8))</f>
        <v>8</v>
      </c>
      <c r="BH196" s="97">
        <f>IF(OR(AY196="SÁB",AY196="DOM"),0,IFERROR(8-VLOOKUP(K196,'Dados de consulta'!$A$2:$C$38,3,0),8))</f>
        <v>8</v>
      </c>
      <c r="BI196" s="97">
        <f>IF(OR(AY196="SÁB",AY196="DOM"),0,IFERROR(8-VLOOKUP(L196,'Dados de consulta'!$A$2:$C$38,3,0),8))</f>
        <v>8</v>
      </c>
      <c r="BJ196" s="97">
        <f>IF(OR(AY196="SÁB",AY196="DOM"),0,IFERROR(8-VLOOKUP(M196,'Dados de consulta'!$A$2:$C$38,3,0),8))</f>
        <v>0</v>
      </c>
      <c r="BK196" s="97">
        <f>IF(OR(AY196="SÁB",AY196="DOM"),0,IFERROR(8-VLOOKUP(N196,'Dados de consulta'!$A$2:$C$38,3,0),8))</f>
        <v>8</v>
      </c>
      <c r="BL196" s="97">
        <f>IF(OR(AY196="SÁB",AY196="DOM"),0,IFERROR(8-VLOOKUP(O196,'Dados de consulta'!$A$2:$C$38,3,0),8))</f>
        <v>8</v>
      </c>
      <c r="BM196" s="97">
        <f>IF(OR(AY196="SÁB",AY196="DOM"),0,IFERROR(8-VLOOKUP(P196,'Dados de consulta'!$A$2:$C$38,3,0),8))</f>
        <v>8</v>
      </c>
      <c r="BN196" s="97">
        <f>IF(OR(AY196="SÁB",AY196="DOM"),0,IFERROR(8-VLOOKUP(Q196,'Dados de consulta'!$A$2:$C$38,3,0),8))</f>
        <v>8</v>
      </c>
      <c r="BO196" s="97">
        <f>IF(OR(AY196="SÁB",AY196="DOM"),0,IFERROR(8-VLOOKUP(R196,'Dados de consulta'!$A$2:$C$38,3,0),8))</f>
        <v>8</v>
      </c>
      <c r="BP196" s="97">
        <f>IF(OR(AY196="SÁB",AY196="DOM"),0,IFERROR(8-VLOOKUP(S196,'Dados de consulta'!$A$2:$C$38,3,0),8))</f>
        <v>8</v>
      </c>
      <c r="BQ196" s="113">
        <f>IFERROR(6-VLOOKUP(T196,'Dados de consulta'!$A$2:$C$38,3,0)+2,6)</f>
        <v>6</v>
      </c>
      <c r="BR196" s="114">
        <f t="shared" si="102"/>
        <v>126</v>
      </c>
      <c r="BS196">
        <f t="shared" si="78"/>
        <v>134</v>
      </c>
      <c r="BU196">
        <f>IFERROR(8-VLOOKUP(U196,'Dados de consulta'!$A:$D,3,0),8)</f>
        <v>8</v>
      </c>
      <c r="BV196">
        <f>IFERROR(8-VLOOKUP(V196,'Dados de consulta'!$A:$D,3,0),8)</f>
        <v>8</v>
      </c>
      <c r="BW196">
        <f t="shared" si="103"/>
        <v>16</v>
      </c>
    </row>
    <row r="197" spans="1:75" ht="15" hidden="1" x14ac:dyDescent="0.2">
      <c r="A197" s="98">
        <v>42320</v>
      </c>
      <c r="B197" s="129" t="str">
        <f t="shared" si="79"/>
        <v>qui</v>
      </c>
      <c r="C197" s="132"/>
      <c r="D197" s="132"/>
      <c r="E197" s="132"/>
      <c r="F197" s="132"/>
      <c r="G197" s="132">
        <v>4</v>
      </c>
      <c r="H197" s="132"/>
      <c r="I197" s="132"/>
      <c r="J197" s="132"/>
      <c r="K197" s="132"/>
      <c r="L197" s="132"/>
      <c r="M197" s="132">
        <v>101</v>
      </c>
      <c r="N197" s="132"/>
      <c r="O197" s="132"/>
      <c r="P197" s="132"/>
      <c r="Q197" s="132"/>
      <c r="R197" s="132"/>
      <c r="S197" s="132"/>
      <c r="T197" s="132"/>
      <c r="U197" s="151"/>
      <c r="V197" s="151"/>
      <c r="W197" s="307" t="s">
        <v>193</v>
      </c>
      <c r="X197" s="308"/>
      <c r="Y197" s="38">
        <f t="shared" si="80"/>
        <v>8</v>
      </c>
      <c r="Z197" s="38">
        <f t="shared" si="81"/>
        <v>0</v>
      </c>
      <c r="AA197" s="38">
        <f t="shared" si="82"/>
        <v>0</v>
      </c>
      <c r="AB197" s="38">
        <f t="shared" si="90"/>
        <v>0</v>
      </c>
      <c r="AC197" s="38">
        <f t="shared" si="91"/>
        <v>0</v>
      </c>
      <c r="AD197" s="38">
        <f t="shared" si="92"/>
        <v>0</v>
      </c>
      <c r="AE197" s="38">
        <f t="shared" si="93"/>
        <v>0</v>
      </c>
      <c r="AF197" s="38">
        <f t="shared" si="94"/>
        <v>0</v>
      </c>
      <c r="AG197" s="33">
        <f t="shared" si="95"/>
        <v>8</v>
      </c>
      <c r="AH197" s="33">
        <f t="shared" si="96"/>
        <v>0</v>
      </c>
      <c r="AI197" s="33">
        <f t="shared" si="97"/>
        <v>0</v>
      </c>
      <c r="AJ197" s="33">
        <f t="shared" si="98"/>
        <v>0</v>
      </c>
      <c r="AK197" s="34">
        <f t="shared" si="99"/>
        <v>5.6338028169014086E-2</v>
      </c>
      <c r="AL197" s="35">
        <f t="shared" si="100"/>
        <v>0</v>
      </c>
      <c r="AM197" s="34">
        <f t="shared" si="83"/>
        <v>0</v>
      </c>
      <c r="AN197" s="36">
        <f t="shared" si="101"/>
        <v>0</v>
      </c>
      <c r="AO197" s="6">
        <f t="shared" si="84"/>
        <v>0</v>
      </c>
      <c r="AP197">
        <f t="shared" si="85"/>
        <v>8</v>
      </c>
      <c r="AQ197" s="6">
        <f t="shared" si="86"/>
        <v>0</v>
      </c>
      <c r="AR197" s="6">
        <f t="shared" si="87"/>
        <v>0</v>
      </c>
      <c r="AS197" s="6"/>
      <c r="AX197" s="95">
        <f t="shared" si="88"/>
        <v>42320</v>
      </c>
      <c r="AY197" s="96" t="str">
        <f t="shared" si="89"/>
        <v>qui</v>
      </c>
      <c r="AZ197" s="97">
        <f>IF(OR(AY197="SÁB",AY197="DOM"),0,IFERROR(8-VLOOKUP(C197,'Dados de consulta'!$A$2:$C$38,3,0),8))</f>
        <v>8</v>
      </c>
      <c r="BA197" s="97">
        <f>IF(OR(AY197="SÁB",AY197="DOM"),0,IFERROR(8-VLOOKUP(D197,'Dados de consulta'!$A$2:$C$38,3,0),8))</f>
        <v>8</v>
      </c>
      <c r="BB197" s="97">
        <f>IF(OR(AY197="SÁB",AY197="DOM"),0,IFERROR(8-VLOOKUP(E197,'Dados de consulta'!$A$2:$C$38,3,0),8))</f>
        <v>8</v>
      </c>
      <c r="BC197" s="97">
        <f>IF(OR(AY197="SÁB",AY197="DOM"),0,IFERROR(8-VLOOKUP(F197,'Dados de consulta'!$A$2:$C$38,3,0),8))</f>
        <v>8</v>
      </c>
      <c r="BD197" s="97">
        <f>IF(OR(AY197="SÁB",AY197="DOM"),0,IFERROR(8-VLOOKUP(G197,'Dados de consulta'!$A$2:$C$38,3,0),8))</f>
        <v>0</v>
      </c>
      <c r="BE197" s="97">
        <f>IF(OR(AY197="SÁB",AY197="DOM"),0,IFERROR(8-VLOOKUP(H197,'Dados de consulta'!$A$2:$C$38,3,0),8))</f>
        <v>8</v>
      </c>
      <c r="BF197" s="97">
        <f>IF(OR(AY197="SÁB",AY197="DOM"),0,IFERROR(8-VLOOKUP(I197,'Dados de consulta'!$A$2:$C$38,3,0),8))</f>
        <v>8</v>
      </c>
      <c r="BG197" s="97">
        <f>IF(OR(AY197="SÁB",AY197="DOM"),0,IFERROR(8-VLOOKUP(J197,'Dados de consulta'!$A$2:$C$38,3,0),8))</f>
        <v>8</v>
      </c>
      <c r="BH197" s="97">
        <f>IF(OR(AY197="SÁB",AY197="DOM"),0,IFERROR(8-VLOOKUP(K197,'Dados de consulta'!$A$2:$C$38,3,0),8))</f>
        <v>8</v>
      </c>
      <c r="BI197" s="97">
        <f>IF(OR(AY197="SÁB",AY197="DOM"),0,IFERROR(8-VLOOKUP(L197,'Dados de consulta'!$A$2:$C$38,3,0),8))</f>
        <v>8</v>
      </c>
      <c r="BJ197" s="97">
        <f>IF(OR(AY197="SÁB",AY197="DOM"),0,IFERROR(8-VLOOKUP(M197,'Dados de consulta'!$A$2:$C$38,3,0),8))</f>
        <v>0</v>
      </c>
      <c r="BK197" s="97">
        <f>IF(OR(AY197="SÁB",AY197="DOM"),0,IFERROR(8-VLOOKUP(N197,'Dados de consulta'!$A$2:$C$38,3,0),8))</f>
        <v>8</v>
      </c>
      <c r="BL197" s="97">
        <f>IF(OR(AY197="SÁB",AY197="DOM"),0,IFERROR(8-VLOOKUP(O197,'Dados de consulta'!$A$2:$C$38,3,0),8))</f>
        <v>8</v>
      </c>
      <c r="BM197" s="97">
        <f>IF(OR(AY197="SÁB",AY197="DOM"),0,IFERROR(8-VLOOKUP(P197,'Dados de consulta'!$A$2:$C$38,3,0),8))</f>
        <v>8</v>
      </c>
      <c r="BN197" s="97">
        <f>IF(OR(AY197="SÁB",AY197="DOM"),0,IFERROR(8-VLOOKUP(Q197,'Dados de consulta'!$A$2:$C$38,3,0),8))</f>
        <v>8</v>
      </c>
      <c r="BO197" s="97">
        <f>IF(OR(AY197="SÁB",AY197="DOM"),0,IFERROR(8-VLOOKUP(R197,'Dados de consulta'!$A$2:$C$38,3,0),8))</f>
        <v>8</v>
      </c>
      <c r="BP197" s="97">
        <f>IF(OR(AY197="SÁB",AY197="DOM"),0,IFERROR(8-VLOOKUP(S197,'Dados de consulta'!$A$2:$C$38,3,0),8))</f>
        <v>8</v>
      </c>
      <c r="BQ197" s="113">
        <f>IFERROR(6-VLOOKUP(T197,'Dados de consulta'!$A$2:$C$38,3,0)+2,6)</f>
        <v>6</v>
      </c>
      <c r="BR197" s="114">
        <f t="shared" si="102"/>
        <v>126</v>
      </c>
      <c r="BS197">
        <f t="shared" si="78"/>
        <v>134</v>
      </c>
      <c r="BU197">
        <f>IFERROR(8-VLOOKUP(U197,'Dados de consulta'!$A:$D,3,0),8)</f>
        <v>8</v>
      </c>
      <c r="BV197">
        <f>IFERROR(8-VLOOKUP(V197,'Dados de consulta'!$A:$D,3,0),8)</f>
        <v>8</v>
      </c>
      <c r="BW197">
        <f t="shared" si="103"/>
        <v>16</v>
      </c>
    </row>
    <row r="198" spans="1:75" ht="15" hidden="1" x14ac:dyDescent="0.2">
      <c r="A198" s="98">
        <v>42321</v>
      </c>
      <c r="B198" s="129" t="str">
        <f t="shared" si="79"/>
        <v>sex</v>
      </c>
      <c r="C198" s="132"/>
      <c r="D198" s="132"/>
      <c r="E198" s="132"/>
      <c r="F198" s="132"/>
      <c r="G198" s="132">
        <v>4</v>
      </c>
      <c r="H198" s="132"/>
      <c r="I198" s="132"/>
      <c r="J198" s="132"/>
      <c r="K198" s="132"/>
      <c r="L198" s="132"/>
      <c r="M198" s="132">
        <v>101</v>
      </c>
      <c r="N198" s="132"/>
      <c r="O198" s="132"/>
      <c r="P198" s="132"/>
      <c r="Q198" s="132"/>
      <c r="R198" s="132"/>
      <c r="S198" s="132"/>
      <c r="T198" s="132"/>
      <c r="U198" s="151"/>
      <c r="V198" s="151"/>
      <c r="W198" s="307" t="s">
        <v>193</v>
      </c>
      <c r="X198" s="308"/>
      <c r="Y198" s="38">
        <f t="shared" si="80"/>
        <v>8</v>
      </c>
      <c r="Z198" s="38">
        <f t="shared" si="81"/>
        <v>0</v>
      </c>
      <c r="AA198" s="38">
        <f t="shared" si="82"/>
        <v>0</v>
      </c>
      <c r="AB198" s="38">
        <f t="shared" si="90"/>
        <v>0</v>
      </c>
      <c r="AC198" s="38">
        <f t="shared" si="91"/>
        <v>0</v>
      </c>
      <c r="AD198" s="38">
        <f t="shared" si="92"/>
        <v>0</v>
      </c>
      <c r="AE198" s="38">
        <f t="shared" si="93"/>
        <v>0</v>
      </c>
      <c r="AF198" s="38">
        <f t="shared" si="94"/>
        <v>0</v>
      </c>
      <c r="AG198" s="33">
        <f t="shared" si="95"/>
        <v>8</v>
      </c>
      <c r="AH198" s="33">
        <f t="shared" si="96"/>
        <v>0</v>
      </c>
      <c r="AI198" s="33">
        <f t="shared" si="97"/>
        <v>0</v>
      </c>
      <c r="AJ198" s="33">
        <f t="shared" si="98"/>
        <v>0</v>
      </c>
      <c r="AK198" s="34">
        <f t="shared" si="99"/>
        <v>5.6338028169014086E-2</v>
      </c>
      <c r="AL198" s="35">
        <f t="shared" si="100"/>
        <v>0</v>
      </c>
      <c r="AM198" s="34">
        <f t="shared" si="83"/>
        <v>0</v>
      </c>
      <c r="AN198" s="36">
        <f t="shared" si="101"/>
        <v>0</v>
      </c>
      <c r="AO198" s="6">
        <f t="shared" si="84"/>
        <v>0</v>
      </c>
      <c r="AP198">
        <f t="shared" si="85"/>
        <v>8</v>
      </c>
      <c r="AQ198" s="6">
        <f t="shared" si="86"/>
        <v>0</v>
      </c>
      <c r="AR198" s="6">
        <f t="shared" si="87"/>
        <v>0</v>
      </c>
      <c r="AS198" s="6"/>
      <c r="AX198" s="95">
        <f t="shared" si="88"/>
        <v>42321</v>
      </c>
      <c r="AY198" s="96" t="str">
        <f t="shared" si="89"/>
        <v>sex</v>
      </c>
      <c r="AZ198" s="97">
        <f>IF(OR(AY198="SÁB",AY198="DOM"),0,IFERROR(8-VLOOKUP(C198,'Dados de consulta'!$A$2:$C$38,3,0),8))</f>
        <v>8</v>
      </c>
      <c r="BA198" s="97">
        <f>IF(OR(AY198="SÁB",AY198="DOM"),0,IFERROR(8-VLOOKUP(D198,'Dados de consulta'!$A$2:$C$38,3,0),8))</f>
        <v>8</v>
      </c>
      <c r="BB198" s="97">
        <f>IF(OR(AY198="SÁB",AY198="DOM"),0,IFERROR(8-VLOOKUP(E198,'Dados de consulta'!$A$2:$C$38,3,0),8))</f>
        <v>8</v>
      </c>
      <c r="BC198" s="97">
        <f>IF(OR(AY198="SÁB",AY198="DOM"),0,IFERROR(8-VLOOKUP(F198,'Dados de consulta'!$A$2:$C$38,3,0),8))</f>
        <v>8</v>
      </c>
      <c r="BD198" s="97">
        <f>IF(OR(AY198="SÁB",AY198="DOM"),0,IFERROR(8-VLOOKUP(G198,'Dados de consulta'!$A$2:$C$38,3,0),8))</f>
        <v>0</v>
      </c>
      <c r="BE198" s="97">
        <f>IF(OR(AY198="SÁB",AY198="DOM"),0,IFERROR(8-VLOOKUP(H198,'Dados de consulta'!$A$2:$C$38,3,0),8))</f>
        <v>8</v>
      </c>
      <c r="BF198" s="97">
        <f>IF(OR(AY198="SÁB",AY198="DOM"),0,IFERROR(8-VLOOKUP(I198,'Dados de consulta'!$A$2:$C$38,3,0),8))</f>
        <v>8</v>
      </c>
      <c r="BG198" s="97">
        <f>IF(OR(AY198="SÁB",AY198="DOM"),0,IFERROR(8-VLOOKUP(J198,'Dados de consulta'!$A$2:$C$38,3,0),8))</f>
        <v>8</v>
      </c>
      <c r="BH198" s="97">
        <f>IF(OR(AY198="SÁB",AY198="DOM"),0,IFERROR(8-VLOOKUP(K198,'Dados de consulta'!$A$2:$C$38,3,0),8))</f>
        <v>8</v>
      </c>
      <c r="BI198" s="97">
        <f>IF(OR(AY198="SÁB",AY198="DOM"),0,IFERROR(8-VLOOKUP(L198,'Dados de consulta'!$A$2:$C$38,3,0),8))</f>
        <v>8</v>
      </c>
      <c r="BJ198" s="97">
        <f>IF(OR(AY198="SÁB",AY198="DOM"),0,IFERROR(8-VLOOKUP(M198,'Dados de consulta'!$A$2:$C$38,3,0),8))</f>
        <v>0</v>
      </c>
      <c r="BK198" s="97">
        <f>IF(OR(AY198="SÁB",AY198="DOM"),0,IFERROR(8-VLOOKUP(N198,'Dados de consulta'!$A$2:$C$38,3,0),8))</f>
        <v>8</v>
      </c>
      <c r="BL198" s="97">
        <f>IF(OR(AY198="SÁB",AY198="DOM"),0,IFERROR(8-VLOOKUP(O198,'Dados de consulta'!$A$2:$C$38,3,0),8))</f>
        <v>8</v>
      </c>
      <c r="BM198" s="97">
        <f>IF(OR(AY198="SÁB",AY198="DOM"),0,IFERROR(8-VLOOKUP(P198,'Dados de consulta'!$A$2:$C$38,3,0),8))</f>
        <v>8</v>
      </c>
      <c r="BN198" s="97">
        <f>IF(OR(AY198="SÁB",AY198="DOM"),0,IFERROR(8-VLOOKUP(Q198,'Dados de consulta'!$A$2:$C$38,3,0),8))</f>
        <v>8</v>
      </c>
      <c r="BO198" s="97">
        <f>IF(OR(AY198="SÁB",AY198="DOM"),0,IFERROR(8-VLOOKUP(R198,'Dados de consulta'!$A$2:$C$38,3,0),8))</f>
        <v>8</v>
      </c>
      <c r="BP198" s="97">
        <f>IF(OR(AY198="SÁB",AY198="DOM"),0,IFERROR(8-VLOOKUP(S198,'Dados de consulta'!$A$2:$C$38,3,0),8))</f>
        <v>8</v>
      </c>
      <c r="BQ198" s="113">
        <f>IFERROR(6-VLOOKUP(T198,'Dados de consulta'!$A$2:$C$38,3,0)+2,6)</f>
        <v>6</v>
      </c>
      <c r="BR198" s="114">
        <f t="shared" si="102"/>
        <v>126</v>
      </c>
      <c r="BS198">
        <f t="shared" si="78"/>
        <v>134</v>
      </c>
      <c r="BU198">
        <f>IFERROR(8-VLOOKUP(U198,'Dados de consulta'!$A:$D,3,0),8)</f>
        <v>8</v>
      </c>
      <c r="BV198">
        <f>IFERROR(8-VLOOKUP(V198,'Dados de consulta'!$A:$D,3,0),8)</f>
        <v>8</v>
      </c>
      <c r="BW198">
        <f t="shared" si="103"/>
        <v>16</v>
      </c>
    </row>
    <row r="199" spans="1:75" ht="15" hidden="1" x14ac:dyDescent="0.2">
      <c r="A199" s="98">
        <v>42322</v>
      </c>
      <c r="B199" s="129" t="str">
        <f t="shared" si="79"/>
        <v>sáb</v>
      </c>
      <c r="C199" s="132"/>
      <c r="D199" s="132"/>
      <c r="E199" s="132"/>
      <c r="F199" s="132"/>
      <c r="G199" s="132">
        <v>4</v>
      </c>
      <c r="H199" s="132"/>
      <c r="I199" s="132"/>
      <c r="J199" s="132"/>
      <c r="K199" s="132"/>
      <c r="L199" s="132"/>
      <c r="M199" s="132">
        <v>101</v>
      </c>
      <c r="N199" s="132"/>
      <c r="O199" s="132"/>
      <c r="P199" s="132"/>
      <c r="Q199" s="132"/>
      <c r="R199" s="132"/>
      <c r="S199" s="132"/>
      <c r="T199" s="132"/>
      <c r="U199" s="151"/>
      <c r="V199" s="151"/>
      <c r="W199" s="307" t="s">
        <v>193</v>
      </c>
      <c r="X199" s="308"/>
      <c r="Y199" s="38">
        <f t="shared" si="80"/>
        <v>8</v>
      </c>
      <c r="Z199" s="38">
        <f t="shared" si="81"/>
        <v>0</v>
      </c>
      <c r="AA199" s="38">
        <f t="shared" si="82"/>
        <v>0</v>
      </c>
      <c r="AB199" s="38">
        <f t="shared" si="90"/>
        <v>0</v>
      </c>
      <c r="AC199" s="38">
        <f t="shared" si="91"/>
        <v>0</v>
      </c>
      <c r="AD199" s="38">
        <f t="shared" si="92"/>
        <v>0</v>
      </c>
      <c r="AE199" s="38">
        <f t="shared" si="93"/>
        <v>0</v>
      </c>
      <c r="AF199" s="38">
        <f t="shared" si="94"/>
        <v>0</v>
      </c>
      <c r="AG199" s="33">
        <f t="shared" si="95"/>
        <v>0</v>
      </c>
      <c r="AH199" s="33">
        <f t="shared" si="96"/>
        <v>0</v>
      </c>
      <c r="AI199" s="33">
        <f t="shared" si="97"/>
        <v>0</v>
      </c>
      <c r="AJ199" s="33">
        <f t="shared" si="98"/>
        <v>0</v>
      </c>
      <c r="AK199" s="34">
        <f t="shared" si="99"/>
        <v>0</v>
      </c>
      <c r="AL199" s="35">
        <f t="shared" si="100"/>
        <v>0</v>
      </c>
      <c r="AM199" s="34">
        <f t="shared" si="83"/>
        <v>0</v>
      </c>
      <c r="AN199" s="36">
        <f t="shared" si="101"/>
        <v>0</v>
      </c>
      <c r="AO199" s="6">
        <f t="shared" si="84"/>
        <v>0</v>
      </c>
      <c r="AP199">
        <f t="shared" si="85"/>
        <v>8</v>
      </c>
      <c r="AQ199" s="6">
        <f t="shared" si="86"/>
        <v>0</v>
      </c>
      <c r="AR199" s="6">
        <f t="shared" si="87"/>
        <v>0</v>
      </c>
      <c r="AS199" s="6"/>
      <c r="AX199" s="95">
        <f t="shared" si="88"/>
        <v>42322</v>
      </c>
      <c r="AY199" s="96" t="str">
        <f t="shared" si="89"/>
        <v>sáb</v>
      </c>
      <c r="AZ199" s="97">
        <f>IF(OR(AY199="SÁB",AY199="DOM"),0,IFERROR(8-VLOOKUP(C199,'Dados de consulta'!$A$2:$C$38,3,0),8))</f>
        <v>0</v>
      </c>
      <c r="BA199" s="97">
        <f>IF(OR(AY199="SÁB",AY199="DOM"),0,IFERROR(8-VLOOKUP(D199,'Dados de consulta'!$A$2:$C$38,3,0),8))</f>
        <v>0</v>
      </c>
      <c r="BB199" s="97">
        <f>IF(OR(AY199="SÁB",AY199="DOM"),0,IFERROR(8-VLOOKUP(E199,'Dados de consulta'!$A$2:$C$38,3,0),8))</f>
        <v>0</v>
      </c>
      <c r="BC199" s="97">
        <f>IF(OR(AY199="SÁB",AY199="DOM"),0,IFERROR(8-VLOOKUP(F199,'Dados de consulta'!$A$2:$C$38,3,0),8))</f>
        <v>0</v>
      </c>
      <c r="BD199" s="97">
        <f>IF(OR(AY199="SÁB",AY199="DOM"),0,IFERROR(8-VLOOKUP(G199,'Dados de consulta'!$A$2:$C$38,3,0),8))</f>
        <v>0</v>
      </c>
      <c r="BE199" s="97">
        <f>IF(OR(AY199="SÁB",AY199="DOM"),0,IFERROR(8-VLOOKUP(H199,'Dados de consulta'!$A$2:$C$38,3,0),8))</f>
        <v>0</v>
      </c>
      <c r="BF199" s="97">
        <f>IF(OR(AY199="SÁB",AY199="DOM"),0,IFERROR(8-VLOOKUP(I199,'Dados de consulta'!$A$2:$C$38,3,0),8))</f>
        <v>0</v>
      </c>
      <c r="BG199" s="97">
        <f>IF(OR(AY199="SÁB",AY199="DOM"),0,IFERROR(8-VLOOKUP(J199,'Dados de consulta'!$A$2:$C$38,3,0),8))</f>
        <v>0</v>
      </c>
      <c r="BH199" s="97">
        <f>IF(OR(AY199="SÁB",AY199="DOM"),0,IFERROR(8-VLOOKUP(K199,'Dados de consulta'!$A$2:$C$38,3,0),8))</f>
        <v>0</v>
      </c>
      <c r="BI199" s="97">
        <f>IF(OR(AY199="SÁB",AY199="DOM"),0,IFERROR(8-VLOOKUP(L199,'Dados de consulta'!$A$2:$C$38,3,0),8))</f>
        <v>0</v>
      </c>
      <c r="BJ199" s="97">
        <f>IF(OR(AY199="SÁB",AY199="DOM"),0,IFERROR(8-VLOOKUP(M199,'Dados de consulta'!$A$2:$C$38,3,0),8))</f>
        <v>0</v>
      </c>
      <c r="BK199" s="97">
        <f>IF(OR(AY199="SÁB",AY199="DOM"),0,IFERROR(8-VLOOKUP(N199,'Dados de consulta'!$A$2:$C$38,3,0),8))</f>
        <v>0</v>
      </c>
      <c r="BL199" s="97">
        <f>IF(OR(AY199="SÁB",AY199="DOM"),0,IFERROR(8-VLOOKUP(O199,'Dados de consulta'!$A$2:$C$38,3,0),8))</f>
        <v>0</v>
      </c>
      <c r="BM199" s="97">
        <f>IF(OR(AY199="SÁB",AY199="DOM"),0,IFERROR(8-VLOOKUP(P199,'Dados de consulta'!$A$2:$C$38,3,0),8))</f>
        <v>0</v>
      </c>
      <c r="BN199" s="97">
        <f>IF(OR(AY199="SÁB",AY199="DOM"),0,IFERROR(8-VLOOKUP(Q199,'Dados de consulta'!$A$2:$C$38,3,0),8))</f>
        <v>0</v>
      </c>
      <c r="BO199" s="97">
        <f>IF(OR(AY199="SÁB",AY199="DOM"),0,IFERROR(8-VLOOKUP(R199,'Dados de consulta'!$A$2:$C$38,3,0),8))</f>
        <v>0</v>
      </c>
      <c r="BP199" s="97">
        <f>IF(OR(AY199="SÁB",AY199="DOM"),0,IFERROR(8-VLOOKUP(S199,'Dados de consulta'!$A$2:$C$38,3,0),8))</f>
        <v>0</v>
      </c>
      <c r="BQ199" s="113">
        <f>IFERROR(6-VLOOKUP(T199,'Dados de consulta'!$A$2:$C$38,3,0)+2,6)</f>
        <v>6</v>
      </c>
      <c r="BR199" s="114">
        <f t="shared" si="102"/>
        <v>0</v>
      </c>
      <c r="BS199">
        <f t="shared" si="78"/>
        <v>0</v>
      </c>
      <c r="BU199">
        <f>IFERROR(8-VLOOKUP(U199,'Dados de consulta'!$A:$D,3,0),8)</f>
        <v>8</v>
      </c>
      <c r="BV199">
        <f>IFERROR(8-VLOOKUP(V199,'Dados de consulta'!$A:$D,3,0),8)</f>
        <v>8</v>
      </c>
      <c r="BW199">
        <f t="shared" si="103"/>
        <v>16</v>
      </c>
    </row>
    <row r="200" spans="1:75" ht="15" hidden="1" x14ac:dyDescent="0.2">
      <c r="A200" s="98">
        <v>42323</v>
      </c>
      <c r="B200" s="129" t="str">
        <f t="shared" si="79"/>
        <v>dom</v>
      </c>
      <c r="C200" s="132"/>
      <c r="D200" s="132"/>
      <c r="E200" s="132"/>
      <c r="F200" s="132"/>
      <c r="G200" s="132">
        <v>4</v>
      </c>
      <c r="H200" s="132"/>
      <c r="I200" s="132"/>
      <c r="J200" s="132"/>
      <c r="K200" s="132"/>
      <c r="L200" s="132"/>
      <c r="M200" s="132">
        <v>101</v>
      </c>
      <c r="N200" s="132"/>
      <c r="O200" s="132"/>
      <c r="P200" s="132"/>
      <c r="Q200" s="132"/>
      <c r="R200" s="132"/>
      <c r="S200" s="132"/>
      <c r="T200" s="132"/>
      <c r="U200" s="151"/>
      <c r="V200" s="151"/>
      <c r="W200" s="307" t="s">
        <v>193</v>
      </c>
      <c r="X200" s="308"/>
      <c r="Y200" s="38">
        <f t="shared" si="80"/>
        <v>8</v>
      </c>
      <c r="Z200" s="38">
        <f t="shared" si="81"/>
        <v>0</v>
      </c>
      <c r="AA200" s="38">
        <f t="shared" si="82"/>
        <v>0</v>
      </c>
      <c r="AB200" s="38">
        <f t="shared" si="90"/>
        <v>0</v>
      </c>
      <c r="AC200" s="38">
        <f t="shared" si="91"/>
        <v>0</v>
      </c>
      <c r="AD200" s="38">
        <f t="shared" si="92"/>
        <v>0</v>
      </c>
      <c r="AE200" s="38">
        <f t="shared" si="93"/>
        <v>0</v>
      </c>
      <c r="AF200" s="38">
        <f t="shared" si="94"/>
        <v>0</v>
      </c>
      <c r="AG200" s="33">
        <f t="shared" si="95"/>
        <v>0</v>
      </c>
      <c r="AH200" s="33">
        <f t="shared" si="96"/>
        <v>0</v>
      </c>
      <c r="AI200" s="33">
        <f t="shared" si="97"/>
        <v>0</v>
      </c>
      <c r="AJ200" s="33">
        <f t="shared" si="98"/>
        <v>0</v>
      </c>
      <c r="AK200" s="34">
        <f t="shared" si="99"/>
        <v>0</v>
      </c>
      <c r="AL200" s="35">
        <f t="shared" si="100"/>
        <v>0</v>
      </c>
      <c r="AM200" s="34">
        <f t="shared" si="83"/>
        <v>0</v>
      </c>
      <c r="AN200" s="36">
        <f t="shared" si="101"/>
        <v>0</v>
      </c>
      <c r="AO200" s="6">
        <f t="shared" si="84"/>
        <v>0</v>
      </c>
      <c r="AP200">
        <f t="shared" si="85"/>
        <v>8</v>
      </c>
      <c r="AQ200" s="6">
        <f t="shared" si="86"/>
        <v>0</v>
      </c>
      <c r="AR200" s="6">
        <f t="shared" si="87"/>
        <v>0</v>
      </c>
      <c r="AS200" s="6"/>
      <c r="AX200" s="95">
        <f t="shared" si="88"/>
        <v>42323</v>
      </c>
      <c r="AY200" s="96" t="str">
        <f t="shared" si="89"/>
        <v>dom</v>
      </c>
      <c r="AZ200" s="97">
        <f>IF(OR(AY200="SÁB",AY200="DOM"),0,IFERROR(8-VLOOKUP(C200,'Dados de consulta'!$A$2:$C$38,3,0),8))</f>
        <v>0</v>
      </c>
      <c r="BA200" s="97">
        <f>IF(OR(AY200="SÁB",AY200="DOM"),0,IFERROR(8-VLOOKUP(D200,'Dados de consulta'!$A$2:$C$38,3,0),8))</f>
        <v>0</v>
      </c>
      <c r="BB200" s="97">
        <f>IF(OR(AY200="SÁB",AY200="DOM"),0,IFERROR(8-VLOOKUP(E200,'Dados de consulta'!$A$2:$C$38,3,0),8))</f>
        <v>0</v>
      </c>
      <c r="BC200" s="97">
        <f>IF(OR(AY200="SÁB",AY200="DOM"),0,IFERROR(8-VLOOKUP(F200,'Dados de consulta'!$A$2:$C$38,3,0),8))</f>
        <v>0</v>
      </c>
      <c r="BD200" s="97">
        <f>IF(OR(AY200="SÁB",AY200="DOM"),0,IFERROR(8-VLOOKUP(G200,'Dados de consulta'!$A$2:$C$38,3,0),8))</f>
        <v>0</v>
      </c>
      <c r="BE200" s="97">
        <f>IF(OR(AY200="SÁB",AY200="DOM"),0,IFERROR(8-VLOOKUP(H200,'Dados de consulta'!$A$2:$C$38,3,0),8))</f>
        <v>0</v>
      </c>
      <c r="BF200" s="97">
        <f>IF(OR(AY200="SÁB",AY200="DOM"),0,IFERROR(8-VLOOKUP(I200,'Dados de consulta'!$A$2:$C$38,3,0),8))</f>
        <v>0</v>
      </c>
      <c r="BG200" s="97">
        <f>IF(OR(AY200="SÁB",AY200="DOM"),0,IFERROR(8-VLOOKUP(J200,'Dados de consulta'!$A$2:$C$38,3,0),8))</f>
        <v>0</v>
      </c>
      <c r="BH200" s="97">
        <f>IF(OR(AY200="SÁB",AY200="DOM"),0,IFERROR(8-VLOOKUP(K200,'Dados de consulta'!$A$2:$C$38,3,0),8))</f>
        <v>0</v>
      </c>
      <c r="BI200" s="97">
        <f>IF(OR(AY200="SÁB",AY200="DOM"),0,IFERROR(8-VLOOKUP(L200,'Dados de consulta'!$A$2:$C$38,3,0),8))</f>
        <v>0</v>
      </c>
      <c r="BJ200" s="97">
        <f>IF(OR(AY200="SÁB",AY200="DOM"),0,IFERROR(8-VLOOKUP(M200,'Dados de consulta'!$A$2:$C$38,3,0),8))</f>
        <v>0</v>
      </c>
      <c r="BK200" s="97">
        <f>IF(OR(AY200="SÁB",AY200="DOM"),0,IFERROR(8-VLOOKUP(N200,'Dados de consulta'!$A$2:$C$38,3,0),8))</f>
        <v>0</v>
      </c>
      <c r="BL200" s="97">
        <f>IF(OR(AY200="SÁB",AY200="DOM"),0,IFERROR(8-VLOOKUP(O200,'Dados de consulta'!$A$2:$C$38,3,0),8))</f>
        <v>0</v>
      </c>
      <c r="BM200" s="97">
        <f>IF(OR(AY200="SÁB",AY200="DOM"),0,IFERROR(8-VLOOKUP(P200,'Dados de consulta'!$A$2:$C$38,3,0),8))</f>
        <v>0</v>
      </c>
      <c r="BN200" s="97">
        <f>IF(OR(AY200="SÁB",AY200="DOM"),0,IFERROR(8-VLOOKUP(Q200,'Dados de consulta'!$A$2:$C$38,3,0),8))</f>
        <v>0</v>
      </c>
      <c r="BO200" s="97">
        <f>IF(OR(AY200="SÁB",AY200="DOM"),0,IFERROR(8-VLOOKUP(R200,'Dados de consulta'!$A$2:$C$38,3,0),8))</f>
        <v>0</v>
      </c>
      <c r="BP200" s="97">
        <f>IF(OR(AY200="SÁB",AY200="DOM"),0,IFERROR(8-VLOOKUP(S200,'Dados de consulta'!$A$2:$C$38,3,0),8))</f>
        <v>0</v>
      </c>
      <c r="BQ200" s="113">
        <f>IFERROR(6-VLOOKUP(T200,'Dados de consulta'!$A$2:$C$38,3,0)+2,6)</f>
        <v>6</v>
      </c>
      <c r="BR200" s="114">
        <f t="shared" si="102"/>
        <v>0</v>
      </c>
      <c r="BS200">
        <f t="shared" si="78"/>
        <v>0</v>
      </c>
      <c r="BU200">
        <f>IFERROR(8-VLOOKUP(U200,'Dados de consulta'!$A:$D,3,0),8)</f>
        <v>8</v>
      </c>
      <c r="BV200">
        <f>IFERROR(8-VLOOKUP(V200,'Dados de consulta'!$A:$D,3,0),8)</f>
        <v>8</v>
      </c>
      <c r="BW200">
        <f t="shared" si="103"/>
        <v>16</v>
      </c>
    </row>
    <row r="201" spans="1:75" ht="15" hidden="1" x14ac:dyDescent="0.2">
      <c r="A201" s="98">
        <v>42324</v>
      </c>
      <c r="B201" s="129" t="str">
        <f t="shared" si="79"/>
        <v>seg</v>
      </c>
      <c r="C201" s="132"/>
      <c r="D201" s="132"/>
      <c r="E201" s="132" t="s">
        <v>198</v>
      </c>
      <c r="F201" s="132"/>
      <c r="G201" s="132">
        <v>4</v>
      </c>
      <c r="H201" s="132"/>
      <c r="I201" s="132"/>
      <c r="J201" s="132"/>
      <c r="K201" s="132"/>
      <c r="L201" s="132"/>
      <c r="M201" s="132">
        <v>101</v>
      </c>
      <c r="N201" s="132"/>
      <c r="O201" s="132"/>
      <c r="P201" s="132"/>
      <c r="Q201" s="132"/>
      <c r="R201" s="132" t="s">
        <v>196</v>
      </c>
      <c r="S201" s="132"/>
      <c r="T201" s="132"/>
      <c r="U201" s="151"/>
      <c r="V201" s="151"/>
      <c r="W201" s="307" t="s">
        <v>193</v>
      </c>
      <c r="X201" s="308"/>
      <c r="Y201" s="38">
        <f t="shared" si="80"/>
        <v>12</v>
      </c>
      <c r="Z201" s="38">
        <f t="shared" si="81"/>
        <v>0</v>
      </c>
      <c r="AA201" s="38">
        <f t="shared" si="82"/>
        <v>4</v>
      </c>
      <c r="AB201" s="38">
        <f t="shared" si="90"/>
        <v>0</v>
      </c>
      <c r="AC201" s="38">
        <f t="shared" si="91"/>
        <v>0</v>
      </c>
      <c r="AD201" s="38">
        <f t="shared" si="92"/>
        <v>0</v>
      </c>
      <c r="AE201" s="38">
        <f t="shared" si="93"/>
        <v>0</v>
      </c>
      <c r="AF201" s="38">
        <f t="shared" si="94"/>
        <v>0</v>
      </c>
      <c r="AG201" s="33">
        <f t="shared" si="95"/>
        <v>12</v>
      </c>
      <c r="AH201" s="33">
        <f t="shared" si="96"/>
        <v>0</v>
      </c>
      <c r="AI201" s="33">
        <f t="shared" si="97"/>
        <v>4</v>
      </c>
      <c r="AJ201" s="33">
        <f t="shared" si="98"/>
        <v>0</v>
      </c>
      <c r="AK201" s="34">
        <f t="shared" si="99"/>
        <v>8.4507042253521125E-2</v>
      </c>
      <c r="AL201" s="35">
        <f t="shared" si="100"/>
        <v>0</v>
      </c>
      <c r="AM201" s="34">
        <f t="shared" si="83"/>
        <v>2.8169014084507043E-2</v>
      </c>
      <c r="AN201" s="36">
        <f t="shared" si="101"/>
        <v>0</v>
      </c>
      <c r="AO201" s="6">
        <f t="shared" si="84"/>
        <v>0</v>
      </c>
      <c r="AP201">
        <f t="shared" si="85"/>
        <v>8</v>
      </c>
      <c r="AQ201" s="6">
        <f t="shared" si="86"/>
        <v>0</v>
      </c>
      <c r="AR201" s="6">
        <f t="shared" si="87"/>
        <v>0</v>
      </c>
      <c r="AS201" s="6"/>
      <c r="AX201" s="95">
        <f t="shared" si="88"/>
        <v>42324</v>
      </c>
      <c r="AY201" s="96" t="str">
        <f t="shared" si="89"/>
        <v>seg</v>
      </c>
      <c r="AZ201" s="97">
        <f>IF(OR(AY201="SÁB",AY201="DOM"),0,IFERROR(8-VLOOKUP(C201,'Dados de consulta'!$A$2:$C$38,3,0),8))</f>
        <v>8</v>
      </c>
      <c r="BA201" s="97">
        <f>IF(OR(AY201="SÁB",AY201="DOM"),0,IFERROR(8-VLOOKUP(D201,'Dados de consulta'!$A$2:$C$38,3,0),8))</f>
        <v>8</v>
      </c>
      <c r="BB201" s="97">
        <f>IF(OR(AY201="SÁB",AY201="DOM"),0,IFERROR(8-VLOOKUP(E201,'Dados de consulta'!$A$2:$C$38,3,0),8))</f>
        <v>4</v>
      </c>
      <c r="BC201" s="97">
        <f>IF(OR(AY201="SÁB",AY201="DOM"),0,IFERROR(8-VLOOKUP(F201,'Dados de consulta'!$A$2:$C$38,3,0),8))</f>
        <v>8</v>
      </c>
      <c r="BD201" s="97">
        <f>IF(OR(AY201="SÁB",AY201="DOM"),0,IFERROR(8-VLOOKUP(G201,'Dados de consulta'!$A$2:$C$38,3,0),8))</f>
        <v>0</v>
      </c>
      <c r="BE201" s="97">
        <f>IF(OR(AY201="SÁB",AY201="DOM"),0,IFERROR(8-VLOOKUP(H201,'Dados de consulta'!$A$2:$C$38,3,0),8))</f>
        <v>8</v>
      </c>
      <c r="BF201" s="97">
        <f>IF(OR(AY201="SÁB",AY201="DOM"),0,IFERROR(8-VLOOKUP(I201,'Dados de consulta'!$A$2:$C$38,3,0),8))</f>
        <v>8</v>
      </c>
      <c r="BG201" s="97">
        <f>IF(OR(AY201="SÁB",AY201="DOM"),0,IFERROR(8-VLOOKUP(J201,'Dados de consulta'!$A$2:$C$38,3,0),8))</f>
        <v>8</v>
      </c>
      <c r="BH201" s="97">
        <f>IF(OR(AY201="SÁB",AY201="DOM"),0,IFERROR(8-VLOOKUP(K201,'Dados de consulta'!$A$2:$C$38,3,0),8))</f>
        <v>8</v>
      </c>
      <c r="BI201" s="97">
        <f>IF(OR(AY201="SÁB",AY201="DOM"),0,IFERROR(8-VLOOKUP(L201,'Dados de consulta'!$A$2:$C$38,3,0),8))</f>
        <v>8</v>
      </c>
      <c r="BJ201" s="97">
        <f>IF(OR(AY201="SÁB",AY201="DOM"),0,IFERROR(8-VLOOKUP(M201,'Dados de consulta'!$A$2:$C$38,3,0),8))</f>
        <v>0</v>
      </c>
      <c r="BK201" s="97">
        <f>IF(OR(AY201="SÁB",AY201="DOM"),0,IFERROR(8-VLOOKUP(N201,'Dados de consulta'!$A$2:$C$38,3,0),8))</f>
        <v>8</v>
      </c>
      <c r="BL201" s="97">
        <f>IF(OR(AY201="SÁB",AY201="DOM"),0,IFERROR(8-VLOOKUP(O201,'Dados de consulta'!$A$2:$C$38,3,0),8))</f>
        <v>8</v>
      </c>
      <c r="BM201" s="97">
        <f>IF(OR(AY201="SÁB",AY201="DOM"),0,IFERROR(8-VLOOKUP(P201,'Dados de consulta'!$A$2:$C$38,3,0),8))</f>
        <v>8</v>
      </c>
      <c r="BN201" s="97">
        <f>IF(OR(AY201="SÁB",AY201="DOM"),0,IFERROR(8-VLOOKUP(Q201,'Dados de consulta'!$A$2:$C$38,3,0),8))</f>
        <v>8</v>
      </c>
      <c r="BO201" s="97">
        <f>IF(OR(AY201="SÁB",AY201="DOM"),0,IFERROR(8-VLOOKUP(R201,'Dados de consulta'!$A$2:$C$38,3,0),8))</f>
        <v>4</v>
      </c>
      <c r="BP201" s="97">
        <f>IF(OR(AY201="SÁB",AY201="DOM"),0,IFERROR(8-VLOOKUP(S201,'Dados de consulta'!$A$2:$C$38,3,0),8))</f>
        <v>8</v>
      </c>
      <c r="BQ201" s="113">
        <f>IFERROR(6-VLOOKUP(T201,'Dados de consulta'!$A$2:$C$38,3,0)+2,6)</f>
        <v>6</v>
      </c>
      <c r="BR201" s="114">
        <f t="shared" si="102"/>
        <v>118</v>
      </c>
      <c r="BS201">
        <f t="shared" si="78"/>
        <v>134</v>
      </c>
      <c r="BU201">
        <f>IFERROR(8-VLOOKUP(U201,'Dados de consulta'!$A:$D,3,0),8)</f>
        <v>8</v>
      </c>
      <c r="BV201">
        <f>IFERROR(8-VLOOKUP(V201,'Dados de consulta'!$A:$D,3,0),8)</f>
        <v>8</v>
      </c>
      <c r="BW201">
        <f t="shared" si="103"/>
        <v>16</v>
      </c>
    </row>
    <row r="202" spans="1:75" ht="15" hidden="1" x14ac:dyDescent="0.2">
      <c r="A202" s="98">
        <v>42325</v>
      </c>
      <c r="B202" s="129" t="str">
        <f t="shared" si="79"/>
        <v>ter</v>
      </c>
      <c r="C202" s="132"/>
      <c r="D202" s="132"/>
      <c r="E202" s="132"/>
      <c r="F202" s="132"/>
      <c r="G202" s="132">
        <v>4</v>
      </c>
      <c r="H202" s="132"/>
      <c r="I202" s="132"/>
      <c r="J202" s="132"/>
      <c r="K202" s="132"/>
      <c r="L202" s="132"/>
      <c r="M202" s="132">
        <v>101</v>
      </c>
      <c r="N202" s="132"/>
      <c r="O202" s="132"/>
      <c r="P202" s="132"/>
      <c r="Q202" s="132"/>
      <c r="R202" s="132"/>
      <c r="S202" s="132"/>
      <c r="T202" s="132"/>
      <c r="U202" s="151"/>
      <c r="V202" s="151"/>
      <c r="W202" s="307" t="s">
        <v>193</v>
      </c>
      <c r="X202" s="308"/>
      <c r="Y202" s="38">
        <f t="shared" si="80"/>
        <v>8</v>
      </c>
      <c r="Z202" s="38">
        <f t="shared" si="81"/>
        <v>0</v>
      </c>
      <c r="AA202" s="38">
        <f t="shared" si="82"/>
        <v>0</v>
      </c>
      <c r="AB202" s="38">
        <f t="shared" si="90"/>
        <v>0</v>
      </c>
      <c r="AC202" s="38">
        <f t="shared" si="91"/>
        <v>0</v>
      </c>
      <c r="AD202" s="38">
        <f t="shared" si="92"/>
        <v>0</v>
      </c>
      <c r="AE202" s="38">
        <f t="shared" si="93"/>
        <v>0</v>
      </c>
      <c r="AF202" s="38">
        <f t="shared" si="94"/>
        <v>0</v>
      </c>
      <c r="AG202" s="33">
        <f t="shared" si="95"/>
        <v>8</v>
      </c>
      <c r="AH202" s="33">
        <f t="shared" si="96"/>
        <v>0</v>
      </c>
      <c r="AI202" s="33">
        <f t="shared" si="97"/>
        <v>0</v>
      </c>
      <c r="AJ202" s="33">
        <f t="shared" si="98"/>
        <v>0</v>
      </c>
      <c r="AK202" s="34">
        <f t="shared" si="99"/>
        <v>5.6338028169014086E-2</v>
      </c>
      <c r="AL202" s="35">
        <f t="shared" si="100"/>
        <v>0</v>
      </c>
      <c r="AM202" s="34">
        <f t="shared" si="83"/>
        <v>0</v>
      </c>
      <c r="AN202" s="36">
        <f t="shared" si="101"/>
        <v>0</v>
      </c>
      <c r="AO202" s="6">
        <f t="shared" si="84"/>
        <v>0</v>
      </c>
      <c r="AP202">
        <f t="shared" si="85"/>
        <v>8</v>
      </c>
      <c r="AQ202" s="6">
        <f t="shared" si="86"/>
        <v>0</v>
      </c>
      <c r="AR202" s="6">
        <f t="shared" si="87"/>
        <v>0</v>
      </c>
      <c r="AS202" s="6"/>
      <c r="AX202" s="95">
        <f t="shared" si="88"/>
        <v>42325</v>
      </c>
      <c r="AY202" s="96" t="str">
        <f t="shared" si="89"/>
        <v>ter</v>
      </c>
      <c r="AZ202" s="97">
        <f>IF(OR(AY202="SÁB",AY202="DOM"),0,IFERROR(8-VLOOKUP(C202,'Dados de consulta'!$A$2:$C$38,3,0),8))</f>
        <v>8</v>
      </c>
      <c r="BA202" s="97">
        <f>IF(OR(AY202="SÁB",AY202="DOM"),0,IFERROR(8-VLOOKUP(D202,'Dados de consulta'!$A$2:$C$38,3,0),8))</f>
        <v>8</v>
      </c>
      <c r="BB202" s="97">
        <f>IF(OR(AY202="SÁB",AY202="DOM"),0,IFERROR(8-VLOOKUP(E202,'Dados de consulta'!$A$2:$C$38,3,0),8))</f>
        <v>8</v>
      </c>
      <c r="BC202" s="97">
        <f>IF(OR(AY202="SÁB",AY202="DOM"),0,IFERROR(8-VLOOKUP(F202,'Dados de consulta'!$A$2:$C$38,3,0),8))</f>
        <v>8</v>
      </c>
      <c r="BD202" s="97">
        <f>IF(OR(AY202="SÁB",AY202="DOM"),0,IFERROR(8-VLOOKUP(G202,'Dados de consulta'!$A$2:$C$38,3,0),8))</f>
        <v>0</v>
      </c>
      <c r="BE202" s="97">
        <f>IF(OR(AY202="SÁB",AY202="DOM"),0,IFERROR(8-VLOOKUP(H202,'Dados de consulta'!$A$2:$C$38,3,0),8))</f>
        <v>8</v>
      </c>
      <c r="BF202" s="97">
        <f>IF(OR(AY202="SÁB",AY202="DOM"),0,IFERROR(8-VLOOKUP(I202,'Dados de consulta'!$A$2:$C$38,3,0),8))</f>
        <v>8</v>
      </c>
      <c r="BG202" s="97">
        <f>IF(OR(AY202="SÁB",AY202="DOM"),0,IFERROR(8-VLOOKUP(J202,'Dados de consulta'!$A$2:$C$38,3,0),8))</f>
        <v>8</v>
      </c>
      <c r="BH202" s="97">
        <f>IF(OR(AY202="SÁB",AY202="DOM"),0,IFERROR(8-VLOOKUP(K202,'Dados de consulta'!$A$2:$C$38,3,0),8))</f>
        <v>8</v>
      </c>
      <c r="BI202" s="97">
        <f>IF(OR(AY202="SÁB",AY202="DOM"),0,IFERROR(8-VLOOKUP(L202,'Dados de consulta'!$A$2:$C$38,3,0),8))</f>
        <v>8</v>
      </c>
      <c r="BJ202" s="97">
        <f>IF(OR(AY202="SÁB",AY202="DOM"),0,IFERROR(8-VLOOKUP(M202,'Dados de consulta'!$A$2:$C$38,3,0),8))</f>
        <v>0</v>
      </c>
      <c r="BK202" s="97">
        <f>IF(OR(AY202="SÁB",AY202="DOM"),0,IFERROR(8-VLOOKUP(N202,'Dados de consulta'!$A$2:$C$38,3,0),8))</f>
        <v>8</v>
      </c>
      <c r="BL202" s="97">
        <f>IF(OR(AY202="SÁB",AY202="DOM"),0,IFERROR(8-VLOOKUP(O202,'Dados de consulta'!$A$2:$C$38,3,0),8))</f>
        <v>8</v>
      </c>
      <c r="BM202" s="97">
        <f>IF(OR(AY202="SÁB",AY202="DOM"),0,IFERROR(8-VLOOKUP(P202,'Dados de consulta'!$A$2:$C$38,3,0),8))</f>
        <v>8</v>
      </c>
      <c r="BN202" s="97">
        <f>IF(OR(AY202="SÁB",AY202="DOM"),0,IFERROR(8-VLOOKUP(Q202,'Dados de consulta'!$A$2:$C$38,3,0),8))</f>
        <v>8</v>
      </c>
      <c r="BO202" s="97">
        <f>IF(OR(AY202="SÁB",AY202="DOM"),0,IFERROR(8-VLOOKUP(R202,'Dados de consulta'!$A$2:$C$38,3,0),8))</f>
        <v>8</v>
      </c>
      <c r="BP202" s="97">
        <f>IF(OR(AY202="SÁB",AY202="DOM"),0,IFERROR(8-VLOOKUP(S202,'Dados de consulta'!$A$2:$C$38,3,0),8))</f>
        <v>8</v>
      </c>
      <c r="BQ202" s="113">
        <f>IFERROR(6-VLOOKUP(T202,'Dados de consulta'!$A$2:$C$38,3,0)+2,6)</f>
        <v>6</v>
      </c>
      <c r="BR202" s="114">
        <f t="shared" si="102"/>
        <v>126</v>
      </c>
      <c r="BS202">
        <f t="shared" si="78"/>
        <v>134</v>
      </c>
      <c r="BU202">
        <f>IFERROR(8-VLOOKUP(U202,'Dados de consulta'!$A:$D,3,0),8)</f>
        <v>8</v>
      </c>
      <c r="BV202">
        <f>IFERROR(8-VLOOKUP(V202,'Dados de consulta'!$A:$D,3,0),8)</f>
        <v>8</v>
      </c>
      <c r="BW202">
        <f t="shared" si="103"/>
        <v>16</v>
      </c>
    </row>
    <row r="203" spans="1:75" ht="15" hidden="1" x14ac:dyDescent="0.2">
      <c r="A203" s="98">
        <v>42326</v>
      </c>
      <c r="B203" s="129" t="str">
        <f t="shared" si="79"/>
        <v>qua</v>
      </c>
      <c r="C203" s="132" t="s">
        <v>194</v>
      </c>
      <c r="D203" s="132"/>
      <c r="E203" s="132"/>
      <c r="F203" s="132"/>
      <c r="G203" s="132">
        <v>4</v>
      </c>
      <c r="H203" s="132"/>
      <c r="I203" s="132"/>
      <c r="J203" s="132"/>
      <c r="K203" s="132"/>
      <c r="L203" s="132">
        <v>1</v>
      </c>
      <c r="M203" s="132">
        <v>101</v>
      </c>
      <c r="N203" s="132"/>
      <c r="O203" s="132"/>
      <c r="P203" s="132"/>
      <c r="Q203" s="132"/>
      <c r="R203" s="132"/>
      <c r="S203" s="132"/>
      <c r="T203" s="132"/>
      <c r="U203" s="151"/>
      <c r="V203" s="151"/>
      <c r="W203" s="307" t="s">
        <v>193</v>
      </c>
      <c r="X203" s="308"/>
      <c r="Y203" s="38">
        <f t="shared" si="80"/>
        <v>12</v>
      </c>
      <c r="Z203" s="38">
        <f t="shared" si="81"/>
        <v>8</v>
      </c>
      <c r="AA203" s="38">
        <f t="shared" si="82"/>
        <v>0</v>
      </c>
      <c r="AB203" s="38">
        <f t="shared" si="90"/>
        <v>0</v>
      </c>
      <c r="AC203" s="38">
        <f t="shared" si="91"/>
        <v>0</v>
      </c>
      <c r="AD203" s="38">
        <f t="shared" si="92"/>
        <v>0</v>
      </c>
      <c r="AE203" s="38">
        <f t="shared" si="93"/>
        <v>0</v>
      </c>
      <c r="AF203" s="38">
        <f t="shared" si="94"/>
        <v>0</v>
      </c>
      <c r="AG203" s="33">
        <f t="shared" si="95"/>
        <v>12</v>
      </c>
      <c r="AH203" s="33">
        <f t="shared" si="96"/>
        <v>8</v>
      </c>
      <c r="AI203" s="33">
        <f t="shared" si="97"/>
        <v>0</v>
      </c>
      <c r="AJ203" s="33">
        <f t="shared" si="98"/>
        <v>0</v>
      </c>
      <c r="AK203" s="34">
        <f t="shared" si="99"/>
        <v>8.4507042253521125E-2</v>
      </c>
      <c r="AL203" s="35">
        <f t="shared" si="100"/>
        <v>5.6338028169014086E-2</v>
      </c>
      <c r="AM203" s="34">
        <f t="shared" si="83"/>
        <v>0</v>
      </c>
      <c r="AN203" s="36">
        <f t="shared" si="101"/>
        <v>0</v>
      </c>
      <c r="AO203" s="6">
        <f t="shared" si="84"/>
        <v>0</v>
      </c>
      <c r="AP203">
        <f t="shared" si="85"/>
        <v>8</v>
      </c>
      <c r="AQ203" s="6">
        <f t="shared" si="86"/>
        <v>0</v>
      </c>
      <c r="AR203" s="6">
        <f t="shared" si="87"/>
        <v>0</v>
      </c>
      <c r="AS203" s="6"/>
      <c r="AX203" s="95">
        <f t="shared" si="88"/>
        <v>42326</v>
      </c>
      <c r="AY203" s="96" t="str">
        <f t="shared" si="89"/>
        <v>qua</v>
      </c>
      <c r="AZ203" s="97">
        <f>IF(OR(AY203="SÁB",AY203="DOM"),0,IFERROR(8-VLOOKUP(C203,'Dados de consulta'!$A$2:$C$38,3,0),8))</f>
        <v>4</v>
      </c>
      <c r="BA203" s="97">
        <f>IF(OR(AY203="SÁB",AY203="DOM"),0,IFERROR(8-VLOOKUP(D203,'Dados de consulta'!$A$2:$C$38,3,0),8))</f>
        <v>8</v>
      </c>
      <c r="BB203" s="97">
        <f>IF(OR(AY203="SÁB",AY203="DOM"),0,IFERROR(8-VLOOKUP(E203,'Dados de consulta'!$A$2:$C$38,3,0),8))</f>
        <v>8</v>
      </c>
      <c r="BC203" s="97">
        <f>IF(OR(AY203="SÁB",AY203="DOM"),0,IFERROR(8-VLOOKUP(F203,'Dados de consulta'!$A$2:$C$38,3,0),8))</f>
        <v>8</v>
      </c>
      <c r="BD203" s="97">
        <f>IF(OR(AY203="SÁB",AY203="DOM"),0,IFERROR(8-VLOOKUP(G203,'Dados de consulta'!$A$2:$C$38,3,0),8))</f>
        <v>0</v>
      </c>
      <c r="BE203" s="97">
        <f>IF(OR(AY203="SÁB",AY203="DOM"),0,IFERROR(8-VLOOKUP(H203,'Dados de consulta'!$A$2:$C$38,3,0),8))</f>
        <v>8</v>
      </c>
      <c r="BF203" s="97">
        <f>IF(OR(AY203="SÁB",AY203="DOM"),0,IFERROR(8-VLOOKUP(I203,'Dados de consulta'!$A$2:$C$38,3,0),8))</f>
        <v>8</v>
      </c>
      <c r="BG203" s="97">
        <f>IF(OR(AY203="SÁB",AY203="DOM"),0,IFERROR(8-VLOOKUP(J203,'Dados de consulta'!$A$2:$C$38,3,0),8))</f>
        <v>8</v>
      </c>
      <c r="BH203" s="97">
        <f>IF(OR(AY203="SÁB",AY203="DOM"),0,IFERROR(8-VLOOKUP(K203,'Dados de consulta'!$A$2:$C$38,3,0),8))</f>
        <v>8</v>
      </c>
      <c r="BI203" s="97">
        <f>IF(OR(AY203="SÁB",AY203="DOM"),0,IFERROR(8-VLOOKUP(L203,'Dados de consulta'!$A$2:$C$38,3,0),8))</f>
        <v>0</v>
      </c>
      <c r="BJ203" s="97">
        <f>IF(OR(AY203="SÁB",AY203="DOM"),0,IFERROR(8-VLOOKUP(M203,'Dados de consulta'!$A$2:$C$38,3,0),8))</f>
        <v>0</v>
      </c>
      <c r="BK203" s="97">
        <f>IF(OR(AY203="SÁB",AY203="DOM"),0,IFERROR(8-VLOOKUP(N203,'Dados de consulta'!$A$2:$C$38,3,0),8))</f>
        <v>8</v>
      </c>
      <c r="BL203" s="97">
        <f>IF(OR(AY203="SÁB",AY203="DOM"),0,IFERROR(8-VLOOKUP(O203,'Dados de consulta'!$A$2:$C$38,3,0),8))</f>
        <v>8</v>
      </c>
      <c r="BM203" s="97">
        <f>IF(OR(AY203="SÁB",AY203="DOM"),0,IFERROR(8-VLOOKUP(P203,'Dados de consulta'!$A$2:$C$38,3,0),8))</f>
        <v>8</v>
      </c>
      <c r="BN203" s="97">
        <f>IF(OR(AY203="SÁB",AY203="DOM"),0,IFERROR(8-VLOOKUP(Q203,'Dados de consulta'!$A$2:$C$38,3,0),8))</f>
        <v>8</v>
      </c>
      <c r="BO203" s="97">
        <f>IF(OR(AY203="SÁB",AY203="DOM"),0,IFERROR(8-VLOOKUP(R203,'Dados de consulta'!$A$2:$C$38,3,0),8))</f>
        <v>8</v>
      </c>
      <c r="BP203" s="97">
        <f>IF(OR(AY203="SÁB",AY203="DOM"),0,IFERROR(8-VLOOKUP(S203,'Dados de consulta'!$A$2:$C$38,3,0),8))</f>
        <v>8</v>
      </c>
      <c r="BQ203" s="113">
        <f>IFERROR(6-VLOOKUP(T203,'Dados de consulta'!$A$2:$C$38,3,0)+2,6)</f>
        <v>6</v>
      </c>
      <c r="BR203" s="114">
        <f t="shared" si="102"/>
        <v>114</v>
      </c>
      <c r="BS203">
        <f t="shared" si="78"/>
        <v>134</v>
      </c>
      <c r="BU203">
        <f>IFERROR(8-VLOOKUP(U203,'Dados de consulta'!$A:$D,3,0),8)</f>
        <v>8</v>
      </c>
      <c r="BV203">
        <f>IFERROR(8-VLOOKUP(V203,'Dados de consulta'!$A:$D,3,0),8)</f>
        <v>8</v>
      </c>
      <c r="BW203">
        <f t="shared" si="103"/>
        <v>16</v>
      </c>
    </row>
    <row r="204" spans="1:75" ht="15" hidden="1" x14ac:dyDescent="0.2">
      <c r="A204" s="98">
        <v>42327</v>
      </c>
      <c r="B204" s="129" t="str">
        <f t="shared" si="79"/>
        <v>qui</v>
      </c>
      <c r="C204" s="132"/>
      <c r="D204" s="132"/>
      <c r="E204" s="132"/>
      <c r="F204" s="132"/>
      <c r="G204" s="132">
        <v>4</v>
      </c>
      <c r="H204" s="132"/>
      <c r="I204" s="132"/>
      <c r="J204" s="132"/>
      <c r="K204" s="132"/>
      <c r="L204" s="132"/>
      <c r="M204" s="132">
        <v>101</v>
      </c>
      <c r="N204" s="132"/>
      <c r="O204" s="132"/>
      <c r="P204" s="132"/>
      <c r="Q204" s="132"/>
      <c r="R204" s="132"/>
      <c r="S204" s="132"/>
      <c r="T204" s="132"/>
      <c r="U204" s="151"/>
      <c r="V204" s="151"/>
      <c r="W204" s="307" t="s">
        <v>193</v>
      </c>
      <c r="X204" s="308"/>
      <c r="Y204" s="38">
        <f t="shared" si="80"/>
        <v>8</v>
      </c>
      <c r="Z204" s="38">
        <f t="shared" si="81"/>
        <v>0</v>
      </c>
      <c r="AA204" s="38">
        <f t="shared" si="82"/>
        <v>0</v>
      </c>
      <c r="AB204" s="38">
        <f t="shared" si="90"/>
        <v>0</v>
      </c>
      <c r="AC204" s="38">
        <f t="shared" si="91"/>
        <v>0</v>
      </c>
      <c r="AD204" s="38">
        <f t="shared" si="92"/>
        <v>0</v>
      </c>
      <c r="AE204" s="38">
        <f t="shared" si="93"/>
        <v>0</v>
      </c>
      <c r="AF204" s="38">
        <f t="shared" si="94"/>
        <v>0</v>
      </c>
      <c r="AG204" s="33">
        <f t="shared" si="95"/>
        <v>8</v>
      </c>
      <c r="AH204" s="33">
        <f t="shared" si="96"/>
        <v>0</v>
      </c>
      <c r="AI204" s="33">
        <f t="shared" si="97"/>
        <v>0</v>
      </c>
      <c r="AJ204" s="33">
        <f t="shared" si="98"/>
        <v>0</v>
      </c>
      <c r="AK204" s="34">
        <f t="shared" si="99"/>
        <v>5.6338028169014086E-2</v>
      </c>
      <c r="AL204" s="35">
        <f t="shared" si="100"/>
        <v>0</v>
      </c>
      <c r="AM204" s="34">
        <f t="shared" si="83"/>
        <v>0</v>
      </c>
      <c r="AN204" s="36">
        <f t="shared" si="101"/>
        <v>0</v>
      </c>
      <c r="AO204" s="6">
        <f t="shared" si="84"/>
        <v>0</v>
      </c>
      <c r="AP204">
        <f t="shared" si="85"/>
        <v>8</v>
      </c>
      <c r="AQ204" s="6">
        <f t="shared" si="86"/>
        <v>0</v>
      </c>
      <c r="AR204" s="6">
        <f t="shared" si="87"/>
        <v>0</v>
      </c>
      <c r="AS204" s="6"/>
      <c r="AX204" s="95">
        <f t="shared" si="88"/>
        <v>42327</v>
      </c>
      <c r="AY204" s="96" t="str">
        <f t="shared" si="89"/>
        <v>qui</v>
      </c>
      <c r="AZ204" s="97">
        <f>IF(OR(AY204="SÁB",AY204="DOM"),0,IFERROR(8-VLOOKUP(C204,'Dados de consulta'!$A$2:$C$38,3,0),8))</f>
        <v>8</v>
      </c>
      <c r="BA204" s="97">
        <f>IF(OR(AY204="SÁB",AY204="DOM"),0,IFERROR(8-VLOOKUP(D204,'Dados de consulta'!$A$2:$C$38,3,0),8))</f>
        <v>8</v>
      </c>
      <c r="BB204" s="97">
        <f>IF(OR(AY204="SÁB",AY204="DOM"),0,IFERROR(8-VLOOKUP(E204,'Dados de consulta'!$A$2:$C$38,3,0),8))</f>
        <v>8</v>
      </c>
      <c r="BC204" s="97">
        <f>IF(OR(AY204="SÁB",AY204="DOM"),0,IFERROR(8-VLOOKUP(F204,'Dados de consulta'!$A$2:$C$38,3,0),8))</f>
        <v>8</v>
      </c>
      <c r="BD204" s="97">
        <f>IF(OR(AY204="SÁB",AY204="DOM"),0,IFERROR(8-VLOOKUP(G204,'Dados de consulta'!$A$2:$C$38,3,0),8))</f>
        <v>0</v>
      </c>
      <c r="BE204" s="97">
        <f>IF(OR(AY204="SÁB",AY204="DOM"),0,IFERROR(8-VLOOKUP(H204,'Dados de consulta'!$A$2:$C$38,3,0),8))</f>
        <v>8</v>
      </c>
      <c r="BF204" s="97">
        <f>IF(OR(AY204="SÁB",AY204="DOM"),0,IFERROR(8-VLOOKUP(I204,'Dados de consulta'!$A$2:$C$38,3,0),8))</f>
        <v>8</v>
      </c>
      <c r="BG204" s="97">
        <f>IF(OR(AY204="SÁB",AY204="DOM"),0,IFERROR(8-VLOOKUP(J204,'Dados de consulta'!$A$2:$C$38,3,0),8))</f>
        <v>8</v>
      </c>
      <c r="BH204" s="97">
        <f>IF(OR(AY204="SÁB",AY204="DOM"),0,IFERROR(8-VLOOKUP(K204,'Dados de consulta'!$A$2:$C$38,3,0),8))</f>
        <v>8</v>
      </c>
      <c r="BI204" s="97">
        <f>IF(OR(AY204="SÁB",AY204="DOM"),0,IFERROR(8-VLOOKUP(L204,'Dados de consulta'!$A$2:$C$38,3,0),8))</f>
        <v>8</v>
      </c>
      <c r="BJ204" s="97">
        <f>IF(OR(AY204="SÁB",AY204="DOM"),0,IFERROR(8-VLOOKUP(M204,'Dados de consulta'!$A$2:$C$38,3,0),8))</f>
        <v>0</v>
      </c>
      <c r="BK204" s="97">
        <f>IF(OR(AY204="SÁB",AY204="DOM"),0,IFERROR(8-VLOOKUP(N204,'Dados de consulta'!$A$2:$C$38,3,0),8))</f>
        <v>8</v>
      </c>
      <c r="BL204" s="97">
        <f>IF(OR(AY204="SÁB",AY204="DOM"),0,IFERROR(8-VLOOKUP(O204,'Dados de consulta'!$A$2:$C$38,3,0),8))</f>
        <v>8</v>
      </c>
      <c r="BM204" s="97">
        <f>IF(OR(AY204="SÁB",AY204="DOM"),0,IFERROR(8-VLOOKUP(P204,'Dados de consulta'!$A$2:$C$38,3,0),8))</f>
        <v>8</v>
      </c>
      <c r="BN204" s="97">
        <f>IF(OR(AY204="SÁB",AY204="DOM"),0,IFERROR(8-VLOOKUP(Q204,'Dados de consulta'!$A$2:$C$38,3,0),8))</f>
        <v>8</v>
      </c>
      <c r="BO204" s="97">
        <f>IF(OR(AY204="SÁB",AY204="DOM"),0,IFERROR(8-VLOOKUP(R204,'Dados de consulta'!$A$2:$C$38,3,0),8))</f>
        <v>8</v>
      </c>
      <c r="BP204" s="97">
        <f>IF(OR(AY204="SÁB",AY204="DOM"),0,IFERROR(8-VLOOKUP(S204,'Dados de consulta'!$A$2:$C$38,3,0),8))</f>
        <v>8</v>
      </c>
      <c r="BQ204" s="113">
        <f>IFERROR(6-VLOOKUP(T204,'Dados de consulta'!$A$2:$C$38,3,0)+2,6)</f>
        <v>6</v>
      </c>
      <c r="BR204" s="114">
        <f t="shared" si="102"/>
        <v>126</v>
      </c>
      <c r="BS204">
        <f t="shared" si="78"/>
        <v>134</v>
      </c>
      <c r="BU204">
        <f>IFERROR(8-VLOOKUP(U204,'Dados de consulta'!$A:$D,3,0),8)</f>
        <v>8</v>
      </c>
      <c r="BV204">
        <f>IFERROR(8-VLOOKUP(V204,'Dados de consulta'!$A:$D,3,0),8)</f>
        <v>8</v>
      </c>
      <c r="BW204">
        <f t="shared" si="103"/>
        <v>16</v>
      </c>
    </row>
    <row r="205" spans="1:75" ht="15" hidden="1" x14ac:dyDescent="0.2">
      <c r="A205" s="98">
        <v>42328</v>
      </c>
      <c r="B205" s="129" t="str">
        <f t="shared" si="79"/>
        <v>sex</v>
      </c>
      <c r="C205" s="132"/>
      <c r="D205" s="132"/>
      <c r="E205" s="132"/>
      <c r="F205" s="132"/>
      <c r="G205" s="132">
        <v>4</v>
      </c>
      <c r="H205" s="132"/>
      <c r="I205" s="132"/>
      <c r="J205" s="132"/>
      <c r="K205" s="132"/>
      <c r="L205" s="132"/>
      <c r="M205" s="132">
        <v>101</v>
      </c>
      <c r="N205" s="132"/>
      <c r="O205" s="132"/>
      <c r="P205" s="132"/>
      <c r="Q205" s="132"/>
      <c r="R205" s="132"/>
      <c r="S205" s="132"/>
      <c r="T205" s="132"/>
      <c r="U205" s="151"/>
      <c r="V205" s="151"/>
      <c r="W205" s="307" t="s">
        <v>193</v>
      </c>
      <c r="X205" s="308"/>
      <c r="Y205" s="38">
        <f t="shared" si="80"/>
        <v>8</v>
      </c>
      <c r="Z205" s="38">
        <f t="shared" si="81"/>
        <v>0</v>
      </c>
      <c r="AA205" s="38">
        <f t="shared" si="82"/>
        <v>0</v>
      </c>
      <c r="AB205" s="38">
        <f t="shared" si="90"/>
        <v>0</v>
      </c>
      <c r="AC205" s="38">
        <f t="shared" si="91"/>
        <v>0</v>
      </c>
      <c r="AD205" s="38">
        <f t="shared" si="92"/>
        <v>0</v>
      </c>
      <c r="AE205" s="38">
        <f t="shared" si="93"/>
        <v>0</v>
      </c>
      <c r="AF205" s="38">
        <f t="shared" si="94"/>
        <v>0</v>
      </c>
      <c r="AG205" s="33">
        <f t="shared" si="95"/>
        <v>8</v>
      </c>
      <c r="AH205" s="33">
        <f t="shared" si="96"/>
        <v>0</v>
      </c>
      <c r="AI205" s="33">
        <f t="shared" si="97"/>
        <v>0</v>
      </c>
      <c r="AJ205" s="33">
        <f t="shared" si="98"/>
        <v>0</v>
      </c>
      <c r="AK205" s="34">
        <f t="shared" si="99"/>
        <v>5.6338028169014086E-2</v>
      </c>
      <c r="AL205" s="35">
        <f t="shared" si="100"/>
        <v>0</v>
      </c>
      <c r="AM205" s="34">
        <f t="shared" si="83"/>
        <v>0</v>
      </c>
      <c r="AN205" s="36">
        <f t="shared" si="101"/>
        <v>0</v>
      </c>
      <c r="AO205" s="6">
        <f t="shared" si="84"/>
        <v>0</v>
      </c>
      <c r="AP205">
        <f t="shared" si="85"/>
        <v>8</v>
      </c>
      <c r="AQ205" s="6">
        <f t="shared" si="86"/>
        <v>0</v>
      </c>
      <c r="AR205" s="6">
        <f t="shared" si="87"/>
        <v>0</v>
      </c>
      <c r="AS205" s="6"/>
      <c r="AX205" s="95">
        <f t="shared" si="88"/>
        <v>42328</v>
      </c>
      <c r="AY205" s="96" t="str">
        <f t="shared" si="89"/>
        <v>sex</v>
      </c>
      <c r="AZ205" s="97">
        <f>IF(OR(AY205="SÁB",AY205="DOM"),0,IFERROR(8-VLOOKUP(C205,'Dados de consulta'!$A$2:$C$38,3,0),8))</f>
        <v>8</v>
      </c>
      <c r="BA205" s="97">
        <f>IF(OR(AY205="SÁB",AY205="DOM"),0,IFERROR(8-VLOOKUP(D205,'Dados de consulta'!$A$2:$C$38,3,0),8))</f>
        <v>8</v>
      </c>
      <c r="BB205" s="97">
        <f>IF(OR(AY205="SÁB",AY205="DOM"),0,IFERROR(8-VLOOKUP(E205,'Dados de consulta'!$A$2:$C$38,3,0),8))</f>
        <v>8</v>
      </c>
      <c r="BC205" s="97">
        <f>IF(OR(AY205="SÁB",AY205="DOM"),0,IFERROR(8-VLOOKUP(F205,'Dados de consulta'!$A$2:$C$38,3,0),8))</f>
        <v>8</v>
      </c>
      <c r="BD205" s="97">
        <f>IF(OR(AY205="SÁB",AY205="DOM"),0,IFERROR(8-VLOOKUP(G205,'Dados de consulta'!$A$2:$C$38,3,0),8))</f>
        <v>0</v>
      </c>
      <c r="BE205" s="97">
        <f>IF(OR(AY205="SÁB",AY205="DOM"),0,IFERROR(8-VLOOKUP(H205,'Dados de consulta'!$A$2:$C$38,3,0),8))</f>
        <v>8</v>
      </c>
      <c r="BF205" s="97">
        <f>IF(OR(AY205="SÁB",AY205="DOM"),0,IFERROR(8-VLOOKUP(I205,'Dados de consulta'!$A$2:$C$38,3,0),8))</f>
        <v>8</v>
      </c>
      <c r="BG205" s="97">
        <f>IF(OR(AY205="SÁB",AY205="DOM"),0,IFERROR(8-VLOOKUP(J205,'Dados de consulta'!$A$2:$C$38,3,0),8))</f>
        <v>8</v>
      </c>
      <c r="BH205" s="97">
        <f>IF(OR(AY205="SÁB",AY205="DOM"),0,IFERROR(8-VLOOKUP(K205,'Dados de consulta'!$A$2:$C$38,3,0),8))</f>
        <v>8</v>
      </c>
      <c r="BI205" s="97">
        <f>IF(OR(AY205="SÁB",AY205="DOM"),0,IFERROR(8-VLOOKUP(L205,'Dados de consulta'!$A$2:$C$38,3,0),8))</f>
        <v>8</v>
      </c>
      <c r="BJ205" s="97">
        <f>IF(OR(AY205="SÁB",AY205="DOM"),0,IFERROR(8-VLOOKUP(M205,'Dados de consulta'!$A$2:$C$38,3,0),8))</f>
        <v>0</v>
      </c>
      <c r="BK205" s="97">
        <f>IF(OR(AY205="SÁB",AY205="DOM"),0,IFERROR(8-VLOOKUP(N205,'Dados de consulta'!$A$2:$C$38,3,0),8))</f>
        <v>8</v>
      </c>
      <c r="BL205" s="97">
        <f>IF(OR(AY205="SÁB",AY205="DOM"),0,IFERROR(8-VLOOKUP(O205,'Dados de consulta'!$A$2:$C$38,3,0),8))</f>
        <v>8</v>
      </c>
      <c r="BM205" s="97">
        <f>IF(OR(AY205="SÁB",AY205="DOM"),0,IFERROR(8-VLOOKUP(P205,'Dados de consulta'!$A$2:$C$38,3,0),8))</f>
        <v>8</v>
      </c>
      <c r="BN205" s="97">
        <f>IF(OR(AY205="SÁB",AY205="DOM"),0,IFERROR(8-VLOOKUP(Q205,'Dados de consulta'!$A$2:$C$38,3,0),8))</f>
        <v>8</v>
      </c>
      <c r="BO205" s="97">
        <f>IF(OR(AY205="SÁB",AY205="DOM"),0,IFERROR(8-VLOOKUP(R205,'Dados de consulta'!$A$2:$C$38,3,0),8))</f>
        <v>8</v>
      </c>
      <c r="BP205" s="97">
        <f>IF(OR(AY205="SÁB",AY205="DOM"),0,IFERROR(8-VLOOKUP(S205,'Dados de consulta'!$A$2:$C$38,3,0),8))</f>
        <v>8</v>
      </c>
      <c r="BQ205" s="113">
        <f>IFERROR(6-VLOOKUP(T205,'Dados de consulta'!$A$2:$C$38,3,0)+2,6)</f>
        <v>6</v>
      </c>
      <c r="BR205" s="114">
        <f t="shared" si="102"/>
        <v>126</v>
      </c>
      <c r="BS205">
        <f t="shared" si="78"/>
        <v>134</v>
      </c>
      <c r="BU205">
        <f>IFERROR(8-VLOOKUP(U205,'Dados de consulta'!$A:$D,3,0),8)</f>
        <v>8</v>
      </c>
      <c r="BV205">
        <f>IFERROR(8-VLOOKUP(V205,'Dados de consulta'!$A:$D,3,0),8)</f>
        <v>8</v>
      </c>
      <c r="BW205">
        <f t="shared" si="103"/>
        <v>16</v>
      </c>
    </row>
    <row r="206" spans="1:75" ht="15" hidden="1" x14ac:dyDescent="0.2">
      <c r="A206" s="98">
        <v>42329</v>
      </c>
      <c r="B206" s="129" t="str">
        <f t="shared" si="79"/>
        <v>sáb</v>
      </c>
      <c r="C206" s="132"/>
      <c r="D206" s="132"/>
      <c r="E206" s="132"/>
      <c r="F206" s="132"/>
      <c r="G206" s="132">
        <v>4</v>
      </c>
      <c r="H206" s="132"/>
      <c r="I206" s="132"/>
      <c r="J206" s="132"/>
      <c r="K206" s="132"/>
      <c r="L206" s="132"/>
      <c r="M206" s="132">
        <v>101</v>
      </c>
      <c r="N206" s="132"/>
      <c r="O206" s="132"/>
      <c r="P206" s="132"/>
      <c r="Q206" s="132"/>
      <c r="R206" s="132"/>
      <c r="S206" s="132"/>
      <c r="T206" s="132"/>
      <c r="U206" s="151"/>
      <c r="V206" s="151"/>
      <c r="W206" s="307" t="s">
        <v>193</v>
      </c>
      <c r="X206" s="308"/>
      <c r="Y206" s="38">
        <f t="shared" si="80"/>
        <v>8</v>
      </c>
      <c r="Z206" s="38">
        <f t="shared" si="81"/>
        <v>0</v>
      </c>
      <c r="AA206" s="38">
        <f t="shared" si="82"/>
        <v>0</v>
      </c>
      <c r="AB206" s="38">
        <f t="shared" si="90"/>
        <v>0</v>
      </c>
      <c r="AC206" s="38">
        <f t="shared" si="91"/>
        <v>0</v>
      </c>
      <c r="AD206" s="38">
        <f t="shared" si="92"/>
        <v>0</v>
      </c>
      <c r="AE206" s="38">
        <f t="shared" si="93"/>
        <v>0</v>
      </c>
      <c r="AF206" s="38">
        <f t="shared" si="94"/>
        <v>0</v>
      </c>
      <c r="AG206" s="33">
        <f t="shared" si="95"/>
        <v>0</v>
      </c>
      <c r="AH206" s="33">
        <f t="shared" si="96"/>
        <v>0</v>
      </c>
      <c r="AI206" s="33">
        <f t="shared" si="97"/>
        <v>0</v>
      </c>
      <c r="AJ206" s="33">
        <f t="shared" si="98"/>
        <v>0</v>
      </c>
      <c r="AK206" s="34">
        <f t="shared" si="99"/>
        <v>0</v>
      </c>
      <c r="AL206" s="35">
        <f t="shared" si="100"/>
        <v>0</v>
      </c>
      <c r="AM206" s="34">
        <f t="shared" si="83"/>
        <v>0</v>
      </c>
      <c r="AN206" s="36">
        <f t="shared" si="101"/>
        <v>0</v>
      </c>
      <c r="AO206" s="6">
        <f t="shared" si="84"/>
        <v>0</v>
      </c>
      <c r="AP206">
        <f t="shared" si="85"/>
        <v>8</v>
      </c>
      <c r="AQ206" s="6">
        <f t="shared" si="86"/>
        <v>0</v>
      </c>
      <c r="AR206" s="6">
        <f t="shared" si="87"/>
        <v>0</v>
      </c>
      <c r="AS206" s="6"/>
      <c r="AX206" s="95">
        <f t="shared" si="88"/>
        <v>42329</v>
      </c>
      <c r="AY206" s="96" t="str">
        <f t="shared" si="89"/>
        <v>sáb</v>
      </c>
      <c r="AZ206" s="97">
        <f>IF(OR(AY206="SÁB",AY206="DOM"),0,IFERROR(8-VLOOKUP(C206,'Dados de consulta'!$A$2:$C$38,3,0),8))</f>
        <v>0</v>
      </c>
      <c r="BA206" s="97">
        <f>IF(OR(AY206="SÁB",AY206="DOM"),0,IFERROR(8-VLOOKUP(D206,'Dados de consulta'!$A$2:$C$38,3,0),8))</f>
        <v>0</v>
      </c>
      <c r="BB206" s="97">
        <f>IF(OR(AY206="SÁB",AY206="DOM"),0,IFERROR(8-VLOOKUP(E206,'Dados de consulta'!$A$2:$C$38,3,0),8))</f>
        <v>0</v>
      </c>
      <c r="BC206" s="97">
        <f>IF(OR(AY206="SÁB",AY206="DOM"),0,IFERROR(8-VLOOKUP(F206,'Dados de consulta'!$A$2:$C$38,3,0),8))</f>
        <v>0</v>
      </c>
      <c r="BD206" s="97">
        <f>IF(OR(AY206="SÁB",AY206="DOM"),0,IFERROR(8-VLOOKUP(G206,'Dados de consulta'!$A$2:$C$38,3,0),8))</f>
        <v>0</v>
      </c>
      <c r="BE206" s="97">
        <f>IF(OR(AY206="SÁB",AY206="DOM"),0,IFERROR(8-VLOOKUP(H206,'Dados de consulta'!$A$2:$C$38,3,0),8))</f>
        <v>0</v>
      </c>
      <c r="BF206" s="97">
        <f>IF(OR(AY206="SÁB",AY206="DOM"),0,IFERROR(8-VLOOKUP(I206,'Dados de consulta'!$A$2:$C$38,3,0),8))</f>
        <v>0</v>
      </c>
      <c r="BG206" s="97">
        <f>IF(OR(AY206="SÁB",AY206="DOM"),0,IFERROR(8-VLOOKUP(J206,'Dados de consulta'!$A$2:$C$38,3,0),8))</f>
        <v>0</v>
      </c>
      <c r="BH206" s="97">
        <f>IF(OR(AY206="SÁB",AY206="DOM"),0,IFERROR(8-VLOOKUP(K206,'Dados de consulta'!$A$2:$C$38,3,0),8))</f>
        <v>0</v>
      </c>
      <c r="BI206" s="97">
        <f>IF(OR(AY206="SÁB",AY206="DOM"),0,IFERROR(8-VLOOKUP(L206,'Dados de consulta'!$A$2:$C$38,3,0),8))</f>
        <v>0</v>
      </c>
      <c r="BJ206" s="97">
        <f>IF(OR(AY206="SÁB",AY206="DOM"),0,IFERROR(8-VLOOKUP(M206,'Dados de consulta'!$A$2:$C$38,3,0),8))</f>
        <v>0</v>
      </c>
      <c r="BK206" s="97">
        <f>IF(OR(AY206="SÁB",AY206="DOM"),0,IFERROR(8-VLOOKUP(N206,'Dados de consulta'!$A$2:$C$38,3,0),8))</f>
        <v>0</v>
      </c>
      <c r="BL206" s="97">
        <f>IF(OR(AY206="SÁB",AY206="DOM"),0,IFERROR(8-VLOOKUP(O206,'Dados de consulta'!$A$2:$C$38,3,0),8))</f>
        <v>0</v>
      </c>
      <c r="BM206" s="97">
        <f>IF(OR(AY206="SÁB",AY206="DOM"),0,IFERROR(8-VLOOKUP(P206,'Dados de consulta'!$A$2:$C$38,3,0),8))</f>
        <v>0</v>
      </c>
      <c r="BN206" s="97">
        <f>IF(OR(AY206="SÁB",AY206="DOM"),0,IFERROR(8-VLOOKUP(Q206,'Dados de consulta'!$A$2:$C$38,3,0),8))</f>
        <v>0</v>
      </c>
      <c r="BO206" s="97">
        <f>IF(OR(AY206="SÁB",AY206="DOM"),0,IFERROR(8-VLOOKUP(R206,'Dados de consulta'!$A$2:$C$38,3,0),8))</f>
        <v>0</v>
      </c>
      <c r="BP206" s="97">
        <f>IF(OR(AY206="SÁB",AY206="DOM"),0,IFERROR(8-VLOOKUP(S206,'Dados de consulta'!$A$2:$C$38,3,0),8))</f>
        <v>0</v>
      </c>
      <c r="BQ206" s="113">
        <f>IFERROR(6-VLOOKUP(T206,'Dados de consulta'!$A$2:$C$38,3,0)+2,6)</f>
        <v>6</v>
      </c>
      <c r="BR206" s="114">
        <f t="shared" si="102"/>
        <v>0</v>
      </c>
      <c r="BS206">
        <f t="shared" si="78"/>
        <v>0</v>
      </c>
      <c r="BU206">
        <f>IFERROR(8-VLOOKUP(U206,'Dados de consulta'!$A:$D,3,0),8)</f>
        <v>8</v>
      </c>
      <c r="BV206">
        <f>IFERROR(8-VLOOKUP(V206,'Dados de consulta'!$A:$D,3,0),8)</f>
        <v>8</v>
      </c>
      <c r="BW206">
        <f t="shared" si="103"/>
        <v>16</v>
      </c>
    </row>
    <row r="207" spans="1:75" ht="15" hidden="1" x14ac:dyDescent="0.2">
      <c r="A207" s="98">
        <v>42330</v>
      </c>
      <c r="B207" s="129" t="str">
        <f t="shared" si="79"/>
        <v>dom</v>
      </c>
      <c r="C207" s="132"/>
      <c r="D207" s="132"/>
      <c r="E207" s="132"/>
      <c r="F207" s="132"/>
      <c r="G207" s="132">
        <v>4</v>
      </c>
      <c r="H207" s="132"/>
      <c r="I207" s="132"/>
      <c r="J207" s="132"/>
      <c r="K207" s="132"/>
      <c r="L207" s="132"/>
      <c r="M207" s="132">
        <v>101</v>
      </c>
      <c r="N207" s="132"/>
      <c r="O207" s="132"/>
      <c r="P207" s="132"/>
      <c r="Q207" s="132"/>
      <c r="R207" s="132"/>
      <c r="S207" s="132"/>
      <c r="T207" s="132"/>
      <c r="U207" s="151"/>
      <c r="V207" s="151"/>
      <c r="W207" s="307" t="s">
        <v>193</v>
      </c>
      <c r="X207" s="308"/>
      <c r="Y207" s="38">
        <f t="shared" si="80"/>
        <v>8</v>
      </c>
      <c r="Z207" s="38">
        <f t="shared" si="81"/>
        <v>0</v>
      </c>
      <c r="AA207" s="38">
        <f t="shared" si="82"/>
        <v>0</v>
      </c>
      <c r="AB207" s="38">
        <f t="shared" si="90"/>
        <v>0</v>
      </c>
      <c r="AC207" s="38">
        <f t="shared" si="91"/>
        <v>0</v>
      </c>
      <c r="AD207" s="38">
        <f t="shared" si="92"/>
        <v>0</v>
      </c>
      <c r="AE207" s="38">
        <f t="shared" si="93"/>
        <v>0</v>
      </c>
      <c r="AF207" s="38">
        <f t="shared" si="94"/>
        <v>0</v>
      </c>
      <c r="AG207" s="33">
        <f t="shared" si="95"/>
        <v>0</v>
      </c>
      <c r="AH207" s="33">
        <f t="shared" si="96"/>
        <v>0</v>
      </c>
      <c r="AI207" s="33">
        <f t="shared" si="97"/>
        <v>0</v>
      </c>
      <c r="AJ207" s="33">
        <f t="shared" si="98"/>
        <v>0</v>
      </c>
      <c r="AK207" s="34">
        <f t="shared" si="99"/>
        <v>0</v>
      </c>
      <c r="AL207" s="35">
        <f t="shared" si="100"/>
        <v>0</v>
      </c>
      <c r="AM207" s="34">
        <f t="shared" si="83"/>
        <v>0</v>
      </c>
      <c r="AN207" s="36">
        <f t="shared" si="101"/>
        <v>0</v>
      </c>
      <c r="AO207" s="6">
        <f t="shared" si="84"/>
        <v>0</v>
      </c>
      <c r="AP207">
        <f t="shared" si="85"/>
        <v>8</v>
      </c>
      <c r="AQ207" s="6">
        <f t="shared" si="86"/>
        <v>0</v>
      </c>
      <c r="AR207" s="6">
        <f t="shared" si="87"/>
        <v>0</v>
      </c>
      <c r="AS207" s="6"/>
      <c r="AX207" s="95">
        <f t="shared" si="88"/>
        <v>42330</v>
      </c>
      <c r="AY207" s="96" t="str">
        <f t="shared" si="89"/>
        <v>dom</v>
      </c>
      <c r="AZ207" s="97">
        <f>IF(OR(AY207="SÁB",AY207="DOM"),0,IFERROR(8-VLOOKUP(C207,'Dados de consulta'!$A$2:$C$38,3,0),8))</f>
        <v>0</v>
      </c>
      <c r="BA207" s="97">
        <f>IF(OR(AY207="SÁB",AY207="DOM"),0,IFERROR(8-VLOOKUP(D207,'Dados de consulta'!$A$2:$C$38,3,0),8))</f>
        <v>0</v>
      </c>
      <c r="BB207" s="97">
        <f>IF(OR(AY207="SÁB",AY207="DOM"),0,IFERROR(8-VLOOKUP(E207,'Dados de consulta'!$A$2:$C$38,3,0),8))</f>
        <v>0</v>
      </c>
      <c r="BC207" s="97">
        <f>IF(OR(AY207="SÁB",AY207="DOM"),0,IFERROR(8-VLOOKUP(F207,'Dados de consulta'!$A$2:$C$38,3,0),8))</f>
        <v>0</v>
      </c>
      <c r="BD207" s="97">
        <f>IF(OR(AY207="SÁB",AY207="DOM"),0,IFERROR(8-VLOOKUP(G207,'Dados de consulta'!$A$2:$C$38,3,0),8))</f>
        <v>0</v>
      </c>
      <c r="BE207" s="97">
        <f>IF(OR(AY207="SÁB",AY207="DOM"),0,IFERROR(8-VLOOKUP(H207,'Dados de consulta'!$A$2:$C$38,3,0),8))</f>
        <v>0</v>
      </c>
      <c r="BF207" s="97">
        <f>IF(OR(AY207="SÁB",AY207="DOM"),0,IFERROR(8-VLOOKUP(I207,'Dados de consulta'!$A$2:$C$38,3,0),8))</f>
        <v>0</v>
      </c>
      <c r="BG207" s="97">
        <f>IF(OR(AY207="SÁB",AY207="DOM"),0,IFERROR(8-VLOOKUP(J207,'Dados de consulta'!$A$2:$C$38,3,0),8))</f>
        <v>0</v>
      </c>
      <c r="BH207" s="97">
        <f>IF(OR(AY207="SÁB",AY207="DOM"),0,IFERROR(8-VLOOKUP(K207,'Dados de consulta'!$A$2:$C$38,3,0),8))</f>
        <v>0</v>
      </c>
      <c r="BI207" s="97">
        <f>IF(OR(AY207="SÁB",AY207="DOM"),0,IFERROR(8-VLOOKUP(L207,'Dados de consulta'!$A$2:$C$38,3,0),8))</f>
        <v>0</v>
      </c>
      <c r="BJ207" s="97">
        <f>IF(OR(AY207="SÁB",AY207="DOM"),0,IFERROR(8-VLOOKUP(M207,'Dados de consulta'!$A$2:$C$38,3,0),8))</f>
        <v>0</v>
      </c>
      <c r="BK207" s="97">
        <f>IF(OR(AY207="SÁB",AY207="DOM"),0,IFERROR(8-VLOOKUP(N207,'Dados de consulta'!$A$2:$C$38,3,0),8))</f>
        <v>0</v>
      </c>
      <c r="BL207" s="97">
        <f>IF(OR(AY207="SÁB",AY207="DOM"),0,IFERROR(8-VLOOKUP(O207,'Dados de consulta'!$A$2:$C$38,3,0),8))</f>
        <v>0</v>
      </c>
      <c r="BM207" s="97">
        <f>IF(OR(AY207="SÁB",AY207="DOM"),0,IFERROR(8-VLOOKUP(P207,'Dados de consulta'!$A$2:$C$38,3,0),8))</f>
        <v>0</v>
      </c>
      <c r="BN207" s="97">
        <f>IF(OR(AY207="SÁB",AY207="DOM"),0,IFERROR(8-VLOOKUP(Q207,'Dados de consulta'!$A$2:$C$38,3,0),8))</f>
        <v>0</v>
      </c>
      <c r="BO207" s="97">
        <f>IF(OR(AY207="SÁB",AY207="DOM"),0,IFERROR(8-VLOOKUP(R207,'Dados de consulta'!$A$2:$C$38,3,0),8))</f>
        <v>0</v>
      </c>
      <c r="BP207" s="97">
        <f>IF(OR(AY207="SÁB",AY207="DOM"),0,IFERROR(8-VLOOKUP(S207,'Dados de consulta'!$A$2:$C$38,3,0),8))</f>
        <v>0</v>
      </c>
      <c r="BQ207" s="113">
        <f>IFERROR(6-VLOOKUP(T207,'Dados de consulta'!$A$2:$C$38,3,0)+2,6)</f>
        <v>6</v>
      </c>
      <c r="BR207" s="114">
        <f t="shared" si="102"/>
        <v>0</v>
      </c>
      <c r="BS207">
        <f t="shared" si="78"/>
        <v>0</v>
      </c>
      <c r="BU207">
        <f>IFERROR(8-VLOOKUP(U207,'Dados de consulta'!$A:$D,3,0),8)</f>
        <v>8</v>
      </c>
      <c r="BV207">
        <f>IFERROR(8-VLOOKUP(V207,'Dados de consulta'!$A:$D,3,0),8)</f>
        <v>8</v>
      </c>
      <c r="BW207">
        <f t="shared" si="103"/>
        <v>16</v>
      </c>
    </row>
    <row r="208" spans="1:75" ht="15" hidden="1" x14ac:dyDescent="0.2">
      <c r="A208" s="98">
        <v>42331</v>
      </c>
      <c r="B208" s="129" t="str">
        <f t="shared" si="79"/>
        <v>seg</v>
      </c>
      <c r="C208" s="132"/>
      <c r="D208" s="132"/>
      <c r="E208" s="132"/>
      <c r="F208" s="132"/>
      <c r="G208" s="132">
        <v>4</v>
      </c>
      <c r="H208" s="132"/>
      <c r="I208" s="132">
        <v>2</v>
      </c>
      <c r="J208" s="132"/>
      <c r="K208" s="132"/>
      <c r="L208" s="132"/>
      <c r="M208" s="132">
        <v>101</v>
      </c>
      <c r="N208" s="132"/>
      <c r="O208" s="132"/>
      <c r="P208" s="132"/>
      <c r="Q208" s="132" t="s">
        <v>196</v>
      </c>
      <c r="R208" s="132"/>
      <c r="S208" s="132"/>
      <c r="T208" s="132"/>
      <c r="U208" s="151"/>
      <c r="V208" s="151"/>
      <c r="W208" s="307" t="s">
        <v>193</v>
      </c>
      <c r="X208" s="308"/>
      <c r="Y208" s="38">
        <f t="shared" si="80"/>
        <v>8</v>
      </c>
      <c r="Z208" s="38">
        <f t="shared" si="81"/>
        <v>8</v>
      </c>
      <c r="AA208" s="38">
        <f t="shared" si="82"/>
        <v>4</v>
      </c>
      <c r="AB208" s="38">
        <f t="shared" si="90"/>
        <v>0</v>
      </c>
      <c r="AC208" s="38">
        <f t="shared" si="91"/>
        <v>0</v>
      </c>
      <c r="AD208" s="38">
        <f t="shared" si="92"/>
        <v>0</v>
      </c>
      <c r="AE208" s="38">
        <f t="shared" si="93"/>
        <v>0</v>
      </c>
      <c r="AF208" s="38">
        <f t="shared" si="94"/>
        <v>0</v>
      </c>
      <c r="AG208" s="33">
        <f t="shared" si="95"/>
        <v>8</v>
      </c>
      <c r="AH208" s="33">
        <f t="shared" si="96"/>
        <v>8</v>
      </c>
      <c r="AI208" s="33">
        <f t="shared" si="97"/>
        <v>4</v>
      </c>
      <c r="AJ208" s="33">
        <f t="shared" si="98"/>
        <v>0</v>
      </c>
      <c r="AK208" s="34">
        <f t="shared" si="99"/>
        <v>5.6338028169014086E-2</v>
      </c>
      <c r="AL208" s="35">
        <f t="shared" si="100"/>
        <v>5.6338028169014086E-2</v>
      </c>
      <c r="AM208" s="34">
        <f t="shared" si="83"/>
        <v>2.8169014084507043E-2</v>
      </c>
      <c r="AN208" s="36">
        <f t="shared" si="101"/>
        <v>0</v>
      </c>
      <c r="AO208" s="6">
        <f t="shared" si="84"/>
        <v>0</v>
      </c>
      <c r="AP208">
        <f t="shared" si="85"/>
        <v>8</v>
      </c>
      <c r="AQ208" s="6">
        <f t="shared" si="86"/>
        <v>0</v>
      </c>
      <c r="AR208" s="6">
        <f t="shared" si="87"/>
        <v>0</v>
      </c>
      <c r="AS208" s="6"/>
      <c r="AX208" s="95">
        <f t="shared" si="88"/>
        <v>42331</v>
      </c>
      <c r="AY208" s="96" t="str">
        <f t="shared" si="89"/>
        <v>seg</v>
      </c>
      <c r="AZ208" s="97">
        <f>IF(OR(AY208="SÁB",AY208="DOM"),0,IFERROR(8-VLOOKUP(C208,'Dados de consulta'!$A$2:$C$38,3,0),8))</f>
        <v>8</v>
      </c>
      <c r="BA208" s="97">
        <f>IF(OR(AY208="SÁB",AY208="DOM"),0,IFERROR(8-VLOOKUP(D208,'Dados de consulta'!$A$2:$C$38,3,0),8))</f>
        <v>8</v>
      </c>
      <c r="BB208" s="97">
        <f>IF(OR(AY208="SÁB",AY208="DOM"),0,IFERROR(8-VLOOKUP(E208,'Dados de consulta'!$A$2:$C$38,3,0),8))</f>
        <v>8</v>
      </c>
      <c r="BC208" s="97">
        <f>IF(OR(AY208="SÁB",AY208="DOM"),0,IFERROR(8-VLOOKUP(F208,'Dados de consulta'!$A$2:$C$38,3,0),8))</f>
        <v>8</v>
      </c>
      <c r="BD208" s="97">
        <f>IF(OR(AY208="SÁB",AY208="DOM"),0,IFERROR(8-VLOOKUP(G208,'Dados de consulta'!$A$2:$C$38,3,0),8))</f>
        <v>0</v>
      </c>
      <c r="BE208" s="97">
        <f>IF(OR(AY208="SÁB",AY208="DOM"),0,IFERROR(8-VLOOKUP(H208,'Dados de consulta'!$A$2:$C$38,3,0),8))</f>
        <v>8</v>
      </c>
      <c r="BF208" s="97">
        <f>IF(OR(AY208="SÁB",AY208="DOM"),0,IFERROR(8-VLOOKUP(I208,'Dados de consulta'!$A$2:$C$38,3,0),8))</f>
        <v>0</v>
      </c>
      <c r="BG208" s="97">
        <f>IF(OR(AY208="SÁB",AY208="DOM"),0,IFERROR(8-VLOOKUP(J208,'Dados de consulta'!$A$2:$C$38,3,0),8))</f>
        <v>8</v>
      </c>
      <c r="BH208" s="97">
        <f>IF(OR(AY208="SÁB",AY208="DOM"),0,IFERROR(8-VLOOKUP(K208,'Dados de consulta'!$A$2:$C$38,3,0),8))</f>
        <v>8</v>
      </c>
      <c r="BI208" s="97">
        <f>IF(OR(AY208="SÁB",AY208="DOM"),0,IFERROR(8-VLOOKUP(L208,'Dados de consulta'!$A$2:$C$38,3,0),8))</f>
        <v>8</v>
      </c>
      <c r="BJ208" s="97">
        <f>IF(OR(AY208="SÁB",AY208="DOM"),0,IFERROR(8-VLOOKUP(M208,'Dados de consulta'!$A$2:$C$38,3,0),8))</f>
        <v>0</v>
      </c>
      <c r="BK208" s="97">
        <f>IF(OR(AY208="SÁB",AY208="DOM"),0,IFERROR(8-VLOOKUP(N208,'Dados de consulta'!$A$2:$C$38,3,0),8))</f>
        <v>8</v>
      </c>
      <c r="BL208" s="97">
        <f>IF(OR(AY208="SÁB",AY208="DOM"),0,IFERROR(8-VLOOKUP(O208,'Dados de consulta'!$A$2:$C$38,3,0),8))</f>
        <v>8</v>
      </c>
      <c r="BM208" s="97">
        <f>IF(OR(AY208="SÁB",AY208="DOM"),0,IFERROR(8-VLOOKUP(P208,'Dados de consulta'!$A$2:$C$38,3,0),8))</f>
        <v>8</v>
      </c>
      <c r="BN208" s="97">
        <f>IF(OR(AY208="SÁB",AY208="DOM"),0,IFERROR(8-VLOOKUP(Q208,'Dados de consulta'!$A$2:$C$38,3,0),8))</f>
        <v>4</v>
      </c>
      <c r="BO208" s="97">
        <f>IF(OR(AY208="SÁB",AY208="DOM"),0,IFERROR(8-VLOOKUP(R208,'Dados de consulta'!$A$2:$C$38,3,0),8))</f>
        <v>8</v>
      </c>
      <c r="BP208" s="97">
        <f>IF(OR(AY208="SÁB",AY208="DOM"),0,IFERROR(8-VLOOKUP(S208,'Dados de consulta'!$A$2:$C$38,3,0),8))</f>
        <v>8</v>
      </c>
      <c r="BQ208" s="113">
        <f>IFERROR(6-VLOOKUP(T208,'Dados de consulta'!$A$2:$C$38,3,0)+2,6)</f>
        <v>6</v>
      </c>
      <c r="BR208" s="114">
        <f t="shared" si="102"/>
        <v>114</v>
      </c>
      <c r="BS208">
        <f t="shared" si="78"/>
        <v>134</v>
      </c>
      <c r="BU208">
        <f>IFERROR(8-VLOOKUP(U208,'Dados de consulta'!$A:$D,3,0),8)</f>
        <v>8</v>
      </c>
      <c r="BV208">
        <f>IFERROR(8-VLOOKUP(V208,'Dados de consulta'!$A:$D,3,0),8)</f>
        <v>8</v>
      </c>
      <c r="BW208">
        <f t="shared" si="103"/>
        <v>16</v>
      </c>
    </row>
    <row r="209" spans="1:75" ht="15" hidden="1" x14ac:dyDescent="0.2">
      <c r="A209" s="98">
        <v>42332</v>
      </c>
      <c r="B209" s="129" t="str">
        <f t="shared" si="79"/>
        <v>ter</v>
      </c>
      <c r="C209" s="132"/>
      <c r="D209" s="132"/>
      <c r="E209" s="132"/>
      <c r="F209" s="132"/>
      <c r="G209" s="132">
        <v>4</v>
      </c>
      <c r="H209" s="132"/>
      <c r="I209" s="132"/>
      <c r="J209" s="132"/>
      <c r="K209" s="132"/>
      <c r="L209" s="132"/>
      <c r="M209" s="132">
        <v>101</v>
      </c>
      <c r="N209" s="132"/>
      <c r="O209" s="132"/>
      <c r="P209" s="132"/>
      <c r="Q209" s="132" t="s">
        <v>196</v>
      </c>
      <c r="R209" s="132" t="s">
        <v>196</v>
      </c>
      <c r="S209" s="132"/>
      <c r="T209" s="132"/>
      <c r="U209" s="151"/>
      <c r="V209" s="151"/>
      <c r="W209" s="307" t="s">
        <v>193</v>
      </c>
      <c r="X209" s="308"/>
      <c r="Y209" s="38">
        <f t="shared" si="80"/>
        <v>8</v>
      </c>
      <c r="Z209" s="38">
        <f t="shared" si="81"/>
        <v>0</v>
      </c>
      <c r="AA209" s="38">
        <f t="shared" si="82"/>
        <v>8</v>
      </c>
      <c r="AB209" s="38">
        <f t="shared" si="90"/>
        <v>0</v>
      </c>
      <c r="AC209" s="38">
        <f t="shared" si="91"/>
        <v>0</v>
      </c>
      <c r="AD209" s="38">
        <f t="shared" si="92"/>
        <v>0</v>
      </c>
      <c r="AE209" s="38">
        <f t="shared" si="93"/>
        <v>0</v>
      </c>
      <c r="AF209" s="38">
        <f t="shared" si="94"/>
        <v>0</v>
      </c>
      <c r="AG209" s="33">
        <f t="shared" si="95"/>
        <v>8</v>
      </c>
      <c r="AH209" s="33">
        <f t="shared" si="96"/>
        <v>0</v>
      </c>
      <c r="AI209" s="33">
        <f t="shared" si="97"/>
        <v>8</v>
      </c>
      <c r="AJ209" s="33">
        <f t="shared" si="98"/>
        <v>0</v>
      </c>
      <c r="AK209" s="34">
        <f t="shared" si="99"/>
        <v>5.6338028169014086E-2</v>
      </c>
      <c r="AL209" s="35">
        <f t="shared" si="100"/>
        <v>0</v>
      </c>
      <c r="AM209" s="34">
        <f t="shared" si="83"/>
        <v>5.6338028169014086E-2</v>
      </c>
      <c r="AN209" s="36">
        <f t="shared" si="101"/>
        <v>0</v>
      </c>
      <c r="AO209" s="6">
        <f t="shared" si="84"/>
        <v>0</v>
      </c>
      <c r="AP209">
        <f t="shared" si="85"/>
        <v>8</v>
      </c>
      <c r="AQ209" s="6">
        <f t="shared" si="86"/>
        <v>0</v>
      </c>
      <c r="AR209" s="6">
        <f t="shared" si="87"/>
        <v>0</v>
      </c>
      <c r="AS209" s="6"/>
      <c r="AX209" s="95">
        <f t="shared" si="88"/>
        <v>42332</v>
      </c>
      <c r="AY209" s="96" t="str">
        <f t="shared" si="89"/>
        <v>ter</v>
      </c>
      <c r="AZ209" s="97">
        <f>IF(OR(AY209="SÁB",AY209="DOM"),0,IFERROR(8-VLOOKUP(C209,'Dados de consulta'!$A$2:$C$38,3,0),8))</f>
        <v>8</v>
      </c>
      <c r="BA209" s="97">
        <f>IF(OR(AY209="SÁB",AY209="DOM"),0,IFERROR(8-VLOOKUP(D209,'Dados de consulta'!$A$2:$C$38,3,0),8))</f>
        <v>8</v>
      </c>
      <c r="BB209" s="97">
        <f>IF(OR(AY209="SÁB",AY209="DOM"),0,IFERROR(8-VLOOKUP(E209,'Dados de consulta'!$A$2:$C$38,3,0),8))</f>
        <v>8</v>
      </c>
      <c r="BC209" s="97">
        <f>IF(OR(AY209="SÁB",AY209="DOM"),0,IFERROR(8-VLOOKUP(F209,'Dados de consulta'!$A$2:$C$38,3,0),8))</f>
        <v>8</v>
      </c>
      <c r="BD209" s="97">
        <f>IF(OR(AY209="SÁB",AY209="DOM"),0,IFERROR(8-VLOOKUP(G209,'Dados de consulta'!$A$2:$C$38,3,0),8))</f>
        <v>0</v>
      </c>
      <c r="BE209" s="97">
        <f>IF(OR(AY209="SÁB",AY209="DOM"),0,IFERROR(8-VLOOKUP(H209,'Dados de consulta'!$A$2:$C$38,3,0),8))</f>
        <v>8</v>
      </c>
      <c r="BF209" s="97">
        <f>IF(OR(AY209="SÁB",AY209="DOM"),0,IFERROR(8-VLOOKUP(I209,'Dados de consulta'!$A$2:$C$38,3,0),8))</f>
        <v>8</v>
      </c>
      <c r="BG209" s="97">
        <f>IF(OR(AY209="SÁB",AY209="DOM"),0,IFERROR(8-VLOOKUP(J209,'Dados de consulta'!$A$2:$C$38,3,0),8))</f>
        <v>8</v>
      </c>
      <c r="BH209" s="97">
        <f>IF(OR(AY209="SÁB",AY209="DOM"),0,IFERROR(8-VLOOKUP(K209,'Dados de consulta'!$A$2:$C$38,3,0),8))</f>
        <v>8</v>
      </c>
      <c r="BI209" s="97">
        <f>IF(OR(AY209="SÁB",AY209="DOM"),0,IFERROR(8-VLOOKUP(L209,'Dados de consulta'!$A$2:$C$38,3,0),8))</f>
        <v>8</v>
      </c>
      <c r="BJ209" s="97">
        <f>IF(OR(AY209="SÁB",AY209="DOM"),0,IFERROR(8-VLOOKUP(M209,'Dados de consulta'!$A$2:$C$38,3,0),8))</f>
        <v>0</v>
      </c>
      <c r="BK209" s="97">
        <f>IF(OR(AY209="SÁB",AY209="DOM"),0,IFERROR(8-VLOOKUP(N209,'Dados de consulta'!$A$2:$C$38,3,0),8))</f>
        <v>8</v>
      </c>
      <c r="BL209" s="97">
        <f>IF(OR(AY209="SÁB",AY209="DOM"),0,IFERROR(8-VLOOKUP(O209,'Dados de consulta'!$A$2:$C$38,3,0),8))</f>
        <v>8</v>
      </c>
      <c r="BM209" s="97">
        <f>IF(OR(AY209="SÁB",AY209="DOM"),0,IFERROR(8-VLOOKUP(P209,'Dados de consulta'!$A$2:$C$38,3,0),8))</f>
        <v>8</v>
      </c>
      <c r="BN209" s="97">
        <f>IF(OR(AY209="SÁB",AY209="DOM"),0,IFERROR(8-VLOOKUP(Q209,'Dados de consulta'!$A$2:$C$38,3,0),8))</f>
        <v>4</v>
      </c>
      <c r="BO209" s="97">
        <f>IF(OR(AY209="SÁB",AY209="DOM"),0,IFERROR(8-VLOOKUP(R209,'Dados de consulta'!$A$2:$C$38,3,0),8))</f>
        <v>4</v>
      </c>
      <c r="BP209" s="97">
        <f>IF(OR(AY209="SÁB",AY209="DOM"),0,IFERROR(8-VLOOKUP(S209,'Dados de consulta'!$A$2:$C$38,3,0),8))</f>
        <v>8</v>
      </c>
      <c r="BQ209" s="113">
        <f>IFERROR(6-VLOOKUP(T209,'Dados de consulta'!$A$2:$C$38,3,0)+2,6)</f>
        <v>6</v>
      </c>
      <c r="BR209" s="114">
        <f t="shared" si="102"/>
        <v>118</v>
      </c>
      <c r="BS209">
        <f t="shared" si="78"/>
        <v>134</v>
      </c>
      <c r="BU209">
        <f>IFERROR(8-VLOOKUP(U209,'Dados de consulta'!$A:$D,3,0),8)</f>
        <v>8</v>
      </c>
      <c r="BV209">
        <f>IFERROR(8-VLOOKUP(V209,'Dados de consulta'!$A:$D,3,0),8)</f>
        <v>8</v>
      </c>
      <c r="BW209">
        <f t="shared" si="103"/>
        <v>16</v>
      </c>
    </row>
    <row r="210" spans="1:75" ht="15" hidden="1" x14ac:dyDescent="0.2">
      <c r="A210" s="98">
        <v>42333</v>
      </c>
      <c r="B210" s="129" t="str">
        <f t="shared" si="79"/>
        <v>qua</v>
      </c>
      <c r="C210" s="132"/>
      <c r="D210" s="132"/>
      <c r="E210" s="132"/>
      <c r="F210" s="132"/>
      <c r="G210" s="132">
        <v>4</v>
      </c>
      <c r="H210" s="132"/>
      <c r="I210" s="132"/>
      <c r="J210" s="132"/>
      <c r="K210" s="132"/>
      <c r="L210" s="132"/>
      <c r="M210" s="132">
        <v>101</v>
      </c>
      <c r="N210" s="132"/>
      <c r="O210" s="132"/>
      <c r="P210" s="132"/>
      <c r="Q210" s="132" t="s">
        <v>196</v>
      </c>
      <c r="R210" s="132"/>
      <c r="S210" s="132"/>
      <c r="T210" s="132"/>
      <c r="U210" s="151"/>
      <c r="V210" s="151"/>
      <c r="W210" s="307" t="s">
        <v>193</v>
      </c>
      <c r="X210" s="308"/>
      <c r="Y210" s="38">
        <f t="shared" si="80"/>
        <v>8</v>
      </c>
      <c r="Z210" s="38">
        <f t="shared" si="81"/>
        <v>0</v>
      </c>
      <c r="AA210" s="38">
        <f t="shared" si="82"/>
        <v>4</v>
      </c>
      <c r="AB210" s="38">
        <f t="shared" si="90"/>
        <v>0</v>
      </c>
      <c r="AC210" s="38">
        <f t="shared" si="91"/>
        <v>0</v>
      </c>
      <c r="AD210" s="38">
        <f t="shared" si="92"/>
        <v>0</v>
      </c>
      <c r="AE210" s="38">
        <f t="shared" si="93"/>
        <v>0</v>
      </c>
      <c r="AF210" s="38">
        <f t="shared" si="94"/>
        <v>0</v>
      </c>
      <c r="AG210" s="33">
        <f t="shared" si="95"/>
        <v>8</v>
      </c>
      <c r="AH210" s="33">
        <f t="shared" si="96"/>
        <v>0</v>
      </c>
      <c r="AI210" s="33">
        <f t="shared" si="97"/>
        <v>4</v>
      </c>
      <c r="AJ210" s="33">
        <f t="shared" si="98"/>
        <v>0</v>
      </c>
      <c r="AK210" s="34">
        <f t="shared" si="99"/>
        <v>5.6338028169014086E-2</v>
      </c>
      <c r="AL210" s="35">
        <f t="shared" si="100"/>
        <v>0</v>
      </c>
      <c r="AM210" s="34">
        <f t="shared" si="83"/>
        <v>2.8169014084507043E-2</v>
      </c>
      <c r="AN210" s="36">
        <f t="shared" si="101"/>
        <v>0</v>
      </c>
      <c r="AO210" s="6">
        <f t="shared" si="84"/>
        <v>0</v>
      </c>
      <c r="AP210">
        <f t="shared" si="85"/>
        <v>8</v>
      </c>
      <c r="AQ210" s="6">
        <f t="shared" si="86"/>
        <v>0</v>
      </c>
      <c r="AR210" s="6">
        <f t="shared" si="87"/>
        <v>0</v>
      </c>
      <c r="AS210" s="6"/>
      <c r="AX210" s="95">
        <f t="shared" si="88"/>
        <v>42333</v>
      </c>
      <c r="AY210" s="96" t="str">
        <f t="shared" si="89"/>
        <v>qua</v>
      </c>
      <c r="AZ210" s="97">
        <f>IF(OR(AY210="SÁB",AY210="DOM"),0,IFERROR(8-VLOOKUP(C210,'Dados de consulta'!$A$2:$C$38,3,0),8))</f>
        <v>8</v>
      </c>
      <c r="BA210" s="97">
        <f>IF(OR(AY210="SÁB",AY210="DOM"),0,IFERROR(8-VLOOKUP(D210,'Dados de consulta'!$A$2:$C$38,3,0),8))</f>
        <v>8</v>
      </c>
      <c r="BB210" s="97">
        <f>IF(OR(AY210="SÁB",AY210="DOM"),0,IFERROR(8-VLOOKUP(E210,'Dados de consulta'!$A$2:$C$38,3,0),8))</f>
        <v>8</v>
      </c>
      <c r="BC210" s="97">
        <f>IF(OR(AY210="SÁB",AY210="DOM"),0,IFERROR(8-VLOOKUP(F210,'Dados de consulta'!$A$2:$C$38,3,0),8))</f>
        <v>8</v>
      </c>
      <c r="BD210" s="97">
        <f>IF(OR(AY210="SÁB",AY210="DOM"),0,IFERROR(8-VLOOKUP(G210,'Dados de consulta'!$A$2:$C$38,3,0),8))</f>
        <v>0</v>
      </c>
      <c r="BE210" s="97">
        <f>IF(OR(AY210="SÁB",AY210="DOM"),0,IFERROR(8-VLOOKUP(H210,'Dados de consulta'!$A$2:$C$38,3,0),8))</f>
        <v>8</v>
      </c>
      <c r="BF210" s="97">
        <f>IF(OR(AY210="SÁB",AY210="DOM"),0,IFERROR(8-VLOOKUP(I210,'Dados de consulta'!$A$2:$C$38,3,0),8))</f>
        <v>8</v>
      </c>
      <c r="BG210" s="97">
        <f>IF(OR(AY210="SÁB",AY210="DOM"),0,IFERROR(8-VLOOKUP(J210,'Dados de consulta'!$A$2:$C$38,3,0),8))</f>
        <v>8</v>
      </c>
      <c r="BH210" s="97">
        <f>IF(OR(AY210="SÁB",AY210="DOM"),0,IFERROR(8-VLOOKUP(K210,'Dados de consulta'!$A$2:$C$38,3,0),8))</f>
        <v>8</v>
      </c>
      <c r="BI210" s="97">
        <f>IF(OR(AY210="SÁB",AY210="DOM"),0,IFERROR(8-VLOOKUP(L210,'Dados de consulta'!$A$2:$C$38,3,0),8))</f>
        <v>8</v>
      </c>
      <c r="BJ210" s="97">
        <f>IF(OR(AY210="SÁB",AY210="DOM"),0,IFERROR(8-VLOOKUP(M210,'Dados de consulta'!$A$2:$C$38,3,0),8))</f>
        <v>0</v>
      </c>
      <c r="BK210" s="97">
        <f>IF(OR(AY210="SÁB",AY210="DOM"),0,IFERROR(8-VLOOKUP(N210,'Dados de consulta'!$A$2:$C$38,3,0),8))</f>
        <v>8</v>
      </c>
      <c r="BL210" s="97">
        <f>IF(OR(AY210="SÁB",AY210="DOM"),0,IFERROR(8-VLOOKUP(O210,'Dados de consulta'!$A$2:$C$38,3,0),8))</f>
        <v>8</v>
      </c>
      <c r="BM210" s="97">
        <f>IF(OR(AY210="SÁB",AY210="DOM"),0,IFERROR(8-VLOOKUP(P210,'Dados de consulta'!$A$2:$C$38,3,0),8))</f>
        <v>8</v>
      </c>
      <c r="BN210" s="97">
        <f>IF(OR(AY210="SÁB",AY210="DOM"),0,IFERROR(8-VLOOKUP(Q210,'Dados de consulta'!$A$2:$C$38,3,0),8))</f>
        <v>4</v>
      </c>
      <c r="BO210" s="97">
        <f>IF(OR(AY210="SÁB",AY210="DOM"),0,IFERROR(8-VLOOKUP(R210,'Dados de consulta'!$A$2:$C$38,3,0),8))</f>
        <v>8</v>
      </c>
      <c r="BP210" s="97">
        <f>IF(OR(AY210="SÁB",AY210="DOM"),0,IFERROR(8-VLOOKUP(S210,'Dados de consulta'!$A$2:$C$38,3,0),8))</f>
        <v>8</v>
      </c>
      <c r="BQ210" s="113">
        <f>IFERROR(6-VLOOKUP(T210,'Dados de consulta'!$A$2:$C$38,3,0)+2,6)</f>
        <v>6</v>
      </c>
      <c r="BR210" s="114">
        <f t="shared" si="102"/>
        <v>122</v>
      </c>
      <c r="BS210">
        <f t="shared" si="78"/>
        <v>134</v>
      </c>
      <c r="BU210">
        <f>IFERROR(8-VLOOKUP(U210,'Dados de consulta'!$A:$D,3,0),8)</f>
        <v>8</v>
      </c>
      <c r="BV210">
        <f>IFERROR(8-VLOOKUP(V210,'Dados de consulta'!$A:$D,3,0),8)</f>
        <v>8</v>
      </c>
      <c r="BW210">
        <f t="shared" si="103"/>
        <v>16</v>
      </c>
    </row>
    <row r="211" spans="1:75" ht="15" hidden="1" x14ac:dyDescent="0.2">
      <c r="A211" s="98">
        <v>42334</v>
      </c>
      <c r="B211" s="129" t="str">
        <f t="shared" si="79"/>
        <v>qui</v>
      </c>
      <c r="C211" s="132"/>
      <c r="D211" s="132"/>
      <c r="E211" s="132"/>
      <c r="F211" s="132"/>
      <c r="G211" s="132">
        <v>4</v>
      </c>
      <c r="H211" s="132"/>
      <c r="I211" s="132"/>
      <c r="J211" s="132"/>
      <c r="K211" s="132"/>
      <c r="L211" s="132"/>
      <c r="M211" s="132">
        <v>101</v>
      </c>
      <c r="N211" s="132"/>
      <c r="O211" s="132" t="s">
        <v>198</v>
      </c>
      <c r="P211" s="132"/>
      <c r="Q211" s="132" t="s">
        <v>196</v>
      </c>
      <c r="R211" s="132"/>
      <c r="S211" s="132"/>
      <c r="T211" s="132"/>
      <c r="U211" s="151"/>
      <c r="V211" s="151"/>
      <c r="W211" s="307" t="s">
        <v>193</v>
      </c>
      <c r="X211" s="308"/>
      <c r="Y211" s="38">
        <f t="shared" si="80"/>
        <v>12</v>
      </c>
      <c r="Z211" s="38">
        <f t="shared" si="81"/>
        <v>0</v>
      </c>
      <c r="AA211" s="38">
        <f t="shared" si="82"/>
        <v>4</v>
      </c>
      <c r="AB211" s="38">
        <f t="shared" si="90"/>
        <v>0</v>
      </c>
      <c r="AC211" s="38">
        <f t="shared" si="91"/>
        <v>0</v>
      </c>
      <c r="AD211" s="38">
        <f t="shared" si="92"/>
        <v>0</v>
      </c>
      <c r="AE211" s="38">
        <f t="shared" si="93"/>
        <v>0</v>
      </c>
      <c r="AF211" s="38">
        <f t="shared" si="94"/>
        <v>0</v>
      </c>
      <c r="AG211" s="33">
        <f t="shared" si="95"/>
        <v>12</v>
      </c>
      <c r="AH211" s="33">
        <f t="shared" si="96"/>
        <v>0</v>
      </c>
      <c r="AI211" s="33">
        <f t="shared" si="97"/>
        <v>4</v>
      </c>
      <c r="AJ211" s="33">
        <f t="shared" si="98"/>
        <v>0</v>
      </c>
      <c r="AK211" s="34">
        <f t="shared" si="99"/>
        <v>8.4507042253521125E-2</v>
      </c>
      <c r="AL211" s="35">
        <f t="shared" si="100"/>
        <v>0</v>
      </c>
      <c r="AM211" s="34">
        <f t="shared" si="83"/>
        <v>2.8169014084507043E-2</v>
      </c>
      <c r="AN211" s="36">
        <f t="shared" si="101"/>
        <v>0</v>
      </c>
      <c r="AO211" s="6">
        <f t="shared" si="84"/>
        <v>0</v>
      </c>
      <c r="AP211">
        <f t="shared" si="85"/>
        <v>8</v>
      </c>
      <c r="AQ211" s="6">
        <f t="shared" si="86"/>
        <v>0</v>
      </c>
      <c r="AR211" s="6">
        <f t="shared" si="87"/>
        <v>0</v>
      </c>
      <c r="AS211" s="6"/>
      <c r="AX211" s="95">
        <f t="shared" si="88"/>
        <v>42334</v>
      </c>
      <c r="AY211" s="96" t="str">
        <f t="shared" si="89"/>
        <v>qui</v>
      </c>
      <c r="AZ211" s="97">
        <f>IF(OR(AY211="SÁB",AY211="DOM"),0,IFERROR(8-VLOOKUP(C211,'Dados de consulta'!$A$2:$C$38,3,0),8))</f>
        <v>8</v>
      </c>
      <c r="BA211" s="97">
        <f>IF(OR(AY211="SÁB",AY211="DOM"),0,IFERROR(8-VLOOKUP(D211,'Dados de consulta'!$A$2:$C$38,3,0),8))</f>
        <v>8</v>
      </c>
      <c r="BB211" s="97">
        <f>IF(OR(AY211="SÁB",AY211="DOM"),0,IFERROR(8-VLOOKUP(E211,'Dados de consulta'!$A$2:$C$38,3,0),8))</f>
        <v>8</v>
      </c>
      <c r="BC211" s="97">
        <f>IF(OR(AY211="SÁB",AY211="DOM"),0,IFERROR(8-VLOOKUP(F211,'Dados de consulta'!$A$2:$C$38,3,0),8))</f>
        <v>8</v>
      </c>
      <c r="BD211" s="97">
        <f>IF(OR(AY211="SÁB",AY211="DOM"),0,IFERROR(8-VLOOKUP(G211,'Dados de consulta'!$A$2:$C$38,3,0),8))</f>
        <v>0</v>
      </c>
      <c r="BE211" s="97">
        <f>IF(OR(AY211="SÁB",AY211="DOM"),0,IFERROR(8-VLOOKUP(H211,'Dados de consulta'!$A$2:$C$38,3,0),8))</f>
        <v>8</v>
      </c>
      <c r="BF211" s="97">
        <f>IF(OR(AY211="SÁB",AY211="DOM"),0,IFERROR(8-VLOOKUP(I211,'Dados de consulta'!$A$2:$C$38,3,0),8))</f>
        <v>8</v>
      </c>
      <c r="BG211" s="97">
        <f>IF(OR(AY211="SÁB",AY211="DOM"),0,IFERROR(8-VLOOKUP(J211,'Dados de consulta'!$A$2:$C$38,3,0),8))</f>
        <v>8</v>
      </c>
      <c r="BH211" s="97">
        <f>IF(OR(AY211="SÁB",AY211="DOM"),0,IFERROR(8-VLOOKUP(K211,'Dados de consulta'!$A$2:$C$38,3,0),8))</f>
        <v>8</v>
      </c>
      <c r="BI211" s="97">
        <f>IF(OR(AY211="SÁB",AY211="DOM"),0,IFERROR(8-VLOOKUP(L211,'Dados de consulta'!$A$2:$C$38,3,0),8))</f>
        <v>8</v>
      </c>
      <c r="BJ211" s="97">
        <f>IF(OR(AY211="SÁB",AY211="DOM"),0,IFERROR(8-VLOOKUP(M211,'Dados de consulta'!$A$2:$C$38,3,0),8))</f>
        <v>0</v>
      </c>
      <c r="BK211" s="97">
        <f>IF(OR(AY211="SÁB",AY211="DOM"),0,IFERROR(8-VLOOKUP(N211,'Dados de consulta'!$A$2:$C$38,3,0),8))</f>
        <v>8</v>
      </c>
      <c r="BL211" s="97">
        <f>IF(OR(AY211="SÁB",AY211="DOM"),0,IFERROR(8-VLOOKUP(O211,'Dados de consulta'!$A$2:$C$38,3,0),8))</f>
        <v>4</v>
      </c>
      <c r="BM211" s="97">
        <f>IF(OR(AY211="SÁB",AY211="DOM"),0,IFERROR(8-VLOOKUP(P211,'Dados de consulta'!$A$2:$C$38,3,0),8))</f>
        <v>8</v>
      </c>
      <c r="BN211" s="97">
        <f>IF(OR(AY211="SÁB",AY211="DOM"),0,IFERROR(8-VLOOKUP(Q211,'Dados de consulta'!$A$2:$C$38,3,0),8))</f>
        <v>4</v>
      </c>
      <c r="BO211" s="97">
        <f>IF(OR(AY211="SÁB",AY211="DOM"),0,IFERROR(8-VLOOKUP(R211,'Dados de consulta'!$A$2:$C$38,3,0),8))</f>
        <v>8</v>
      </c>
      <c r="BP211" s="97">
        <f>IF(OR(AY211="SÁB",AY211="DOM"),0,IFERROR(8-VLOOKUP(S211,'Dados de consulta'!$A$2:$C$38,3,0),8))</f>
        <v>8</v>
      </c>
      <c r="BQ211" s="113">
        <f>IFERROR(6-VLOOKUP(T211,'Dados de consulta'!$A$2:$C$38,3,0)+2,6)</f>
        <v>6</v>
      </c>
      <c r="BR211" s="114">
        <f t="shared" si="102"/>
        <v>118</v>
      </c>
      <c r="BS211">
        <f t="shared" si="78"/>
        <v>134</v>
      </c>
      <c r="BU211">
        <f>IFERROR(8-VLOOKUP(U211,'Dados de consulta'!$A:$D,3,0),8)</f>
        <v>8</v>
      </c>
      <c r="BV211">
        <f>IFERROR(8-VLOOKUP(V211,'Dados de consulta'!$A:$D,3,0),8)</f>
        <v>8</v>
      </c>
      <c r="BW211">
        <f t="shared" si="103"/>
        <v>16</v>
      </c>
    </row>
    <row r="212" spans="1:75" ht="15" hidden="1" x14ac:dyDescent="0.2">
      <c r="A212" s="98">
        <v>42335</v>
      </c>
      <c r="B212" s="129" t="str">
        <f t="shared" si="79"/>
        <v>sex</v>
      </c>
      <c r="C212" s="132"/>
      <c r="D212" s="132"/>
      <c r="E212" s="132" t="s">
        <v>198</v>
      </c>
      <c r="F212" s="132"/>
      <c r="G212" s="132">
        <v>4</v>
      </c>
      <c r="H212" s="132"/>
      <c r="I212" s="132"/>
      <c r="J212" s="132"/>
      <c r="K212" s="132"/>
      <c r="L212" s="132"/>
      <c r="M212" s="132">
        <v>101</v>
      </c>
      <c r="N212" s="132"/>
      <c r="O212" s="132"/>
      <c r="P212" s="132">
        <v>8</v>
      </c>
      <c r="Q212" s="132" t="s">
        <v>196</v>
      </c>
      <c r="R212" s="132"/>
      <c r="S212" s="132"/>
      <c r="T212" s="132"/>
      <c r="U212" s="151" t="s">
        <v>198</v>
      </c>
      <c r="V212" s="151"/>
      <c r="W212" s="307" t="s">
        <v>193</v>
      </c>
      <c r="X212" s="308"/>
      <c r="Y212" s="38">
        <f t="shared" si="80"/>
        <v>20</v>
      </c>
      <c r="Z212" s="38">
        <f t="shared" si="81"/>
        <v>0</v>
      </c>
      <c r="AA212" s="38">
        <f t="shared" si="82"/>
        <v>4</v>
      </c>
      <c r="AB212" s="38">
        <f t="shared" si="90"/>
        <v>0</v>
      </c>
      <c r="AC212" s="38">
        <f t="shared" si="91"/>
        <v>0</v>
      </c>
      <c r="AD212" s="38">
        <f t="shared" si="92"/>
        <v>0</v>
      </c>
      <c r="AE212" s="38">
        <f t="shared" si="93"/>
        <v>0</v>
      </c>
      <c r="AF212" s="38">
        <f t="shared" si="94"/>
        <v>0</v>
      </c>
      <c r="AG212" s="33">
        <f t="shared" si="95"/>
        <v>20</v>
      </c>
      <c r="AH212" s="33">
        <f t="shared" si="96"/>
        <v>0</v>
      </c>
      <c r="AI212" s="33">
        <f t="shared" si="97"/>
        <v>4</v>
      </c>
      <c r="AJ212" s="33">
        <f t="shared" si="98"/>
        <v>0</v>
      </c>
      <c r="AK212" s="34">
        <f t="shared" si="99"/>
        <v>0.14084507042253522</v>
      </c>
      <c r="AL212" s="35">
        <f t="shared" si="100"/>
        <v>0</v>
      </c>
      <c r="AM212" s="34">
        <f t="shared" si="83"/>
        <v>2.8169014084507043E-2</v>
      </c>
      <c r="AN212" s="36">
        <f t="shared" si="101"/>
        <v>0</v>
      </c>
      <c r="AO212" s="6">
        <f t="shared" si="84"/>
        <v>0</v>
      </c>
      <c r="AP212">
        <f t="shared" si="85"/>
        <v>8</v>
      </c>
      <c r="AQ212" s="6">
        <f t="shared" si="86"/>
        <v>0</v>
      </c>
      <c r="AR212" s="6">
        <f t="shared" si="87"/>
        <v>0</v>
      </c>
      <c r="AS212" s="6"/>
      <c r="AX212" s="95">
        <f t="shared" si="88"/>
        <v>42335</v>
      </c>
      <c r="AY212" s="96" t="str">
        <f t="shared" si="89"/>
        <v>sex</v>
      </c>
      <c r="AZ212" s="97">
        <f>IF(OR(AY212="SÁB",AY212="DOM"),0,IFERROR(8-VLOOKUP(C212,'Dados de consulta'!$A$2:$C$38,3,0),8))</f>
        <v>8</v>
      </c>
      <c r="BA212" s="97">
        <f>IF(OR(AY212="SÁB",AY212="DOM"),0,IFERROR(8-VLOOKUP(D212,'Dados de consulta'!$A$2:$C$38,3,0),8))</f>
        <v>8</v>
      </c>
      <c r="BB212" s="97">
        <f>IF(OR(AY212="SÁB",AY212="DOM"),0,IFERROR(8-VLOOKUP(E212,'Dados de consulta'!$A$2:$C$38,3,0),8))</f>
        <v>4</v>
      </c>
      <c r="BC212" s="97">
        <f>IF(OR(AY212="SÁB",AY212="DOM"),0,IFERROR(8-VLOOKUP(F212,'Dados de consulta'!$A$2:$C$38,3,0),8))</f>
        <v>8</v>
      </c>
      <c r="BD212" s="97">
        <f>IF(OR(AY212="SÁB",AY212="DOM"),0,IFERROR(8-VLOOKUP(G212,'Dados de consulta'!$A$2:$C$38,3,0),8))</f>
        <v>0</v>
      </c>
      <c r="BE212" s="97">
        <f>IF(OR(AY212="SÁB",AY212="DOM"),0,IFERROR(8-VLOOKUP(H212,'Dados de consulta'!$A$2:$C$38,3,0),8))</f>
        <v>8</v>
      </c>
      <c r="BF212" s="97">
        <f>IF(OR(AY212="SÁB",AY212="DOM"),0,IFERROR(8-VLOOKUP(I212,'Dados de consulta'!$A$2:$C$38,3,0),8))</f>
        <v>8</v>
      </c>
      <c r="BG212" s="97">
        <f>IF(OR(AY212="SÁB",AY212="DOM"),0,IFERROR(8-VLOOKUP(J212,'Dados de consulta'!$A$2:$C$38,3,0),8))</f>
        <v>8</v>
      </c>
      <c r="BH212" s="97">
        <f>IF(OR(AY212="SÁB",AY212="DOM"),0,IFERROR(8-VLOOKUP(K212,'Dados de consulta'!$A$2:$C$38,3,0),8))</f>
        <v>8</v>
      </c>
      <c r="BI212" s="97">
        <f>IF(OR(AY212="SÁB",AY212="DOM"),0,IFERROR(8-VLOOKUP(L212,'Dados de consulta'!$A$2:$C$38,3,0),8))</f>
        <v>8</v>
      </c>
      <c r="BJ212" s="97">
        <f>IF(OR(AY212="SÁB",AY212="DOM"),0,IFERROR(8-VLOOKUP(M212,'Dados de consulta'!$A$2:$C$38,3,0),8))</f>
        <v>0</v>
      </c>
      <c r="BK212" s="97">
        <f>IF(OR(AY212="SÁB",AY212="DOM"),0,IFERROR(8-VLOOKUP(N212,'Dados de consulta'!$A$2:$C$38,3,0),8))</f>
        <v>8</v>
      </c>
      <c r="BL212" s="97">
        <f>IF(OR(AY212="SÁB",AY212="DOM"),0,IFERROR(8-VLOOKUP(O212,'Dados de consulta'!$A$2:$C$38,3,0),8))</f>
        <v>8</v>
      </c>
      <c r="BM212" s="97">
        <f>IF(OR(AY212="SÁB",AY212="DOM"),0,IFERROR(8-VLOOKUP(P212,'Dados de consulta'!$A$2:$C$38,3,0),8))</f>
        <v>0</v>
      </c>
      <c r="BN212" s="97">
        <f>IF(OR(AY212="SÁB",AY212="DOM"),0,IFERROR(8-VLOOKUP(Q212,'Dados de consulta'!$A$2:$C$38,3,0),8))</f>
        <v>4</v>
      </c>
      <c r="BO212" s="97">
        <f>IF(OR(AY212="SÁB",AY212="DOM"),0,IFERROR(8-VLOOKUP(R212,'Dados de consulta'!$A$2:$C$38,3,0),8))</f>
        <v>8</v>
      </c>
      <c r="BP212" s="97">
        <f>IF(OR(AY212="SÁB",AY212="DOM"),0,IFERROR(8-VLOOKUP(S212,'Dados de consulta'!$A$2:$C$38,3,0),8))</f>
        <v>8</v>
      </c>
      <c r="BQ212" s="113">
        <f>IFERROR(6-VLOOKUP(T212,'Dados de consulta'!$A$2:$C$38,3,0)+2,6)</f>
        <v>6</v>
      </c>
      <c r="BR212" s="114">
        <f t="shared" si="102"/>
        <v>110</v>
      </c>
      <c r="BS212">
        <f t="shared" si="78"/>
        <v>134</v>
      </c>
      <c r="BU212">
        <f>IFERROR(8-VLOOKUP(U212,'Dados de consulta'!$A:$D,3,0),8)</f>
        <v>4</v>
      </c>
      <c r="BV212">
        <f>IFERROR(8-VLOOKUP(V212,'Dados de consulta'!$A:$D,3,0),8)</f>
        <v>8</v>
      </c>
      <c r="BW212">
        <f t="shared" si="103"/>
        <v>12</v>
      </c>
    </row>
    <row r="213" spans="1:75" ht="15" hidden="1" x14ac:dyDescent="0.2">
      <c r="A213" s="98">
        <v>42336</v>
      </c>
      <c r="B213" s="129" t="str">
        <f t="shared" si="79"/>
        <v>sáb</v>
      </c>
      <c r="C213" s="132"/>
      <c r="D213" s="132"/>
      <c r="E213" s="132"/>
      <c r="F213" s="132"/>
      <c r="G213" s="132">
        <v>4</v>
      </c>
      <c r="H213" s="132"/>
      <c r="I213" s="132"/>
      <c r="J213" s="132"/>
      <c r="K213" s="132"/>
      <c r="L213" s="132"/>
      <c r="M213" s="132">
        <v>101</v>
      </c>
      <c r="N213" s="132"/>
      <c r="O213" s="132"/>
      <c r="P213" s="132"/>
      <c r="Q213" s="132"/>
      <c r="R213" s="132"/>
      <c r="S213" s="132"/>
      <c r="T213" s="132"/>
      <c r="U213" s="151"/>
      <c r="V213" s="151"/>
      <c r="W213" s="307" t="s">
        <v>193</v>
      </c>
      <c r="X213" s="308"/>
      <c r="Y213" s="38">
        <f t="shared" si="80"/>
        <v>8</v>
      </c>
      <c r="Z213" s="38">
        <f t="shared" si="81"/>
        <v>0</v>
      </c>
      <c r="AA213" s="38">
        <f t="shared" si="82"/>
        <v>0</v>
      </c>
      <c r="AB213" s="38">
        <f t="shared" si="90"/>
        <v>0</v>
      </c>
      <c r="AC213" s="38">
        <f t="shared" si="91"/>
        <v>0</v>
      </c>
      <c r="AD213" s="38">
        <f t="shared" si="92"/>
        <v>0</v>
      </c>
      <c r="AE213" s="38">
        <f t="shared" si="93"/>
        <v>0</v>
      </c>
      <c r="AF213" s="38">
        <f t="shared" si="94"/>
        <v>0</v>
      </c>
      <c r="AG213" s="33">
        <f t="shared" si="95"/>
        <v>0</v>
      </c>
      <c r="AH213" s="33">
        <f t="shared" si="96"/>
        <v>0</v>
      </c>
      <c r="AI213" s="33">
        <f t="shared" si="97"/>
        <v>0</v>
      </c>
      <c r="AJ213" s="33">
        <f t="shared" si="98"/>
        <v>0</v>
      </c>
      <c r="AK213" s="34">
        <f t="shared" si="99"/>
        <v>0</v>
      </c>
      <c r="AL213" s="35">
        <f t="shared" si="100"/>
        <v>0</v>
      </c>
      <c r="AM213" s="34">
        <f t="shared" si="83"/>
        <v>0</v>
      </c>
      <c r="AN213" s="36">
        <f t="shared" si="101"/>
        <v>0</v>
      </c>
      <c r="AO213" s="6">
        <f t="shared" si="84"/>
        <v>0</v>
      </c>
      <c r="AP213">
        <f t="shared" si="85"/>
        <v>8</v>
      </c>
      <c r="AQ213" s="6">
        <f t="shared" si="86"/>
        <v>0</v>
      </c>
      <c r="AR213" s="6">
        <f t="shared" si="87"/>
        <v>0</v>
      </c>
      <c r="AS213" s="6"/>
      <c r="AX213" s="95">
        <f t="shared" si="88"/>
        <v>42336</v>
      </c>
      <c r="AY213" s="96" t="str">
        <f t="shared" si="89"/>
        <v>sáb</v>
      </c>
      <c r="AZ213" s="97">
        <f>IF(OR(AY213="SÁB",AY213="DOM"),0,IFERROR(8-VLOOKUP(C213,'Dados de consulta'!$A$2:$C$38,3,0),8))</f>
        <v>0</v>
      </c>
      <c r="BA213" s="97">
        <f>IF(OR(AY213="SÁB",AY213="DOM"),0,IFERROR(8-VLOOKUP(D213,'Dados de consulta'!$A$2:$C$38,3,0),8))</f>
        <v>0</v>
      </c>
      <c r="BB213" s="97">
        <f>IF(OR(AY213="SÁB",AY213="DOM"),0,IFERROR(8-VLOOKUP(E213,'Dados de consulta'!$A$2:$C$38,3,0),8))</f>
        <v>0</v>
      </c>
      <c r="BC213" s="97">
        <f>IF(OR(AY213="SÁB",AY213="DOM"),0,IFERROR(8-VLOOKUP(F213,'Dados de consulta'!$A$2:$C$38,3,0),8))</f>
        <v>0</v>
      </c>
      <c r="BD213" s="97">
        <f>IF(OR(AY213="SÁB",AY213="DOM"),0,IFERROR(8-VLOOKUP(G213,'Dados de consulta'!$A$2:$C$38,3,0),8))</f>
        <v>0</v>
      </c>
      <c r="BE213" s="97">
        <f>IF(OR(AY213="SÁB",AY213="DOM"),0,IFERROR(8-VLOOKUP(H213,'Dados de consulta'!$A$2:$C$38,3,0),8))</f>
        <v>0</v>
      </c>
      <c r="BF213" s="97">
        <f>IF(OR(AY213="SÁB",AY213="DOM"),0,IFERROR(8-VLOOKUP(I213,'Dados de consulta'!$A$2:$C$38,3,0),8))</f>
        <v>0</v>
      </c>
      <c r="BG213" s="97">
        <f>IF(OR(AY213="SÁB",AY213="DOM"),0,IFERROR(8-VLOOKUP(J213,'Dados de consulta'!$A$2:$C$38,3,0),8))</f>
        <v>0</v>
      </c>
      <c r="BH213" s="97">
        <f>IF(OR(AY213="SÁB",AY213="DOM"),0,IFERROR(8-VLOOKUP(K213,'Dados de consulta'!$A$2:$C$38,3,0),8))</f>
        <v>0</v>
      </c>
      <c r="BI213" s="97">
        <f>IF(OR(AY213="SÁB",AY213="DOM"),0,IFERROR(8-VLOOKUP(L213,'Dados de consulta'!$A$2:$C$38,3,0),8))</f>
        <v>0</v>
      </c>
      <c r="BJ213" s="97">
        <f>IF(OR(AY213="SÁB",AY213="DOM"),0,IFERROR(8-VLOOKUP(M213,'Dados de consulta'!$A$2:$C$38,3,0),8))</f>
        <v>0</v>
      </c>
      <c r="BK213" s="97">
        <f>IF(OR(AY213="SÁB",AY213="DOM"),0,IFERROR(8-VLOOKUP(N213,'Dados de consulta'!$A$2:$C$38,3,0),8))</f>
        <v>0</v>
      </c>
      <c r="BL213" s="97">
        <f>IF(OR(AY213="SÁB",AY213="DOM"),0,IFERROR(8-VLOOKUP(O213,'Dados de consulta'!$A$2:$C$38,3,0),8))</f>
        <v>0</v>
      </c>
      <c r="BM213" s="97">
        <f>IF(OR(AY213="SÁB",AY213="DOM"),0,IFERROR(8-VLOOKUP(P213,'Dados de consulta'!$A$2:$C$38,3,0),8))</f>
        <v>0</v>
      </c>
      <c r="BN213" s="97">
        <f>IF(OR(AY213="SÁB",AY213="DOM"),0,IFERROR(8-VLOOKUP(Q213,'Dados de consulta'!$A$2:$C$38,3,0),8))</f>
        <v>0</v>
      </c>
      <c r="BO213" s="97">
        <f>IF(OR(AY213="SÁB",AY213="DOM"),0,IFERROR(8-VLOOKUP(R213,'Dados de consulta'!$A$2:$C$38,3,0),8))</f>
        <v>0</v>
      </c>
      <c r="BP213" s="97">
        <f>IF(OR(AY213="SÁB",AY213="DOM"),0,IFERROR(8-VLOOKUP(S213,'Dados de consulta'!$A$2:$C$38,3,0),8))</f>
        <v>0</v>
      </c>
      <c r="BQ213" s="113">
        <f>IFERROR(6-VLOOKUP(T213,'Dados de consulta'!$A$2:$C$38,3,0)+2,6)</f>
        <v>6</v>
      </c>
      <c r="BR213" s="114">
        <f t="shared" si="102"/>
        <v>0</v>
      </c>
      <c r="BS213">
        <f t="shared" si="78"/>
        <v>0</v>
      </c>
      <c r="BU213">
        <f>IFERROR(8-VLOOKUP(U213,'Dados de consulta'!$A:$D,3,0),8)</f>
        <v>8</v>
      </c>
      <c r="BV213">
        <f>IFERROR(8-VLOOKUP(V213,'Dados de consulta'!$A:$D,3,0),8)</f>
        <v>8</v>
      </c>
      <c r="BW213">
        <f t="shared" si="103"/>
        <v>16</v>
      </c>
    </row>
    <row r="214" spans="1:75" ht="15" hidden="1" x14ac:dyDescent="0.2">
      <c r="A214" s="98">
        <v>42337</v>
      </c>
      <c r="B214" s="129" t="str">
        <f t="shared" si="79"/>
        <v>dom</v>
      </c>
      <c r="C214" s="132"/>
      <c r="D214" s="132"/>
      <c r="E214" s="132"/>
      <c r="F214" s="132"/>
      <c r="G214" s="132">
        <v>4</v>
      </c>
      <c r="H214" s="132"/>
      <c r="I214" s="132"/>
      <c r="J214" s="132"/>
      <c r="K214" s="132"/>
      <c r="L214" s="132"/>
      <c r="M214" s="132">
        <v>101</v>
      </c>
      <c r="N214" s="132"/>
      <c r="O214" s="132"/>
      <c r="P214" s="132"/>
      <c r="Q214" s="132"/>
      <c r="R214" s="132"/>
      <c r="S214" s="132"/>
      <c r="T214" s="132"/>
      <c r="U214" s="151"/>
      <c r="V214" s="151"/>
      <c r="W214" s="307" t="s">
        <v>193</v>
      </c>
      <c r="X214" s="308"/>
      <c r="Y214" s="38">
        <f t="shared" si="80"/>
        <v>8</v>
      </c>
      <c r="Z214" s="38">
        <f t="shared" si="81"/>
        <v>0</v>
      </c>
      <c r="AA214" s="38">
        <f t="shared" si="82"/>
        <v>0</v>
      </c>
      <c r="AB214" s="38">
        <f t="shared" si="90"/>
        <v>0</v>
      </c>
      <c r="AC214" s="38">
        <f t="shared" si="91"/>
        <v>0</v>
      </c>
      <c r="AD214" s="38">
        <f t="shared" si="92"/>
        <v>0</v>
      </c>
      <c r="AE214" s="38">
        <f t="shared" si="93"/>
        <v>0</v>
      </c>
      <c r="AF214" s="38">
        <f t="shared" si="94"/>
        <v>0</v>
      </c>
      <c r="AG214" s="33">
        <f t="shared" si="95"/>
        <v>0</v>
      </c>
      <c r="AH214" s="33">
        <f t="shared" si="96"/>
        <v>0</v>
      </c>
      <c r="AI214" s="33">
        <f t="shared" si="97"/>
        <v>0</v>
      </c>
      <c r="AJ214" s="33">
        <f t="shared" si="98"/>
        <v>0</v>
      </c>
      <c r="AK214" s="34">
        <f t="shared" si="99"/>
        <v>0</v>
      </c>
      <c r="AL214" s="35">
        <f t="shared" si="100"/>
        <v>0</v>
      </c>
      <c r="AM214" s="34">
        <f t="shared" si="83"/>
        <v>0</v>
      </c>
      <c r="AN214" s="36">
        <f t="shared" si="101"/>
        <v>0</v>
      </c>
      <c r="AO214" s="6">
        <f t="shared" si="84"/>
        <v>0</v>
      </c>
      <c r="AP214">
        <f t="shared" si="85"/>
        <v>8</v>
      </c>
      <c r="AQ214" s="6">
        <f t="shared" si="86"/>
        <v>0</v>
      </c>
      <c r="AR214" s="6">
        <f t="shared" si="87"/>
        <v>0</v>
      </c>
      <c r="AS214" s="6"/>
      <c r="AX214" s="95">
        <f t="shared" si="88"/>
        <v>42337</v>
      </c>
      <c r="AY214" s="96" t="str">
        <f t="shared" si="89"/>
        <v>dom</v>
      </c>
      <c r="AZ214" s="97">
        <f>IF(OR(AY214="SÁB",AY214="DOM"),0,IFERROR(8-VLOOKUP(C214,'Dados de consulta'!$A$2:$C$38,3,0),8))</f>
        <v>0</v>
      </c>
      <c r="BA214" s="97">
        <f>IF(OR(AY214="SÁB",AY214="DOM"),0,IFERROR(8-VLOOKUP(D214,'Dados de consulta'!$A$2:$C$38,3,0),8))</f>
        <v>0</v>
      </c>
      <c r="BB214" s="97">
        <f>IF(OR(AY214="SÁB",AY214="DOM"),0,IFERROR(8-VLOOKUP(E214,'Dados de consulta'!$A$2:$C$38,3,0),8))</f>
        <v>0</v>
      </c>
      <c r="BC214" s="97">
        <f>IF(OR(AY214="SÁB",AY214="DOM"),0,IFERROR(8-VLOOKUP(F214,'Dados de consulta'!$A$2:$C$38,3,0),8))</f>
        <v>0</v>
      </c>
      <c r="BD214" s="97">
        <f>IF(OR(AY214="SÁB",AY214="DOM"),0,IFERROR(8-VLOOKUP(G214,'Dados de consulta'!$A$2:$C$38,3,0),8))</f>
        <v>0</v>
      </c>
      <c r="BE214" s="97">
        <f>IF(OR(AY214="SÁB",AY214="DOM"),0,IFERROR(8-VLOOKUP(H214,'Dados de consulta'!$A$2:$C$38,3,0),8))</f>
        <v>0</v>
      </c>
      <c r="BF214" s="97">
        <f>IF(OR(AY214="SÁB",AY214="DOM"),0,IFERROR(8-VLOOKUP(I214,'Dados de consulta'!$A$2:$C$38,3,0),8))</f>
        <v>0</v>
      </c>
      <c r="BG214" s="97">
        <f>IF(OR(AY214="SÁB",AY214="DOM"),0,IFERROR(8-VLOOKUP(J214,'Dados de consulta'!$A$2:$C$38,3,0),8))</f>
        <v>0</v>
      </c>
      <c r="BH214" s="97">
        <f>IF(OR(AY214="SÁB",AY214="DOM"),0,IFERROR(8-VLOOKUP(K214,'Dados de consulta'!$A$2:$C$38,3,0),8))</f>
        <v>0</v>
      </c>
      <c r="BI214" s="97">
        <f>IF(OR(AY214="SÁB",AY214="DOM"),0,IFERROR(8-VLOOKUP(L214,'Dados de consulta'!$A$2:$C$38,3,0),8))</f>
        <v>0</v>
      </c>
      <c r="BJ214" s="97">
        <f>IF(OR(AY214="SÁB",AY214="DOM"),0,IFERROR(8-VLOOKUP(M214,'Dados de consulta'!$A$2:$C$38,3,0),8))</f>
        <v>0</v>
      </c>
      <c r="BK214" s="97">
        <f>IF(OR(AY214="SÁB",AY214="DOM"),0,IFERROR(8-VLOOKUP(N214,'Dados de consulta'!$A$2:$C$38,3,0),8))</f>
        <v>0</v>
      </c>
      <c r="BL214" s="97">
        <f>IF(OR(AY214="SÁB",AY214="DOM"),0,IFERROR(8-VLOOKUP(O214,'Dados de consulta'!$A$2:$C$38,3,0),8))</f>
        <v>0</v>
      </c>
      <c r="BM214" s="97">
        <f>IF(OR(AY214="SÁB",AY214="DOM"),0,IFERROR(8-VLOOKUP(P214,'Dados de consulta'!$A$2:$C$38,3,0),8))</f>
        <v>0</v>
      </c>
      <c r="BN214" s="97">
        <f>IF(OR(AY214="SÁB",AY214="DOM"),0,IFERROR(8-VLOOKUP(Q214,'Dados de consulta'!$A$2:$C$38,3,0),8))</f>
        <v>0</v>
      </c>
      <c r="BO214" s="97">
        <f>IF(OR(AY214="SÁB",AY214="DOM"),0,IFERROR(8-VLOOKUP(R214,'Dados de consulta'!$A$2:$C$38,3,0),8))</f>
        <v>0</v>
      </c>
      <c r="BP214" s="97">
        <f>IF(OR(AY214="SÁB",AY214="DOM"),0,IFERROR(8-VLOOKUP(S214,'Dados de consulta'!$A$2:$C$38,3,0),8))</f>
        <v>0</v>
      </c>
      <c r="BQ214" s="113">
        <f>IFERROR(6-VLOOKUP(T214,'Dados de consulta'!$A$2:$C$38,3,0)+2,6)</f>
        <v>6</v>
      </c>
      <c r="BR214" s="114">
        <f t="shared" si="102"/>
        <v>0</v>
      </c>
      <c r="BS214">
        <f t="shared" si="78"/>
        <v>0</v>
      </c>
      <c r="BU214">
        <f>IFERROR(8-VLOOKUP(U214,'Dados de consulta'!$A:$D,3,0),8)</f>
        <v>8</v>
      </c>
      <c r="BV214">
        <f>IFERROR(8-VLOOKUP(V214,'Dados de consulta'!$A:$D,3,0),8)</f>
        <v>8</v>
      </c>
      <c r="BW214">
        <f t="shared" si="103"/>
        <v>16</v>
      </c>
    </row>
    <row r="215" spans="1:75" ht="15" hidden="1" x14ac:dyDescent="0.2">
      <c r="A215" s="98">
        <v>42338</v>
      </c>
      <c r="B215" s="129" t="str">
        <f t="shared" si="79"/>
        <v>seg</v>
      </c>
      <c r="C215" s="132">
        <v>17</v>
      </c>
      <c r="D215" s="132">
        <v>17</v>
      </c>
      <c r="E215" s="132">
        <v>17</v>
      </c>
      <c r="F215" s="132">
        <v>17</v>
      </c>
      <c r="G215" s="132">
        <v>17</v>
      </c>
      <c r="H215" s="132">
        <v>17</v>
      </c>
      <c r="I215" s="132">
        <v>17</v>
      </c>
      <c r="J215" s="132">
        <v>17</v>
      </c>
      <c r="K215" s="132">
        <v>17</v>
      </c>
      <c r="L215" s="132">
        <v>17</v>
      </c>
      <c r="M215" s="132">
        <v>17</v>
      </c>
      <c r="N215" s="132">
        <v>17</v>
      </c>
      <c r="O215" s="132">
        <v>17</v>
      </c>
      <c r="P215" s="132">
        <v>17</v>
      </c>
      <c r="Q215" s="132">
        <v>17</v>
      </c>
      <c r="R215" s="132">
        <v>17</v>
      </c>
      <c r="S215" s="132">
        <v>17</v>
      </c>
      <c r="T215" s="132">
        <v>17</v>
      </c>
      <c r="U215" s="151">
        <v>17</v>
      </c>
      <c r="V215" s="151">
        <v>17</v>
      </c>
      <c r="W215" s="307" t="s">
        <v>193</v>
      </c>
      <c r="X215" s="308"/>
      <c r="Y215" s="38">
        <f t="shared" si="80"/>
        <v>0</v>
      </c>
      <c r="Z215" s="38">
        <f t="shared" si="81"/>
        <v>0</v>
      </c>
      <c r="AA215" s="38">
        <f t="shared" si="82"/>
        <v>0</v>
      </c>
      <c r="AB215" s="38">
        <f t="shared" si="90"/>
        <v>0</v>
      </c>
      <c r="AC215" s="38">
        <f t="shared" si="91"/>
        <v>0</v>
      </c>
      <c r="AD215" s="38">
        <f t="shared" si="92"/>
        <v>0</v>
      </c>
      <c r="AE215" s="38">
        <f t="shared" si="93"/>
        <v>0</v>
      </c>
      <c r="AF215" s="38">
        <f t="shared" si="94"/>
        <v>0</v>
      </c>
      <c r="AG215" s="33">
        <f t="shared" si="95"/>
        <v>0</v>
      </c>
      <c r="AH215" s="33">
        <f t="shared" si="96"/>
        <v>0</v>
      </c>
      <c r="AI215" s="33">
        <f t="shared" si="97"/>
        <v>0</v>
      </c>
      <c r="AJ215" s="33">
        <f t="shared" si="98"/>
        <v>0</v>
      </c>
      <c r="AK215" s="34">
        <f t="shared" si="99"/>
        <v>0</v>
      </c>
      <c r="AL215" s="35">
        <f t="shared" si="100"/>
        <v>0</v>
      </c>
      <c r="AM215" s="34">
        <f t="shared" si="83"/>
        <v>0</v>
      </c>
      <c r="AN215" s="36">
        <f t="shared" si="101"/>
        <v>0</v>
      </c>
      <c r="AO215" s="6">
        <f t="shared" si="84"/>
        <v>0</v>
      </c>
      <c r="AP215">
        <f t="shared" si="85"/>
        <v>0</v>
      </c>
      <c r="AQ215" s="6">
        <f t="shared" si="86"/>
        <v>0</v>
      </c>
      <c r="AR215" s="6">
        <f t="shared" si="87"/>
        <v>0</v>
      </c>
      <c r="AS215" s="6"/>
      <c r="AX215" s="95">
        <f t="shared" si="88"/>
        <v>42338</v>
      </c>
      <c r="AY215" s="96" t="str">
        <f t="shared" si="89"/>
        <v>seg</v>
      </c>
      <c r="AZ215" s="97">
        <f>IF(OR(AY215="SÁB",AY215="DOM"),0,IFERROR(8-VLOOKUP(C215,'Dados de consulta'!$A$2:$C$38,3,0),8))</f>
        <v>0</v>
      </c>
      <c r="BA215" s="97">
        <f>IF(OR(AY215="SÁB",AY215="DOM"),0,IFERROR(8-VLOOKUP(D215,'Dados de consulta'!$A$2:$C$38,3,0),8))</f>
        <v>0</v>
      </c>
      <c r="BB215" s="97">
        <f>IF(OR(AY215="SÁB",AY215="DOM"),0,IFERROR(8-VLOOKUP(E215,'Dados de consulta'!$A$2:$C$38,3,0),8))</f>
        <v>0</v>
      </c>
      <c r="BC215" s="97">
        <f>IF(OR(AY215="SÁB",AY215="DOM"),0,IFERROR(8-VLOOKUP(F215,'Dados de consulta'!$A$2:$C$38,3,0),8))</f>
        <v>0</v>
      </c>
      <c r="BD215" s="97">
        <f>IF(OR(AY215="SÁB",AY215="DOM"),0,IFERROR(8-VLOOKUP(G215,'Dados de consulta'!$A$2:$C$38,3,0),8))</f>
        <v>0</v>
      </c>
      <c r="BE215" s="97">
        <f>IF(OR(AY215="SÁB",AY215="DOM"),0,IFERROR(8-VLOOKUP(H215,'Dados de consulta'!$A$2:$C$38,3,0),8))</f>
        <v>0</v>
      </c>
      <c r="BF215" s="97">
        <f>IF(OR(AY215="SÁB",AY215="DOM"),0,IFERROR(8-VLOOKUP(I215,'Dados de consulta'!$A$2:$C$38,3,0),8))</f>
        <v>0</v>
      </c>
      <c r="BG215" s="97">
        <f>IF(OR(AY215="SÁB",AY215="DOM"),0,IFERROR(8-VLOOKUP(J215,'Dados de consulta'!$A$2:$C$38,3,0),8))</f>
        <v>0</v>
      </c>
      <c r="BH215" s="97">
        <f>IF(OR(AY215="SÁB",AY215="DOM"),0,IFERROR(8-VLOOKUP(K215,'Dados de consulta'!$A$2:$C$38,3,0),8))</f>
        <v>0</v>
      </c>
      <c r="BI215" s="97">
        <f>IF(OR(AY215="SÁB",AY215="DOM"),0,IFERROR(8-VLOOKUP(L215,'Dados de consulta'!$A$2:$C$38,3,0),8))</f>
        <v>0</v>
      </c>
      <c r="BJ215" s="97">
        <f>IF(OR(AY215="SÁB",AY215="DOM"),0,IFERROR(8-VLOOKUP(M215,'Dados de consulta'!$A$2:$C$38,3,0),8))</f>
        <v>0</v>
      </c>
      <c r="BK215" s="97">
        <f>IF(OR(AY215="SÁB",AY215="DOM"),0,IFERROR(8-VLOOKUP(N215,'Dados de consulta'!$A$2:$C$38,3,0),8))</f>
        <v>0</v>
      </c>
      <c r="BL215" s="97">
        <f>IF(OR(AY215="SÁB",AY215="DOM"),0,IFERROR(8-VLOOKUP(O215,'Dados de consulta'!$A$2:$C$38,3,0),8))</f>
        <v>0</v>
      </c>
      <c r="BM215" s="97">
        <f>IF(OR(AY215="SÁB",AY215="DOM"),0,IFERROR(8-VLOOKUP(P215,'Dados de consulta'!$A$2:$C$38,3,0),8))</f>
        <v>0</v>
      </c>
      <c r="BN215" s="97">
        <f>IF(OR(AY215="SÁB",AY215="DOM"),0,IFERROR(8-VLOOKUP(Q215,'Dados de consulta'!$A$2:$C$38,3,0),8))</f>
        <v>0</v>
      </c>
      <c r="BO215" s="97">
        <f>IF(OR(AY215="SÁB",AY215="DOM"),0,IFERROR(8-VLOOKUP(R215,'Dados de consulta'!$A$2:$C$38,3,0),8))</f>
        <v>0</v>
      </c>
      <c r="BP215" s="97">
        <f>IF(OR(AY215="SÁB",AY215="DOM"),0,IFERROR(8-VLOOKUP(S215,'Dados de consulta'!$A$2:$C$38,3,0),8))</f>
        <v>0</v>
      </c>
      <c r="BQ215" s="113">
        <f>IFERROR(6-VLOOKUP(T215,'Dados de consulta'!$A$2:$C$38,3,0)+2,6)</f>
        <v>0</v>
      </c>
      <c r="BR215" s="114">
        <f t="shared" si="102"/>
        <v>0</v>
      </c>
      <c r="BS215">
        <f t="shared" si="78"/>
        <v>142</v>
      </c>
      <c r="BU215">
        <f>IFERROR(8-VLOOKUP(U215,'Dados de consulta'!$A:$D,3,0),8)</f>
        <v>0</v>
      </c>
      <c r="BV215">
        <f>IFERROR(8-VLOOKUP(V215,'Dados de consulta'!$A:$D,3,0),8)</f>
        <v>0</v>
      </c>
      <c r="BW215">
        <f t="shared" si="103"/>
        <v>0</v>
      </c>
    </row>
    <row r="216" spans="1:75" ht="15" hidden="1" x14ac:dyDescent="0.2">
      <c r="A216" s="98">
        <v>42339</v>
      </c>
      <c r="B216" s="129" t="str">
        <f t="shared" si="79"/>
        <v>ter</v>
      </c>
      <c r="C216" s="132"/>
      <c r="D216" s="132"/>
      <c r="E216" s="132"/>
      <c r="F216" s="132"/>
      <c r="G216" s="132"/>
      <c r="H216" s="132"/>
      <c r="I216" s="132">
        <v>18</v>
      </c>
      <c r="J216" s="132"/>
      <c r="K216" s="132"/>
      <c r="L216" s="132"/>
      <c r="M216" s="132">
        <v>101</v>
      </c>
      <c r="N216" s="132"/>
      <c r="O216" s="132"/>
      <c r="P216" s="132"/>
      <c r="Q216" s="132"/>
      <c r="R216" s="132" t="s">
        <v>196</v>
      </c>
      <c r="S216" s="132"/>
      <c r="T216" s="132"/>
      <c r="U216" s="151"/>
      <c r="V216" s="151"/>
      <c r="W216" s="307" t="s">
        <v>193</v>
      </c>
      <c r="X216" s="308"/>
      <c r="Y216" s="38">
        <f t="shared" si="80"/>
        <v>0</v>
      </c>
      <c r="Z216" s="38">
        <f t="shared" si="81"/>
        <v>8</v>
      </c>
      <c r="AA216" s="38">
        <f t="shared" si="82"/>
        <v>4</v>
      </c>
      <c r="AB216" s="38">
        <f t="shared" si="90"/>
        <v>0</v>
      </c>
      <c r="AC216" s="38">
        <f t="shared" si="91"/>
        <v>0</v>
      </c>
      <c r="AD216" s="38">
        <f t="shared" si="92"/>
        <v>0</v>
      </c>
      <c r="AE216" s="38">
        <f t="shared" si="93"/>
        <v>0</v>
      </c>
      <c r="AF216" s="38">
        <f t="shared" si="94"/>
        <v>0</v>
      </c>
      <c r="AG216" s="33">
        <f t="shared" si="95"/>
        <v>0</v>
      </c>
      <c r="AH216" s="33">
        <f t="shared" si="96"/>
        <v>8</v>
      </c>
      <c r="AI216" s="33">
        <f t="shared" si="97"/>
        <v>4</v>
      </c>
      <c r="AJ216" s="33">
        <f t="shared" si="98"/>
        <v>0</v>
      </c>
      <c r="AK216" s="34">
        <f t="shared" si="99"/>
        <v>0</v>
      </c>
      <c r="AL216" s="35">
        <f t="shared" si="100"/>
        <v>5.6338028169014086E-2</v>
      </c>
      <c r="AM216" s="34">
        <f t="shared" si="83"/>
        <v>2.8169014084507043E-2</v>
      </c>
      <c r="AN216" s="36">
        <f t="shared" si="101"/>
        <v>0</v>
      </c>
      <c r="AO216" s="6">
        <f t="shared" si="84"/>
        <v>0</v>
      </c>
      <c r="AP216">
        <f t="shared" si="85"/>
        <v>8</v>
      </c>
      <c r="AQ216" s="6">
        <f t="shared" si="86"/>
        <v>0</v>
      </c>
      <c r="AR216" s="6">
        <f t="shared" si="87"/>
        <v>0</v>
      </c>
      <c r="AS216" s="6"/>
      <c r="AX216" s="95">
        <f t="shared" si="88"/>
        <v>42339</v>
      </c>
      <c r="AY216" s="96" t="str">
        <f t="shared" si="89"/>
        <v>ter</v>
      </c>
      <c r="AZ216" s="97">
        <f>IF(OR(AY216="SÁB",AY216="DOM"),0,IFERROR(8-VLOOKUP(C216,'Dados de consulta'!$A$2:$C$38,3,0),8))</f>
        <v>8</v>
      </c>
      <c r="BA216" s="97">
        <f>IF(OR(AY216="SÁB",AY216="DOM"),0,IFERROR(8-VLOOKUP(D216,'Dados de consulta'!$A$2:$C$38,3,0),8))</f>
        <v>8</v>
      </c>
      <c r="BB216" s="97">
        <f>IF(OR(AY216="SÁB",AY216="DOM"),0,IFERROR(8-VLOOKUP(E216,'Dados de consulta'!$A$2:$C$38,3,0),8))</f>
        <v>8</v>
      </c>
      <c r="BC216" s="97">
        <f>IF(OR(AY216="SÁB",AY216="DOM"),0,IFERROR(8-VLOOKUP(F216,'Dados de consulta'!$A$2:$C$38,3,0),8))</f>
        <v>8</v>
      </c>
      <c r="BD216" s="97">
        <f>IF(OR(AY216="SÁB",AY216="DOM"),0,IFERROR(8-VLOOKUP(G216,'Dados de consulta'!$A$2:$C$38,3,0),8))</f>
        <v>8</v>
      </c>
      <c r="BE216" s="97">
        <f>IF(OR(AY216="SÁB",AY216="DOM"),0,IFERROR(8-VLOOKUP(H216,'Dados de consulta'!$A$2:$C$38,3,0),8))</f>
        <v>8</v>
      </c>
      <c r="BF216" s="97">
        <f>IF(OR(AY216="SÁB",AY216="DOM"),0,IFERROR(8-VLOOKUP(I216,'Dados de consulta'!$A$2:$C$38,3,0),8))</f>
        <v>0</v>
      </c>
      <c r="BG216" s="97">
        <f>IF(OR(AY216="SÁB",AY216="DOM"),0,IFERROR(8-VLOOKUP(J216,'Dados de consulta'!$A$2:$C$38,3,0),8))</f>
        <v>8</v>
      </c>
      <c r="BH216" s="97">
        <f>IF(OR(AY216="SÁB",AY216="DOM"),0,IFERROR(8-VLOOKUP(K216,'Dados de consulta'!$A$2:$C$38,3,0),8))</f>
        <v>8</v>
      </c>
      <c r="BI216" s="97">
        <f>IF(OR(AY216="SÁB",AY216="DOM"),0,IFERROR(8-VLOOKUP(L216,'Dados de consulta'!$A$2:$C$38,3,0),8))</f>
        <v>8</v>
      </c>
      <c r="BJ216" s="97">
        <f>IF(OR(AY216="SÁB",AY216="DOM"),0,IFERROR(8-VLOOKUP(M216,'Dados de consulta'!$A$2:$C$38,3,0),8))</f>
        <v>0</v>
      </c>
      <c r="BK216" s="97">
        <f>IF(OR(AY216="SÁB",AY216="DOM"),0,IFERROR(8-VLOOKUP(N216,'Dados de consulta'!$A$2:$C$38,3,0),8))</f>
        <v>8</v>
      </c>
      <c r="BL216" s="97">
        <f>IF(OR(AY216="SÁB",AY216="DOM"),0,IFERROR(8-VLOOKUP(O216,'Dados de consulta'!$A$2:$C$38,3,0),8))</f>
        <v>8</v>
      </c>
      <c r="BM216" s="97">
        <f>IF(OR(AY216="SÁB",AY216="DOM"),0,IFERROR(8-VLOOKUP(P216,'Dados de consulta'!$A$2:$C$38,3,0),8))</f>
        <v>8</v>
      </c>
      <c r="BN216" s="97">
        <f>IF(OR(AY216="SÁB",AY216="DOM"),0,IFERROR(8-VLOOKUP(Q216,'Dados de consulta'!$A$2:$C$38,3,0),8))</f>
        <v>8</v>
      </c>
      <c r="BO216" s="97">
        <f>IF(OR(AY216="SÁB",AY216="DOM"),0,IFERROR(8-VLOOKUP(R216,'Dados de consulta'!$A$2:$C$38,3,0),8))</f>
        <v>4</v>
      </c>
      <c r="BP216" s="97">
        <f>IF(OR(AY216="SÁB",AY216="DOM"),0,IFERROR(8-VLOOKUP(S216,'Dados de consulta'!$A$2:$C$38,3,0),8))</f>
        <v>8</v>
      </c>
      <c r="BQ216" s="113">
        <f>IFERROR(6-VLOOKUP(T216,'Dados de consulta'!$A$2:$C$38,3,0)+2,6)</f>
        <v>6</v>
      </c>
      <c r="BR216" s="114">
        <f t="shared" si="102"/>
        <v>122</v>
      </c>
      <c r="BS216">
        <f t="shared" si="78"/>
        <v>134</v>
      </c>
      <c r="BU216">
        <f>IFERROR(8-VLOOKUP(U216,'Dados de consulta'!$A:$D,3,0),8)</f>
        <v>8</v>
      </c>
      <c r="BV216">
        <f>IFERROR(8-VLOOKUP(V216,'Dados de consulta'!$A:$D,3,0),8)</f>
        <v>8</v>
      </c>
      <c r="BW216">
        <f t="shared" si="103"/>
        <v>16</v>
      </c>
    </row>
    <row r="217" spans="1:75" ht="15" hidden="1" x14ac:dyDescent="0.2">
      <c r="A217" s="98">
        <v>42340</v>
      </c>
      <c r="B217" s="129" t="str">
        <f t="shared" si="79"/>
        <v>qua</v>
      </c>
      <c r="C217" s="132"/>
      <c r="D217" s="132"/>
      <c r="E217" s="132"/>
      <c r="F217" s="132"/>
      <c r="G217" s="132"/>
      <c r="H217" s="132"/>
      <c r="I217" s="132">
        <v>18</v>
      </c>
      <c r="J217" s="132"/>
      <c r="K217" s="132"/>
      <c r="L217" s="132"/>
      <c r="M217" s="132">
        <v>101</v>
      </c>
      <c r="N217" s="132"/>
      <c r="O217" s="132"/>
      <c r="P217" s="132"/>
      <c r="Q217" s="132"/>
      <c r="R217" s="132" t="s">
        <v>196</v>
      </c>
      <c r="S217" s="132"/>
      <c r="T217" s="132"/>
      <c r="U217" s="151"/>
      <c r="V217" s="151"/>
      <c r="W217" s="307" t="s">
        <v>193</v>
      </c>
      <c r="X217" s="308"/>
      <c r="Y217" s="38">
        <f t="shared" si="80"/>
        <v>0</v>
      </c>
      <c r="Z217" s="38">
        <f t="shared" si="81"/>
        <v>8</v>
      </c>
      <c r="AA217" s="38">
        <f t="shared" si="82"/>
        <v>4</v>
      </c>
      <c r="AB217" s="38">
        <f t="shared" si="90"/>
        <v>0</v>
      </c>
      <c r="AC217" s="38">
        <f t="shared" si="91"/>
        <v>0</v>
      </c>
      <c r="AD217" s="38">
        <f t="shared" si="92"/>
        <v>0</v>
      </c>
      <c r="AE217" s="38">
        <f t="shared" si="93"/>
        <v>0</v>
      </c>
      <c r="AF217" s="38">
        <f t="shared" si="94"/>
        <v>0</v>
      </c>
      <c r="AG217" s="33">
        <f t="shared" si="95"/>
        <v>0</v>
      </c>
      <c r="AH217" s="33">
        <f t="shared" si="96"/>
        <v>8</v>
      </c>
      <c r="AI217" s="33">
        <f t="shared" si="97"/>
        <v>4</v>
      </c>
      <c r="AJ217" s="33">
        <f t="shared" si="98"/>
        <v>0</v>
      </c>
      <c r="AK217" s="34">
        <f t="shared" si="99"/>
        <v>0</v>
      </c>
      <c r="AL217" s="35">
        <f t="shared" si="100"/>
        <v>5.6338028169014086E-2</v>
      </c>
      <c r="AM217" s="34">
        <f t="shared" si="83"/>
        <v>2.8169014084507043E-2</v>
      </c>
      <c r="AN217" s="36">
        <f t="shared" si="101"/>
        <v>0</v>
      </c>
      <c r="AO217" s="6">
        <f t="shared" si="84"/>
        <v>0</v>
      </c>
      <c r="AP217">
        <f t="shared" si="85"/>
        <v>8</v>
      </c>
      <c r="AQ217" s="6">
        <f t="shared" si="86"/>
        <v>0</v>
      </c>
      <c r="AR217" s="6">
        <f t="shared" si="87"/>
        <v>0</v>
      </c>
      <c r="AS217" s="6"/>
      <c r="AX217" s="95">
        <f t="shared" si="88"/>
        <v>42340</v>
      </c>
      <c r="AY217" s="96" t="str">
        <f t="shared" si="89"/>
        <v>qua</v>
      </c>
      <c r="AZ217" s="97">
        <f>IF(OR(AY217="SÁB",AY217="DOM"),0,IFERROR(8-VLOOKUP(C217,'Dados de consulta'!$A$2:$C$38,3,0),8))</f>
        <v>8</v>
      </c>
      <c r="BA217" s="97">
        <f>IF(OR(AY217="SÁB",AY217="DOM"),0,IFERROR(8-VLOOKUP(D217,'Dados de consulta'!$A$2:$C$38,3,0),8))</f>
        <v>8</v>
      </c>
      <c r="BB217" s="97">
        <f>IF(OR(AY217="SÁB",AY217="DOM"),0,IFERROR(8-VLOOKUP(E217,'Dados de consulta'!$A$2:$C$38,3,0),8))</f>
        <v>8</v>
      </c>
      <c r="BC217" s="97">
        <f>IF(OR(AY217="SÁB",AY217="DOM"),0,IFERROR(8-VLOOKUP(F217,'Dados de consulta'!$A$2:$C$38,3,0),8))</f>
        <v>8</v>
      </c>
      <c r="BD217" s="97">
        <f>IF(OR(AY217="SÁB",AY217="DOM"),0,IFERROR(8-VLOOKUP(G217,'Dados de consulta'!$A$2:$C$38,3,0),8))</f>
        <v>8</v>
      </c>
      <c r="BE217" s="97">
        <f>IF(OR(AY217="SÁB",AY217="DOM"),0,IFERROR(8-VLOOKUP(H217,'Dados de consulta'!$A$2:$C$38,3,0),8))</f>
        <v>8</v>
      </c>
      <c r="BF217" s="97">
        <f>IF(OR(AY217="SÁB",AY217="DOM"),0,IFERROR(8-VLOOKUP(I217,'Dados de consulta'!$A$2:$C$38,3,0),8))</f>
        <v>0</v>
      </c>
      <c r="BG217" s="97">
        <f>IF(OR(AY217="SÁB",AY217="DOM"),0,IFERROR(8-VLOOKUP(J217,'Dados de consulta'!$A$2:$C$38,3,0),8))</f>
        <v>8</v>
      </c>
      <c r="BH217" s="97">
        <f>IF(OR(AY217="SÁB",AY217="DOM"),0,IFERROR(8-VLOOKUP(K217,'Dados de consulta'!$A$2:$C$38,3,0),8))</f>
        <v>8</v>
      </c>
      <c r="BI217" s="97">
        <f>IF(OR(AY217="SÁB",AY217="DOM"),0,IFERROR(8-VLOOKUP(L217,'Dados de consulta'!$A$2:$C$38,3,0),8))</f>
        <v>8</v>
      </c>
      <c r="BJ217" s="97">
        <f>IF(OR(AY217="SÁB",AY217="DOM"),0,IFERROR(8-VLOOKUP(M217,'Dados de consulta'!$A$2:$C$38,3,0),8))</f>
        <v>0</v>
      </c>
      <c r="BK217" s="97">
        <f>IF(OR(AY217="SÁB",AY217="DOM"),0,IFERROR(8-VLOOKUP(N217,'Dados de consulta'!$A$2:$C$38,3,0),8))</f>
        <v>8</v>
      </c>
      <c r="BL217" s="97">
        <f>IF(OR(AY217="SÁB",AY217="DOM"),0,IFERROR(8-VLOOKUP(O217,'Dados de consulta'!$A$2:$C$38,3,0),8))</f>
        <v>8</v>
      </c>
      <c r="BM217" s="97">
        <f>IF(OR(AY217="SÁB",AY217="DOM"),0,IFERROR(8-VLOOKUP(P217,'Dados de consulta'!$A$2:$C$38,3,0),8))</f>
        <v>8</v>
      </c>
      <c r="BN217" s="97">
        <f>IF(OR(AY217="SÁB",AY217="DOM"),0,IFERROR(8-VLOOKUP(Q217,'Dados de consulta'!$A$2:$C$38,3,0),8))</f>
        <v>8</v>
      </c>
      <c r="BO217" s="97">
        <f>IF(OR(AY217="SÁB",AY217="DOM"),0,IFERROR(8-VLOOKUP(R217,'Dados de consulta'!$A$2:$C$38,3,0),8))</f>
        <v>4</v>
      </c>
      <c r="BP217" s="97">
        <f>IF(OR(AY217="SÁB",AY217="DOM"),0,IFERROR(8-VLOOKUP(S217,'Dados de consulta'!$A$2:$C$38,3,0),8))</f>
        <v>8</v>
      </c>
      <c r="BQ217" s="113">
        <f>IFERROR(6-VLOOKUP(T217,'Dados de consulta'!$A$2:$C$38,3,0)+2,6)</f>
        <v>6</v>
      </c>
      <c r="BR217" s="114">
        <f t="shared" si="102"/>
        <v>122</v>
      </c>
      <c r="BS217">
        <f t="shared" si="78"/>
        <v>134</v>
      </c>
      <c r="BU217">
        <f>IFERROR(8-VLOOKUP(U217,'Dados de consulta'!$A:$D,3,0),8)</f>
        <v>8</v>
      </c>
      <c r="BV217">
        <f>IFERROR(8-VLOOKUP(V217,'Dados de consulta'!$A:$D,3,0),8)</f>
        <v>8</v>
      </c>
      <c r="BW217">
        <f t="shared" si="103"/>
        <v>16</v>
      </c>
    </row>
    <row r="218" spans="1:75" ht="15" hidden="1" x14ac:dyDescent="0.2">
      <c r="A218" s="98">
        <v>42341</v>
      </c>
      <c r="B218" s="129" t="str">
        <f t="shared" si="79"/>
        <v>qui</v>
      </c>
      <c r="C218" s="132"/>
      <c r="D218" s="132"/>
      <c r="E218" s="132"/>
      <c r="F218" s="132"/>
      <c r="G218" s="132"/>
      <c r="H218" s="132"/>
      <c r="I218" s="132">
        <v>18</v>
      </c>
      <c r="J218" s="132"/>
      <c r="K218" s="132"/>
      <c r="L218" s="132"/>
      <c r="M218" s="132">
        <v>101</v>
      </c>
      <c r="N218" s="132"/>
      <c r="O218" s="132"/>
      <c r="P218" s="132"/>
      <c r="Q218" s="132"/>
      <c r="R218" s="132" t="s">
        <v>196</v>
      </c>
      <c r="S218" s="132"/>
      <c r="T218" s="132"/>
      <c r="U218" s="151" t="s">
        <v>198</v>
      </c>
      <c r="V218" s="151"/>
      <c r="W218" s="307" t="s">
        <v>193</v>
      </c>
      <c r="X218" s="308"/>
      <c r="Y218" s="38">
        <f t="shared" si="80"/>
        <v>0</v>
      </c>
      <c r="Z218" s="38">
        <f t="shared" si="81"/>
        <v>8</v>
      </c>
      <c r="AA218" s="38">
        <f t="shared" si="82"/>
        <v>4</v>
      </c>
      <c r="AB218" s="38">
        <f t="shared" si="90"/>
        <v>0</v>
      </c>
      <c r="AC218" s="38">
        <f t="shared" si="91"/>
        <v>0</v>
      </c>
      <c r="AD218" s="38">
        <f t="shared" si="92"/>
        <v>0</v>
      </c>
      <c r="AE218" s="38">
        <f t="shared" si="93"/>
        <v>0</v>
      </c>
      <c r="AF218" s="38">
        <f t="shared" si="94"/>
        <v>0</v>
      </c>
      <c r="AG218" s="33">
        <f t="shared" si="95"/>
        <v>0</v>
      </c>
      <c r="AH218" s="33">
        <f t="shared" si="96"/>
        <v>8</v>
      </c>
      <c r="AI218" s="33">
        <f t="shared" si="97"/>
        <v>4</v>
      </c>
      <c r="AJ218" s="33">
        <f t="shared" si="98"/>
        <v>0</v>
      </c>
      <c r="AK218" s="34">
        <f t="shared" si="99"/>
        <v>0</v>
      </c>
      <c r="AL218" s="35">
        <f t="shared" si="100"/>
        <v>5.6338028169014086E-2</v>
      </c>
      <c r="AM218" s="34">
        <f t="shared" si="83"/>
        <v>2.8169014084507043E-2</v>
      </c>
      <c r="AN218" s="36">
        <f t="shared" si="101"/>
        <v>0</v>
      </c>
      <c r="AO218" s="6">
        <f t="shared" si="84"/>
        <v>0</v>
      </c>
      <c r="AP218">
        <f t="shared" si="85"/>
        <v>8</v>
      </c>
      <c r="AQ218" s="6">
        <f t="shared" si="86"/>
        <v>0</v>
      </c>
      <c r="AR218" s="6">
        <f t="shared" si="87"/>
        <v>0</v>
      </c>
      <c r="AS218" s="6"/>
      <c r="AX218" s="95">
        <f t="shared" si="88"/>
        <v>42341</v>
      </c>
      <c r="AY218" s="96" t="str">
        <f t="shared" si="89"/>
        <v>qui</v>
      </c>
      <c r="AZ218" s="97">
        <f>IF(OR(AY218="SÁB",AY218="DOM"),0,IFERROR(8-VLOOKUP(C218,'Dados de consulta'!$A$2:$C$38,3,0),8))</f>
        <v>8</v>
      </c>
      <c r="BA218" s="97">
        <f>IF(OR(AY218="SÁB",AY218="DOM"),0,IFERROR(8-VLOOKUP(D218,'Dados de consulta'!$A$2:$C$38,3,0),8))</f>
        <v>8</v>
      </c>
      <c r="BB218" s="97">
        <f>IF(OR(AY218="SÁB",AY218="DOM"),0,IFERROR(8-VLOOKUP(E218,'Dados de consulta'!$A$2:$C$38,3,0),8))</f>
        <v>8</v>
      </c>
      <c r="BC218" s="97">
        <f>IF(OR(AY218="SÁB",AY218="DOM"),0,IFERROR(8-VLOOKUP(F218,'Dados de consulta'!$A$2:$C$38,3,0),8))</f>
        <v>8</v>
      </c>
      <c r="BD218" s="97">
        <f>IF(OR(AY218="SÁB",AY218="DOM"),0,IFERROR(8-VLOOKUP(G218,'Dados de consulta'!$A$2:$C$38,3,0),8))</f>
        <v>8</v>
      </c>
      <c r="BE218" s="97">
        <f>IF(OR(AY218="SÁB",AY218="DOM"),0,IFERROR(8-VLOOKUP(H218,'Dados de consulta'!$A$2:$C$38,3,0),8))</f>
        <v>8</v>
      </c>
      <c r="BF218" s="97">
        <f>IF(OR(AY218="SÁB",AY218="DOM"),0,IFERROR(8-VLOOKUP(I218,'Dados de consulta'!$A$2:$C$38,3,0),8))</f>
        <v>0</v>
      </c>
      <c r="BG218" s="97">
        <f>IF(OR(AY218="SÁB",AY218="DOM"),0,IFERROR(8-VLOOKUP(J218,'Dados de consulta'!$A$2:$C$38,3,0),8))</f>
        <v>8</v>
      </c>
      <c r="BH218" s="97">
        <f>IF(OR(AY218="SÁB",AY218="DOM"),0,IFERROR(8-VLOOKUP(K218,'Dados de consulta'!$A$2:$C$38,3,0),8))</f>
        <v>8</v>
      </c>
      <c r="BI218" s="97">
        <f>IF(OR(AY218="SÁB",AY218="DOM"),0,IFERROR(8-VLOOKUP(L218,'Dados de consulta'!$A$2:$C$38,3,0),8))</f>
        <v>8</v>
      </c>
      <c r="BJ218" s="97">
        <f>IF(OR(AY218="SÁB",AY218="DOM"),0,IFERROR(8-VLOOKUP(M218,'Dados de consulta'!$A$2:$C$38,3,0),8))</f>
        <v>0</v>
      </c>
      <c r="BK218" s="97">
        <f>IF(OR(AY218="SÁB",AY218="DOM"),0,IFERROR(8-VLOOKUP(N218,'Dados de consulta'!$A$2:$C$38,3,0),8))</f>
        <v>8</v>
      </c>
      <c r="BL218" s="97">
        <f>IF(OR(AY218="SÁB",AY218="DOM"),0,IFERROR(8-VLOOKUP(O218,'Dados de consulta'!$A$2:$C$38,3,0),8))</f>
        <v>8</v>
      </c>
      <c r="BM218" s="97">
        <f>IF(OR(AY218="SÁB",AY218="DOM"),0,IFERROR(8-VLOOKUP(P218,'Dados de consulta'!$A$2:$C$38,3,0),8))</f>
        <v>8</v>
      </c>
      <c r="BN218" s="97">
        <f>IF(OR(AY218="SÁB",AY218="DOM"),0,IFERROR(8-VLOOKUP(Q218,'Dados de consulta'!$A$2:$C$38,3,0),8))</f>
        <v>8</v>
      </c>
      <c r="BO218" s="97">
        <f>IF(OR(AY218="SÁB",AY218="DOM"),0,IFERROR(8-VLOOKUP(R218,'Dados de consulta'!$A$2:$C$38,3,0),8))</f>
        <v>4</v>
      </c>
      <c r="BP218" s="97">
        <f>IF(OR(AY218="SÁB",AY218="DOM"),0,IFERROR(8-VLOOKUP(S218,'Dados de consulta'!$A$2:$C$38,3,0),8))</f>
        <v>8</v>
      </c>
      <c r="BQ218" s="113">
        <f>IFERROR(6-VLOOKUP(T218,'Dados de consulta'!$A$2:$C$38,3,0)+2,6)</f>
        <v>6</v>
      </c>
      <c r="BR218" s="114">
        <f t="shared" si="102"/>
        <v>122</v>
      </c>
      <c r="BS218">
        <f t="shared" si="78"/>
        <v>134</v>
      </c>
      <c r="BU218">
        <f>IFERROR(8-VLOOKUP(U218,'Dados de consulta'!$A:$D,3,0),8)</f>
        <v>4</v>
      </c>
      <c r="BV218">
        <f>IFERROR(8-VLOOKUP(V218,'Dados de consulta'!$A:$D,3,0),8)</f>
        <v>8</v>
      </c>
      <c r="BW218">
        <f t="shared" si="103"/>
        <v>12</v>
      </c>
    </row>
    <row r="219" spans="1:75" ht="15" hidden="1" x14ac:dyDescent="0.2">
      <c r="A219" s="98">
        <v>42342</v>
      </c>
      <c r="B219" s="129" t="str">
        <f t="shared" si="79"/>
        <v>sex</v>
      </c>
      <c r="C219" s="132"/>
      <c r="D219" s="132"/>
      <c r="E219" s="132"/>
      <c r="F219" s="132"/>
      <c r="G219" s="132"/>
      <c r="H219" s="132"/>
      <c r="I219" s="132">
        <v>18</v>
      </c>
      <c r="J219" s="132"/>
      <c r="K219" s="132"/>
      <c r="L219" s="132"/>
      <c r="M219" s="132">
        <v>101</v>
      </c>
      <c r="N219" s="132"/>
      <c r="O219" s="132"/>
      <c r="P219" s="132">
        <v>8</v>
      </c>
      <c r="Q219" s="132"/>
      <c r="R219" s="132" t="s">
        <v>196</v>
      </c>
      <c r="S219" s="132"/>
      <c r="T219" s="132"/>
      <c r="U219" s="151">
        <v>8</v>
      </c>
      <c r="V219" s="151"/>
      <c r="W219" s="307" t="s">
        <v>193</v>
      </c>
      <c r="X219" s="308"/>
      <c r="Y219" s="38">
        <f t="shared" si="80"/>
        <v>8</v>
      </c>
      <c r="Z219" s="38">
        <f t="shared" si="81"/>
        <v>8</v>
      </c>
      <c r="AA219" s="38">
        <f t="shared" si="82"/>
        <v>4</v>
      </c>
      <c r="AB219" s="38">
        <f t="shared" si="90"/>
        <v>0</v>
      </c>
      <c r="AC219" s="38">
        <f t="shared" si="91"/>
        <v>0</v>
      </c>
      <c r="AD219" s="38">
        <f t="shared" si="92"/>
        <v>0</v>
      </c>
      <c r="AE219" s="38">
        <f t="shared" si="93"/>
        <v>0</v>
      </c>
      <c r="AF219" s="38">
        <f t="shared" si="94"/>
        <v>0</v>
      </c>
      <c r="AG219" s="33">
        <f t="shared" si="95"/>
        <v>8</v>
      </c>
      <c r="AH219" s="33">
        <f t="shared" si="96"/>
        <v>8</v>
      </c>
      <c r="AI219" s="33">
        <f t="shared" si="97"/>
        <v>4</v>
      </c>
      <c r="AJ219" s="33">
        <f t="shared" si="98"/>
        <v>0</v>
      </c>
      <c r="AK219" s="34">
        <f t="shared" si="99"/>
        <v>5.6338028169014086E-2</v>
      </c>
      <c r="AL219" s="35">
        <f t="shared" si="100"/>
        <v>5.6338028169014086E-2</v>
      </c>
      <c r="AM219" s="34">
        <f t="shared" si="83"/>
        <v>2.8169014084507043E-2</v>
      </c>
      <c r="AN219" s="36">
        <f t="shared" si="101"/>
        <v>0</v>
      </c>
      <c r="AO219" s="6">
        <f t="shared" si="84"/>
        <v>0</v>
      </c>
      <c r="AP219">
        <f t="shared" si="85"/>
        <v>8</v>
      </c>
      <c r="AQ219" s="6">
        <f t="shared" si="86"/>
        <v>0</v>
      </c>
      <c r="AR219" s="6">
        <f t="shared" si="87"/>
        <v>0</v>
      </c>
      <c r="AS219" s="6"/>
      <c r="AX219" s="95">
        <f t="shared" si="88"/>
        <v>42342</v>
      </c>
      <c r="AY219" s="96" t="str">
        <f t="shared" si="89"/>
        <v>sex</v>
      </c>
      <c r="AZ219" s="97">
        <f>IF(OR(AY219="SÁB",AY219="DOM"),0,IFERROR(8-VLOOKUP(C219,'Dados de consulta'!$A$2:$C$38,3,0),8))</f>
        <v>8</v>
      </c>
      <c r="BA219" s="97">
        <f>IF(OR(AY219="SÁB",AY219="DOM"),0,IFERROR(8-VLOOKUP(D219,'Dados de consulta'!$A$2:$C$38,3,0),8))</f>
        <v>8</v>
      </c>
      <c r="BB219" s="97">
        <f>IF(OR(AY219="SÁB",AY219="DOM"),0,IFERROR(8-VLOOKUP(E219,'Dados de consulta'!$A$2:$C$38,3,0),8))</f>
        <v>8</v>
      </c>
      <c r="BC219" s="97">
        <f>IF(OR(AY219="SÁB",AY219="DOM"),0,IFERROR(8-VLOOKUP(F219,'Dados de consulta'!$A$2:$C$38,3,0),8))</f>
        <v>8</v>
      </c>
      <c r="BD219" s="97">
        <f>IF(OR(AY219="SÁB",AY219="DOM"),0,IFERROR(8-VLOOKUP(G219,'Dados de consulta'!$A$2:$C$38,3,0),8))</f>
        <v>8</v>
      </c>
      <c r="BE219" s="97">
        <f>IF(OR(AY219="SÁB",AY219="DOM"),0,IFERROR(8-VLOOKUP(H219,'Dados de consulta'!$A$2:$C$38,3,0),8))</f>
        <v>8</v>
      </c>
      <c r="BF219" s="97">
        <f>IF(OR(AY219="SÁB",AY219="DOM"),0,IFERROR(8-VLOOKUP(I219,'Dados de consulta'!$A$2:$C$38,3,0),8))</f>
        <v>0</v>
      </c>
      <c r="BG219" s="97">
        <f>IF(OR(AY219="SÁB",AY219="DOM"),0,IFERROR(8-VLOOKUP(J219,'Dados de consulta'!$A$2:$C$38,3,0),8))</f>
        <v>8</v>
      </c>
      <c r="BH219" s="97">
        <f>IF(OR(AY219="SÁB",AY219="DOM"),0,IFERROR(8-VLOOKUP(K219,'Dados de consulta'!$A$2:$C$38,3,0),8))</f>
        <v>8</v>
      </c>
      <c r="BI219" s="97">
        <f>IF(OR(AY219="SÁB",AY219="DOM"),0,IFERROR(8-VLOOKUP(L219,'Dados de consulta'!$A$2:$C$38,3,0),8))</f>
        <v>8</v>
      </c>
      <c r="BJ219" s="97">
        <f>IF(OR(AY219="SÁB",AY219="DOM"),0,IFERROR(8-VLOOKUP(M219,'Dados de consulta'!$A$2:$C$38,3,0),8))</f>
        <v>0</v>
      </c>
      <c r="BK219" s="97">
        <f>IF(OR(AY219="SÁB",AY219="DOM"),0,IFERROR(8-VLOOKUP(N219,'Dados de consulta'!$A$2:$C$38,3,0),8))</f>
        <v>8</v>
      </c>
      <c r="BL219" s="97">
        <f>IF(OR(AY219="SÁB",AY219="DOM"),0,IFERROR(8-VLOOKUP(O219,'Dados de consulta'!$A$2:$C$38,3,0),8))</f>
        <v>8</v>
      </c>
      <c r="BM219" s="97">
        <f>IF(OR(AY219="SÁB",AY219="DOM"),0,IFERROR(8-VLOOKUP(P219,'Dados de consulta'!$A$2:$C$38,3,0),8))</f>
        <v>0</v>
      </c>
      <c r="BN219" s="97">
        <f>IF(OR(AY219="SÁB",AY219="DOM"),0,IFERROR(8-VLOOKUP(Q219,'Dados de consulta'!$A$2:$C$38,3,0),8))</f>
        <v>8</v>
      </c>
      <c r="BO219" s="97">
        <f>IF(OR(AY219="SÁB",AY219="DOM"),0,IFERROR(8-VLOOKUP(R219,'Dados de consulta'!$A$2:$C$38,3,0),8))</f>
        <v>4</v>
      </c>
      <c r="BP219" s="97">
        <f>IF(OR(AY219="SÁB",AY219="DOM"),0,IFERROR(8-VLOOKUP(S219,'Dados de consulta'!$A$2:$C$38,3,0),8))</f>
        <v>8</v>
      </c>
      <c r="BQ219" s="113">
        <f>IFERROR(6-VLOOKUP(T219,'Dados de consulta'!$A$2:$C$38,3,0)+2,6)</f>
        <v>6</v>
      </c>
      <c r="BR219" s="114">
        <f t="shared" si="102"/>
        <v>114</v>
      </c>
      <c r="BS219">
        <f t="shared" si="78"/>
        <v>134</v>
      </c>
      <c r="BU219">
        <f>IFERROR(8-VLOOKUP(U219,'Dados de consulta'!$A:$D,3,0),8)</f>
        <v>0</v>
      </c>
      <c r="BV219">
        <f>IFERROR(8-VLOOKUP(V219,'Dados de consulta'!$A:$D,3,0),8)</f>
        <v>8</v>
      </c>
      <c r="BW219">
        <f t="shared" si="103"/>
        <v>8</v>
      </c>
    </row>
    <row r="220" spans="1:75" ht="15" hidden="1" x14ac:dyDescent="0.2">
      <c r="A220" s="98">
        <v>42343</v>
      </c>
      <c r="B220" s="129" t="str">
        <f t="shared" si="79"/>
        <v>sáb</v>
      </c>
      <c r="C220" s="132"/>
      <c r="D220" s="132"/>
      <c r="E220" s="132"/>
      <c r="F220" s="132"/>
      <c r="G220" s="132"/>
      <c r="H220" s="132"/>
      <c r="I220" s="132">
        <v>18</v>
      </c>
      <c r="J220" s="132"/>
      <c r="K220" s="132"/>
      <c r="L220" s="132"/>
      <c r="M220" s="132">
        <v>101</v>
      </c>
      <c r="N220" s="132"/>
      <c r="O220" s="132"/>
      <c r="P220" s="132"/>
      <c r="Q220" s="132"/>
      <c r="R220" s="132"/>
      <c r="S220" s="132"/>
      <c r="T220" s="132"/>
      <c r="U220" s="151"/>
      <c r="V220" s="151"/>
      <c r="W220" s="307" t="s">
        <v>193</v>
      </c>
      <c r="X220" s="308"/>
      <c r="Y220" s="38">
        <f t="shared" si="80"/>
        <v>0</v>
      </c>
      <c r="Z220" s="38">
        <f t="shared" si="81"/>
        <v>8</v>
      </c>
      <c r="AA220" s="38">
        <f t="shared" si="82"/>
        <v>0</v>
      </c>
      <c r="AB220" s="38">
        <f t="shared" si="90"/>
        <v>0</v>
      </c>
      <c r="AC220" s="38">
        <f t="shared" si="91"/>
        <v>0</v>
      </c>
      <c r="AD220" s="38">
        <f t="shared" si="92"/>
        <v>0</v>
      </c>
      <c r="AE220" s="38">
        <f t="shared" si="93"/>
        <v>0</v>
      </c>
      <c r="AF220" s="38">
        <f t="shared" si="94"/>
        <v>0</v>
      </c>
      <c r="AG220" s="33">
        <f t="shared" si="95"/>
        <v>0</v>
      </c>
      <c r="AH220" s="33">
        <f t="shared" si="96"/>
        <v>0</v>
      </c>
      <c r="AI220" s="33">
        <f t="shared" si="97"/>
        <v>0</v>
      </c>
      <c r="AJ220" s="33">
        <f t="shared" si="98"/>
        <v>0</v>
      </c>
      <c r="AK220" s="34">
        <f t="shared" si="99"/>
        <v>0</v>
      </c>
      <c r="AL220" s="35">
        <f t="shared" si="100"/>
        <v>0</v>
      </c>
      <c r="AM220" s="34">
        <f t="shared" si="83"/>
        <v>0</v>
      </c>
      <c r="AN220" s="36">
        <f t="shared" si="101"/>
        <v>0</v>
      </c>
      <c r="AO220" s="6">
        <f t="shared" si="84"/>
        <v>0</v>
      </c>
      <c r="AP220">
        <f t="shared" si="85"/>
        <v>8</v>
      </c>
      <c r="AQ220" s="6">
        <f t="shared" si="86"/>
        <v>0</v>
      </c>
      <c r="AR220" s="6">
        <f t="shared" si="87"/>
        <v>0</v>
      </c>
      <c r="AS220" s="6"/>
      <c r="AX220" s="95">
        <f t="shared" si="88"/>
        <v>42343</v>
      </c>
      <c r="AY220" s="96" t="str">
        <f t="shared" si="89"/>
        <v>sáb</v>
      </c>
      <c r="AZ220" s="97">
        <f>IF(OR(AY220="SÁB",AY220="DOM"),0,IFERROR(8-VLOOKUP(C220,'Dados de consulta'!$A$2:$C$38,3,0),8))</f>
        <v>0</v>
      </c>
      <c r="BA220" s="97">
        <f>IF(OR(AY220="SÁB",AY220="DOM"),0,IFERROR(8-VLOOKUP(D220,'Dados de consulta'!$A$2:$C$38,3,0),8))</f>
        <v>0</v>
      </c>
      <c r="BB220" s="97">
        <f>IF(OR(AY220="SÁB",AY220="DOM"),0,IFERROR(8-VLOOKUP(E220,'Dados de consulta'!$A$2:$C$38,3,0),8))</f>
        <v>0</v>
      </c>
      <c r="BC220" s="97">
        <f>IF(OR(AY220="SÁB",AY220="DOM"),0,IFERROR(8-VLOOKUP(F220,'Dados de consulta'!$A$2:$C$38,3,0),8))</f>
        <v>0</v>
      </c>
      <c r="BD220" s="97">
        <f>IF(OR(AY220="SÁB",AY220="DOM"),0,IFERROR(8-VLOOKUP(G220,'Dados de consulta'!$A$2:$C$38,3,0),8))</f>
        <v>0</v>
      </c>
      <c r="BE220" s="97">
        <f>IF(OR(AY220="SÁB",AY220="DOM"),0,IFERROR(8-VLOOKUP(H220,'Dados de consulta'!$A$2:$C$38,3,0),8))</f>
        <v>0</v>
      </c>
      <c r="BF220" s="97">
        <f>IF(OR(AY220="SÁB",AY220="DOM"),0,IFERROR(8-VLOOKUP(I220,'Dados de consulta'!$A$2:$C$38,3,0),8))</f>
        <v>0</v>
      </c>
      <c r="BG220" s="97">
        <f>IF(OR(AY220="SÁB",AY220="DOM"),0,IFERROR(8-VLOOKUP(J220,'Dados de consulta'!$A$2:$C$38,3,0),8))</f>
        <v>0</v>
      </c>
      <c r="BH220" s="97">
        <f>IF(OR(AY220="SÁB",AY220="DOM"),0,IFERROR(8-VLOOKUP(K220,'Dados de consulta'!$A$2:$C$38,3,0),8))</f>
        <v>0</v>
      </c>
      <c r="BI220" s="97">
        <f>IF(OR(AY220="SÁB",AY220="DOM"),0,IFERROR(8-VLOOKUP(L220,'Dados de consulta'!$A$2:$C$38,3,0),8))</f>
        <v>0</v>
      </c>
      <c r="BJ220" s="97">
        <f>IF(OR(AY220="SÁB",AY220="DOM"),0,IFERROR(8-VLOOKUP(M220,'Dados de consulta'!$A$2:$C$38,3,0),8))</f>
        <v>0</v>
      </c>
      <c r="BK220" s="97">
        <f>IF(OR(AY220="SÁB",AY220="DOM"),0,IFERROR(8-VLOOKUP(N220,'Dados de consulta'!$A$2:$C$38,3,0),8))</f>
        <v>0</v>
      </c>
      <c r="BL220" s="97">
        <f>IF(OR(AY220="SÁB",AY220="DOM"),0,IFERROR(8-VLOOKUP(O220,'Dados de consulta'!$A$2:$C$38,3,0),8))</f>
        <v>0</v>
      </c>
      <c r="BM220" s="97">
        <f>IF(OR(AY220="SÁB",AY220="DOM"),0,IFERROR(8-VLOOKUP(P220,'Dados de consulta'!$A$2:$C$38,3,0),8))</f>
        <v>0</v>
      </c>
      <c r="BN220" s="97">
        <f>IF(OR(AY220="SÁB",AY220="DOM"),0,IFERROR(8-VLOOKUP(Q220,'Dados de consulta'!$A$2:$C$38,3,0),8))</f>
        <v>0</v>
      </c>
      <c r="BO220" s="97">
        <f>IF(OR(AY220="SÁB",AY220="DOM"),0,IFERROR(8-VLOOKUP(R220,'Dados de consulta'!$A$2:$C$38,3,0),8))</f>
        <v>0</v>
      </c>
      <c r="BP220" s="97">
        <f>IF(OR(AY220="SÁB",AY220="DOM"),0,IFERROR(8-VLOOKUP(S220,'Dados de consulta'!$A$2:$C$38,3,0),8))</f>
        <v>0</v>
      </c>
      <c r="BQ220" s="113">
        <f>IFERROR(6-VLOOKUP(T220,'Dados de consulta'!$A$2:$C$38,3,0)+2,6)</f>
        <v>6</v>
      </c>
      <c r="BR220" s="114">
        <f t="shared" si="102"/>
        <v>0</v>
      </c>
      <c r="BS220">
        <f t="shared" si="78"/>
        <v>0</v>
      </c>
      <c r="BU220">
        <f>IFERROR(8-VLOOKUP(U220,'Dados de consulta'!$A:$D,3,0),8)</f>
        <v>8</v>
      </c>
      <c r="BV220">
        <f>IFERROR(8-VLOOKUP(V220,'Dados de consulta'!$A:$D,3,0),8)</f>
        <v>8</v>
      </c>
      <c r="BW220">
        <f t="shared" si="103"/>
        <v>16</v>
      </c>
    </row>
    <row r="221" spans="1:75" ht="15" hidden="1" x14ac:dyDescent="0.2">
      <c r="A221" s="98">
        <v>42344</v>
      </c>
      <c r="B221" s="129" t="str">
        <f t="shared" si="79"/>
        <v>dom</v>
      </c>
      <c r="C221" s="132"/>
      <c r="D221" s="132"/>
      <c r="E221" s="132"/>
      <c r="F221" s="132"/>
      <c r="G221" s="132"/>
      <c r="H221" s="132"/>
      <c r="I221" s="132">
        <v>18</v>
      </c>
      <c r="J221" s="132"/>
      <c r="K221" s="132"/>
      <c r="L221" s="132"/>
      <c r="M221" s="132">
        <v>101</v>
      </c>
      <c r="N221" s="132"/>
      <c r="O221" s="132"/>
      <c r="P221" s="132"/>
      <c r="Q221" s="132"/>
      <c r="R221" s="132"/>
      <c r="S221" s="132"/>
      <c r="T221" s="132"/>
      <c r="U221" s="151"/>
      <c r="V221" s="151"/>
      <c r="W221" s="307" t="s">
        <v>193</v>
      </c>
      <c r="X221" s="308"/>
      <c r="Y221" s="38">
        <f t="shared" si="80"/>
        <v>0</v>
      </c>
      <c r="Z221" s="38">
        <f t="shared" si="81"/>
        <v>8</v>
      </c>
      <c r="AA221" s="38">
        <f t="shared" si="82"/>
        <v>0</v>
      </c>
      <c r="AB221" s="38">
        <f t="shared" si="90"/>
        <v>0</v>
      </c>
      <c r="AC221" s="38">
        <f t="shared" si="91"/>
        <v>0</v>
      </c>
      <c r="AD221" s="38">
        <f t="shared" si="92"/>
        <v>0</v>
      </c>
      <c r="AE221" s="38">
        <f t="shared" si="93"/>
        <v>0</v>
      </c>
      <c r="AF221" s="38">
        <f t="shared" si="94"/>
        <v>0</v>
      </c>
      <c r="AG221" s="33">
        <f t="shared" si="95"/>
        <v>0</v>
      </c>
      <c r="AH221" s="33">
        <f t="shared" si="96"/>
        <v>0</v>
      </c>
      <c r="AI221" s="33">
        <f t="shared" si="97"/>
        <v>0</v>
      </c>
      <c r="AJ221" s="33">
        <f t="shared" si="98"/>
        <v>0</v>
      </c>
      <c r="AK221" s="34">
        <f t="shared" si="99"/>
        <v>0</v>
      </c>
      <c r="AL221" s="35">
        <f t="shared" si="100"/>
        <v>0</v>
      </c>
      <c r="AM221" s="34">
        <f t="shared" si="83"/>
        <v>0</v>
      </c>
      <c r="AN221" s="36">
        <f t="shared" si="101"/>
        <v>0</v>
      </c>
      <c r="AO221" s="6">
        <f t="shared" si="84"/>
        <v>0</v>
      </c>
      <c r="AP221">
        <f t="shared" si="85"/>
        <v>8</v>
      </c>
      <c r="AQ221" s="6">
        <f t="shared" si="86"/>
        <v>0</v>
      </c>
      <c r="AR221" s="6">
        <f t="shared" si="87"/>
        <v>0</v>
      </c>
      <c r="AS221" s="6"/>
      <c r="AX221" s="95">
        <f t="shared" si="88"/>
        <v>42344</v>
      </c>
      <c r="AY221" s="96" t="str">
        <f t="shared" si="89"/>
        <v>dom</v>
      </c>
      <c r="AZ221" s="97">
        <f>IF(OR(AY221="SÁB",AY221="DOM"),0,IFERROR(8-VLOOKUP(C221,'Dados de consulta'!$A$2:$C$38,3,0),8))</f>
        <v>0</v>
      </c>
      <c r="BA221" s="97">
        <f>IF(OR(AY221="SÁB",AY221="DOM"),0,IFERROR(8-VLOOKUP(D221,'Dados de consulta'!$A$2:$C$38,3,0),8))</f>
        <v>0</v>
      </c>
      <c r="BB221" s="97">
        <f>IF(OR(AY221="SÁB",AY221="DOM"),0,IFERROR(8-VLOOKUP(E221,'Dados de consulta'!$A$2:$C$38,3,0),8))</f>
        <v>0</v>
      </c>
      <c r="BC221" s="97">
        <f>IF(OR(AY221="SÁB",AY221="DOM"),0,IFERROR(8-VLOOKUP(F221,'Dados de consulta'!$A$2:$C$38,3,0),8))</f>
        <v>0</v>
      </c>
      <c r="BD221" s="97">
        <f>IF(OR(AY221="SÁB",AY221="DOM"),0,IFERROR(8-VLOOKUP(G221,'Dados de consulta'!$A$2:$C$38,3,0),8))</f>
        <v>0</v>
      </c>
      <c r="BE221" s="97">
        <f>IF(OR(AY221="SÁB",AY221="DOM"),0,IFERROR(8-VLOOKUP(H221,'Dados de consulta'!$A$2:$C$38,3,0),8))</f>
        <v>0</v>
      </c>
      <c r="BF221" s="97">
        <f>IF(OR(AY221="SÁB",AY221="DOM"),0,IFERROR(8-VLOOKUP(I221,'Dados de consulta'!$A$2:$C$38,3,0),8))</f>
        <v>0</v>
      </c>
      <c r="BG221" s="97">
        <f>IF(OR(AY221="SÁB",AY221="DOM"),0,IFERROR(8-VLOOKUP(J221,'Dados de consulta'!$A$2:$C$38,3,0),8))</f>
        <v>0</v>
      </c>
      <c r="BH221" s="97">
        <f>IF(OR(AY221="SÁB",AY221="DOM"),0,IFERROR(8-VLOOKUP(K221,'Dados de consulta'!$A$2:$C$38,3,0),8))</f>
        <v>0</v>
      </c>
      <c r="BI221" s="97">
        <f>IF(OR(AY221="SÁB",AY221="DOM"),0,IFERROR(8-VLOOKUP(L221,'Dados de consulta'!$A$2:$C$38,3,0),8))</f>
        <v>0</v>
      </c>
      <c r="BJ221" s="97">
        <f>IF(OR(AY221="SÁB",AY221="DOM"),0,IFERROR(8-VLOOKUP(M221,'Dados de consulta'!$A$2:$C$38,3,0),8))</f>
        <v>0</v>
      </c>
      <c r="BK221" s="97">
        <f>IF(OR(AY221="SÁB",AY221="DOM"),0,IFERROR(8-VLOOKUP(N221,'Dados de consulta'!$A$2:$C$38,3,0),8))</f>
        <v>0</v>
      </c>
      <c r="BL221" s="97">
        <f>IF(OR(AY221="SÁB",AY221="DOM"),0,IFERROR(8-VLOOKUP(O221,'Dados de consulta'!$A$2:$C$38,3,0),8))</f>
        <v>0</v>
      </c>
      <c r="BM221" s="97">
        <f>IF(OR(AY221="SÁB",AY221="DOM"),0,IFERROR(8-VLOOKUP(P221,'Dados de consulta'!$A$2:$C$38,3,0),8))</f>
        <v>0</v>
      </c>
      <c r="BN221" s="97">
        <f>IF(OR(AY221="SÁB",AY221="DOM"),0,IFERROR(8-VLOOKUP(Q221,'Dados de consulta'!$A$2:$C$38,3,0),8))</f>
        <v>0</v>
      </c>
      <c r="BO221" s="97">
        <f>IF(OR(AY221="SÁB",AY221="DOM"),0,IFERROR(8-VLOOKUP(R221,'Dados de consulta'!$A$2:$C$38,3,0),8))</f>
        <v>0</v>
      </c>
      <c r="BP221" s="97">
        <f>IF(OR(AY221="SÁB",AY221="DOM"),0,IFERROR(8-VLOOKUP(S221,'Dados de consulta'!$A$2:$C$38,3,0),8))</f>
        <v>0</v>
      </c>
      <c r="BQ221" s="113">
        <f>IFERROR(6-VLOOKUP(T221,'Dados de consulta'!$A$2:$C$38,3,0)+2,6)</f>
        <v>6</v>
      </c>
      <c r="BR221" s="114">
        <f t="shared" si="102"/>
        <v>0</v>
      </c>
      <c r="BS221">
        <f t="shared" si="78"/>
        <v>0</v>
      </c>
      <c r="BU221">
        <f>IFERROR(8-VLOOKUP(U221,'Dados de consulta'!$A:$D,3,0),8)</f>
        <v>8</v>
      </c>
      <c r="BV221">
        <f>IFERROR(8-VLOOKUP(V221,'Dados de consulta'!$A:$D,3,0),8)</f>
        <v>8</v>
      </c>
      <c r="BW221">
        <f t="shared" si="103"/>
        <v>16</v>
      </c>
    </row>
    <row r="222" spans="1:75" ht="15" hidden="1" x14ac:dyDescent="0.2">
      <c r="A222" s="98">
        <v>42345</v>
      </c>
      <c r="B222" s="129" t="str">
        <f t="shared" si="79"/>
        <v>seg</v>
      </c>
      <c r="C222" s="132"/>
      <c r="D222" s="132"/>
      <c r="E222" s="132"/>
      <c r="F222" s="132"/>
      <c r="G222" s="132">
        <v>26</v>
      </c>
      <c r="H222" s="132"/>
      <c r="I222" s="132">
        <v>18</v>
      </c>
      <c r="J222" s="132"/>
      <c r="K222" s="132"/>
      <c r="L222" s="132"/>
      <c r="M222" s="132">
        <v>101</v>
      </c>
      <c r="N222" s="132"/>
      <c r="O222" s="132"/>
      <c r="P222" s="132"/>
      <c r="Q222" s="132"/>
      <c r="R222" s="132" t="s">
        <v>196</v>
      </c>
      <c r="S222" s="132"/>
      <c r="T222" s="132"/>
      <c r="U222" s="151">
        <v>8</v>
      </c>
      <c r="V222" s="151">
        <v>1</v>
      </c>
      <c r="W222" s="307" t="s">
        <v>193</v>
      </c>
      <c r="X222" s="308"/>
      <c r="Y222" s="38">
        <f t="shared" si="80"/>
        <v>0</v>
      </c>
      <c r="Z222" s="38">
        <f t="shared" si="81"/>
        <v>16</v>
      </c>
      <c r="AA222" s="38">
        <f t="shared" si="82"/>
        <v>4</v>
      </c>
      <c r="AB222" s="38">
        <f t="shared" si="90"/>
        <v>0</v>
      </c>
      <c r="AC222" s="38">
        <f t="shared" si="91"/>
        <v>0</v>
      </c>
      <c r="AD222" s="38">
        <f t="shared" si="92"/>
        <v>0</v>
      </c>
      <c r="AE222" s="38">
        <f t="shared" si="93"/>
        <v>0</v>
      </c>
      <c r="AF222" s="38">
        <f t="shared" si="94"/>
        <v>0</v>
      </c>
      <c r="AG222" s="33">
        <f t="shared" si="95"/>
        <v>0</v>
      </c>
      <c r="AH222" s="33">
        <f t="shared" si="96"/>
        <v>16</v>
      </c>
      <c r="AI222" s="33">
        <f t="shared" si="97"/>
        <v>4</v>
      </c>
      <c r="AJ222" s="33">
        <f t="shared" si="98"/>
        <v>0</v>
      </c>
      <c r="AK222" s="34">
        <f t="shared" si="99"/>
        <v>0</v>
      </c>
      <c r="AL222" s="35">
        <f t="shared" si="100"/>
        <v>0.11267605633802817</v>
      </c>
      <c r="AM222" s="34">
        <f t="shared" si="83"/>
        <v>2.8169014084507043E-2</v>
      </c>
      <c r="AN222" s="36">
        <f t="shared" si="101"/>
        <v>0</v>
      </c>
      <c r="AO222" s="6">
        <f t="shared" si="84"/>
        <v>0</v>
      </c>
      <c r="AP222">
        <f t="shared" si="85"/>
        <v>8</v>
      </c>
      <c r="AQ222" s="6">
        <f t="shared" si="86"/>
        <v>0</v>
      </c>
      <c r="AR222" s="6">
        <f t="shared" si="87"/>
        <v>0</v>
      </c>
      <c r="AS222" s="6"/>
      <c r="AX222" s="95">
        <f t="shared" si="88"/>
        <v>42345</v>
      </c>
      <c r="AY222" s="96" t="str">
        <f t="shared" si="89"/>
        <v>seg</v>
      </c>
      <c r="AZ222" s="97">
        <f>IF(OR(AY222="SÁB",AY222="DOM"),0,IFERROR(8-VLOOKUP(C222,'Dados de consulta'!$A$2:$C$38,3,0),8))</f>
        <v>8</v>
      </c>
      <c r="BA222" s="97">
        <f>IF(OR(AY222="SÁB",AY222="DOM"),0,IFERROR(8-VLOOKUP(D222,'Dados de consulta'!$A$2:$C$38,3,0),8))</f>
        <v>8</v>
      </c>
      <c r="BB222" s="97">
        <f>IF(OR(AY222="SÁB",AY222="DOM"),0,IFERROR(8-VLOOKUP(E222,'Dados de consulta'!$A$2:$C$38,3,0),8))</f>
        <v>8</v>
      </c>
      <c r="BC222" s="97">
        <f>IF(OR(AY222="SÁB",AY222="DOM"),0,IFERROR(8-VLOOKUP(F222,'Dados de consulta'!$A$2:$C$38,3,0),8))</f>
        <v>8</v>
      </c>
      <c r="BD222" s="97">
        <f>IF(OR(AY222="SÁB",AY222="DOM"),0,IFERROR(8-VLOOKUP(G222,'Dados de consulta'!$A$2:$C$38,3,0),8))</f>
        <v>0</v>
      </c>
      <c r="BE222" s="97">
        <f>IF(OR(AY222="SÁB",AY222="DOM"),0,IFERROR(8-VLOOKUP(H222,'Dados de consulta'!$A$2:$C$38,3,0),8))</f>
        <v>8</v>
      </c>
      <c r="BF222" s="97">
        <f>IF(OR(AY222="SÁB",AY222="DOM"),0,IFERROR(8-VLOOKUP(I222,'Dados de consulta'!$A$2:$C$38,3,0),8))</f>
        <v>0</v>
      </c>
      <c r="BG222" s="97">
        <f>IF(OR(AY222="SÁB",AY222="DOM"),0,IFERROR(8-VLOOKUP(J222,'Dados de consulta'!$A$2:$C$38,3,0),8))</f>
        <v>8</v>
      </c>
      <c r="BH222" s="97">
        <f>IF(OR(AY222="SÁB",AY222="DOM"),0,IFERROR(8-VLOOKUP(K222,'Dados de consulta'!$A$2:$C$38,3,0),8))</f>
        <v>8</v>
      </c>
      <c r="BI222" s="97">
        <f>IF(OR(AY222="SÁB",AY222="DOM"),0,IFERROR(8-VLOOKUP(L222,'Dados de consulta'!$A$2:$C$38,3,0),8))</f>
        <v>8</v>
      </c>
      <c r="BJ222" s="97">
        <f>IF(OR(AY222="SÁB",AY222="DOM"),0,IFERROR(8-VLOOKUP(M222,'Dados de consulta'!$A$2:$C$38,3,0),8))</f>
        <v>0</v>
      </c>
      <c r="BK222" s="97">
        <f>IF(OR(AY222="SÁB",AY222="DOM"),0,IFERROR(8-VLOOKUP(N222,'Dados de consulta'!$A$2:$C$38,3,0),8))</f>
        <v>8</v>
      </c>
      <c r="BL222" s="97">
        <f>IF(OR(AY222="SÁB",AY222="DOM"),0,IFERROR(8-VLOOKUP(O222,'Dados de consulta'!$A$2:$C$38,3,0),8))</f>
        <v>8</v>
      </c>
      <c r="BM222" s="97">
        <f>IF(OR(AY222="SÁB",AY222="DOM"),0,IFERROR(8-VLOOKUP(P222,'Dados de consulta'!$A$2:$C$38,3,0),8))</f>
        <v>8</v>
      </c>
      <c r="BN222" s="97">
        <f>IF(OR(AY222="SÁB",AY222="DOM"),0,IFERROR(8-VLOOKUP(Q222,'Dados de consulta'!$A$2:$C$38,3,0),8))</f>
        <v>8</v>
      </c>
      <c r="BO222" s="97">
        <f>IF(OR(AY222="SÁB",AY222="DOM"),0,IFERROR(8-VLOOKUP(R222,'Dados de consulta'!$A$2:$C$38,3,0),8))</f>
        <v>4</v>
      </c>
      <c r="BP222" s="97">
        <f>IF(OR(AY222="SÁB",AY222="DOM"),0,IFERROR(8-VLOOKUP(S222,'Dados de consulta'!$A$2:$C$38,3,0),8))</f>
        <v>8</v>
      </c>
      <c r="BQ222" s="113">
        <f>IFERROR(6-VLOOKUP(T222,'Dados de consulta'!$A$2:$C$38,3,0)+2,6)</f>
        <v>6</v>
      </c>
      <c r="BR222" s="114">
        <f t="shared" si="102"/>
        <v>114</v>
      </c>
      <c r="BS222">
        <f t="shared" si="78"/>
        <v>134</v>
      </c>
      <c r="BU222">
        <f>IFERROR(8-VLOOKUP(U222,'Dados de consulta'!$A:$D,3,0),8)</f>
        <v>0</v>
      </c>
      <c r="BV222">
        <f>IFERROR(8-VLOOKUP(V222,'Dados de consulta'!$A:$D,3,0),8)</f>
        <v>0</v>
      </c>
      <c r="BW222">
        <f t="shared" si="103"/>
        <v>0</v>
      </c>
    </row>
    <row r="223" spans="1:75" ht="15" hidden="1" x14ac:dyDescent="0.2">
      <c r="A223" s="98">
        <v>42346</v>
      </c>
      <c r="B223" s="129" t="str">
        <f t="shared" si="79"/>
        <v>ter</v>
      </c>
      <c r="C223" s="132"/>
      <c r="D223" s="132"/>
      <c r="E223" s="132"/>
      <c r="F223" s="132"/>
      <c r="G223" s="132">
        <v>26</v>
      </c>
      <c r="H223" s="132"/>
      <c r="I223" s="132">
        <v>18</v>
      </c>
      <c r="J223" s="132"/>
      <c r="K223" s="132"/>
      <c r="L223" s="132"/>
      <c r="M223" s="132">
        <v>101</v>
      </c>
      <c r="N223" s="132"/>
      <c r="O223" s="132"/>
      <c r="P223" s="132"/>
      <c r="Q223" s="132"/>
      <c r="R223" s="132"/>
      <c r="S223" s="132"/>
      <c r="T223" s="132"/>
      <c r="U223" s="151">
        <v>8</v>
      </c>
      <c r="V223" s="151"/>
      <c r="W223" s="307" t="s">
        <v>193</v>
      </c>
      <c r="X223" s="308"/>
      <c r="Y223" s="38">
        <f t="shared" si="80"/>
        <v>0</v>
      </c>
      <c r="Z223" s="38">
        <f t="shared" si="81"/>
        <v>16</v>
      </c>
      <c r="AA223" s="38">
        <f t="shared" si="82"/>
        <v>0</v>
      </c>
      <c r="AB223" s="38">
        <f t="shared" si="90"/>
        <v>0</v>
      </c>
      <c r="AC223" s="38">
        <f t="shared" si="91"/>
        <v>0</v>
      </c>
      <c r="AD223" s="38">
        <f t="shared" si="92"/>
        <v>0</v>
      </c>
      <c r="AE223" s="38">
        <f t="shared" si="93"/>
        <v>0</v>
      </c>
      <c r="AF223" s="38">
        <f t="shared" si="94"/>
        <v>0</v>
      </c>
      <c r="AG223" s="33">
        <f t="shared" si="95"/>
        <v>0</v>
      </c>
      <c r="AH223" s="33">
        <f t="shared" si="96"/>
        <v>16</v>
      </c>
      <c r="AI223" s="33">
        <f t="shared" si="97"/>
        <v>0</v>
      </c>
      <c r="AJ223" s="33">
        <f t="shared" si="98"/>
        <v>0</v>
      </c>
      <c r="AK223" s="34">
        <f t="shared" si="99"/>
        <v>0</v>
      </c>
      <c r="AL223" s="35">
        <f t="shared" si="100"/>
        <v>0.11267605633802817</v>
      </c>
      <c r="AM223" s="34">
        <f t="shared" si="83"/>
        <v>0</v>
      </c>
      <c r="AN223" s="36">
        <f t="shared" si="101"/>
        <v>0</v>
      </c>
      <c r="AO223" s="6">
        <f t="shared" si="84"/>
        <v>0</v>
      </c>
      <c r="AP223">
        <f t="shared" si="85"/>
        <v>8</v>
      </c>
      <c r="AQ223" s="6">
        <f t="shared" si="86"/>
        <v>0</v>
      </c>
      <c r="AR223" s="6">
        <f t="shared" si="87"/>
        <v>0</v>
      </c>
      <c r="AS223" s="6"/>
      <c r="AX223" s="95">
        <f t="shared" si="88"/>
        <v>42346</v>
      </c>
      <c r="AY223" s="96" t="str">
        <f t="shared" si="89"/>
        <v>ter</v>
      </c>
      <c r="AZ223" s="97">
        <f>IF(OR(AY223="SÁB",AY223="DOM"),0,IFERROR(8-VLOOKUP(C223,'Dados de consulta'!$A$2:$C$38,3,0),8))</f>
        <v>8</v>
      </c>
      <c r="BA223" s="97">
        <f>IF(OR(AY223="SÁB",AY223="DOM"),0,IFERROR(8-VLOOKUP(D223,'Dados de consulta'!$A$2:$C$38,3,0),8))</f>
        <v>8</v>
      </c>
      <c r="BB223" s="97">
        <f>IF(OR(AY223="SÁB",AY223="DOM"),0,IFERROR(8-VLOOKUP(E223,'Dados de consulta'!$A$2:$C$38,3,0),8))</f>
        <v>8</v>
      </c>
      <c r="BC223" s="97">
        <f>IF(OR(AY223="SÁB",AY223="DOM"),0,IFERROR(8-VLOOKUP(F223,'Dados de consulta'!$A$2:$C$38,3,0),8))</f>
        <v>8</v>
      </c>
      <c r="BD223" s="97">
        <f>IF(OR(AY223="SÁB",AY223="DOM"),0,IFERROR(8-VLOOKUP(G223,'Dados de consulta'!$A$2:$C$38,3,0),8))</f>
        <v>0</v>
      </c>
      <c r="BE223" s="97">
        <f>IF(OR(AY223="SÁB",AY223="DOM"),0,IFERROR(8-VLOOKUP(H223,'Dados de consulta'!$A$2:$C$38,3,0),8))</f>
        <v>8</v>
      </c>
      <c r="BF223" s="97">
        <f>IF(OR(AY223="SÁB",AY223="DOM"),0,IFERROR(8-VLOOKUP(I223,'Dados de consulta'!$A$2:$C$38,3,0),8))</f>
        <v>0</v>
      </c>
      <c r="BG223" s="97">
        <f>IF(OR(AY223="SÁB",AY223="DOM"),0,IFERROR(8-VLOOKUP(J223,'Dados de consulta'!$A$2:$C$38,3,0),8))</f>
        <v>8</v>
      </c>
      <c r="BH223" s="97">
        <f>IF(OR(AY223="SÁB",AY223="DOM"),0,IFERROR(8-VLOOKUP(K223,'Dados de consulta'!$A$2:$C$38,3,0),8))</f>
        <v>8</v>
      </c>
      <c r="BI223" s="97">
        <f>IF(OR(AY223="SÁB",AY223="DOM"),0,IFERROR(8-VLOOKUP(L223,'Dados de consulta'!$A$2:$C$38,3,0),8))</f>
        <v>8</v>
      </c>
      <c r="BJ223" s="97">
        <f>IF(OR(AY223="SÁB",AY223="DOM"),0,IFERROR(8-VLOOKUP(M223,'Dados de consulta'!$A$2:$C$38,3,0),8))</f>
        <v>0</v>
      </c>
      <c r="BK223" s="97">
        <f>IF(OR(AY223="SÁB",AY223="DOM"),0,IFERROR(8-VLOOKUP(N223,'Dados de consulta'!$A$2:$C$38,3,0),8))</f>
        <v>8</v>
      </c>
      <c r="BL223" s="97">
        <f>IF(OR(AY223="SÁB",AY223="DOM"),0,IFERROR(8-VLOOKUP(O223,'Dados de consulta'!$A$2:$C$38,3,0),8))</f>
        <v>8</v>
      </c>
      <c r="BM223" s="97">
        <f>IF(OR(AY223="SÁB",AY223="DOM"),0,IFERROR(8-VLOOKUP(P223,'Dados de consulta'!$A$2:$C$38,3,0),8))</f>
        <v>8</v>
      </c>
      <c r="BN223" s="97">
        <f>IF(OR(AY223="SÁB",AY223="DOM"),0,IFERROR(8-VLOOKUP(Q223,'Dados de consulta'!$A$2:$C$38,3,0),8))</f>
        <v>8</v>
      </c>
      <c r="BO223" s="97">
        <f>IF(OR(AY223="SÁB",AY223="DOM"),0,IFERROR(8-VLOOKUP(R223,'Dados de consulta'!$A$2:$C$38,3,0),8))</f>
        <v>8</v>
      </c>
      <c r="BP223" s="97">
        <f>IF(OR(AY223="SÁB",AY223="DOM"),0,IFERROR(8-VLOOKUP(S223,'Dados de consulta'!$A$2:$C$38,3,0),8))</f>
        <v>8</v>
      </c>
      <c r="BQ223" s="113">
        <f>IFERROR(6-VLOOKUP(T223,'Dados de consulta'!$A$2:$C$38,3,0)+2,6)</f>
        <v>6</v>
      </c>
      <c r="BR223" s="114">
        <f t="shared" si="102"/>
        <v>118</v>
      </c>
      <c r="BS223">
        <f t="shared" si="78"/>
        <v>134</v>
      </c>
      <c r="BU223">
        <f>IFERROR(8-VLOOKUP(U223,'Dados de consulta'!$A:$D,3,0),8)</f>
        <v>0</v>
      </c>
      <c r="BV223">
        <f>IFERROR(8-VLOOKUP(V223,'Dados de consulta'!$A:$D,3,0),8)</f>
        <v>8</v>
      </c>
      <c r="BW223">
        <f t="shared" si="103"/>
        <v>8</v>
      </c>
    </row>
    <row r="224" spans="1:75" ht="15" hidden="1" x14ac:dyDescent="0.2">
      <c r="A224" s="98">
        <v>42347</v>
      </c>
      <c r="B224" s="129" t="str">
        <f t="shared" si="79"/>
        <v>qua</v>
      </c>
      <c r="C224" s="132"/>
      <c r="D224" s="132"/>
      <c r="E224" s="132"/>
      <c r="F224" s="132"/>
      <c r="G224" s="132">
        <v>26</v>
      </c>
      <c r="H224" s="132"/>
      <c r="I224" s="132">
        <v>18</v>
      </c>
      <c r="J224" s="132"/>
      <c r="K224" s="132"/>
      <c r="L224" s="132"/>
      <c r="M224" s="132">
        <v>101</v>
      </c>
      <c r="N224" s="132"/>
      <c r="O224" s="132"/>
      <c r="P224" s="132"/>
      <c r="Q224" s="132"/>
      <c r="R224" s="132"/>
      <c r="S224" s="132"/>
      <c r="T224" s="132"/>
      <c r="U224" s="151">
        <v>18</v>
      </c>
      <c r="V224" s="151"/>
      <c r="W224" s="307" t="s">
        <v>193</v>
      </c>
      <c r="X224" s="308"/>
      <c r="Y224" s="38">
        <f t="shared" si="80"/>
        <v>0</v>
      </c>
      <c r="Z224" s="38">
        <f t="shared" si="81"/>
        <v>16</v>
      </c>
      <c r="AA224" s="38">
        <f t="shared" si="82"/>
        <v>0</v>
      </c>
      <c r="AB224" s="38">
        <f t="shared" si="90"/>
        <v>0</v>
      </c>
      <c r="AC224" s="38">
        <f t="shared" si="91"/>
        <v>0</v>
      </c>
      <c r="AD224" s="38">
        <f t="shared" si="92"/>
        <v>0</v>
      </c>
      <c r="AE224" s="38">
        <f t="shared" si="93"/>
        <v>0</v>
      </c>
      <c r="AF224" s="38">
        <f t="shared" si="94"/>
        <v>0</v>
      </c>
      <c r="AG224" s="33">
        <f t="shared" si="95"/>
        <v>0</v>
      </c>
      <c r="AH224" s="33">
        <f t="shared" si="96"/>
        <v>16</v>
      </c>
      <c r="AI224" s="33">
        <f t="shared" si="97"/>
        <v>0</v>
      </c>
      <c r="AJ224" s="33">
        <f t="shared" si="98"/>
        <v>0</v>
      </c>
      <c r="AK224" s="34">
        <f t="shared" si="99"/>
        <v>0</v>
      </c>
      <c r="AL224" s="35">
        <f t="shared" si="100"/>
        <v>0.11267605633802817</v>
      </c>
      <c r="AM224" s="34">
        <f t="shared" si="83"/>
        <v>0</v>
      </c>
      <c r="AN224" s="36">
        <f t="shared" si="101"/>
        <v>0</v>
      </c>
      <c r="AO224" s="6">
        <f t="shared" si="84"/>
        <v>0</v>
      </c>
      <c r="AP224">
        <f t="shared" si="85"/>
        <v>8</v>
      </c>
      <c r="AQ224" s="6">
        <f t="shared" si="86"/>
        <v>0</v>
      </c>
      <c r="AR224" s="6">
        <f t="shared" si="87"/>
        <v>0</v>
      </c>
      <c r="AS224" s="6"/>
      <c r="AX224" s="95">
        <f t="shared" si="88"/>
        <v>42347</v>
      </c>
      <c r="AY224" s="96" t="str">
        <f t="shared" si="89"/>
        <v>qua</v>
      </c>
      <c r="AZ224" s="97">
        <f>IF(OR(AY224="SÁB",AY224="DOM"),0,IFERROR(8-VLOOKUP(C224,'Dados de consulta'!$A$2:$C$38,3,0),8))</f>
        <v>8</v>
      </c>
      <c r="BA224" s="97">
        <f>IF(OR(AY224="SÁB",AY224="DOM"),0,IFERROR(8-VLOOKUP(D224,'Dados de consulta'!$A$2:$C$38,3,0),8))</f>
        <v>8</v>
      </c>
      <c r="BB224" s="97">
        <f>IF(OR(AY224="SÁB",AY224="DOM"),0,IFERROR(8-VLOOKUP(E224,'Dados de consulta'!$A$2:$C$38,3,0),8))</f>
        <v>8</v>
      </c>
      <c r="BC224" s="97">
        <f>IF(OR(AY224="SÁB",AY224="DOM"),0,IFERROR(8-VLOOKUP(F224,'Dados de consulta'!$A$2:$C$38,3,0),8))</f>
        <v>8</v>
      </c>
      <c r="BD224" s="97">
        <f>IF(OR(AY224="SÁB",AY224="DOM"),0,IFERROR(8-VLOOKUP(G224,'Dados de consulta'!$A$2:$C$38,3,0),8))</f>
        <v>0</v>
      </c>
      <c r="BE224" s="97">
        <f>IF(OR(AY224="SÁB",AY224="DOM"),0,IFERROR(8-VLOOKUP(H224,'Dados de consulta'!$A$2:$C$38,3,0),8))</f>
        <v>8</v>
      </c>
      <c r="BF224" s="97">
        <f>IF(OR(AY224="SÁB",AY224="DOM"),0,IFERROR(8-VLOOKUP(I224,'Dados de consulta'!$A$2:$C$38,3,0),8))</f>
        <v>0</v>
      </c>
      <c r="BG224" s="97">
        <f>IF(OR(AY224="SÁB",AY224="DOM"),0,IFERROR(8-VLOOKUP(J224,'Dados de consulta'!$A$2:$C$38,3,0),8))</f>
        <v>8</v>
      </c>
      <c r="BH224" s="97">
        <f>IF(OR(AY224="SÁB",AY224="DOM"),0,IFERROR(8-VLOOKUP(K224,'Dados de consulta'!$A$2:$C$38,3,0),8))</f>
        <v>8</v>
      </c>
      <c r="BI224" s="97">
        <f>IF(OR(AY224="SÁB",AY224="DOM"),0,IFERROR(8-VLOOKUP(L224,'Dados de consulta'!$A$2:$C$38,3,0),8))</f>
        <v>8</v>
      </c>
      <c r="BJ224" s="97">
        <f>IF(OR(AY224="SÁB",AY224="DOM"),0,IFERROR(8-VLOOKUP(M224,'Dados de consulta'!$A$2:$C$38,3,0),8))</f>
        <v>0</v>
      </c>
      <c r="BK224" s="97">
        <f>IF(OR(AY224="SÁB",AY224="DOM"),0,IFERROR(8-VLOOKUP(N224,'Dados de consulta'!$A$2:$C$38,3,0),8))</f>
        <v>8</v>
      </c>
      <c r="BL224" s="97">
        <f>IF(OR(AY224="SÁB",AY224="DOM"),0,IFERROR(8-VLOOKUP(O224,'Dados de consulta'!$A$2:$C$38,3,0),8))</f>
        <v>8</v>
      </c>
      <c r="BM224" s="97">
        <f>IF(OR(AY224="SÁB",AY224="DOM"),0,IFERROR(8-VLOOKUP(P224,'Dados de consulta'!$A$2:$C$38,3,0),8))</f>
        <v>8</v>
      </c>
      <c r="BN224" s="97">
        <f>IF(OR(AY224="SÁB",AY224="DOM"),0,IFERROR(8-VLOOKUP(Q224,'Dados de consulta'!$A$2:$C$38,3,0),8))</f>
        <v>8</v>
      </c>
      <c r="BO224" s="97">
        <f>IF(OR(AY224="SÁB",AY224="DOM"),0,IFERROR(8-VLOOKUP(R224,'Dados de consulta'!$A$2:$C$38,3,0),8))</f>
        <v>8</v>
      </c>
      <c r="BP224" s="97">
        <f>IF(OR(AY224="SÁB",AY224="DOM"),0,IFERROR(8-VLOOKUP(S224,'Dados de consulta'!$A$2:$C$38,3,0),8))</f>
        <v>8</v>
      </c>
      <c r="BQ224" s="113">
        <f>IFERROR(6-VLOOKUP(T224,'Dados de consulta'!$A$2:$C$38,3,0)+2,6)</f>
        <v>6</v>
      </c>
      <c r="BR224" s="114">
        <f t="shared" si="102"/>
        <v>118</v>
      </c>
      <c r="BS224">
        <f t="shared" si="78"/>
        <v>134</v>
      </c>
      <c r="BU224">
        <f>IFERROR(8-VLOOKUP(U224,'Dados de consulta'!$A:$D,3,0),8)</f>
        <v>0</v>
      </c>
      <c r="BV224">
        <f>IFERROR(8-VLOOKUP(V224,'Dados de consulta'!$A:$D,3,0),8)</f>
        <v>8</v>
      </c>
      <c r="BW224">
        <f t="shared" si="103"/>
        <v>8</v>
      </c>
    </row>
    <row r="225" spans="1:75" ht="15" hidden="1" x14ac:dyDescent="0.2">
      <c r="A225" s="98">
        <v>42348</v>
      </c>
      <c r="B225" s="129" t="str">
        <f t="shared" si="79"/>
        <v>qui</v>
      </c>
      <c r="C225" s="132"/>
      <c r="D225" s="132"/>
      <c r="E225" s="132"/>
      <c r="F225" s="132"/>
      <c r="G225" s="132">
        <v>26</v>
      </c>
      <c r="H225" s="132"/>
      <c r="I225" s="132">
        <v>18</v>
      </c>
      <c r="J225" s="132"/>
      <c r="K225" s="132"/>
      <c r="L225" s="132"/>
      <c r="M225" s="132">
        <v>101</v>
      </c>
      <c r="N225" s="132"/>
      <c r="O225" s="132"/>
      <c r="P225" s="132"/>
      <c r="Q225" s="132"/>
      <c r="R225" s="132"/>
      <c r="S225" s="132"/>
      <c r="T225" s="132"/>
      <c r="U225" s="151">
        <v>18</v>
      </c>
      <c r="V225" s="151"/>
      <c r="W225" s="307" t="s">
        <v>193</v>
      </c>
      <c r="X225" s="308"/>
      <c r="Y225" s="38">
        <f t="shared" si="80"/>
        <v>0</v>
      </c>
      <c r="Z225" s="38">
        <f t="shared" si="81"/>
        <v>16</v>
      </c>
      <c r="AA225" s="38">
        <f t="shared" si="82"/>
        <v>0</v>
      </c>
      <c r="AB225" s="38">
        <f t="shared" si="90"/>
        <v>0</v>
      </c>
      <c r="AC225" s="38">
        <f t="shared" si="91"/>
        <v>0</v>
      </c>
      <c r="AD225" s="38">
        <f t="shared" si="92"/>
        <v>0</v>
      </c>
      <c r="AE225" s="38">
        <f t="shared" si="93"/>
        <v>0</v>
      </c>
      <c r="AF225" s="38">
        <f t="shared" si="94"/>
        <v>0</v>
      </c>
      <c r="AG225" s="33">
        <f t="shared" si="95"/>
        <v>0</v>
      </c>
      <c r="AH225" s="33">
        <f t="shared" si="96"/>
        <v>16</v>
      </c>
      <c r="AI225" s="33">
        <f t="shared" si="97"/>
        <v>0</v>
      </c>
      <c r="AJ225" s="33">
        <f t="shared" si="98"/>
        <v>0</v>
      </c>
      <c r="AK225" s="34">
        <f t="shared" si="99"/>
        <v>0</v>
      </c>
      <c r="AL225" s="35">
        <f t="shared" si="100"/>
        <v>0.11267605633802817</v>
      </c>
      <c r="AM225" s="34">
        <f t="shared" si="83"/>
        <v>0</v>
      </c>
      <c r="AN225" s="36">
        <f t="shared" si="101"/>
        <v>0</v>
      </c>
      <c r="AO225" s="6">
        <f t="shared" si="84"/>
        <v>0</v>
      </c>
      <c r="AP225">
        <f t="shared" si="85"/>
        <v>8</v>
      </c>
      <c r="AQ225" s="6">
        <f t="shared" si="86"/>
        <v>0</v>
      </c>
      <c r="AR225" s="6">
        <f t="shared" si="87"/>
        <v>0</v>
      </c>
      <c r="AS225" s="6"/>
      <c r="AX225" s="95">
        <f t="shared" si="88"/>
        <v>42348</v>
      </c>
      <c r="AY225" s="96" t="str">
        <f t="shared" si="89"/>
        <v>qui</v>
      </c>
      <c r="AZ225" s="97">
        <f>IF(OR(AY225="SÁB",AY225="DOM"),0,IFERROR(8-VLOOKUP(C225,'Dados de consulta'!$A$2:$C$38,3,0),8))</f>
        <v>8</v>
      </c>
      <c r="BA225" s="97">
        <f>IF(OR(AY225="SÁB",AY225="DOM"),0,IFERROR(8-VLOOKUP(D225,'Dados de consulta'!$A$2:$C$38,3,0),8))</f>
        <v>8</v>
      </c>
      <c r="BB225" s="97">
        <f>IF(OR(AY225="SÁB",AY225="DOM"),0,IFERROR(8-VLOOKUP(E225,'Dados de consulta'!$A$2:$C$38,3,0),8))</f>
        <v>8</v>
      </c>
      <c r="BC225" s="97">
        <f>IF(OR(AY225="SÁB",AY225="DOM"),0,IFERROR(8-VLOOKUP(F225,'Dados de consulta'!$A$2:$C$38,3,0),8))</f>
        <v>8</v>
      </c>
      <c r="BD225" s="97">
        <f>IF(OR(AY225="SÁB",AY225="DOM"),0,IFERROR(8-VLOOKUP(G225,'Dados de consulta'!$A$2:$C$38,3,0),8))</f>
        <v>0</v>
      </c>
      <c r="BE225" s="97">
        <f>IF(OR(AY225="SÁB",AY225="DOM"),0,IFERROR(8-VLOOKUP(H225,'Dados de consulta'!$A$2:$C$38,3,0),8))</f>
        <v>8</v>
      </c>
      <c r="BF225" s="97">
        <f>IF(OR(AY225="SÁB",AY225="DOM"),0,IFERROR(8-VLOOKUP(I225,'Dados de consulta'!$A$2:$C$38,3,0),8))</f>
        <v>0</v>
      </c>
      <c r="BG225" s="97">
        <f>IF(OR(AY225="SÁB",AY225="DOM"),0,IFERROR(8-VLOOKUP(J225,'Dados de consulta'!$A$2:$C$38,3,0),8))</f>
        <v>8</v>
      </c>
      <c r="BH225" s="97">
        <f>IF(OR(AY225="SÁB",AY225="DOM"),0,IFERROR(8-VLOOKUP(K225,'Dados de consulta'!$A$2:$C$38,3,0),8))</f>
        <v>8</v>
      </c>
      <c r="BI225" s="97">
        <f>IF(OR(AY225="SÁB",AY225="DOM"),0,IFERROR(8-VLOOKUP(L225,'Dados de consulta'!$A$2:$C$38,3,0),8))</f>
        <v>8</v>
      </c>
      <c r="BJ225" s="97">
        <f>IF(OR(AY225="SÁB",AY225="DOM"),0,IFERROR(8-VLOOKUP(M225,'Dados de consulta'!$A$2:$C$38,3,0),8))</f>
        <v>0</v>
      </c>
      <c r="BK225" s="97">
        <f>IF(OR(AY225="SÁB",AY225="DOM"),0,IFERROR(8-VLOOKUP(N225,'Dados de consulta'!$A$2:$C$38,3,0),8))</f>
        <v>8</v>
      </c>
      <c r="BL225" s="97">
        <f>IF(OR(AY225="SÁB",AY225="DOM"),0,IFERROR(8-VLOOKUP(O225,'Dados de consulta'!$A$2:$C$38,3,0),8))</f>
        <v>8</v>
      </c>
      <c r="BM225" s="97">
        <f>IF(OR(AY225="SÁB",AY225="DOM"),0,IFERROR(8-VLOOKUP(P225,'Dados de consulta'!$A$2:$C$38,3,0),8))</f>
        <v>8</v>
      </c>
      <c r="BN225" s="97">
        <f>IF(OR(AY225="SÁB",AY225="DOM"),0,IFERROR(8-VLOOKUP(Q225,'Dados de consulta'!$A$2:$C$38,3,0),8))</f>
        <v>8</v>
      </c>
      <c r="BO225" s="97">
        <f>IF(OR(AY225="SÁB",AY225="DOM"),0,IFERROR(8-VLOOKUP(R225,'Dados de consulta'!$A$2:$C$38,3,0),8))</f>
        <v>8</v>
      </c>
      <c r="BP225" s="97">
        <f>IF(OR(AY225="SÁB",AY225="DOM"),0,IFERROR(8-VLOOKUP(S225,'Dados de consulta'!$A$2:$C$38,3,0),8))</f>
        <v>8</v>
      </c>
      <c r="BQ225" s="113">
        <f>IFERROR(6-VLOOKUP(T225,'Dados de consulta'!$A$2:$C$38,3,0)+2,6)</f>
        <v>6</v>
      </c>
      <c r="BR225" s="114">
        <f t="shared" si="102"/>
        <v>118</v>
      </c>
      <c r="BS225">
        <f t="shared" si="78"/>
        <v>134</v>
      </c>
      <c r="BU225">
        <f>IFERROR(8-VLOOKUP(U225,'Dados de consulta'!$A:$D,3,0),8)</f>
        <v>0</v>
      </c>
      <c r="BV225">
        <f>IFERROR(8-VLOOKUP(V225,'Dados de consulta'!$A:$D,3,0),8)</f>
        <v>8</v>
      </c>
      <c r="BW225">
        <f t="shared" si="103"/>
        <v>8</v>
      </c>
    </row>
    <row r="226" spans="1:75" ht="15" hidden="1" x14ac:dyDescent="0.2">
      <c r="A226" s="98">
        <v>42349</v>
      </c>
      <c r="B226" s="129" t="str">
        <f t="shared" si="79"/>
        <v>sex</v>
      </c>
      <c r="C226" s="132"/>
      <c r="D226" s="132"/>
      <c r="E226" s="132"/>
      <c r="F226" s="132"/>
      <c r="G226" s="132">
        <v>26</v>
      </c>
      <c r="H226" s="132"/>
      <c r="I226" s="132">
        <v>18</v>
      </c>
      <c r="J226" s="132"/>
      <c r="K226" s="132"/>
      <c r="L226" s="132"/>
      <c r="M226" s="132">
        <v>101</v>
      </c>
      <c r="N226" s="132"/>
      <c r="O226" s="132"/>
      <c r="P226" s="132"/>
      <c r="Q226" s="132"/>
      <c r="R226" s="132"/>
      <c r="S226" s="132"/>
      <c r="T226" s="132"/>
      <c r="U226" s="151">
        <v>18</v>
      </c>
      <c r="V226" s="151"/>
      <c r="W226" s="307" t="s">
        <v>193</v>
      </c>
      <c r="X226" s="308"/>
      <c r="Y226" s="38">
        <f t="shared" si="80"/>
        <v>0</v>
      </c>
      <c r="Z226" s="38">
        <f t="shared" si="81"/>
        <v>16</v>
      </c>
      <c r="AA226" s="38">
        <f t="shared" si="82"/>
        <v>0</v>
      </c>
      <c r="AB226" s="38">
        <f t="shared" si="90"/>
        <v>0</v>
      </c>
      <c r="AC226" s="38">
        <f t="shared" si="91"/>
        <v>0</v>
      </c>
      <c r="AD226" s="38">
        <f t="shared" si="92"/>
        <v>0</v>
      </c>
      <c r="AE226" s="38">
        <f t="shared" si="93"/>
        <v>0</v>
      </c>
      <c r="AF226" s="38">
        <f t="shared" si="94"/>
        <v>0</v>
      </c>
      <c r="AG226" s="33">
        <f t="shared" si="95"/>
        <v>0</v>
      </c>
      <c r="AH226" s="33">
        <f t="shared" si="96"/>
        <v>16</v>
      </c>
      <c r="AI226" s="33">
        <f t="shared" si="97"/>
        <v>0</v>
      </c>
      <c r="AJ226" s="33">
        <f t="shared" si="98"/>
        <v>0</v>
      </c>
      <c r="AK226" s="34">
        <f t="shared" si="99"/>
        <v>0</v>
      </c>
      <c r="AL226" s="35">
        <f t="shared" si="100"/>
        <v>0.11267605633802817</v>
      </c>
      <c r="AM226" s="34">
        <f t="shared" si="83"/>
        <v>0</v>
      </c>
      <c r="AN226" s="36">
        <f t="shared" si="101"/>
        <v>0</v>
      </c>
      <c r="AO226" s="6">
        <f t="shared" si="84"/>
        <v>0</v>
      </c>
      <c r="AP226">
        <f t="shared" si="85"/>
        <v>8</v>
      </c>
      <c r="AQ226" s="6">
        <f t="shared" si="86"/>
        <v>0</v>
      </c>
      <c r="AR226" s="6">
        <f t="shared" si="87"/>
        <v>0</v>
      </c>
      <c r="AS226" s="6"/>
      <c r="AX226" s="95">
        <f t="shared" si="88"/>
        <v>42349</v>
      </c>
      <c r="AY226" s="96" t="str">
        <f t="shared" si="89"/>
        <v>sex</v>
      </c>
      <c r="AZ226" s="97">
        <f>IF(OR(AY226="SÁB",AY226="DOM"),0,IFERROR(8-VLOOKUP(C226,'Dados de consulta'!$A$2:$C$38,3,0),8))</f>
        <v>8</v>
      </c>
      <c r="BA226" s="97">
        <f>IF(OR(AY226="SÁB",AY226="DOM"),0,IFERROR(8-VLOOKUP(D226,'Dados de consulta'!$A$2:$C$38,3,0),8))</f>
        <v>8</v>
      </c>
      <c r="BB226" s="97">
        <f>IF(OR(AY226="SÁB",AY226="DOM"),0,IFERROR(8-VLOOKUP(E226,'Dados de consulta'!$A$2:$C$38,3,0),8))</f>
        <v>8</v>
      </c>
      <c r="BC226" s="97">
        <f>IF(OR(AY226="SÁB",AY226="DOM"),0,IFERROR(8-VLOOKUP(F226,'Dados de consulta'!$A$2:$C$38,3,0),8))</f>
        <v>8</v>
      </c>
      <c r="BD226" s="97">
        <f>IF(OR(AY226="SÁB",AY226="DOM"),0,IFERROR(8-VLOOKUP(G226,'Dados de consulta'!$A$2:$C$38,3,0),8))</f>
        <v>0</v>
      </c>
      <c r="BE226" s="97">
        <f>IF(OR(AY226="SÁB",AY226="DOM"),0,IFERROR(8-VLOOKUP(H226,'Dados de consulta'!$A$2:$C$38,3,0),8))</f>
        <v>8</v>
      </c>
      <c r="BF226" s="97">
        <f>IF(OR(AY226="SÁB",AY226="DOM"),0,IFERROR(8-VLOOKUP(I226,'Dados de consulta'!$A$2:$C$38,3,0),8))</f>
        <v>0</v>
      </c>
      <c r="BG226" s="97">
        <f>IF(OR(AY226="SÁB",AY226="DOM"),0,IFERROR(8-VLOOKUP(J226,'Dados de consulta'!$A$2:$C$38,3,0),8))</f>
        <v>8</v>
      </c>
      <c r="BH226" s="97">
        <f>IF(OR(AY226="SÁB",AY226="DOM"),0,IFERROR(8-VLOOKUP(K226,'Dados de consulta'!$A$2:$C$38,3,0),8))</f>
        <v>8</v>
      </c>
      <c r="BI226" s="97">
        <f>IF(OR(AY226="SÁB",AY226="DOM"),0,IFERROR(8-VLOOKUP(L226,'Dados de consulta'!$A$2:$C$38,3,0),8))</f>
        <v>8</v>
      </c>
      <c r="BJ226" s="97">
        <f>IF(OR(AY226="SÁB",AY226="DOM"),0,IFERROR(8-VLOOKUP(M226,'Dados de consulta'!$A$2:$C$38,3,0),8))</f>
        <v>0</v>
      </c>
      <c r="BK226" s="97">
        <f>IF(OR(AY226="SÁB",AY226="DOM"),0,IFERROR(8-VLOOKUP(N226,'Dados de consulta'!$A$2:$C$38,3,0),8))</f>
        <v>8</v>
      </c>
      <c r="BL226" s="97">
        <f>IF(OR(AY226="SÁB",AY226="DOM"),0,IFERROR(8-VLOOKUP(O226,'Dados de consulta'!$A$2:$C$38,3,0),8))</f>
        <v>8</v>
      </c>
      <c r="BM226" s="97">
        <f>IF(OR(AY226="SÁB",AY226="DOM"),0,IFERROR(8-VLOOKUP(P226,'Dados de consulta'!$A$2:$C$38,3,0),8))</f>
        <v>8</v>
      </c>
      <c r="BN226" s="97">
        <f>IF(OR(AY226="SÁB",AY226="DOM"),0,IFERROR(8-VLOOKUP(Q226,'Dados de consulta'!$A$2:$C$38,3,0),8))</f>
        <v>8</v>
      </c>
      <c r="BO226" s="97">
        <f>IF(OR(AY226="SÁB",AY226="DOM"),0,IFERROR(8-VLOOKUP(R226,'Dados de consulta'!$A$2:$C$38,3,0),8))</f>
        <v>8</v>
      </c>
      <c r="BP226" s="97">
        <f>IF(OR(AY226="SÁB",AY226="DOM"),0,IFERROR(8-VLOOKUP(S226,'Dados de consulta'!$A$2:$C$38,3,0),8))</f>
        <v>8</v>
      </c>
      <c r="BQ226" s="113">
        <f>IFERROR(6-VLOOKUP(T226,'Dados de consulta'!$A$2:$C$38,3,0)+2,6)</f>
        <v>6</v>
      </c>
      <c r="BR226" s="114">
        <f t="shared" si="102"/>
        <v>118</v>
      </c>
      <c r="BS226">
        <f t="shared" si="78"/>
        <v>134</v>
      </c>
      <c r="BU226">
        <f>IFERROR(8-VLOOKUP(U226,'Dados de consulta'!$A:$D,3,0),8)</f>
        <v>0</v>
      </c>
      <c r="BV226">
        <f>IFERROR(8-VLOOKUP(V226,'Dados de consulta'!$A:$D,3,0),8)</f>
        <v>8</v>
      </c>
      <c r="BW226">
        <f t="shared" si="103"/>
        <v>8</v>
      </c>
    </row>
    <row r="227" spans="1:75" ht="15" hidden="1" x14ac:dyDescent="0.2">
      <c r="A227" s="98">
        <v>42350</v>
      </c>
      <c r="B227" s="129" t="str">
        <f t="shared" si="79"/>
        <v>sáb</v>
      </c>
      <c r="C227" s="132"/>
      <c r="D227" s="132"/>
      <c r="E227" s="132"/>
      <c r="F227" s="132"/>
      <c r="G227" s="132"/>
      <c r="H227" s="132"/>
      <c r="I227" s="132">
        <v>18</v>
      </c>
      <c r="J227" s="132"/>
      <c r="K227" s="132"/>
      <c r="L227" s="132"/>
      <c r="M227" s="132">
        <v>101</v>
      </c>
      <c r="N227" s="132"/>
      <c r="O227" s="132"/>
      <c r="P227" s="132"/>
      <c r="Q227" s="132"/>
      <c r="R227" s="132"/>
      <c r="S227" s="132"/>
      <c r="T227" s="132"/>
      <c r="U227" s="151">
        <v>18</v>
      </c>
      <c r="V227" s="151"/>
      <c r="W227" s="307" t="s">
        <v>193</v>
      </c>
      <c r="X227" s="308"/>
      <c r="Y227" s="38">
        <f t="shared" si="80"/>
        <v>0</v>
      </c>
      <c r="Z227" s="38">
        <f t="shared" si="81"/>
        <v>8</v>
      </c>
      <c r="AA227" s="38">
        <f t="shared" si="82"/>
        <v>0</v>
      </c>
      <c r="AB227" s="38">
        <f t="shared" si="90"/>
        <v>0</v>
      </c>
      <c r="AC227" s="38">
        <f t="shared" si="91"/>
        <v>0</v>
      </c>
      <c r="AD227" s="38">
        <f t="shared" si="92"/>
        <v>0</v>
      </c>
      <c r="AE227" s="38">
        <f t="shared" si="93"/>
        <v>0</v>
      </c>
      <c r="AF227" s="38">
        <f t="shared" si="94"/>
        <v>0</v>
      </c>
      <c r="AG227" s="33">
        <f t="shared" si="95"/>
        <v>0</v>
      </c>
      <c r="AH227" s="33">
        <f t="shared" si="96"/>
        <v>0</v>
      </c>
      <c r="AI227" s="33">
        <f t="shared" si="97"/>
        <v>0</v>
      </c>
      <c r="AJ227" s="33">
        <f t="shared" si="98"/>
        <v>0</v>
      </c>
      <c r="AK227" s="34">
        <f t="shared" si="99"/>
        <v>0</v>
      </c>
      <c r="AL227" s="35">
        <f t="shared" si="100"/>
        <v>0</v>
      </c>
      <c r="AM227" s="34">
        <f t="shared" si="83"/>
        <v>0</v>
      </c>
      <c r="AN227" s="36">
        <f t="shared" si="101"/>
        <v>0</v>
      </c>
      <c r="AO227" s="6">
        <f t="shared" si="84"/>
        <v>0</v>
      </c>
      <c r="AP227">
        <f t="shared" si="85"/>
        <v>8</v>
      </c>
      <c r="AQ227" s="6">
        <f t="shared" si="86"/>
        <v>0</v>
      </c>
      <c r="AR227" s="6">
        <f t="shared" si="87"/>
        <v>0</v>
      </c>
      <c r="AS227" s="6"/>
      <c r="AX227" s="95">
        <f t="shared" si="88"/>
        <v>42350</v>
      </c>
      <c r="AY227" s="96" t="str">
        <f t="shared" si="89"/>
        <v>sáb</v>
      </c>
      <c r="AZ227" s="97">
        <f>IF(OR(AY227="SÁB",AY227="DOM"),0,IFERROR(8-VLOOKUP(C227,'Dados de consulta'!$A$2:$C$38,3,0),8))</f>
        <v>0</v>
      </c>
      <c r="BA227" s="97">
        <f>IF(OR(AY227="SÁB",AY227="DOM"),0,IFERROR(8-VLOOKUP(D227,'Dados de consulta'!$A$2:$C$38,3,0),8))</f>
        <v>0</v>
      </c>
      <c r="BB227" s="97">
        <f>IF(OR(AY227="SÁB",AY227="DOM"),0,IFERROR(8-VLOOKUP(E227,'Dados de consulta'!$A$2:$C$38,3,0),8))</f>
        <v>0</v>
      </c>
      <c r="BC227" s="97">
        <f>IF(OR(AY227="SÁB",AY227="DOM"),0,IFERROR(8-VLOOKUP(F227,'Dados de consulta'!$A$2:$C$38,3,0),8))</f>
        <v>0</v>
      </c>
      <c r="BD227" s="97">
        <f>IF(OR(AY227="SÁB",AY227="DOM"),0,IFERROR(8-VLOOKUP(G227,'Dados de consulta'!$A$2:$C$38,3,0),8))</f>
        <v>0</v>
      </c>
      <c r="BE227" s="97">
        <f>IF(OR(AY227="SÁB",AY227="DOM"),0,IFERROR(8-VLOOKUP(H227,'Dados de consulta'!$A$2:$C$38,3,0),8))</f>
        <v>0</v>
      </c>
      <c r="BF227" s="97">
        <f>IF(OR(AY227="SÁB",AY227="DOM"),0,IFERROR(8-VLOOKUP(I227,'Dados de consulta'!$A$2:$C$38,3,0),8))</f>
        <v>0</v>
      </c>
      <c r="BG227" s="97">
        <f>IF(OR(AY227="SÁB",AY227="DOM"),0,IFERROR(8-VLOOKUP(J227,'Dados de consulta'!$A$2:$C$38,3,0),8))</f>
        <v>0</v>
      </c>
      <c r="BH227" s="97">
        <f>IF(OR(AY227="SÁB",AY227="DOM"),0,IFERROR(8-VLOOKUP(K227,'Dados de consulta'!$A$2:$C$38,3,0),8))</f>
        <v>0</v>
      </c>
      <c r="BI227" s="97">
        <f>IF(OR(AY227="SÁB",AY227="DOM"),0,IFERROR(8-VLOOKUP(L227,'Dados de consulta'!$A$2:$C$38,3,0),8))</f>
        <v>0</v>
      </c>
      <c r="BJ227" s="97">
        <f>IF(OR(AY227="SÁB",AY227="DOM"),0,IFERROR(8-VLOOKUP(M227,'Dados de consulta'!$A$2:$C$38,3,0),8))</f>
        <v>0</v>
      </c>
      <c r="BK227" s="97">
        <f>IF(OR(AY227="SÁB",AY227="DOM"),0,IFERROR(8-VLOOKUP(N227,'Dados de consulta'!$A$2:$C$38,3,0),8))</f>
        <v>0</v>
      </c>
      <c r="BL227" s="97">
        <f>IF(OR(AY227="SÁB",AY227="DOM"),0,IFERROR(8-VLOOKUP(O227,'Dados de consulta'!$A$2:$C$38,3,0),8))</f>
        <v>0</v>
      </c>
      <c r="BM227" s="97">
        <f>IF(OR(AY227="SÁB",AY227="DOM"),0,IFERROR(8-VLOOKUP(P227,'Dados de consulta'!$A$2:$C$38,3,0),8))</f>
        <v>0</v>
      </c>
      <c r="BN227" s="97">
        <f>IF(OR(AY227="SÁB",AY227="DOM"),0,IFERROR(8-VLOOKUP(Q227,'Dados de consulta'!$A$2:$C$38,3,0),8))</f>
        <v>0</v>
      </c>
      <c r="BO227" s="97">
        <f>IF(OR(AY227="SÁB",AY227="DOM"),0,IFERROR(8-VLOOKUP(R227,'Dados de consulta'!$A$2:$C$38,3,0),8))</f>
        <v>0</v>
      </c>
      <c r="BP227" s="97">
        <f>IF(OR(AY227="SÁB",AY227="DOM"),0,IFERROR(8-VLOOKUP(S227,'Dados de consulta'!$A$2:$C$38,3,0),8))</f>
        <v>0</v>
      </c>
      <c r="BQ227" s="113">
        <f>IFERROR(6-VLOOKUP(T227,'Dados de consulta'!$A$2:$C$38,3,0)+2,6)</f>
        <v>6</v>
      </c>
      <c r="BR227" s="114">
        <f t="shared" si="102"/>
        <v>0</v>
      </c>
      <c r="BS227">
        <f t="shared" si="78"/>
        <v>0</v>
      </c>
      <c r="BU227">
        <f>IFERROR(8-VLOOKUP(U227,'Dados de consulta'!$A:$D,3,0),8)</f>
        <v>0</v>
      </c>
      <c r="BV227">
        <f>IFERROR(8-VLOOKUP(V227,'Dados de consulta'!$A:$D,3,0),8)</f>
        <v>8</v>
      </c>
      <c r="BW227">
        <f t="shared" si="103"/>
        <v>8</v>
      </c>
    </row>
    <row r="228" spans="1:75" ht="15" hidden="1" x14ac:dyDescent="0.2">
      <c r="A228" s="98">
        <v>42351</v>
      </c>
      <c r="B228" s="129" t="str">
        <f t="shared" si="79"/>
        <v>dom</v>
      </c>
      <c r="C228" s="132"/>
      <c r="D228" s="132"/>
      <c r="E228" s="132"/>
      <c r="F228" s="132"/>
      <c r="G228" s="132"/>
      <c r="H228" s="132"/>
      <c r="I228" s="132">
        <v>18</v>
      </c>
      <c r="J228" s="132"/>
      <c r="K228" s="132"/>
      <c r="L228" s="132"/>
      <c r="M228" s="132">
        <v>101</v>
      </c>
      <c r="N228" s="132"/>
      <c r="O228" s="132"/>
      <c r="P228" s="132"/>
      <c r="Q228" s="132"/>
      <c r="R228" s="132"/>
      <c r="S228" s="132"/>
      <c r="T228" s="132"/>
      <c r="U228" s="151">
        <v>18</v>
      </c>
      <c r="V228" s="151"/>
      <c r="W228" s="307" t="s">
        <v>193</v>
      </c>
      <c r="X228" s="308"/>
      <c r="Y228" s="38">
        <f t="shared" si="80"/>
        <v>0</v>
      </c>
      <c r="Z228" s="38">
        <f t="shared" si="81"/>
        <v>8</v>
      </c>
      <c r="AA228" s="38">
        <f t="shared" si="82"/>
        <v>0</v>
      </c>
      <c r="AB228" s="38">
        <f t="shared" si="90"/>
        <v>0</v>
      </c>
      <c r="AC228" s="38">
        <f t="shared" si="91"/>
        <v>0</v>
      </c>
      <c r="AD228" s="38">
        <f t="shared" si="92"/>
        <v>0</v>
      </c>
      <c r="AE228" s="38">
        <f t="shared" si="93"/>
        <v>0</v>
      </c>
      <c r="AF228" s="38">
        <f t="shared" si="94"/>
        <v>0</v>
      </c>
      <c r="AG228" s="33">
        <f t="shared" si="95"/>
        <v>0</v>
      </c>
      <c r="AH228" s="33">
        <f t="shared" si="96"/>
        <v>0</v>
      </c>
      <c r="AI228" s="33">
        <f t="shared" si="97"/>
        <v>0</v>
      </c>
      <c r="AJ228" s="33">
        <f t="shared" si="98"/>
        <v>0</v>
      </c>
      <c r="AK228" s="34">
        <f t="shared" si="99"/>
        <v>0</v>
      </c>
      <c r="AL228" s="35">
        <f t="shared" si="100"/>
        <v>0</v>
      </c>
      <c r="AM228" s="34">
        <f t="shared" si="83"/>
        <v>0</v>
      </c>
      <c r="AN228" s="36">
        <f t="shared" si="101"/>
        <v>0</v>
      </c>
      <c r="AO228" s="6">
        <f t="shared" si="84"/>
        <v>0</v>
      </c>
      <c r="AP228">
        <f t="shared" si="85"/>
        <v>8</v>
      </c>
      <c r="AQ228" s="6">
        <f t="shared" si="86"/>
        <v>0</v>
      </c>
      <c r="AR228" s="6">
        <f t="shared" si="87"/>
        <v>0</v>
      </c>
      <c r="AS228" s="6"/>
      <c r="AX228" s="95">
        <f t="shared" si="88"/>
        <v>42351</v>
      </c>
      <c r="AY228" s="96" t="str">
        <f t="shared" si="89"/>
        <v>dom</v>
      </c>
      <c r="AZ228" s="97">
        <f>IF(OR(AY228="SÁB",AY228="DOM"),0,IFERROR(8-VLOOKUP(C228,'Dados de consulta'!$A$2:$C$38,3,0),8))</f>
        <v>0</v>
      </c>
      <c r="BA228" s="97">
        <f>IF(OR(AY228="SÁB",AY228="DOM"),0,IFERROR(8-VLOOKUP(D228,'Dados de consulta'!$A$2:$C$38,3,0),8))</f>
        <v>0</v>
      </c>
      <c r="BB228" s="97">
        <f>IF(OR(AY228="SÁB",AY228="DOM"),0,IFERROR(8-VLOOKUP(E228,'Dados de consulta'!$A$2:$C$38,3,0),8))</f>
        <v>0</v>
      </c>
      <c r="BC228" s="97">
        <f>IF(OR(AY228="SÁB",AY228="DOM"),0,IFERROR(8-VLOOKUP(F228,'Dados de consulta'!$A$2:$C$38,3,0),8))</f>
        <v>0</v>
      </c>
      <c r="BD228" s="97">
        <f>IF(OR(AY228="SÁB",AY228="DOM"),0,IFERROR(8-VLOOKUP(G228,'Dados de consulta'!$A$2:$C$38,3,0),8))</f>
        <v>0</v>
      </c>
      <c r="BE228" s="97">
        <f>IF(OR(AY228="SÁB",AY228="DOM"),0,IFERROR(8-VLOOKUP(H228,'Dados de consulta'!$A$2:$C$38,3,0),8))</f>
        <v>0</v>
      </c>
      <c r="BF228" s="97">
        <f>IF(OR(AY228="SÁB",AY228="DOM"),0,IFERROR(8-VLOOKUP(I228,'Dados de consulta'!$A$2:$C$38,3,0),8))</f>
        <v>0</v>
      </c>
      <c r="BG228" s="97">
        <f>IF(OR(AY228="SÁB",AY228="DOM"),0,IFERROR(8-VLOOKUP(J228,'Dados de consulta'!$A$2:$C$38,3,0),8))</f>
        <v>0</v>
      </c>
      <c r="BH228" s="97">
        <f>IF(OR(AY228="SÁB",AY228="DOM"),0,IFERROR(8-VLOOKUP(K228,'Dados de consulta'!$A$2:$C$38,3,0),8))</f>
        <v>0</v>
      </c>
      <c r="BI228" s="97">
        <f>IF(OR(AY228="SÁB",AY228="DOM"),0,IFERROR(8-VLOOKUP(L228,'Dados de consulta'!$A$2:$C$38,3,0),8))</f>
        <v>0</v>
      </c>
      <c r="BJ228" s="97">
        <f>IF(OR(AY228="SÁB",AY228="DOM"),0,IFERROR(8-VLOOKUP(M228,'Dados de consulta'!$A$2:$C$38,3,0),8))</f>
        <v>0</v>
      </c>
      <c r="BK228" s="97">
        <f>IF(OR(AY228="SÁB",AY228="DOM"),0,IFERROR(8-VLOOKUP(N228,'Dados de consulta'!$A$2:$C$38,3,0),8))</f>
        <v>0</v>
      </c>
      <c r="BL228" s="97">
        <f>IF(OR(AY228="SÁB",AY228="DOM"),0,IFERROR(8-VLOOKUP(O228,'Dados de consulta'!$A$2:$C$38,3,0),8))</f>
        <v>0</v>
      </c>
      <c r="BM228" s="97">
        <f>IF(OR(AY228="SÁB",AY228="DOM"),0,IFERROR(8-VLOOKUP(P228,'Dados de consulta'!$A$2:$C$38,3,0),8))</f>
        <v>0</v>
      </c>
      <c r="BN228" s="97">
        <f>IF(OR(AY228="SÁB",AY228="DOM"),0,IFERROR(8-VLOOKUP(Q228,'Dados de consulta'!$A$2:$C$38,3,0),8))</f>
        <v>0</v>
      </c>
      <c r="BO228" s="97">
        <f>IF(OR(AY228="SÁB",AY228="DOM"),0,IFERROR(8-VLOOKUP(R228,'Dados de consulta'!$A$2:$C$38,3,0),8))</f>
        <v>0</v>
      </c>
      <c r="BP228" s="97">
        <f>IF(OR(AY228="SÁB",AY228="DOM"),0,IFERROR(8-VLOOKUP(S228,'Dados de consulta'!$A$2:$C$38,3,0),8))</f>
        <v>0</v>
      </c>
      <c r="BQ228" s="113">
        <f>IFERROR(6-VLOOKUP(T228,'Dados de consulta'!$A$2:$C$38,3,0)+2,6)</f>
        <v>6</v>
      </c>
      <c r="BR228" s="114">
        <f t="shared" si="102"/>
        <v>0</v>
      </c>
      <c r="BS228">
        <f t="shared" si="78"/>
        <v>0</v>
      </c>
      <c r="BU228">
        <f>IFERROR(8-VLOOKUP(U228,'Dados de consulta'!$A:$D,3,0),8)</f>
        <v>0</v>
      </c>
      <c r="BV228">
        <f>IFERROR(8-VLOOKUP(V228,'Dados de consulta'!$A:$D,3,0),8)</f>
        <v>8</v>
      </c>
      <c r="BW228">
        <f t="shared" si="103"/>
        <v>8</v>
      </c>
    </row>
    <row r="229" spans="1:75" ht="15" hidden="1" x14ac:dyDescent="0.2">
      <c r="A229" s="98">
        <v>42352</v>
      </c>
      <c r="B229" s="129" t="str">
        <f t="shared" si="79"/>
        <v>seg</v>
      </c>
      <c r="C229" s="132"/>
      <c r="D229" s="132"/>
      <c r="E229" s="132"/>
      <c r="F229" s="132">
        <v>1</v>
      </c>
      <c r="G229" s="132"/>
      <c r="H229" s="132"/>
      <c r="I229" s="132">
        <v>18</v>
      </c>
      <c r="J229" s="132"/>
      <c r="K229" s="132"/>
      <c r="L229" s="132"/>
      <c r="M229" s="132">
        <v>101</v>
      </c>
      <c r="N229" s="132"/>
      <c r="O229" s="132"/>
      <c r="P229" s="132"/>
      <c r="Q229" s="132"/>
      <c r="R229" s="132"/>
      <c r="S229" s="132"/>
      <c r="T229" s="132"/>
      <c r="U229" s="151">
        <v>18</v>
      </c>
      <c r="V229" s="151"/>
      <c r="W229" s="307" t="s">
        <v>193</v>
      </c>
      <c r="X229" s="308"/>
      <c r="Y229" s="38">
        <f t="shared" si="80"/>
        <v>0</v>
      </c>
      <c r="Z229" s="38">
        <f t="shared" si="81"/>
        <v>16</v>
      </c>
      <c r="AA229" s="38">
        <f t="shared" si="82"/>
        <v>0</v>
      </c>
      <c r="AB229" s="38">
        <f t="shared" si="90"/>
        <v>0</v>
      </c>
      <c r="AC229" s="38">
        <f t="shared" si="91"/>
        <v>0</v>
      </c>
      <c r="AD229" s="38">
        <f t="shared" si="92"/>
        <v>0</v>
      </c>
      <c r="AE229" s="38">
        <f t="shared" si="93"/>
        <v>0</v>
      </c>
      <c r="AF229" s="38">
        <f t="shared" si="94"/>
        <v>0</v>
      </c>
      <c r="AG229" s="33">
        <f t="shared" si="95"/>
        <v>0</v>
      </c>
      <c r="AH229" s="33">
        <f t="shared" si="96"/>
        <v>16</v>
      </c>
      <c r="AI229" s="33">
        <f t="shared" si="97"/>
        <v>0</v>
      </c>
      <c r="AJ229" s="33">
        <f t="shared" si="98"/>
        <v>0</v>
      </c>
      <c r="AK229" s="34">
        <f t="shared" si="99"/>
        <v>0</v>
      </c>
      <c r="AL229" s="35">
        <f t="shared" si="100"/>
        <v>0.11267605633802817</v>
      </c>
      <c r="AM229" s="34">
        <f t="shared" si="83"/>
        <v>0</v>
      </c>
      <c r="AN229" s="36">
        <f t="shared" si="101"/>
        <v>0</v>
      </c>
      <c r="AO229" s="6">
        <f t="shared" si="84"/>
        <v>0</v>
      </c>
      <c r="AP229">
        <f t="shared" si="85"/>
        <v>8</v>
      </c>
      <c r="AQ229" s="6">
        <f t="shared" si="86"/>
        <v>0</v>
      </c>
      <c r="AR229" s="6">
        <f t="shared" si="87"/>
        <v>0</v>
      </c>
      <c r="AS229" s="6"/>
      <c r="AX229" s="95">
        <f t="shared" si="88"/>
        <v>42352</v>
      </c>
      <c r="AY229" s="96" t="str">
        <f t="shared" si="89"/>
        <v>seg</v>
      </c>
      <c r="AZ229" s="97">
        <f>IF(OR(AY229="SÁB",AY229="DOM"),0,IFERROR(8-VLOOKUP(C229,'Dados de consulta'!$A$2:$C$38,3,0),8))</f>
        <v>8</v>
      </c>
      <c r="BA229" s="97">
        <f>IF(OR(AY229="SÁB",AY229="DOM"),0,IFERROR(8-VLOOKUP(D229,'Dados de consulta'!$A$2:$C$38,3,0),8))</f>
        <v>8</v>
      </c>
      <c r="BB229" s="97">
        <f>IF(OR(AY229="SÁB",AY229="DOM"),0,IFERROR(8-VLOOKUP(E229,'Dados de consulta'!$A$2:$C$38,3,0),8))</f>
        <v>8</v>
      </c>
      <c r="BC229" s="97">
        <f>IF(OR(AY229="SÁB",AY229="DOM"),0,IFERROR(8-VLOOKUP(F229,'Dados de consulta'!$A$2:$C$38,3,0),8))</f>
        <v>0</v>
      </c>
      <c r="BD229" s="97">
        <f>IF(OR(AY229="SÁB",AY229="DOM"),0,IFERROR(8-VLOOKUP(G229,'Dados de consulta'!$A$2:$C$38,3,0),8))</f>
        <v>8</v>
      </c>
      <c r="BE229" s="97">
        <f>IF(OR(AY229="SÁB",AY229="DOM"),0,IFERROR(8-VLOOKUP(H229,'Dados de consulta'!$A$2:$C$38,3,0),8))</f>
        <v>8</v>
      </c>
      <c r="BF229" s="97">
        <f>IF(OR(AY229="SÁB",AY229="DOM"),0,IFERROR(8-VLOOKUP(I229,'Dados de consulta'!$A$2:$C$38,3,0),8))</f>
        <v>0</v>
      </c>
      <c r="BG229" s="97">
        <f>IF(OR(AY229="SÁB",AY229="DOM"),0,IFERROR(8-VLOOKUP(J229,'Dados de consulta'!$A$2:$C$38,3,0),8))</f>
        <v>8</v>
      </c>
      <c r="BH229" s="97">
        <f>IF(OR(AY229="SÁB",AY229="DOM"),0,IFERROR(8-VLOOKUP(K229,'Dados de consulta'!$A$2:$C$38,3,0),8))</f>
        <v>8</v>
      </c>
      <c r="BI229" s="97">
        <f>IF(OR(AY229="SÁB",AY229="DOM"),0,IFERROR(8-VLOOKUP(L229,'Dados de consulta'!$A$2:$C$38,3,0),8))</f>
        <v>8</v>
      </c>
      <c r="BJ229" s="97">
        <f>IF(OR(AY229="SÁB",AY229="DOM"),0,IFERROR(8-VLOOKUP(M229,'Dados de consulta'!$A$2:$C$38,3,0),8))</f>
        <v>0</v>
      </c>
      <c r="BK229" s="97">
        <f>IF(OR(AY229="SÁB",AY229="DOM"),0,IFERROR(8-VLOOKUP(N229,'Dados de consulta'!$A$2:$C$38,3,0),8))</f>
        <v>8</v>
      </c>
      <c r="BL229" s="97">
        <f>IF(OR(AY229="SÁB",AY229="DOM"),0,IFERROR(8-VLOOKUP(O229,'Dados de consulta'!$A$2:$C$38,3,0),8))</f>
        <v>8</v>
      </c>
      <c r="BM229" s="97">
        <f>IF(OR(AY229="SÁB",AY229="DOM"),0,IFERROR(8-VLOOKUP(P229,'Dados de consulta'!$A$2:$C$38,3,0),8))</f>
        <v>8</v>
      </c>
      <c r="BN229" s="97">
        <f>IF(OR(AY229="SÁB",AY229="DOM"),0,IFERROR(8-VLOOKUP(Q229,'Dados de consulta'!$A$2:$C$38,3,0),8))</f>
        <v>8</v>
      </c>
      <c r="BO229" s="97">
        <f>IF(OR(AY229="SÁB",AY229="DOM"),0,IFERROR(8-VLOOKUP(R229,'Dados de consulta'!$A$2:$C$38,3,0),8))</f>
        <v>8</v>
      </c>
      <c r="BP229" s="97">
        <f>IF(OR(AY229="SÁB",AY229="DOM"),0,IFERROR(8-VLOOKUP(S229,'Dados de consulta'!$A$2:$C$38,3,0),8))</f>
        <v>8</v>
      </c>
      <c r="BQ229" s="113">
        <f>IFERROR(6-VLOOKUP(T229,'Dados de consulta'!$A$2:$C$38,3,0)+2,6)</f>
        <v>6</v>
      </c>
      <c r="BR229" s="114">
        <f t="shared" si="102"/>
        <v>118</v>
      </c>
      <c r="BS229">
        <f t="shared" si="78"/>
        <v>134</v>
      </c>
      <c r="BU229">
        <f>IFERROR(8-VLOOKUP(U229,'Dados de consulta'!$A:$D,3,0),8)</f>
        <v>0</v>
      </c>
      <c r="BV229">
        <f>IFERROR(8-VLOOKUP(V229,'Dados de consulta'!$A:$D,3,0),8)</f>
        <v>8</v>
      </c>
      <c r="BW229">
        <f t="shared" si="103"/>
        <v>8</v>
      </c>
    </row>
    <row r="230" spans="1:75" ht="15" hidden="1" x14ac:dyDescent="0.2">
      <c r="A230" s="98">
        <v>42353</v>
      </c>
      <c r="B230" s="129" t="str">
        <f t="shared" si="79"/>
        <v>ter</v>
      </c>
      <c r="C230" s="132"/>
      <c r="D230" s="132"/>
      <c r="E230" s="132"/>
      <c r="F230" s="132"/>
      <c r="G230" s="132"/>
      <c r="H230" s="132"/>
      <c r="I230" s="132">
        <v>18</v>
      </c>
      <c r="J230" s="132"/>
      <c r="K230" s="132"/>
      <c r="L230" s="132"/>
      <c r="M230" s="132">
        <v>101</v>
      </c>
      <c r="N230" s="132"/>
      <c r="O230" s="132"/>
      <c r="P230" s="132"/>
      <c r="Q230" s="132"/>
      <c r="R230" s="132" t="s">
        <v>196</v>
      </c>
      <c r="S230" s="132"/>
      <c r="T230" s="132"/>
      <c r="U230" s="151">
        <v>18</v>
      </c>
      <c r="V230" s="151"/>
      <c r="W230" s="307" t="s">
        <v>193</v>
      </c>
      <c r="X230" s="308"/>
      <c r="Y230" s="38">
        <f t="shared" si="80"/>
        <v>0</v>
      </c>
      <c r="Z230" s="38">
        <f t="shared" si="81"/>
        <v>8</v>
      </c>
      <c r="AA230" s="38">
        <f t="shared" si="82"/>
        <v>4</v>
      </c>
      <c r="AB230" s="38">
        <f t="shared" si="90"/>
        <v>0</v>
      </c>
      <c r="AC230" s="38">
        <f t="shared" si="91"/>
        <v>0</v>
      </c>
      <c r="AD230" s="38">
        <f t="shared" si="92"/>
        <v>0</v>
      </c>
      <c r="AE230" s="38">
        <f t="shared" si="93"/>
        <v>0</v>
      </c>
      <c r="AF230" s="38">
        <f t="shared" si="94"/>
        <v>0</v>
      </c>
      <c r="AG230" s="33">
        <f t="shared" si="95"/>
        <v>0</v>
      </c>
      <c r="AH230" s="33">
        <f t="shared" si="96"/>
        <v>8</v>
      </c>
      <c r="AI230" s="33">
        <f t="shared" si="97"/>
        <v>4</v>
      </c>
      <c r="AJ230" s="33">
        <f t="shared" si="98"/>
        <v>0</v>
      </c>
      <c r="AK230" s="34">
        <f t="shared" si="99"/>
        <v>0</v>
      </c>
      <c r="AL230" s="35">
        <f t="shared" si="100"/>
        <v>5.6338028169014086E-2</v>
      </c>
      <c r="AM230" s="34">
        <f t="shared" si="83"/>
        <v>2.8169014084507043E-2</v>
      </c>
      <c r="AN230" s="36">
        <f t="shared" si="101"/>
        <v>0</v>
      </c>
      <c r="AO230" s="6">
        <f t="shared" si="84"/>
        <v>0</v>
      </c>
      <c r="AP230">
        <f t="shared" si="85"/>
        <v>8</v>
      </c>
      <c r="AQ230" s="6">
        <f t="shared" si="86"/>
        <v>0</v>
      </c>
      <c r="AR230" s="6">
        <f t="shared" si="87"/>
        <v>0</v>
      </c>
      <c r="AS230" s="6"/>
      <c r="AX230" s="95">
        <f t="shared" si="88"/>
        <v>42353</v>
      </c>
      <c r="AY230" s="96" t="str">
        <f t="shared" si="89"/>
        <v>ter</v>
      </c>
      <c r="AZ230" s="97">
        <f>IF(OR(AY230="SÁB",AY230="DOM"),0,IFERROR(8-VLOOKUP(C230,'Dados de consulta'!$A$2:$C$38,3,0),8))</f>
        <v>8</v>
      </c>
      <c r="BA230" s="97">
        <f>IF(OR(AY230="SÁB",AY230="DOM"),0,IFERROR(8-VLOOKUP(D230,'Dados de consulta'!$A$2:$C$38,3,0),8))</f>
        <v>8</v>
      </c>
      <c r="BB230" s="97">
        <f>IF(OR(AY230="SÁB",AY230="DOM"),0,IFERROR(8-VLOOKUP(E230,'Dados de consulta'!$A$2:$C$38,3,0),8))</f>
        <v>8</v>
      </c>
      <c r="BC230" s="97">
        <f>IF(OR(AY230="SÁB",AY230="DOM"),0,IFERROR(8-VLOOKUP(F230,'Dados de consulta'!$A$2:$C$38,3,0),8))</f>
        <v>8</v>
      </c>
      <c r="BD230" s="97">
        <f>IF(OR(AY230="SÁB",AY230="DOM"),0,IFERROR(8-VLOOKUP(G230,'Dados de consulta'!$A$2:$C$38,3,0),8))</f>
        <v>8</v>
      </c>
      <c r="BE230" s="97">
        <f>IF(OR(AY230="SÁB",AY230="DOM"),0,IFERROR(8-VLOOKUP(H230,'Dados de consulta'!$A$2:$C$38,3,0),8))</f>
        <v>8</v>
      </c>
      <c r="BF230" s="97">
        <f>IF(OR(AY230="SÁB",AY230="DOM"),0,IFERROR(8-VLOOKUP(I230,'Dados de consulta'!$A$2:$C$38,3,0),8))</f>
        <v>0</v>
      </c>
      <c r="BG230" s="97">
        <f>IF(OR(AY230="SÁB",AY230="DOM"),0,IFERROR(8-VLOOKUP(J230,'Dados de consulta'!$A$2:$C$38,3,0),8))</f>
        <v>8</v>
      </c>
      <c r="BH230" s="97">
        <f>IF(OR(AY230="SÁB",AY230="DOM"),0,IFERROR(8-VLOOKUP(K230,'Dados de consulta'!$A$2:$C$38,3,0),8))</f>
        <v>8</v>
      </c>
      <c r="BI230" s="97">
        <f>IF(OR(AY230="SÁB",AY230="DOM"),0,IFERROR(8-VLOOKUP(L230,'Dados de consulta'!$A$2:$C$38,3,0),8))</f>
        <v>8</v>
      </c>
      <c r="BJ230" s="97">
        <f>IF(OR(AY230="SÁB",AY230="DOM"),0,IFERROR(8-VLOOKUP(M230,'Dados de consulta'!$A$2:$C$38,3,0),8))</f>
        <v>0</v>
      </c>
      <c r="BK230" s="97">
        <f>IF(OR(AY230="SÁB",AY230="DOM"),0,IFERROR(8-VLOOKUP(N230,'Dados de consulta'!$A$2:$C$38,3,0),8))</f>
        <v>8</v>
      </c>
      <c r="BL230" s="97">
        <f>IF(OR(AY230="SÁB",AY230="DOM"),0,IFERROR(8-VLOOKUP(O230,'Dados de consulta'!$A$2:$C$38,3,0),8))</f>
        <v>8</v>
      </c>
      <c r="BM230" s="97">
        <f>IF(OR(AY230="SÁB",AY230="DOM"),0,IFERROR(8-VLOOKUP(P230,'Dados de consulta'!$A$2:$C$38,3,0),8))</f>
        <v>8</v>
      </c>
      <c r="BN230" s="97">
        <f>IF(OR(AY230="SÁB",AY230="DOM"),0,IFERROR(8-VLOOKUP(Q230,'Dados de consulta'!$A$2:$C$38,3,0),8))</f>
        <v>8</v>
      </c>
      <c r="BO230" s="97">
        <f>IF(OR(AY230="SÁB",AY230="DOM"),0,IFERROR(8-VLOOKUP(R230,'Dados de consulta'!$A$2:$C$38,3,0),8))</f>
        <v>4</v>
      </c>
      <c r="BP230" s="97">
        <f>IF(OR(AY230="SÁB",AY230="DOM"),0,IFERROR(8-VLOOKUP(S230,'Dados de consulta'!$A$2:$C$38,3,0),8))</f>
        <v>8</v>
      </c>
      <c r="BQ230" s="113">
        <f>IFERROR(6-VLOOKUP(T230,'Dados de consulta'!$A$2:$C$38,3,0)+2,6)</f>
        <v>6</v>
      </c>
      <c r="BR230" s="114">
        <f t="shared" si="102"/>
        <v>122</v>
      </c>
      <c r="BS230">
        <f t="shared" si="78"/>
        <v>134</v>
      </c>
      <c r="BU230">
        <f>IFERROR(8-VLOOKUP(U230,'Dados de consulta'!$A:$D,3,0),8)</f>
        <v>0</v>
      </c>
      <c r="BV230">
        <f>IFERROR(8-VLOOKUP(V230,'Dados de consulta'!$A:$D,3,0),8)</f>
        <v>8</v>
      </c>
      <c r="BW230">
        <f t="shared" si="103"/>
        <v>8</v>
      </c>
    </row>
    <row r="231" spans="1:75" ht="15" hidden="1" x14ac:dyDescent="0.2">
      <c r="A231" s="98">
        <v>42354</v>
      </c>
      <c r="B231" s="129" t="str">
        <f t="shared" si="79"/>
        <v>qua</v>
      </c>
      <c r="C231" s="132"/>
      <c r="D231" s="132"/>
      <c r="E231" s="132" t="s">
        <v>194</v>
      </c>
      <c r="F231" s="132"/>
      <c r="G231" s="132"/>
      <c r="H231" s="132"/>
      <c r="I231" s="132">
        <v>18</v>
      </c>
      <c r="J231" s="132"/>
      <c r="K231" s="132"/>
      <c r="L231" s="132"/>
      <c r="M231" s="132">
        <v>101</v>
      </c>
      <c r="N231" s="132"/>
      <c r="O231" s="132"/>
      <c r="P231" s="132"/>
      <c r="Q231" s="132">
        <v>8</v>
      </c>
      <c r="R231" s="132" t="s">
        <v>196</v>
      </c>
      <c r="S231" s="132"/>
      <c r="T231" s="132"/>
      <c r="U231" s="151">
        <v>18</v>
      </c>
      <c r="V231" s="151"/>
      <c r="W231" s="307" t="s">
        <v>193</v>
      </c>
      <c r="X231" s="308"/>
      <c r="Y231" s="38">
        <f t="shared" si="80"/>
        <v>12</v>
      </c>
      <c r="Z231" s="38">
        <f t="shared" si="81"/>
        <v>8</v>
      </c>
      <c r="AA231" s="38">
        <f t="shared" si="82"/>
        <v>4</v>
      </c>
      <c r="AB231" s="38">
        <f t="shared" si="90"/>
        <v>0</v>
      </c>
      <c r="AC231" s="38">
        <f t="shared" si="91"/>
        <v>0</v>
      </c>
      <c r="AD231" s="38">
        <f t="shared" si="92"/>
        <v>0</v>
      </c>
      <c r="AE231" s="38">
        <f t="shared" si="93"/>
        <v>0</v>
      </c>
      <c r="AF231" s="38">
        <f t="shared" si="94"/>
        <v>0</v>
      </c>
      <c r="AG231" s="33">
        <f t="shared" si="95"/>
        <v>12</v>
      </c>
      <c r="AH231" s="33">
        <f t="shared" si="96"/>
        <v>8</v>
      </c>
      <c r="AI231" s="33">
        <f t="shared" si="97"/>
        <v>4</v>
      </c>
      <c r="AJ231" s="33">
        <f t="shared" si="98"/>
        <v>0</v>
      </c>
      <c r="AK231" s="34">
        <f t="shared" si="99"/>
        <v>8.4507042253521125E-2</v>
      </c>
      <c r="AL231" s="35">
        <f t="shared" si="100"/>
        <v>5.6338028169014086E-2</v>
      </c>
      <c r="AM231" s="34">
        <f t="shared" si="83"/>
        <v>2.8169014084507043E-2</v>
      </c>
      <c r="AN231" s="36">
        <f t="shared" si="101"/>
        <v>0</v>
      </c>
      <c r="AO231" s="6">
        <f t="shared" si="84"/>
        <v>0</v>
      </c>
      <c r="AP231">
        <f t="shared" si="85"/>
        <v>8</v>
      </c>
      <c r="AQ231" s="6">
        <f t="shared" si="86"/>
        <v>0</v>
      </c>
      <c r="AR231" s="6">
        <f t="shared" si="87"/>
        <v>0</v>
      </c>
      <c r="AS231" s="6"/>
      <c r="AX231" s="95">
        <f t="shared" si="88"/>
        <v>42354</v>
      </c>
      <c r="AY231" s="96" t="str">
        <f t="shared" si="89"/>
        <v>qua</v>
      </c>
      <c r="AZ231" s="97">
        <f>IF(OR(AY231="SÁB",AY231="DOM"),0,IFERROR(8-VLOOKUP(C231,'Dados de consulta'!$A$2:$C$38,3,0),8))</f>
        <v>8</v>
      </c>
      <c r="BA231" s="97">
        <f>IF(OR(AY231="SÁB",AY231="DOM"),0,IFERROR(8-VLOOKUP(D231,'Dados de consulta'!$A$2:$C$38,3,0),8))</f>
        <v>8</v>
      </c>
      <c r="BB231" s="97">
        <f>IF(OR(AY231="SÁB",AY231="DOM"),0,IFERROR(8-VLOOKUP(E231,'Dados de consulta'!$A$2:$C$38,3,0),8))</f>
        <v>4</v>
      </c>
      <c r="BC231" s="97">
        <f>IF(OR(AY231="SÁB",AY231="DOM"),0,IFERROR(8-VLOOKUP(F231,'Dados de consulta'!$A$2:$C$38,3,0),8))</f>
        <v>8</v>
      </c>
      <c r="BD231" s="97">
        <f>IF(OR(AY231="SÁB",AY231="DOM"),0,IFERROR(8-VLOOKUP(G231,'Dados de consulta'!$A$2:$C$38,3,0),8))</f>
        <v>8</v>
      </c>
      <c r="BE231" s="97">
        <f>IF(OR(AY231="SÁB",AY231="DOM"),0,IFERROR(8-VLOOKUP(H231,'Dados de consulta'!$A$2:$C$38,3,0),8))</f>
        <v>8</v>
      </c>
      <c r="BF231" s="97">
        <f>IF(OR(AY231="SÁB",AY231="DOM"),0,IFERROR(8-VLOOKUP(I231,'Dados de consulta'!$A$2:$C$38,3,0),8))</f>
        <v>0</v>
      </c>
      <c r="BG231" s="97">
        <f>IF(OR(AY231="SÁB",AY231="DOM"),0,IFERROR(8-VLOOKUP(J231,'Dados de consulta'!$A$2:$C$38,3,0),8))</f>
        <v>8</v>
      </c>
      <c r="BH231" s="97">
        <f>IF(OR(AY231="SÁB",AY231="DOM"),0,IFERROR(8-VLOOKUP(K231,'Dados de consulta'!$A$2:$C$38,3,0),8))</f>
        <v>8</v>
      </c>
      <c r="BI231" s="97">
        <f>IF(OR(AY231="SÁB",AY231="DOM"),0,IFERROR(8-VLOOKUP(L231,'Dados de consulta'!$A$2:$C$38,3,0),8))</f>
        <v>8</v>
      </c>
      <c r="BJ231" s="97">
        <f>IF(OR(AY231="SÁB",AY231="DOM"),0,IFERROR(8-VLOOKUP(M231,'Dados de consulta'!$A$2:$C$38,3,0),8))</f>
        <v>0</v>
      </c>
      <c r="BK231" s="97">
        <f>IF(OR(AY231="SÁB",AY231="DOM"),0,IFERROR(8-VLOOKUP(N231,'Dados de consulta'!$A$2:$C$38,3,0),8))</f>
        <v>8</v>
      </c>
      <c r="BL231" s="97">
        <f>IF(OR(AY231="SÁB",AY231="DOM"),0,IFERROR(8-VLOOKUP(O231,'Dados de consulta'!$A$2:$C$38,3,0),8))</f>
        <v>8</v>
      </c>
      <c r="BM231" s="97">
        <f>IF(OR(AY231="SÁB",AY231="DOM"),0,IFERROR(8-VLOOKUP(P231,'Dados de consulta'!$A$2:$C$38,3,0),8))</f>
        <v>8</v>
      </c>
      <c r="BN231" s="97">
        <f>IF(OR(AY231="SÁB",AY231="DOM"),0,IFERROR(8-VLOOKUP(Q231,'Dados de consulta'!$A$2:$C$38,3,0),8))</f>
        <v>0</v>
      </c>
      <c r="BO231" s="97">
        <f>IF(OR(AY231="SÁB",AY231="DOM"),0,IFERROR(8-VLOOKUP(R231,'Dados de consulta'!$A$2:$C$38,3,0),8))</f>
        <v>4</v>
      </c>
      <c r="BP231" s="97">
        <f>IF(OR(AY231="SÁB",AY231="DOM"),0,IFERROR(8-VLOOKUP(S231,'Dados de consulta'!$A$2:$C$38,3,0),8))</f>
        <v>8</v>
      </c>
      <c r="BQ231" s="113">
        <f>IFERROR(6-VLOOKUP(T231,'Dados de consulta'!$A$2:$C$38,3,0)+2,6)</f>
        <v>6</v>
      </c>
      <c r="BR231" s="114">
        <f t="shared" si="102"/>
        <v>110</v>
      </c>
      <c r="BS231">
        <f t="shared" si="78"/>
        <v>134</v>
      </c>
      <c r="BU231">
        <f>IFERROR(8-VLOOKUP(U231,'Dados de consulta'!$A:$D,3,0),8)</f>
        <v>0</v>
      </c>
      <c r="BV231">
        <f>IFERROR(8-VLOOKUP(V231,'Dados de consulta'!$A:$D,3,0),8)</f>
        <v>8</v>
      </c>
      <c r="BW231">
        <f t="shared" si="103"/>
        <v>8</v>
      </c>
    </row>
    <row r="232" spans="1:75" ht="15" hidden="1" x14ac:dyDescent="0.2">
      <c r="A232" s="98">
        <v>42355</v>
      </c>
      <c r="B232" s="129" t="str">
        <f t="shared" si="79"/>
        <v>qui</v>
      </c>
      <c r="C232" s="132"/>
      <c r="D232" s="132"/>
      <c r="E232" s="132"/>
      <c r="F232" s="132"/>
      <c r="G232" s="132"/>
      <c r="H232" s="132"/>
      <c r="I232" s="132">
        <v>18</v>
      </c>
      <c r="J232" s="132"/>
      <c r="K232" s="132"/>
      <c r="L232" s="132"/>
      <c r="M232" s="132">
        <v>101</v>
      </c>
      <c r="N232" s="132"/>
      <c r="O232" s="132"/>
      <c r="P232" s="132"/>
      <c r="Q232" s="132"/>
      <c r="R232" s="132"/>
      <c r="S232" s="132"/>
      <c r="T232" s="132"/>
      <c r="U232" s="151">
        <v>18</v>
      </c>
      <c r="V232" s="151"/>
      <c r="W232" s="307" t="s">
        <v>193</v>
      </c>
      <c r="X232" s="308"/>
      <c r="Y232" s="38">
        <f t="shared" si="80"/>
        <v>0</v>
      </c>
      <c r="Z232" s="38">
        <f t="shared" si="81"/>
        <v>8</v>
      </c>
      <c r="AA232" s="38">
        <f t="shared" si="82"/>
        <v>0</v>
      </c>
      <c r="AB232" s="38">
        <f t="shared" si="90"/>
        <v>0</v>
      </c>
      <c r="AC232" s="38">
        <f t="shared" si="91"/>
        <v>0</v>
      </c>
      <c r="AD232" s="38">
        <f t="shared" si="92"/>
        <v>0</v>
      </c>
      <c r="AE232" s="38">
        <f t="shared" si="93"/>
        <v>0</v>
      </c>
      <c r="AF232" s="38">
        <f t="shared" si="94"/>
        <v>0</v>
      </c>
      <c r="AG232" s="33">
        <f t="shared" si="95"/>
        <v>0</v>
      </c>
      <c r="AH232" s="33">
        <f t="shared" si="96"/>
        <v>8</v>
      </c>
      <c r="AI232" s="33">
        <f t="shared" si="97"/>
        <v>0</v>
      </c>
      <c r="AJ232" s="33">
        <f t="shared" si="98"/>
        <v>0</v>
      </c>
      <c r="AK232" s="34">
        <f t="shared" si="99"/>
        <v>0</v>
      </c>
      <c r="AL232" s="35">
        <f t="shared" si="100"/>
        <v>5.6338028169014086E-2</v>
      </c>
      <c r="AM232" s="34">
        <f t="shared" si="83"/>
        <v>0</v>
      </c>
      <c r="AN232" s="36">
        <f t="shared" si="101"/>
        <v>0</v>
      </c>
      <c r="AO232" s="6">
        <f t="shared" si="84"/>
        <v>0</v>
      </c>
      <c r="AP232">
        <f t="shared" si="85"/>
        <v>8</v>
      </c>
      <c r="AQ232" s="6">
        <f t="shared" si="86"/>
        <v>0</v>
      </c>
      <c r="AR232" s="6">
        <f t="shared" si="87"/>
        <v>0</v>
      </c>
      <c r="AS232" s="6"/>
      <c r="AX232" s="95">
        <f t="shared" si="88"/>
        <v>42355</v>
      </c>
      <c r="AY232" s="96" t="str">
        <f t="shared" si="89"/>
        <v>qui</v>
      </c>
      <c r="AZ232" s="97">
        <f>IF(OR(AY232="SÁB",AY232="DOM"),0,IFERROR(8-VLOOKUP(C232,'Dados de consulta'!$A$2:$C$38,3,0),8))</f>
        <v>8</v>
      </c>
      <c r="BA232" s="97">
        <f>IF(OR(AY232="SÁB",AY232="DOM"),0,IFERROR(8-VLOOKUP(D232,'Dados de consulta'!$A$2:$C$38,3,0),8))</f>
        <v>8</v>
      </c>
      <c r="BB232" s="97">
        <f>IF(OR(AY232="SÁB",AY232="DOM"),0,IFERROR(8-VLOOKUP(E232,'Dados de consulta'!$A$2:$C$38,3,0),8))</f>
        <v>8</v>
      </c>
      <c r="BC232" s="97">
        <f>IF(OR(AY232="SÁB",AY232="DOM"),0,IFERROR(8-VLOOKUP(F232,'Dados de consulta'!$A$2:$C$38,3,0),8))</f>
        <v>8</v>
      </c>
      <c r="BD232" s="97">
        <f>IF(OR(AY232="SÁB",AY232="DOM"),0,IFERROR(8-VLOOKUP(G232,'Dados de consulta'!$A$2:$C$38,3,0),8))</f>
        <v>8</v>
      </c>
      <c r="BE232" s="97">
        <f>IF(OR(AY232="SÁB",AY232="DOM"),0,IFERROR(8-VLOOKUP(H232,'Dados de consulta'!$A$2:$C$38,3,0),8))</f>
        <v>8</v>
      </c>
      <c r="BF232" s="97">
        <f>IF(OR(AY232="SÁB",AY232="DOM"),0,IFERROR(8-VLOOKUP(I232,'Dados de consulta'!$A$2:$C$38,3,0),8))</f>
        <v>0</v>
      </c>
      <c r="BG232" s="97">
        <f>IF(OR(AY232="SÁB",AY232="DOM"),0,IFERROR(8-VLOOKUP(J232,'Dados de consulta'!$A$2:$C$38,3,0),8))</f>
        <v>8</v>
      </c>
      <c r="BH232" s="97">
        <f>IF(OR(AY232="SÁB",AY232="DOM"),0,IFERROR(8-VLOOKUP(K232,'Dados de consulta'!$A$2:$C$38,3,0),8))</f>
        <v>8</v>
      </c>
      <c r="BI232" s="97">
        <f>IF(OR(AY232="SÁB",AY232="DOM"),0,IFERROR(8-VLOOKUP(L232,'Dados de consulta'!$A$2:$C$38,3,0),8))</f>
        <v>8</v>
      </c>
      <c r="BJ232" s="97">
        <f>IF(OR(AY232="SÁB",AY232="DOM"),0,IFERROR(8-VLOOKUP(M232,'Dados de consulta'!$A$2:$C$38,3,0),8))</f>
        <v>0</v>
      </c>
      <c r="BK232" s="97">
        <f>IF(OR(AY232="SÁB",AY232="DOM"),0,IFERROR(8-VLOOKUP(N232,'Dados de consulta'!$A$2:$C$38,3,0),8))</f>
        <v>8</v>
      </c>
      <c r="BL232" s="97">
        <f>IF(OR(AY232="SÁB",AY232="DOM"),0,IFERROR(8-VLOOKUP(O232,'Dados de consulta'!$A$2:$C$38,3,0),8))</f>
        <v>8</v>
      </c>
      <c r="BM232" s="97">
        <f>IF(OR(AY232="SÁB",AY232="DOM"),0,IFERROR(8-VLOOKUP(P232,'Dados de consulta'!$A$2:$C$38,3,0),8))</f>
        <v>8</v>
      </c>
      <c r="BN232" s="97">
        <f>IF(OR(AY232="SÁB",AY232="DOM"),0,IFERROR(8-VLOOKUP(Q232,'Dados de consulta'!$A$2:$C$38,3,0),8))</f>
        <v>8</v>
      </c>
      <c r="BO232" s="97">
        <f>IF(OR(AY232="SÁB",AY232="DOM"),0,IFERROR(8-VLOOKUP(R232,'Dados de consulta'!$A$2:$C$38,3,0),8))</f>
        <v>8</v>
      </c>
      <c r="BP232" s="97">
        <f>IF(OR(AY232="SÁB",AY232="DOM"),0,IFERROR(8-VLOOKUP(S232,'Dados de consulta'!$A$2:$C$38,3,0),8))</f>
        <v>8</v>
      </c>
      <c r="BQ232" s="113">
        <f>IFERROR(6-VLOOKUP(T232,'Dados de consulta'!$A$2:$C$38,3,0)+2,6)</f>
        <v>6</v>
      </c>
      <c r="BR232" s="114">
        <f t="shared" si="102"/>
        <v>126</v>
      </c>
      <c r="BS232">
        <f t="shared" si="78"/>
        <v>134</v>
      </c>
      <c r="BU232">
        <f>IFERROR(8-VLOOKUP(U232,'Dados de consulta'!$A:$D,3,0),8)</f>
        <v>0</v>
      </c>
      <c r="BV232">
        <f>IFERROR(8-VLOOKUP(V232,'Dados de consulta'!$A:$D,3,0),8)</f>
        <v>8</v>
      </c>
      <c r="BW232">
        <f t="shared" si="103"/>
        <v>8</v>
      </c>
    </row>
    <row r="233" spans="1:75" ht="15" hidden="1" x14ac:dyDescent="0.2">
      <c r="A233" s="98">
        <v>42356</v>
      </c>
      <c r="B233" s="129" t="str">
        <f t="shared" si="79"/>
        <v>sex</v>
      </c>
      <c r="C233" s="132"/>
      <c r="D233" s="132"/>
      <c r="E233" s="132"/>
      <c r="F233" s="132"/>
      <c r="G233" s="132">
        <v>2</v>
      </c>
      <c r="H233" s="132"/>
      <c r="I233" s="132">
        <v>18</v>
      </c>
      <c r="J233" s="132"/>
      <c r="K233" s="132"/>
      <c r="L233" s="132"/>
      <c r="M233" s="132">
        <v>101</v>
      </c>
      <c r="N233" s="132">
        <v>2</v>
      </c>
      <c r="O233" s="132"/>
      <c r="P233" s="132"/>
      <c r="Q233" s="132">
        <v>2</v>
      </c>
      <c r="R233" s="132">
        <v>1</v>
      </c>
      <c r="S233" s="132">
        <v>1</v>
      </c>
      <c r="T233" s="132"/>
      <c r="U233" s="151">
        <v>18</v>
      </c>
      <c r="V233" s="151"/>
      <c r="W233" s="307" t="s">
        <v>193</v>
      </c>
      <c r="X233" s="308"/>
      <c r="Y233" s="38">
        <f t="shared" si="80"/>
        <v>0</v>
      </c>
      <c r="Z233" s="38">
        <f t="shared" si="81"/>
        <v>48</v>
      </c>
      <c r="AA233" s="38">
        <f t="shared" si="82"/>
        <v>0</v>
      </c>
      <c r="AB233" s="38">
        <f t="shared" si="90"/>
        <v>0</v>
      </c>
      <c r="AC233" s="38">
        <f t="shared" si="91"/>
        <v>0</v>
      </c>
      <c r="AD233" s="38">
        <f t="shared" si="92"/>
        <v>0</v>
      </c>
      <c r="AE233" s="38">
        <f t="shared" si="93"/>
        <v>0</v>
      </c>
      <c r="AF233" s="38">
        <f t="shared" si="94"/>
        <v>0</v>
      </c>
      <c r="AG233" s="33">
        <f t="shared" si="95"/>
        <v>0</v>
      </c>
      <c r="AH233" s="33">
        <f t="shared" si="96"/>
        <v>48</v>
      </c>
      <c r="AI233" s="33">
        <f t="shared" si="97"/>
        <v>0</v>
      </c>
      <c r="AJ233" s="33">
        <f t="shared" si="98"/>
        <v>0</v>
      </c>
      <c r="AK233" s="34">
        <f t="shared" si="99"/>
        <v>0</v>
      </c>
      <c r="AL233" s="35">
        <f t="shared" si="100"/>
        <v>0.3380281690140845</v>
      </c>
      <c r="AM233" s="34">
        <f t="shared" si="83"/>
        <v>0</v>
      </c>
      <c r="AN233" s="36">
        <f t="shared" si="101"/>
        <v>0</v>
      </c>
      <c r="AO233" s="6">
        <f t="shared" si="84"/>
        <v>0</v>
      </c>
      <c r="AP233">
        <f t="shared" si="85"/>
        <v>8</v>
      </c>
      <c r="AQ233" s="6">
        <f t="shared" si="86"/>
        <v>0</v>
      </c>
      <c r="AR233" s="6">
        <f t="shared" si="87"/>
        <v>0</v>
      </c>
      <c r="AS233" s="6"/>
      <c r="AX233" s="95">
        <f t="shared" si="88"/>
        <v>42356</v>
      </c>
      <c r="AY233" s="96" t="str">
        <f t="shared" si="89"/>
        <v>sex</v>
      </c>
      <c r="AZ233" s="97">
        <f>IF(OR(AY233="SÁB",AY233="DOM"),0,IFERROR(8-VLOOKUP(C233,'Dados de consulta'!$A$2:$C$38,3,0),8))</f>
        <v>8</v>
      </c>
      <c r="BA233" s="97">
        <f>IF(OR(AY233="SÁB",AY233="DOM"),0,IFERROR(8-VLOOKUP(D233,'Dados de consulta'!$A$2:$C$38,3,0),8))</f>
        <v>8</v>
      </c>
      <c r="BB233" s="97">
        <f>IF(OR(AY233="SÁB",AY233="DOM"),0,IFERROR(8-VLOOKUP(E233,'Dados de consulta'!$A$2:$C$38,3,0),8))</f>
        <v>8</v>
      </c>
      <c r="BC233" s="97">
        <f>IF(OR(AY233="SÁB",AY233="DOM"),0,IFERROR(8-VLOOKUP(F233,'Dados de consulta'!$A$2:$C$38,3,0),8))</f>
        <v>8</v>
      </c>
      <c r="BD233" s="97">
        <f>IF(OR(AY233="SÁB",AY233="DOM"),0,IFERROR(8-VLOOKUP(G233,'Dados de consulta'!$A$2:$C$38,3,0),8))</f>
        <v>0</v>
      </c>
      <c r="BE233" s="97">
        <f>IF(OR(AY233="SÁB",AY233="DOM"),0,IFERROR(8-VLOOKUP(H233,'Dados de consulta'!$A$2:$C$38,3,0),8))</f>
        <v>8</v>
      </c>
      <c r="BF233" s="97">
        <f>IF(OR(AY233="SÁB",AY233="DOM"),0,IFERROR(8-VLOOKUP(I233,'Dados de consulta'!$A$2:$C$38,3,0),8))</f>
        <v>0</v>
      </c>
      <c r="BG233" s="97">
        <f>IF(OR(AY233="SÁB",AY233="DOM"),0,IFERROR(8-VLOOKUP(J233,'Dados de consulta'!$A$2:$C$38,3,0),8))</f>
        <v>8</v>
      </c>
      <c r="BH233" s="97">
        <f>IF(OR(AY233="SÁB",AY233="DOM"),0,IFERROR(8-VLOOKUP(K233,'Dados de consulta'!$A$2:$C$38,3,0),8))</f>
        <v>8</v>
      </c>
      <c r="BI233" s="97">
        <f>IF(OR(AY233="SÁB",AY233="DOM"),0,IFERROR(8-VLOOKUP(L233,'Dados de consulta'!$A$2:$C$38,3,0),8))</f>
        <v>8</v>
      </c>
      <c r="BJ233" s="97">
        <f>IF(OR(AY233="SÁB",AY233="DOM"),0,IFERROR(8-VLOOKUP(M233,'Dados de consulta'!$A$2:$C$38,3,0),8))</f>
        <v>0</v>
      </c>
      <c r="BK233" s="97">
        <f>IF(OR(AY233="SÁB",AY233="DOM"),0,IFERROR(8-VLOOKUP(N233,'Dados de consulta'!$A$2:$C$38,3,0),8))</f>
        <v>0</v>
      </c>
      <c r="BL233" s="97">
        <f>IF(OR(AY233="SÁB",AY233="DOM"),0,IFERROR(8-VLOOKUP(O233,'Dados de consulta'!$A$2:$C$38,3,0),8))</f>
        <v>8</v>
      </c>
      <c r="BM233" s="97">
        <f>IF(OR(AY233="SÁB",AY233="DOM"),0,IFERROR(8-VLOOKUP(P233,'Dados de consulta'!$A$2:$C$38,3,0),8))</f>
        <v>8</v>
      </c>
      <c r="BN233" s="97">
        <f>IF(OR(AY233="SÁB",AY233="DOM"),0,IFERROR(8-VLOOKUP(Q233,'Dados de consulta'!$A$2:$C$38,3,0),8))</f>
        <v>0</v>
      </c>
      <c r="BO233" s="97">
        <f>IF(OR(AY233="SÁB",AY233="DOM"),0,IFERROR(8-VLOOKUP(R233,'Dados de consulta'!$A$2:$C$38,3,0),8))</f>
        <v>0</v>
      </c>
      <c r="BP233" s="97">
        <f>IF(OR(AY233="SÁB",AY233="DOM"),0,IFERROR(8-VLOOKUP(S233,'Dados de consulta'!$A$2:$C$38,3,0),8))</f>
        <v>0</v>
      </c>
      <c r="BQ233" s="113">
        <f>IFERROR(6-VLOOKUP(T233,'Dados de consulta'!$A$2:$C$38,3,0)+2,6)</f>
        <v>6</v>
      </c>
      <c r="BR233" s="114">
        <f t="shared" si="102"/>
        <v>86</v>
      </c>
      <c r="BS233">
        <f t="shared" si="78"/>
        <v>134</v>
      </c>
      <c r="BU233">
        <f>IFERROR(8-VLOOKUP(U233,'Dados de consulta'!$A:$D,3,0),8)</f>
        <v>0</v>
      </c>
      <c r="BV233">
        <f>IFERROR(8-VLOOKUP(V233,'Dados de consulta'!$A:$D,3,0),8)</f>
        <v>8</v>
      </c>
      <c r="BW233">
        <f t="shared" si="103"/>
        <v>8</v>
      </c>
    </row>
    <row r="234" spans="1:75" ht="15" hidden="1" x14ac:dyDescent="0.2">
      <c r="A234" s="98">
        <v>42357</v>
      </c>
      <c r="B234" s="129" t="str">
        <f t="shared" si="79"/>
        <v>sáb</v>
      </c>
      <c r="C234" s="132"/>
      <c r="D234" s="132"/>
      <c r="E234" s="132"/>
      <c r="F234" s="132"/>
      <c r="G234" s="132"/>
      <c r="H234" s="132"/>
      <c r="I234" s="132">
        <v>18</v>
      </c>
      <c r="J234" s="132"/>
      <c r="K234" s="132"/>
      <c r="L234" s="132"/>
      <c r="M234" s="132">
        <v>101</v>
      </c>
      <c r="N234" s="132"/>
      <c r="O234" s="132"/>
      <c r="P234" s="132"/>
      <c r="Q234" s="132"/>
      <c r="R234" s="132"/>
      <c r="S234" s="132"/>
      <c r="T234" s="132"/>
      <c r="U234" s="151"/>
      <c r="V234" s="151"/>
      <c r="W234" s="307" t="s">
        <v>193</v>
      </c>
      <c r="X234" s="308"/>
      <c r="Y234" s="38">
        <f t="shared" si="80"/>
        <v>0</v>
      </c>
      <c r="Z234" s="38">
        <f t="shared" si="81"/>
        <v>8</v>
      </c>
      <c r="AA234" s="38">
        <f t="shared" si="82"/>
        <v>0</v>
      </c>
      <c r="AB234" s="38">
        <f t="shared" si="90"/>
        <v>0</v>
      </c>
      <c r="AC234" s="38">
        <f t="shared" si="91"/>
        <v>0</v>
      </c>
      <c r="AD234" s="38">
        <f t="shared" si="92"/>
        <v>0</v>
      </c>
      <c r="AE234" s="38">
        <f t="shared" si="93"/>
        <v>0</v>
      </c>
      <c r="AF234" s="38">
        <f t="shared" si="94"/>
        <v>0</v>
      </c>
      <c r="AG234" s="33">
        <f t="shared" si="95"/>
        <v>0</v>
      </c>
      <c r="AH234" s="33">
        <f t="shared" si="96"/>
        <v>0</v>
      </c>
      <c r="AI234" s="33">
        <f t="shared" si="97"/>
        <v>0</v>
      </c>
      <c r="AJ234" s="33">
        <f t="shared" si="98"/>
        <v>0</v>
      </c>
      <c r="AK234" s="34">
        <f t="shared" si="99"/>
        <v>0</v>
      </c>
      <c r="AL234" s="35">
        <f t="shared" si="100"/>
        <v>0</v>
      </c>
      <c r="AM234" s="34">
        <f t="shared" si="83"/>
        <v>0</v>
      </c>
      <c r="AN234" s="36">
        <f t="shared" si="101"/>
        <v>0</v>
      </c>
      <c r="AO234" s="6">
        <f t="shared" si="84"/>
        <v>0</v>
      </c>
      <c r="AP234">
        <f t="shared" si="85"/>
        <v>8</v>
      </c>
      <c r="AQ234" s="6">
        <f t="shared" si="86"/>
        <v>0</v>
      </c>
      <c r="AR234" s="6">
        <f t="shared" si="87"/>
        <v>0</v>
      </c>
      <c r="AS234" s="6"/>
      <c r="AX234" s="95">
        <f t="shared" si="88"/>
        <v>42357</v>
      </c>
      <c r="AY234" s="96" t="str">
        <f t="shared" si="89"/>
        <v>sáb</v>
      </c>
      <c r="AZ234" s="97">
        <f>IF(OR(AY234="SÁB",AY234="DOM"),0,IFERROR(8-VLOOKUP(C234,'Dados de consulta'!$A$2:$C$38,3,0),8))</f>
        <v>0</v>
      </c>
      <c r="BA234" s="97">
        <f>IF(OR(AY234="SÁB",AY234="DOM"),0,IFERROR(8-VLOOKUP(D234,'Dados de consulta'!$A$2:$C$38,3,0),8))</f>
        <v>0</v>
      </c>
      <c r="BB234" s="97">
        <f>IF(OR(AY234="SÁB",AY234="DOM"),0,IFERROR(8-VLOOKUP(E234,'Dados de consulta'!$A$2:$C$38,3,0),8))</f>
        <v>0</v>
      </c>
      <c r="BC234" s="97">
        <f>IF(OR(AY234="SÁB",AY234="DOM"),0,IFERROR(8-VLOOKUP(F234,'Dados de consulta'!$A$2:$C$38,3,0),8))</f>
        <v>0</v>
      </c>
      <c r="BD234" s="97">
        <f>IF(OR(AY234="SÁB",AY234="DOM"),0,IFERROR(8-VLOOKUP(G234,'Dados de consulta'!$A$2:$C$38,3,0),8))</f>
        <v>0</v>
      </c>
      <c r="BE234" s="97">
        <f>IF(OR(AY234="SÁB",AY234="DOM"),0,IFERROR(8-VLOOKUP(H234,'Dados de consulta'!$A$2:$C$38,3,0),8))</f>
        <v>0</v>
      </c>
      <c r="BF234" s="97">
        <f>IF(OR(AY234="SÁB",AY234="DOM"),0,IFERROR(8-VLOOKUP(I234,'Dados de consulta'!$A$2:$C$38,3,0),8))</f>
        <v>0</v>
      </c>
      <c r="BG234" s="97">
        <f>IF(OR(AY234="SÁB",AY234="DOM"),0,IFERROR(8-VLOOKUP(J234,'Dados de consulta'!$A$2:$C$38,3,0),8))</f>
        <v>0</v>
      </c>
      <c r="BH234" s="97">
        <f>IF(OR(AY234="SÁB",AY234="DOM"),0,IFERROR(8-VLOOKUP(K234,'Dados de consulta'!$A$2:$C$38,3,0),8))</f>
        <v>0</v>
      </c>
      <c r="BI234" s="97">
        <f>IF(OR(AY234="SÁB",AY234="DOM"),0,IFERROR(8-VLOOKUP(L234,'Dados de consulta'!$A$2:$C$38,3,0),8))</f>
        <v>0</v>
      </c>
      <c r="BJ234" s="97">
        <f>IF(OR(AY234="SÁB",AY234="DOM"),0,IFERROR(8-VLOOKUP(M234,'Dados de consulta'!$A$2:$C$38,3,0),8))</f>
        <v>0</v>
      </c>
      <c r="BK234" s="97">
        <f>IF(OR(AY234="SÁB",AY234="DOM"),0,IFERROR(8-VLOOKUP(N234,'Dados de consulta'!$A$2:$C$38,3,0),8))</f>
        <v>0</v>
      </c>
      <c r="BL234" s="97">
        <f>IF(OR(AY234="SÁB",AY234="DOM"),0,IFERROR(8-VLOOKUP(O234,'Dados de consulta'!$A$2:$C$38,3,0),8))</f>
        <v>0</v>
      </c>
      <c r="BM234" s="97">
        <f>IF(OR(AY234="SÁB",AY234="DOM"),0,IFERROR(8-VLOOKUP(P234,'Dados de consulta'!$A$2:$C$38,3,0),8))</f>
        <v>0</v>
      </c>
      <c r="BN234" s="97">
        <f>IF(OR(AY234="SÁB",AY234="DOM"),0,IFERROR(8-VLOOKUP(Q234,'Dados de consulta'!$A$2:$C$38,3,0),8))</f>
        <v>0</v>
      </c>
      <c r="BO234" s="97">
        <f>IF(OR(AY234="SÁB",AY234="DOM"),0,IFERROR(8-VLOOKUP(R234,'Dados de consulta'!$A$2:$C$38,3,0),8))</f>
        <v>0</v>
      </c>
      <c r="BP234" s="97">
        <f>IF(OR(AY234="SÁB",AY234="DOM"),0,IFERROR(8-VLOOKUP(S234,'Dados de consulta'!$A$2:$C$38,3,0),8))</f>
        <v>0</v>
      </c>
      <c r="BQ234" s="113">
        <f>IFERROR(6-VLOOKUP(T234,'Dados de consulta'!$A$2:$C$38,3,0)+2,6)</f>
        <v>6</v>
      </c>
      <c r="BR234" s="114">
        <f t="shared" si="102"/>
        <v>0</v>
      </c>
      <c r="BS234">
        <f t="shared" si="78"/>
        <v>0</v>
      </c>
      <c r="BU234">
        <f>IFERROR(8-VLOOKUP(U234,'Dados de consulta'!$A:$D,3,0),8)</f>
        <v>8</v>
      </c>
      <c r="BV234">
        <f>IFERROR(8-VLOOKUP(V234,'Dados de consulta'!$A:$D,3,0),8)</f>
        <v>8</v>
      </c>
      <c r="BW234">
        <f t="shared" si="103"/>
        <v>16</v>
      </c>
    </row>
    <row r="235" spans="1:75" ht="15" hidden="1" x14ac:dyDescent="0.2">
      <c r="A235" s="98">
        <v>42358</v>
      </c>
      <c r="B235" s="129" t="str">
        <f t="shared" si="79"/>
        <v>dom</v>
      </c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>
        <v>101</v>
      </c>
      <c r="N235" s="132"/>
      <c r="O235" s="132"/>
      <c r="P235" s="132"/>
      <c r="Q235" s="132"/>
      <c r="R235" s="132"/>
      <c r="S235" s="132"/>
      <c r="T235" s="132"/>
      <c r="U235" s="151"/>
      <c r="V235" s="151"/>
      <c r="W235" s="307" t="s">
        <v>193</v>
      </c>
      <c r="X235" s="308"/>
      <c r="Y235" s="38">
        <f t="shared" si="80"/>
        <v>0</v>
      </c>
      <c r="Z235" s="38">
        <f t="shared" si="81"/>
        <v>0</v>
      </c>
      <c r="AA235" s="38">
        <f t="shared" si="82"/>
        <v>0</v>
      </c>
      <c r="AB235" s="38">
        <f t="shared" si="90"/>
        <v>0</v>
      </c>
      <c r="AC235" s="38">
        <f t="shared" si="91"/>
        <v>0</v>
      </c>
      <c r="AD235" s="38">
        <f t="shared" si="92"/>
        <v>0</v>
      </c>
      <c r="AE235" s="38">
        <f t="shared" si="93"/>
        <v>0</v>
      </c>
      <c r="AF235" s="38">
        <f t="shared" si="94"/>
        <v>0</v>
      </c>
      <c r="AG235" s="33">
        <f t="shared" si="95"/>
        <v>0</v>
      </c>
      <c r="AH235" s="33">
        <f t="shared" si="96"/>
        <v>0</v>
      </c>
      <c r="AI235" s="33">
        <f t="shared" si="97"/>
        <v>0</v>
      </c>
      <c r="AJ235" s="33">
        <f t="shared" si="98"/>
        <v>0</v>
      </c>
      <c r="AK235" s="34">
        <f t="shared" si="99"/>
        <v>0</v>
      </c>
      <c r="AL235" s="35">
        <f t="shared" si="100"/>
        <v>0</v>
      </c>
      <c r="AM235" s="34">
        <f t="shared" si="83"/>
        <v>0</v>
      </c>
      <c r="AN235" s="36">
        <f t="shared" si="101"/>
        <v>0</v>
      </c>
      <c r="AO235" s="6">
        <f t="shared" si="84"/>
        <v>0</v>
      </c>
      <c r="AP235">
        <f t="shared" si="85"/>
        <v>8</v>
      </c>
      <c r="AQ235" s="6">
        <f t="shared" si="86"/>
        <v>0</v>
      </c>
      <c r="AR235" s="6">
        <f t="shared" si="87"/>
        <v>0</v>
      </c>
      <c r="AS235" s="6"/>
      <c r="AX235" s="95">
        <f t="shared" si="88"/>
        <v>42358</v>
      </c>
      <c r="AY235" s="96" t="str">
        <f t="shared" si="89"/>
        <v>dom</v>
      </c>
      <c r="AZ235" s="97">
        <f>IF(OR(AY235="SÁB",AY235="DOM"),0,IFERROR(8-VLOOKUP(C235,'Dados de consulta'!$A$2:$C$38,3,0),8))</f>
        <v>0</v>
      </c>
      <c r="BA235" s="97">
        <f>IF(OR(AY235="SÁB",AY235="DOM"),0,IFERROR(8-VLOOKUP(D235,'Dados de consulta'!$A$2:$C$38,3,0),8))</f>
        <v>0</v>
      </c>
      <c r="BB235" s="97">
        <f>IF(OR(AY235="SÁB",AY235="DOM"),0,IFERROR(8-VLOOKUP(E235,'Dados de consulta'!$A$2:$C$38,3,0),8))</f>
        <v>0</v>
      </c>
      <c r="BC235" s="97">
        <f>IF(OR(AY235="SÁB",AY235="DOM"),0,IFERROR(8-VLOOKUP(F235,'Dados de consulta'!$A$2:$C$38,3,0),8))</f>
        <v>0</v>
      </c>
      <c r="BD235" s="97">
        <f>IF(OR(AY235="SÁB",AY235="DOM"),0,IFERROR(8-VLOOKUP(G235,'Dados de consulta'!$A$2:$C$38,3,0),8))</f>
        <v>0</v>
      </c>
      <c r="BE235" s="97">
        <f>IF(OR(AY235="SÁB",AY235="DOM"),0,IFERROR(8-VLOOKUP(H235,'Dados de consulta'!$A$2:$C$38,3,0),8))</f>
        <v>0</v>
      </c>
      <c r="BF235" s="97">
        <f>IF(OR(AY235="SÁB",AY235="DOM"),0,IFERROR(8-VLOOKUP(I235,'Dados de consulta'!$A$2:$C$38,3,0),8))</f>
        <v>0</v>
      </c>
      <c r="BG235" s="97">
        <f>IF(OR(AY235="SÁB",AY235="DOM"),0,IFERROR(8-VLOOKUP(J235,'Dados de consulta'!$A$2:$C$38,3,0),8))</f>
        <v>0</v>
      </c>
      <c r="BH235" s="97">
        <f>IF(OR(AY235="SÁB",AY235="DOM"),0,IFERROR(8-VLOOKUP(K235,'Dados de consulta'!$A$2:$C$38,3,0),8))</f>
        <v>0</v>
      </c>
      <c r="BI235" s="97">
        <f>IF(OR(AY235="SÁB",AY235="DOM"),0,IFERROR(8-VLOOKUP(L235,'Dados de consulta'!$A$2:$C$38,3,0),8))</f>
        <v>0</v>
      </c>
      <c r="BJ235" s="97">
        <f>IF(OR(AY235="SÁB",AY235="DOM"),0,IFERROR(8-VLOOKUP(M235,'Dados de consulta'!$A$2:$C$38,3,0),8))</f>
        <v>0</v>
      </c>
      <c r="BK235" s="97">
        <f>IF(OR(AY235="SÁB",AY235="DOM"),0,IFERROR(8-VLOOKUP(N235,'Dados de consulta'!$A$2:$C$38,3,0),8))</f>
        <v>0</v>
      </c>
      <c r="BL235" s="97">
        <f>IF(OR(AY235="SÁB",AY235="DOM"),0,IFERROR(8-VLOOKUP(O235,'Dados de consulta'!$A$2:$C$38,3,0),8))</f>
        <v>0</v>
      </c>
      <c r="BM235" s="97">
        <f>IF(OR(AY235="SÁB",AY235="DOM"),0,IFERROR(8-VLOOKUP(P235,'Dados de consulta'!$A$2:$C$38,3,0),8))</f>
        <v>0</v>
      </c>
      <c r="BN235" s="97">
        <f>IF(OR(AY235="SÁB",AY235="DOM"),0,IFERROR(8-VLOOKUP(Q235,'Dados de consulta'!$A$2:$C$38,3,0),8))</f>
        <v>0</v>
      </c>
      <c r="BO235" s="97">
        <f>IF(OR(AY235="SÁB",AY235="DOM"),0,IFERROR(8-VLOOKUP(R235,'Dados de consulta'!$A$2:$C$38,3,0),8))</f>
        <v>0</v>
      </c>
      <c r="BP235" s="97">
        <f>IF(OR(AY235="SÁB",AY235="DOM"),0,IFERROR(8-VLOOKUP(S235,'Dados de consulta'!$A$2:$C$38,3,0),8))</f>
        <v>0</v>
      </c>
      <c r="BQ235" s="113">
        <f>IFERROR(6-VLOOKUP(T235,'Dados de consulta'!$A$2:$C$38,3,0)+2,6)</f>
        <v>6</v>
      </c>
      <c r="BR235" s="114">
        <f t="shared" si="102"/>
        <v>0</v>
      </c>
      <c r="BS235">
        <f t="shared" si="78"/>
        <v>0</v>
      </c>
      <c r="BU235">
        <f>IFERROR(8-VLOOKUP(U235,'Dados de consulta'!$A:$D,3,0),8)</f>
        <v>8</v>
      </c>
      <c r="BV235">
        <f>IFERROR(8-VLOOKUP(V235,'Dados de consulta'!$A:$D,3,0),8)</f>
        <v>8</v>
      </c>
      <c r="BW235">
        <f t="shared" si="103"/>
        <v>16</v>
      </c>
    </row>
    <row r="236" spans="1:75" ht="15" hidden="1" x14ac:dyDescent="0.2">
      <c r="A236" s="98">
        <v>42359</v>
      </c>
      <c r="B236" s="129" t="str">
        <f t="shared" si="79"/>
        <v>seg</v>
      </c>
      <c r="C236" s="132"/>
      <c r="D236" s="132"/>
      <c r="E236" s="132" t="s">
        <v>194</v>
      </c>
      <c r="F236" s="132"/>
      <c r="G236" s="132"/>
      <c r="H236" s="132"/>
      <c r="I236" s="132">
        <v>99</v>
      </c>
      <c r="J236" s="132"/>
      <c r="K236" s="132">
        <v>99</v>
      </c>
      <c r="L236" s="132"/>
      <c r="M236" s="132">
        <v>101</v>
      </c>
      <c r="N236" s="132">
        <v>99</v>
      </c>
      <c r="O236" s="132"/>
      <c r="P236" s="132">
        <v>99</v>
      </c>
      <c r="Q236" s="132"/>
      <c r="R236" s="132">
        <v>99</v>
      </c>
      <c r="S236" s="132"/>
      <c r="T236" s="132"/>
      <c r="U236" s="151">
        <v>99</v>
      </c>
      <c r="V236" s="151">
        <v>99</v>
      </c>
      <c r="W236" s="307" t="s">
        <v>193</v>
      </c>
      <c r="X236" s="308"/>
      <c r="Y236" s="38">
        <f t="shared" si="80"/>
        <v>4</v>
      </c>
      <c r="Z236" s="38">
        <f t="shared" si="81"/>
        <v>40</v>
      </c>
      <c r="AA236" s="38">
        <f t="shared" si="82"/>
        <v>0</v>
      </c>
      <c r="AB236" s="38">
        <f t="shared" si="90"/>
        <v>0</v>
      </c>
      <c r="AC236" s="38">
        <f t="shared" si="91"/>
        <v>0</v>
      </c>
      <c r="AD236" s="38">
        <f t="shared" si="92"/>
        <v>0</v>
      </c>
      <c r="AE236" s="38">
        <f t="shared" si="93"/>
        <v>0</v>
      </c>
      <c r="AF236" s="38">
        <f t="shared" si="94"/>
        <v>0</v>
      </c>
      <c r="AG236" s="33">
        <f t="shared" si="95"/>
        <v>4</v>
      </c>
      <c r="AH236" s="33">
        <f t="shared" si="96"/>
        <v>40</v>
      </c>
      <c r="AI236" s="33">
        <f t="shared" si="97"/>
        <v>0</v>
      </c>
      <c r="AJ236" s="33">
        <f t="shared" si="98"/>
        <v>0</v>
      </c>
      <c r="AK236" s="34">
        <f t="shared" si="99"/>
        <v>2.8169014084507043E-2</v>
      </c>
      <c r="AL236" s="35">
        <f t="shared" si="100"/>
        <v>0.28169014084507044</v>
      </c>
      <c r="AM236" s="34">
        <f t="shared" si="83"/>
        <v>0</v>
      </c>
      <c r="AN236" s="36">
        <f t="shared" si="101"/>
        <v>0</v>
      </c>
      <c r="AO236" s="6">
        <f t="shared" si="84"/>
        <v>0</v>
      </c>
      <c r="AP236">
        <f t="shared" si="85"/>
        <v>8</v>
      </c>
      <c r="AQ236" s="6">
        <f t="shared" si="86"/>
        <v>0</v>
      </c>
      <c r="AR236" s="6">
        <f t="shared" si="87"/>
        <v>0</v>
      </c>
      <c r="AS236" s="6"/>
      <c r="AX236" s="95">
        <f t="shared" si="88"/>
        <v>42359</v>
      </c>
      <c r="AY236" s="96" t="str">
        <f t="shared" si="89"/>
        <v>seg</v>
      </c>
      <c r="AZ236" s="97">
        <f>IF(OR(AY236="SÁB",AY236="DOM"),0,IFERROR(8-VLOOKUP(C236,'Dados de consulta'!$A$2:$C$38,3,0),8))</f>
        <v>8</v>
      </c>
      <c r="BA236" s="97">
        <f>IF(OR(AY236="SÁB",AY236="DOM"),0,IFERROR(8-VLOOKUP(D236,'Dados de consulta'!$A$2:$C$38,3,0),8))</f>
        <v>8</v>
      </c>
      <c r="BB236" s="97">
        <f>IF(OR(AY236="SÁB",AY236="DOM"),0,IFERROR(8-VLOOKUP(E236,'Dados de consulta'!$A$2:$C$38,3,0),8))</f>
        <v>4</v>
      </c>
      <c r="BC236" s="97">
        <f>IF(OR(AY236="SÁB",AY236="DOM"),0,IFERROR(8-VLOOKUP(F236,'Dados de consulta'!$A$2:$C$38,3,0),8))</f>
        <v>8</v>
      </c>
      <c r="BD236" s="97">
        <f>IF(OR(AY236="SÁB",AY236="DOM"),0,IFERROR(8-VLOOKUP(G236,'Dados de consulta'!$A$2:$C$38,3,0),8))</f>
        <v>8</v>
      </c>
      <c r="BE236" s="97">
        <f>IF(OR(AY236="SÁB",AY236="DOM"),0,IFERROR(8-VLOOKUP(H236,'Dados de consulta'!$A$2:$C$38,3,0),8))</f>
        <v>8</v>
      </c>
      <c r="BF236" s="97">
        <f>IF(OR(AY236="SÁB",AY236="DOM"),0,IFERROR(8-VLOOKUP(I236,'Dados de consulta'!$A$2:$C$38,3,0),8))</f>
        <v>0</v>
      </c>
      <c r="BG236" s="97">
        <f>IF(OR(AY236="SÁB",AY236="DOM"),0,IFERROR(8-VLOOKUP(J236,'Dados de consulta'!$A$2:$C$38,3,0),8))</f>
        <v>8</v>
      </c>
      <c r="BH236" s="97">
        <f>IF(OR(AY236="SÁB",AY236="DOM"),0,IFERROR(8-VLOOKUP(K236,'Dados de consulta'!$A$2:$C$38,3,0),8))</f>
        <v>0</v>
      </c>
      <c r="BI236" s="97">
        <f>IF(OR(AY236="SÁB",AY236="DOM"),0,IFERROR(8-VLOOKUP(L236,'Dados de consulta'!$A$2:$C$38,3,0),8))</f>
        <v>8</v>
      </c>
      <c r="BJ236" s="97">
        <f>IF(OR(AY236="SÁB",AY236="DOM"),0,IFERROR(8-VLOOKUP(M236,'Dados de consulta'!$A$2:$C$38,3,0),8))</f>
        <v>0</v>
      </c>
      <c r="BK236" s="97">
        <f>IF(OR(AY236="SÁB",AY236="DOM"),0,IFERROR(8-VLOOKUP(N236,'Dados de consulta'!$A$2:$C$38,3,0),8))</f>
        <v>0</v>
      </c>
      <c r="BL236" s="97">
        <f>IF(OR(AY236="SÁB",AY236="DOM"),0,IFERROR(8-VLOOKUP(O236,'Dados de consulta'!$A$2:$C$38,3,0),8))</f>
        <v>8</v>
      </c>
      <c r="BM236" s="97">
        <f>IF(OR(AY236="SÁB",AY236="DOM"),0,IFERROR(8-VLOOKUP(P236,'Dados de consulta'!$A$2:$C$38,3,0),8))</f>
        <v>0</v>
      </c>
      <c r="BN236" s="97">
        <f>IF(OR(AY236="SÁB",AY236="DOM"),0,IFERROR(8-VLOOKUP(Q236,'Dados de consulta'!$A$2:$C$38,3,0),8))</f>
        <v>8</v>
      </c>
      <c r="BO236" s="97">
        <f>IF(OR(AY236="SÁB",AY236="DOM"),0,IFERROR(8-VLOOKUP(R236,'Dados de consulta'!$A$2:$C$38,3,0),8))</f>
        <v>0</v>
      </c>
      <c r="BP236" s="97">
        <f>IF(OR(AY236="SÁB",AY236="DOM"),0,IFERROR(8-VLOOKUP(S236,'Dados de consulta'!$A$2:$C$38,3,0),8))</f>
        <v>8</v>
      </c>
      <c r="BQ236" s="113">
        <f>IFERROR(6-VLOOKUP(T236,'Dados de consulta'!$A$2:$C$38,3,0)+2,6)</f>
        <v>6</v>
      </c>
      <c r="BR236" s="114">
        <f t="shared" si="102"/>
        <v>90</v>
      </c>
      <c r="BS236">
        <f t="shared" si="78"/>
        <v>134</v>
      </c>
      <c r="BU236">
        <f>IFERROR(8-VLOOKUP(U236,'Dados de consulta'!$A:$D,3,0),8)</f>
        <v>0</v>
      </c>
      <c r="BV236">
        <f>IFERROR(8-VLOOKUP(V236,'Dados de consulta'!$A:$D,3,0),8)</f>
        <v>0</v>
      </c>
      <c r="BW236">
        <f t="shared" si="103"/>
        <v>0</v>
      </c>
    </row>
    <row r="237" spans="1:75" ht="15" hidden="1" x14ac:dyDescent="0.2">
      <c r="A237" s="98">
        <v>42360</v>
      </c>
      <c r="B237" s="129" t="str">
        <f t="shared" si="79"/>
        <v>ter</v>
      </c>
      <c r="C237" s="132"/>
      <c r="D237" s="132"/>
      <c r="E237" s="132"/>
      <c r="F237" s="132"/>
      <c r="G237" s="132"/>
      <c r="H237" s="132"/>
      <c r="I237" s="132">
        <v>99</v>
      </c>
      <c r="J237" s="132"/>
      <c r="K237" s="132">
        <v>99</v>
      </c>
      <c r="L237" s="132"/>
      <c r="M237" s="132">
        <v>101</v>
      </c>
      <c r="N237" s="132">
        <v>99</v>
      </c>
      <c r="O237" s="132"/>
      <c r="P237" s="132">
        <v>99</v>
      </c>
      <c r="Q237" s="132"/>
      <c r="R237" s="132">
        <v>99</v>
      </c>
      <c r="S237" s="132"/>
      <c r="T237" s="132"/>
      <c r="U237" s="151">
        <v>99</v>
      </c>
      <c r="V237" s="151">
        <v>99</v>
      </c>
      <c r="W237" s="307" t="s">
        <v>193</v>
      </c>
      <c r="X237" s="308"/>
      <c r="Y237" s="38">
        <f t="shared" si="80"/>
        <v>0</v>
      </c>
      <c r="Z237" s="38">
        <f t="shared" si="81"/>
        <v>40</v>
      </c>
      <c r="AA237" s="38">
        <f t="shared" si="82"/>
        <v>0</v>
      </c>
      <c r="AB237" s="38">
        <f t="shared" si="90"/>
        <v>0</v>
      </c>
      <c r="AC237" s="38">
        <f t="shared" si="91"/>
        <v>0</v>
      </c>
      <c r="AD237" s="38">
        <f t="shared" si="92"/>
        <v>0</v>
      </c>
      <c r="AE237" s="38">
        <f t="shared" si="93"/>
        <v>0</v>
      </c>
      <c r="AF237" s="38">
        <f t="shared" si="94"/>
        <v>0</v>
      </c>
      <c r="AG237" s="33">
        <f t="shared" si="95"/>
        <v>0</v>
      </c>
      <c r="AH237" s="33">
        <f t="shared" si="96"/>
        <v>40</v>
      </c>
      <c r="AI237" s="33">
        <f t="shared" si="97"/>
        <v>0</v>
      </c>
      <c r="AJ237" s="33">
        <f t="shared" si="98"/>
        <v>0</v>
      </c>
      <c r="AK237" s="34">
        <f t="shared" si="99"/>
        <v>0</v>
      </c>
      <c r="AL237" s="35">
        <f t="shared" si="100"/>
        <v>0.28169014084507044</v>
      </c>
      <c r="AM237" s="34">
        <f t="shared" si="83"/>
        <v>0</v>
      </c>
      <c r="AN237" s="36">
        <f t="shared" si="101"/>
        <v>0</v>
      </c>
      <c r="AO237" s="6">
        <f t="shared" si="84"/>
        <v>0</v>
      </c>
      <c r="AP237">
        <f t="shared" si="85"/>
        <v>8</v>
      </c>
      <c r="AQ237" s="6">
        <f t="shared" si="86"/>
        <v>0</v>
      </c>
      <c r="AR237" s="6">
        <f t="shared" si="87"/>
        <v>0</v>
      </c>
      <c r="AS237" s="6"/>
      <c r="AX237" s="95">
        <f t="shared" si="88"/>
        <v>42360</v>
      </c>
      <c r="AY237" s="96" t="str">
        <f t="shared" si="89"/>
        <v>ter</v>
      </c>
      <c r="AZ237" s="97">
        <f>IF(OR(AY237="SÁB",AY237="DOM"),0,IFERROR(8-VLOOKUP(C237,'Dados de consulta'!$A$2:$C$38,3,0),8))</f>
        <v>8</v>
      </c>
      <c r="BA237" s="97">
        <f>IF(OR(AY237="SÁB",AY237="DOM"),0,IFERROR(8-VLOOKUP(D237,'Dados de consulta'!$A$2:$C$38,3,0),8))</f>
        <v>8</v>
      </c>
      <c r="BB237" s="97">
        <f>IF(OR(AY237="SÁB",AY237="DOM"),0,IFERROR(8-VLOOKUP(E237,'Dados de consulta'!$A$2:$C$38,3,0),8))</f>
        <v>8</v>
      </c>
      <c r="BC237" s="97">
        <f>IF(OR(AY237="SÁB",AY237="DOM"),0,IFERROR(8-VLOOKUP(F237,'Dados de consulta'!$A$2:$C$38,3,0),8))</f>
        <v>8</v>
      </c>
      <c r="BD237" s="97">
        <f>IF(OR(AY237="SÁB",AY237="DOM"),0,IFERROR(8-VLOOKUP(G237,'Dados de consulta'!$A$2:$C$38,3,0),8))</f>
        <v>8</v>
      </c>
      <c r="BE237" s="97">
        <f>IF(OR(AY237="SÁB",AY237="DOM"),0,IFERROR(8-VLOOKUP(H237,'Dados de consulta'!$A$2:$C$38,3,0),8))</f>
        <v>8</v>
      </c>
      <c r="BF237" s="97">
        <f>IF(OR(AY237="SÁB",AY237="DOM"),0,IFERROR(8-VLOOKUP(I237,'Dados de consulta'!$A$2:$C$38,3,0),8))</f>
        <v>0</v>
      </c>
      <c r="BG237" s="97">
        <f>IF(OR(AY237="SÁB",AY237="DOM"),0,IFERROR(8-VLOOKUP(J237,'Dados de consulta'!$A$2:$C$38,3,0),8))</f>
        <v>8</v>
      </c>
      <c r="BH237" s="97">
        <f>IF(OR(AY237="SÁB",AY237="DOM"),0,IFERROR(8-VLOOKUP(K237,'Dados de consulta'!$A$2:$C$38,3,0),8))</f>
        <v>0</v>
      </c>
      <c r="BI237" s="97">
        <f>IF(OR(AY237="SÁB",AY237="DOM"),0,IFERROR(8-VLOOKUP(L237,'Dados de consulta'!$A$2:$C$38,3,0),8))</f>
        <v>8</v>
      </c>
      <c r="BJ237" s="97">
        <f>IF(OR(AY237="SÁB",AY237="DOM"),0,IFERROR(8-VLOOKUP(M237,'Dados de consulta'!$A$2:$C$38,3,0),8))</f>
        <v>0</v>
      </c>
      <c r="BK237" s="97">
        <f>IF(OR(AY237="SÁB",AY237="DOM"),0,IFERROR(8-VLOOKUP(N237,'Dados de consulta'!$A$2:$C$38,3,0),8))</f>
        <v>0</v>
      </c>
      <c r="BL237" s="97">
        <f>IF(OR(AY237="SÁB",AY237="DOM"),0,IFERROR(8-VLOOKUP(O237,'Dados de consulta'!$A$2:$C$38,3,0),8))</f>
        <v>8</v>
      </c>
      <c r="BM237" s="97">
        <f>IF(OR(AY237="SÁB",AY237="DOM"),0,IFERROR(8-VLOOKUP(P237,'Dados de consulta'!$A$2:$C$38,3,0),8))</f>
        <v>0</v>
      </c>
      <c r="BN237" s="97">
        <f>IF(OR(AY237="SÁB",AY237="DOM"),0,IFERROR(8-VLOOKUP(Q237,'Dados de consulta'!$A$2:$C$38,3,0),8))</f>
        <v>8</v>
      </c>
      <c r="BO237" s="97">
        <f>IF(OR(AY237="SÁB",AY237="DOM"),0,IFERROR(8-VLOOKUP(R237,'Dados de consulta'!$A$2:$C$38,3,0),8))</f>
        <v>0</v>
      </c>
      <c r="BP237" s="97">
        <f>IF(OR(AY237="SÁB",AY237="DOM"),0,IFERROR(8-VLOOKUP(S237,'Dados de consulta'!$A$2:$C$38,3,0),8))</f>
        <v>8</v>
      </c>
      <c r="BQ237" s="113">
        <f>IFERROR(6-VLOOKUP(T237,'Dados de consulta'!$A$2:$C$38,3,0)+2,6)</f>
        <v>6</v>
      </c>
      <c r="BR237" s="114">
        <f t="shared" si="102"/>
        <v>94</v>
      </c>
      <c r="BS237">
        <f t="shared" si="78"/>
        <v>134</v>
      </c>
      <c r="BU237">
        <f>IFERROR(8-VLOOKUP(U237,'Dados de consulta'!$A:$D,3,0),8)</f>
        <v>0</v>
      </c>
      <c r="BV237">
        <f>IFERROR(8-VLOOKUP(V237,'Dados de consulta'!$A:$D,3,0),8)</f>
        <v>0</v>
      </c>
      <c r="BW237">
        <f t="shared" si="103"/>
        <v>0</v>
      </c>
    </row>
    <row r="238" spans="1:75" ht="15" hidden="1" x14ac:dyDescent="0.2">
      <c r="A238" s="98">
        <v>42361</v>
      </c>
      <c r="B238" s="129" t="str">
        <f t="shared" si="79"/>
        <v>qua</v>
      </c>
      <c r="C238" s="132"/>
      <c r="D238" s="132"/>
      <c r="E238" s="132" t="s">
        <v>194</v>
      </c>
      <c r="F238" s="132"/>
      <c r="G238" s="132"/>
      <c r="H238" s="132"/>
      <c r="I238" s="132">
        <v>99</v>
      </c>
      <c r="J238" s="132"/>
      <c r="K238" s="132">
        <v>99</v>
      </c>
      <c r="L238" s="132"/>
      <c r="M238" s="132">
        <v>101</v>
      </c>
      <c r="N238" s="132">
        <v>99</v>
      </c>
      <c r="O238" s="132"/>
      <c r="P238" s="132">
        <v>99</v>
      </c>
      <c r="Q238" s="132"/>
      <c r="R238" s="132">
        <v>99</v>
      </c>
      <c r="S238" s="132"/>
      <c r="T238" s="132"/>
      <c r="U238" s="151">
        <v>99</v>
      </c>
      <c r="V238" s="151">
        <v>99</v>
      </c>
      <c r="W238" s="307" t="s">
        <v>193</v>
      </c>
      <c r="X238" s="308"/>
      <c r="Y238" s="38">
        <f t="shared" si="80"/>
        <v>4</v>
      </c>
      <c r="Z238" s="38">
        <f t="shared" si="81"/>
        <v>40</v>
      </c>
      <c r="AA238" s="38">
        <f t="shared" si="82"/>
        <v>0</v>
      </c>
      <c r="AB238" s="38">
        <f t="shared" si="90"/>
        <v>0</v>
      </c>
      <c r="AC238" s="38">
        <f t="shared" si="91"/>
        <v>0</v>
      </c>
      <c r="AD238" s="38">
        <f t="shared" si="92"/>
        <v>0</v>
      </c>
      <c r="AE238" s="38">
        <f t="shared" si="93"/>
        <v>0</v>
      </c>
      <c r="AF238" s="38">
        <f t="shared" si="94"/>
        <v>0</v>
      </c>
      <c r="AG238" s="33">
        <f t="shared" si="95"/>
        <v>4</v>
      </c>
      <c r="AH238" s="33">
        <f t="shared" si="96"/>
        <v>40</v>
      </c>
      <c r="AI238" s="33">
        <f t="shared" si="97"/>
        <v>0</v>
      </c>
      <c r="AJ238" s="33">
        <f t="shared" si="98"/>
        <v>0</v>
      </c>
      <c r="AK238" s="34">
        <f t="shared" si="99"/>
        <v>2.8169014084507043E-2</v>
      </c>
      <c r="AL238" s="35">
        <f t="shared" si="100"/>
        <v>0.28169014084507044</v>
      </c>
      <c r="AM238" s="34">
        <f t="shared" si="83"/>
        <v>0</v>
      </c>
      <c r="AN238" s="36">
        <f t="shared" si="101"/>
        <v>0</v>
      </c>
      <c r="AO238" s="6">
        <f t="shared" si="84"/>
        <v>0</v>
      </c>
      <c r="AP238">
        <f t="shared" si="85"/>
        <v>8</v>
      </c>
      <c r="AQ238" s="6">
        <f t="shared" si="86"/>
        <v>0</v>
      </c>
      <c r="AR238" s="6">
        <f t="shared" si="87"/>
        <v>0</v>
      </c>
      <c r="AS238" s="6"/>
      <c r="AX238" s="95">
        <f t="shared" si="88"/>
        <v>42361</v>
      </c>
      <c r="AY238" s="96" t="str">
        <f t="shared" si="89"/>
        <v>qua</v>
      </c>
      <c r="AZ238" s="97">
        <f>IF(OR(AY238="SÁB",AY238="DOM"),0,IFERROR(8-VLOOKUP(C238,'Dados de consulta'!$A$2:$C$38,3,0),8))</f>
        <v>8</v>
      </c>
      <c r="BA238" s="97">
        <f>IF(OR(AY238="SÁB",AY238="DOM"),0,IFERROR(8-VLOOKUP(D238,'Dados de consulta'!$A$2:$C$38,3,0),8))</f>
        <v>8</v>
      </c>
      <c r="BB238" s="97">
        <f>IF(OR(AY238="SÁB",AY238="DOM"),0,IFERROR(8-VLOOKUP(E238,'Dados de consulta'!$A$2:$C$38,3,0),8))</f>
        <v>4</v>
      </c>
      <c r="BC238" s="97">
        <f>IF(OR(AY238="SÁB",AY238="DOM"),0,IFERROR(8-VLOOKUP(F238,'Dados de consulta'!$A$2:$C$38,3,0),8))</f>
        <v>8</v>
      </c>
      <c r="BD238" s="97">
        <f>IF(OR(AY238="SÁB",AY238="DOM"),0,IFERROR(8-VLOOKUP(G238,'Dados de consulta'!$A$2:$C$38,3,0),8))</f>
        <v>8</v>
      </c>
      <c r="BE238" s="97">
        <f>IF(OR(AY238="SÁB",AY238="DOM"),0,IFERROR(8-VLOOKUP(H238,'Dados de consulta'!$A$2:$C$38,3,0),8))</f>
        <v>8</v>
      </c>
      <c r="BF238" s="97">
        <f>IF(OR(AY238="SÁB",AY238="DOM"),0,IFERROR(8-VLOOKUP(I238,'Dados de consulta'!$A$2:$C$38,3,0),8))</f>
        <v>0</v>
      </c>
      <c r="BG238" s="97">
        <f>IF(OR(AY238="SÁB",AY238="DOM"),0,IFERROR(8-VLOOKUP(J238,'Dados de consulta'!$A$2:$C$38,3,0),8))</f>
        <v>8</v>
      </c>
      <c r="BH238" s="97">
        <f>IF(OR(AY238="SÁB",AY238="DOM"),0,IFERROR(8-VLOOKUP(K238,'Dados de consulta'!$A$2:$C$38,3,0),8))</f>
        <v>0</v>
      </c>
      <c r="BI238" s="97">
        <f>IF(OR(AY238="SÁB",AY238="DOM"),0,IFERROR(8-VLOOKUP(L238,'Dados de consulta'!$A$2:$C$38,3,0),8))</f>
        <v>8</v>
      </c>
      <c r="BJ238" s="97">
        <f>IF(OR(AY238="SÁB",AY238="DOM"),0,IFERROR(8-VLOOKUP(M238,'Dados de consulta'!$A$2:$C$38,3,0),8))</f>
        <v>0</v>
      </c>
      <c r="BK238" s="97">
        <f>IF(OR(AY238="SÁB",AY238="DOM"),0,IFERROR(8-VLOOKUP(N238,'Dados de consulta'!$A$2:$C$38,3,0),8))</f>
        <v>0</v>
      </c>
      <c r="BL238" s="97">
        <f>IF(OR(AY238="SÁB",AY238="DOM"),0,IFERROR(8-VLOOKUP(O238,'Dados de consulta'!$A$2:$C$38,3,0),8))</f>
        <v>8</v>
      </c>
      <c r="BM238" s="97">
        <f>IF(OR(AY238="SÁB",AY238="DOM"),0,IFERROR(8-VLOOKUP(P238,'Dados de consulta'!$A$2:$C$38,3,0),8))</f>
        <v>0</v>
      </c>
      <c r="BN238" s="97">
        <f>IF(OR(AY238="SÁB",AY238="DOM"),0,IFERROR(8-VLOOKUP(Q238,'Dados de consulta'!$A$2:$C$38,3,0),8))</f>
        <v>8</v>
      </c>
      <c r="BO238" s="97">
        <f>IF(OR(AY238="SÁB",AY238="DOM"),0,IFERROR(8-VLOOKUP(R238,'Dados de consulta'!$A$2:$C$38,3,0),8))</f>
        <v>0</v>
      </c>
      <c r="BP238" s="97">
        <f>IF(OR(AY238="SÁB",AY238="DOM"),0,IFERROR(8-VLOOKUP(S238,'Dados de consulta'!$A$2:$C$38,3,0),8))</f>
        <v>8</v>
      </c>
      <c r="BQ238" s="113">
        <f>IFERROR(6-VLOOKUP(T238,'Dados de consulta'!$A$2:$C$38,3,0)+2,6)</f>
        <v>6</v>
      </c>
      <c r="BR238" s="114">
        <f t="shared" si="102"/>
        <v>90</v>
      </c>
      <c r="BS238">
        <f t="shared" si="78"/>
        <v>134</v>
      </c>
      <c r="BU238">
        <f>IFERROR(8-VLOOKUP(U238,'Dados de consulta'!$A:$D,3,0),8)</f>
        <v>0</v>
      </c>
      <c r="BV238">
        <f>IFERROR(8-VLOOKUP(V238,'Dados de consulta'!$A:$D,3,0),8)</f>
        <v>0</v>
      </c>
      <c r="BW238">
        <f t="shared" si="103"/>
        <v>0</v>
      </c>
    </row>
    <row r="239" spans="1:75" ht="15" hidden="1" x14ac:dyDescent="0.2">
      <c r="A239" s="98">
        <v>42362</v>
      </c>
      <c r="B239" s="129" t="str">
        <f t="shared" si="79"/>
        <v>qui</v>
      </c>
      <c r="C239" s="132"/>
      <c r="D239" s="132"/>
      <c r="E239" s="132"/>
      <c r="F239" s="132"/>
      <c r="G239" s="132"/>
      <c r="H239" s="132"/>
      <c r="I239" s="132">
        <v>99</v>
      </c>
      <c r="J239" s="132"/>
      <c r="K239" s="132">
        <v>99</v>
      </c>
      <c r="L239" s="132"/>
      <c r="M239" s="132">
        <v>101</v>
      </c>
      <c r="N239" s="132">
        <v>99</v>
      </c>
      <c r="O239" s="132"/>
      <c r="P239" s="132">
        <v>99</v>
      </c>
      <c r="Q239" s="132"/>
      <c r="R239" s="132">
        <v>99</v>
      </c>
      <c r="S239" s="132"/>
      <c r="T239" s="132"/>
      <c r="U239" s="151">
        <v>99</v>
      </c>
      <c r="V239" s="151">
        <v>99</v>
      </c>
      <c r="W239" s="307" t="s">
        <v>193</v>
      </c>
      <c r="X239" s="308"/>
      <c r="Y239" s="38">
        <f t="shared" si="80"/>
        <v>0</v>
      </c>
      <c r="Z239" s="38">
        <f t="shared" si="81"/>
        <v>40</v>
      </c>
      <c r="AA239" s="38">
        <f t="shared" si="82"/>
        <v>0</v>
      </c>
      <c r="AB239" s="38">
        <f t="shared" si="90"/>
        <v>0</v>
      </c>
      <c r="AC239" s="38">
        <f t="shared" si="91"/>
        <v>0</v>
      </c>
      <c r="AD239" s="38">
        <f t="shared" si="92"/>
        <v>0</v>
      </c>
      <c r="AE239" s="38">
        <f t="shared" si="93"/>
        <v>0</v>
      </c>
      <c r="AF239" s="38">
        <f t="shared" si="94"/>
        <v>0</v>
      </c>
      <c r="AG239" s="33">
        <f t="shared" si="95"/>
        <v>0</v>
      </c>
      <c r="AH239" s="33">
        <f t="shared" si="96"/>
        <v>40</v>
      </c>
      <c r="AI239" s="33">
        <f t="shared" si="97"/>
        <v>0</v>
      </c>
      <c r="AJ239" s="33">
        <f t="shared" si="98"/>
        <v>0</v>
      </c>
      <c r="AK239" s="34">
        <f t="shared" si="99"/>
        <v>0</v>
      </c>
      <c r="AL239" s="35">
        <f t="shared" si="100"/>
        <v>0.28169014084507044</v>
      </c>
      <c r="AM239" s="34">
        <f t="shared" si="83"/>
        <v>0</v>
      </c>
      <c r="AN239" s="36">
        <f t="shared" si="101"/>
        <v>0</v>
      </c>
      <c r="AO239" s="6">
        <f t="shared" si="84"/>
        <v>0</v>
      </c>
      <c r="AP239">
        <f t="shared" si="85"/>
        <v>8</v>
      </c>
      <c r="AQ239" s="6">
        <f t="shared" si="86"/>
        <v>0</v>
      </c>
      <c r="AR239" s="6">
        <f t="shared" si="87"/>
        <v>0</v>
      </c>
      <c r="AS239" s="6"/>
      <c r="AX239" s="95">
        <f t="shared" si="88"/>
        <v>42362</v>
      </c>
      <c r="AY239" s="96" t="str">
        <f t="shared" si="89"/>
        <v>qui</v>
      </c>
      <c r="AZ239" s="97">
        <f>IF(OR(AY239="SÁB",AY239="DOM"),0,IFERROR(8-VLOOKUP(C239,'Dados de consulta'!$A$2:$C$38,3,0),8))</f>
        <v>8</v>
      </c>
      <c r="BA239" s="97">
        <f>IF(OR(AY239="SÁB",AY239="DOM"),0,IFERROR(8-VLOOKUP(D239,'Dados de consulta'!$A$2:$C$38,3,0),8))</f>
        <v>8</v>
      </c>
      <c r="BB239" s="97">
        <f>IF(OR(AY239="SÁB",AY239="DOM"),0,IFERROR(8-VLOOKUP(E239,'Dados de consulta'!$A$2:$C$38,3,0),8))</f>
        <v>8</v>
      </c>
      <c r="BC239" s="97">
        <f>IF(OR(AY239="SÁB",AY239="DOM"),0,IFERROR(8-VLOOKUP(F239,'Dados de consulta'!$A$2:$C$38,3,0),8))</f>
        <v>8</v>
      </c>
      <c r="BD239" s="97">
        <f>IF(OR(AY239="SÁB",AY239="DOM"),0,IFERROR(8-VLOOKUP(G239,'Dados de consulta'!$A$2:$C$38,3,0),8))</f>
        <v>8</v>
      </c>
      <c r="BE239" s="97">
        <f>IF(OR(AY239="SÁB",AY239="DOM"),0,IFERROR(8-VLOOKUP(H239,'Dados de consulta'!$A$2:$C$38,3,0),8))</f>
        <v>8</v>
      </c>
      <c r="BF239" s="97">
        <f>IF(OR(AY239="SÁB",AY239="DOM"),0,IFERROR(8-VLOOKUP(I239,'Dados de consulta'!$A$2:$C$38,3,0),8))</f>
        <v>0</v>
      </c>
      <c r="BG239" s="97">
        <f>IF(OR(AY239="SÁB",AY239="DOM"),0,IFERROR(8-VLOOKUP(J239,'Dados de consulta'!$A$2:$C$38,3,0),8))</f>
        <v>8</v>
      </c>
      <c r="BH239" s="97">
        <f>IF(OR(AY239="SÁB",AY239="DOM"),0,IFERROR(8-VLOOKUP(K239,'Dados de consulta'!$A$2:$C$38,3,0),8))</f>
        <v>0</v>
      </c>
      <c r="BI239" s="97">
        <f>IF(OR(AY239="SÁB",AY239="DOM"),0,IFERROR(8-VLOOKUP(L239,'Dados de consulta'!$A$2:$C$38,3,0),8))</f>
        <v>8</v>
      </c>
      <c r="BJ239" s="97">
        <f>IF(OR(AY239="SÁB",AY239="DOM"),0,IFERROR(8-VLOOKUP(M239,'Dados de consulta'!$A$2:$C$38,3,0),8))</f>
        <v>0</v>
      </c>
      <c r="BK239" s="97">
        <f>IF(OR(AY239="SÁB",AY239="DOM"),0,IFERROR(8-VLOOKUP(N239,'Dados de consulta'!$A$2:$C$38,3,0),8))</f>
        <v>0</v>
      </c>
      <c r="BL239" s="97">
        <f>IF(OR(AY239="SÁB",AY239="DOM"),0,IFERROR(8-VLOOKUP(O239,'Dados de consulta'!$A$2:$C$38,3,0),8))</f>
        <v>8</v>
      </c>
      <c r="BM239" s="97">
        <f>IF(OR(AY239="SÁB",AY239="DOM"),0,IFERROR(8-VLOOKUP(P239,'Dados de consulta'!$A$2:$C$38,3,0),8))</f>
        <v>0</v>
      </c>
      <c r="BN239" s="97">
        <f>IF(OR(AY239="SÁB",AY239="DOM"),0,IFERROR(8-VLOOKUP(Q239,'Dados de consulta'!$A$2:$C$38,3,0),8))</f>
        <v>8</v>
      </c>
      <c r="BO239" s="97">
        <f>IF(OR(AY239="SÁB",AY239="DOM"),0,IFERROR(8-VLOOKUP(R239,'Dados de consulta'!$A$2:$C$38,3,0),8))</f>
        <v>0</v>
      </c>
      <c r="BP239" s="97">
        <f>IF(OR(AY239="SÁB",AY239="DOM"),0,IFERROR(8-VLOOKUP(S239,'Dados de consulta'!$A$2:$C$38,3,0),8))</f>
        <v>8</v>
      </c>
      <c r="BQ239" s="113">
        <f>IFERROR(6-VLOOKUP(T239,'Dados de consulta'!$A$2:$C$38,3,0)+2,6)</f>
        <v>6</v>
      </c>
      <c r="BR239" s="114">
        <f t="shared" si="102"/>
        <v>94</v>
      </c>
      <c r="BS239">
        <f t="shared" si="78"/>
        <v>0</v>
      </c>
      <c r="BU239">
        <f>IFERROR(8-VLOOKUP(U239,'Dados de consulta'!$A:$D,3,0),8)</f>
        <v>0</v>
      </c>
      <c r="BV239">
        <f>IFERROR(8-VLOOKUP(V239,'Dados de consulta'!$A:$D,3,0),8)</f>
        <v>0</v>
      </c>
      <c r="BW239">
        <f t="shared" si="103"/>
        <v>0</v>
      </c>
    </row>
    <row r="240" spans="1:75" ht="15" hidden="1" x14ac:dyDescent="0.2">
      <c r="A240" s="98">
        <v>42363</v>
      </c>
      <c r="B240" s="129" t="str">
        <f t="shared" si="79"/>
        <v>sex</v>
      </c>
      <c r="C240" s="132">
        <v>17</v>
      </c>
      <c r="D240" s="132">
        <v>17</v>
      </c>
      <c r="E240" s="132">
        <v>17</v>
      </c>
      <c r="F240" s="132">
        <v>17</v>
      </c>
      <c r="G240" s="132">
        <v>17</v>
      </c>
      <c r="H240" s="132">
        <v>17</v>
      </c>
      <c r="I240" s="132">
        <v>17</v>
      </c>
      <c r="J240" s="132">
        <v>17</v>
      </c>
      <c r="K240" s="132">
        <v>17</v>
      </c>
      <c r="L240" s="132">
        <v>17</v>
      </c>
      <c r="M240" s="132">
        <v>17</v>
      </c>
      <c r="N240" s="132">
        <v>17</v>
      </c>
      <c r="O240" s="132">
        <v>17</v>
      </c>
      <c r="P240" s="132">
        <v>17</v>
      </c>
      <c r="Q240" s="132">
        <v>17</v>
      </c>
      <c r="R240" s="132">
        <v>17</v>
      </c>
      <c r="S240" s="132">
        <v>17</v>
      </c>
      <c r="T240" s="132">
        <v>17</v>
      </c>
      <c r="U240" s="151">
        <v>17</v>
      </c>
      <c r="V240" s="151">
        <v>17</v>
      </c>
      <c r="W240" s="307" t="s">
        <v>193</v>
      </c>
      <c r="X240" s="308"/>
      <c r="Y240" s="38">
        <f t="shared" si="80"/>
        <v>0</v>
      </c>
      <c r="Z240" s="38">
        <f t="shared" si="81"/>
        <v>0</v>
      </c>
      <c r="AA240" s="38">
        <f t="shared" si="82"/>
        <v>0</v>
      </c>
      <c r="AB240" s="38">
        <f t="shared" si="90"/>
        <v>0</v>
      </c>
      <c r="AC240" s="38">
        <f t="shared" si="91"/>
        <v>0</v>
      </c>
      <c r="AD240" s="38">
        <f t="shared" si="92"/>
        <v>0</v>
      </c>
      <c r="AE240" s="38">
        <f t="shared" si="93"/>
        <v>0</v>
      </c>
      <c r="AF240" s="38">
        <f t="shared" si="94"/>
        <v>0</v>
      </c>
      <c r="AG240" s="33">
        <f t="shared" si="95"/>
        <v>0</v>
      </c>
      <c r="AH240" s="33">
        <f t="shared" si="96"/>
        <v>0</v>
      </c>
      <c r="AI240" s="33">
        <f t="shared" si="97"/>
        <v>0</v>
      </c>
      <c r="AJ240" s="33">
        <f t="shared" si="98"/>
        <v>0</v>
      </c>
      <c r="AK240" s="34">
        <f t="shared" si="99"/>
        <v>0</v>
      </c>
      <c r="AL240" s="35">
        <f t="shared" si="100"/>
        <v>0</v>
      </c>
      <c r="AM240" s="34">
        <f t="shared" si="83"/>
        <v>0</v>
      </c>
      <c r="AN240" s="36">
        <f t="shared" si="101"/>
        <v>0</v>
      </c>
      <c r="AO240" s="6">
        <f t="shared" si="84"/>
        <v>0</v>
      </c>
      <c r="AP240">
        <f t="shared" si="85"/>
        <v>0</v>
      </c>
      <c r="AQ240" s="6">
        <f t="shared" si="86"/>
        <v>0</v>
      </c>
      <c r="AR240" s="6">
        <f t="shared" si="87"/>
        <v>0</v>
      </c>
      <c r="AS240" s="6"/>
      <c r="AX240" s="95">
        <f t="shared" si="88"/>
        <v>42363</v>
      </c>
      <c r="AY240" s="96" t="str">
        <f t="shared" si="89"/>
        <v>sex</v>
      </c>
      <c r="AZ240" s="97">
        <f>IF(OR(AY240="SÁB",AY240="DOM"),0,IFERROR(8-VLOOKUP(C240,'Dados de consulta'!$A$2:$C$38,3,0),8))</f>
        <v>0</v>
      </c>
      <c r="BA240" s="97">
        <f>IF(OR(AY240="SÁB",AY240="DOM"),0,IFERROR(8-VLOOKUP(D240,'Dados de consulta'!$A$2:$C$38,3,0),8))</f>
        <v>0</v>
      </c>
      <c r="BB240" s="97">
        <f>IF(OR(AY240="SÁB",AY240="DOM"),0,IFERROR(8-VLOOKUP(E240,'Dados de consulta'!$A$2:$C$38,3,0),8))</f>
        <v>0</v>
      </c>
      <c r="BC240" s="97">
        <f>IF(OR(AY240="SÁB",AY240="DOM"),0,IFERROR(8-VLOOKUP(F240,'Dados de consulta'!$A$2:$C$38,3,0),8))</f>
        <v>0</v>
      </c>
      <c r="BD240" s="97">
        <f>IF(OR(AY240="SÁB",AY240="DOM"),0,IFERROR(8-VLOOKUP(G240,'Dados de consulta'!$A$2:$C$38,3,0),8))</f>
        <v>0</v>
      </c>
      <c r="BE240" s="97">
        <f>IF(OR(AY240="SÁB",AY240="DOM"),0,IFERROR(8-VLOOKUP(H240,'Dados de consulta'!$A$2:$C$38,3,0),8))</f>
        <v>0</v>
      </c>
      <c r="BF240" s="97">
        <f>IF(OR(AY240="SÁB",AY240="DOM"),0,IFERROR(8-VLOOKUP(I240,'Dados de consulta'!$A$2:$C$38,3,0),8))</f>
        <v>0</v>
      </c>
      <c r="BG240" s="97">
        <f>IF(OR(AY240="SÁB",AY240="DOM"),0,IFERROR(8-VLOOKUP(J240,'Dados de consulta'!$A$2:$C$38,3,0),8))</f>
        <v>0</v>
      </c>
      <c r="BH240" s="97">
        <f>IF(OR(AY240="SÁB",AY240="DOM"),0,IFERROR(8-VLOOKUP(K240,'Dados de consulta'!$A$2:$C$38,3,0),8))</f>
        <v>0</v>
      </c>
      <c r="BI240" s="97">
        <f>IF(OR(AY240="SÁB",AY240="DOM"),0,IFERROR(8-VLOOKUP(L240,'Dados de consulta'!$A$2:$C$38,3,0),8))</f>
        <v>0</v>
      </c>
      <c r="BJ240" s="97">
        <f>IF(OR(AY240="SÁB",AY240="DOM"),0,IFERROR(8-VLOOKUP(M240,'Dados de consulta'!$A$2:$C$38,3,0),8))</f>
        <v>0</v>
      </c>
      <c r="BK240" s="97">
        <f>IF(OR(AY240="SÁB",AY240="DOM"),0,IFERROR(8-VLOOKUP(N240,'Dados de consulta'!$A$2:$C$38,3,0),8))</f>
        <v>0</v>
      </c>
      <c r="BL240" s="97">
        <f>IF(OR(AY240="SÁB",AY240="DOM"),0,IFERROR(8-VLOOKUP(O240,'Dados de consulta'!$A$2:$C$38,3,0),8))</f>
        <v>0</v>
      </c>
      <c r="BM240" s="97">
        <f>IF(OR(AY240="SÁB",AY240="DOM"),0,IFERROR(8-VLOOKUP(P240,'Dados de consulta'!$A$2:$C$38,3,0),8))</f>
        <v>0</v>
      </c>
      <c r="BN240" s="97">
        <f>IF(OR(AY240="SÁB",AY240="DOM"),0,IFERROR(8-VLOOKUP(Q240,'Dados de consulta'!$A$2:$C$38,3,0),8))</f>
        <v>0</v>
      </c>
      <c r="BO240" s="97">
        <f>IF(OR(AY240="SÁB",AY240="DOM"),0,IFERROR(8-VLOOKUP(R240,'Dados de consulta'!$A$2:$C$38,3,0),8))</f>
        <v>0</v>
      </c>
      <c r="BP240" s="97">
        <f>IF(OR(AY240="SÁB",AY240="DOM"),0,IFERROR(8-VLOOKUP(S240,'Dados de consulta'!$A$2:$C$38,3,0),8))</f>
        <v>0</v>
      </c>
      <c r="BQ240" s="113">
        <f>IFERROR(6-VLOOKUP(T240,'Dados de consulta'!$A$2:$C$38,3,0)+2,6)</f>
        <v>0</v>
      </c>
      <c r="BR240" s="114">
        <f t="shared" si="102"/>
        <v>0</v>
      </c>
      <c r="BS240">
        <f t="shared" si="78"/>
        <v>142</v>
      </c>
      <c r="BU240">
        <f>IFERROR(8-VLOOKUP(U240,'Dados de consulta'!$A:$D,3,0),8)</f>
        <v>0</v>
      </c>
      <c r="BV240">
        <f>IFERROR(8-VLOOKUP(V240,'Dados de consulta'!$A:$D,3,0),8)</f>
        <v>0</v>
      </c>
      <c r="BW240">
        <f t="shared" si="103"/>
        <v>0</v>
      </c>
    </row>
    <row r="241" spans="1:75" ht="15" hidden="1" x14ac:dyDescent="0.2">
      <c r="A241" s="98">
        <v>42364</v>
      </c>
      <c r="B241" s="129" t="str">
        <f t="shared" si="79"/>
        <v>sáb</v>
      </c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>
        <v>101</v>
      </c>
      <c r="N241" s="132"/>
      <c r="O241" s="132"/>
      <c r="P241" s="132"/>
      <c r="Q241" s="132"/>
      <c r="R241" s="132"/>
      <c r="S241" s="132"/>
      <c r="T241" s="132"/>
      <c r="U241" s="151"/>
      <c r="V241" s="151"/>
      <c r="W241" s="307" t="s">
        <v>193</v>
      </c>
      <c r="X241" s="308"/>
      <c r="Y241" s="38">
        <f t="shared" si="80"/>
        <v>0</v>
      </c>
      <c r="Z241" s="38">
        <f t="shared" si="81"/>
        <v>0</v>
      </c>
      <c r="AA241" s="38">
        <f t="shared" si="82"/>
        <v>0</v>
      </c>
      <c r="AB241" s="38">
        <f t="shared" si="90"/>
        <v>0</v>
      </c>
      <c r="AC241" s="38">
        <f t="shared" si="91"/>
        <v>0</v>
      </c>
      <c r="AD241" s="38">
        <f t="shared" si="92"/>
        <v>0</v>
      </c>
      <c r="AE241" s="38">
        <f t="shared" si="93"/>
        <v>0</v>
      </c>
      <c r="AF241" s="38">
        <f t="shared" si="94"/>
        <v>0</v>
      </c>
      <c r="AG241" s="33">
        <f t="shared" si="95"/>
        <v>0</v>
      </c>
      <c r="AH241" s="33">
        <f t="shared" si="96"/>
        <v>0</v>
      </c>
      <c r="AI241" s="33">
        <f t="shared" si="97"/>
        <v>0</v>
      </c>
      <c r="AJ241" s="33">
        <f t="shared" si="98"/>
        <v>0</v>
      </c>
      <c r="AK241" s="34">
        <f t="shared" si="99"/>
        <v>0</v>
      </c>
      <c r="AL241" s="35">
        <f t="shared" si="100"/>
        <v>0</v>
      </c>
      <c r="AM241" s="34">
        <f t="shared" si="83"/>
        <v>0</v>
      </c>
      <c r="AN241" s="36">
        <f t="shared" si="101"/>
        <v>0</v>
      </c>
      <c r="AO241" s="6">
        <f t="shared" si="84"/>
        <v>0</v>
      </c>
      <c r="AP241">
        <f t="shared" si="85"/>
        <v>8</v>
      </c>
      <c r="AQ241" s="6">
        <f t="shared" si="86"/>
        <v>0</v>
      </c>
      <c r="AR241" s="6">
        <f t="shared" si="87"/>
        <v>0</v>
      </c>
      <c r="AS241" s="6"/>
      <c r="AX241" s="95">
        <f t="shared" si="88"/>
        <v>42364</v>
      </c>
      <c r="AY241" s="96" t="str">
        <f t="shared" si="89"/>
        <v>sáb</v>
      </c>
      <c r="AZ241" s="97">
        <f>IF(OR(AY241="SÁB",AY241="DOM"),0,IFERROR(8-VLOOKUP(C241,'Dados de consulta'!$A$2:$C$38,3,0),8))</f>
        <v>0</v>
      </c>
      <c r="BA241" s="97">
        <f>IF(OR(AY241="SÁB",AY241="DOM"),0,IFERROR(8-VLOOKUP(D241,'Dados de consulta'!$A$2:$C$38,3,0),8))</f>
        <v>0</v>
      </c>
      <c r="BB241" s="97">
        <f>IF(OR(AY241="SÁB",AY241="DOM"),0,IFERROR(8-VLOOKUP(E241,'Dados de consulta'!$A$2:$C$38,3,0),8))</f>
        <v>0</v>
      </c>
      <c r="BC241" s="97">
        <f>IF(OR(AY241="SÁB",AY241="DOM"),0,IFERROR(8-VLOOKUP(F241,'Dados de consulta'!$A$2:$C$38,3,0),8))</f>
        <v>0</v>
      </c>
      <c r="BD241" s="97">
        <f>IF(OR(AY241="SÁB",AY241="DOM"),0,IFERROR(8-VLOOKUP(G241,'Dados de consulta'!$A$2:$C$38,3,0),8))</f>
        <v>0</v>
      </c>
      <c r="BE241" s="97">
        <f>IF(OR(AY241="SÁB",AY241="DOM"),0,IFERROR(8-VLOOKUP(H241,'Dados de consulta'!$A$2:$C$38,3,0),8))</f>
        <v>0</v>
      </c>
      <c r="BF241" s="97">
        <f>IF(OR(AY241="SÁB",AY241="DOM"),0,IFERROR(8-VLOOKUP(I241,'Dados de consulta'!$A$2:$C$38,3,0),8))</f>
        <v>0</v>
      </c>
      <c r="BG241" s="97">
        <f>IF(OR(AY241="SÁB",AY241="DOM"),0,IFERROR(8-VLOOKUP(J241,'Dados de consulta'!$A$2:$C$38,3,0),8))</f>
        <v>0</v>
      </c>
      <c r="BH241" s="97">
        <f>IF(OR(AY241="SÁB",AY241="DOM"),0,IFERROR(8-VLOOKUP(K241,'Dados de consulta'!$A$2:$C$38,3,0),8))</f>
        <v>0</v>
      </c>
      <c r="BI241" s="97">
        <f>IF(OR(AY241="SÁB",AY241="DOM"),0,IFERROR(8-VLOOKUP(L241,'Dados de consulta'!$A$2:$C$38,3,0),8))</f>
        <v>0</v>
      </c>
      <c r="BJ241" s="97">
        <f>IF(OR(AY241="SÁB",AY241="DOM"),0,IFERROR(8-VLOOKUP(M241,'Dados de consulta'!$A$2:$C$38,3,0),8))</f>
        <v>0</v>
      </c>
      <c r="BK241" s="97">
        <f>IF(OR(AY241="SÁB",AY241="DOM"),0,IFERROR(8-VLOOKUP(N241,'Dados de consulta'!$A$2:$C$38,3,0),8))</f>
        <v>0</v>
      </c>
      <c r="BL241" s="97">
        <f>IF(OR(AY241="SÁB",AY241="DOM"),0,IFERROR(8-VLOOKUP(O241,'Dados de consulta'!$A$2:$C$38,3,0),8))</f>
        <v>0</v>
      </c>
      <c r="BM241" s="97">
        <f>IF(OR(AY241="SÁB",AY241="DOM"),0,IFERROR(8-VLOOKUP(P241,'Dados de consulta'!$A$2:$C$38,3,0),8))</f>
        <v>0</v>
      </c>
      <c r="BN241" s="97">
        <f>IF(OR(AY241="SÁB",AY241="DOM"),0,IFERROR(8-VLOOKUP(Q241,'Dados de consulta'!$A$2:$C$38,3,0),8))</f>
        <v>0</v>
      </c>
      <c r="BO241" s="97">
        <f>IF(OR(AY241="SÁB",AY241="DOM"),0,IFERROR(8-VLOOKUP(R241,'Dados de consulta'!$A$2:$C$38,3,0),8))</f>
        <v>0</v>
      </c>
      <c r="BP241" s="97">
        <f>IF(OR(AY241="SÁB",AY241="DOM"),0,IFERROR(8-VLOOKUP(S241,'Dados de consulta'!$A$2:$C$38,3,0),8))</f>
        <v>0</v>
      </c>
      <c r="BQ241" s="113">
        <f>IFERROR(6-VLOOKUP(T241,'Dados de consulta'!$A$2:$C$38,3,0)+2,6)</f>
        <v>6</v>
      </c>
      <c r="BR241" s="114">
        <f t="shared" si="102"/>
        <v>0</v>
      </c>
      <c r="BS241">
        <f t="shared" si="78"/>
        <v>0</v>
      </c>
      <c r="BU241">
        <f>IFERROR(8-VLOOKUP(U241,'Dados de consulta'!$A:$D,3,0),8)</f>
        <v>8</v>
      </c>
      <c r="BV241">
        <f>IFERROR(8-VLOOKUP(V241,'Dados de consulta'!$A:$D,3,0),8)</f>
        <v>8</v>
      </c>
      <c r="BW241">
        <f t="shared" si="103"/>
        <v>16</v>
      </c>
    </row>
    <row r="242" spans="1:75" ht="15" hidden="1" x14ac:dyDescent="0.2">
      <c r="A242" s="98">
        <v>42365</v>
      </c>
      <c r="B242" s="129" t="str">
        <f t="shared" si="79"/>
        <v>dom</v>
      </c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>
        <v>101</v>
      </c>
      <c r="N242" s="132"/>
      <c r="O242" s="132"/>
      <c r="P242" s="132"/>
      <c r="Q242" s="132"/>
      <c r="R242" s="132"/>
      <c r="S242" s="132"/>
      <c r="T242" s="132"/>
      <c r="U242" s="151"/>
      <c r="V242" s="151"/>
      <c r="W242" s="307" t="s">
        <v>193</v>
      </c>
      <c r="X242" s="308"/>
      <c r="Y242" s="38">
        <f t="shared" si="80"/>
        <v>0</v>
      </c>
      <c r="Z242" s="38">
        <f t="shared" si="81"/>
        <v>0</v>
      </c>
      <c r="AA242" s="38">
        <f t="shared" si="82"/>
        <v>0</v>
      </c>
      <c r="AB242" s="38">
        <f t="shared" si="90"/>
        <v>0</v>
      </c>
      <c r="AC242" s="38">
        <f t="shared" si="91"/>
        <v>0</v>
      </c>
      <c r="AD242" s="38">
        <f t="shared" si="92"/>
        <v>0</v>
      </c>
      <c r="AE242" s="38">
        <f t="shared" si="93"/>
        <v>0</v>
      </c>
      <c r="AF242" s="38">
        <f t="shared" si="94"/>
        <v>0</v>
      </c>
      <c r="AG242" s="33">
        <f t="shared" si="95"/>
        <v>0</v>
      </c>
      <c r="AH242" s="33">
        <f t="shared" si="96"/>
        <v>0</v>
      </c>
      <c r="AI242" s="33">
        <f t="shared" si="97"/>
        <v>0</v>
      </c>
      <c r="AJ242" s="33">
        <f t="shared" si="98"/>
        <v>0</v>
      </c>
      <c r="AK242" s="34">
        <f t="shared" si="99"/>
        <v>0</v>
      </c>
      <c r="AL242" s="35">
        <f t="shared" si="100"/>
        <v>0</v>
      </c>
      <c r="AM242" s="34">
        <f t="shared" si="83"/>
        <v>0</v>
      </c>
      <c r="AN242" s="36">
        <f t="shared" si="101"/>
        <v>0</v>
      </c>
      <c r="AO242" s="6">
        <f t="shared" si="84"/>
        <v>0</v>
      </c>
      <c r="AP242">
        <f t="shared" si="85"/>
        <v>8</v>
      </c>
      <c r="AQ242" s="6">
        <f t="shared" si="86"/>
        <v>0</v>
      </c>
      <c r="AR242" s="6">
        <f t="shared" si="87"/>
        <v>0</v>
      </c>
      <c r="AS242" s="6"/>
      <c r="AX242" s="95">
        <f t="shared" si="88"/>
        <v>42365</v>
      </c>
      <c r="AY242" s="96" t="str">
        <f t="shared" si="89"/>
        <v>dom</v>
      </c>
      <c r="AZ242" s="97">
        <f>IF(OR(AY242="SÁB",AY242="DOM"),0,IFERROR(8-VLOOKUP(C242,'Dados de consulta'!$A$2:$C$38,3,0),8))</f>
        <v>0</v>
      </c>
      <c r="BA242" s="97">
        <f>IF(OR(AY242="SÁB",AY242="DOM"),0,IFERROR(8-VLOOKUP(D242,'Dados de consulta'!$A$2:$C$38,3,0),8))</f>
        <v>0</v>
      </c>
      <c r="BB242" s="97">
        <f>IF(OR(AY242="SÁB",AY242="DOM"),0,IFERROR(8-VLOOKUP(E242,'Dados de consulta'!$A$2:$C$38,3,0),8))</f>
        <v>0</v>
      </c>
      <c r="BC242" s="97">
        <f>IF(OR(AY242="SÁB",AY242="DOM"),0,IFERROR(8-VLOOKUP(F242,'Dados de consulta'!$A$2:$C$38,3,0),8))</f>
        <v>0</v>
      </c>
      <c r="BD242" s="97">
        <f>IF(OR(AY242="SÁB",AY242="DOM"),0,IFERROR(8-VLOOKUP(G242,'Dados de consulta'!$A$2:$C$38,3,0),8))</f>
        <v>0</v>
      </c>
      <c r="BE242" s="97">
        <f>IF(OR(AY242="SÁB",AY242="DOM"),0,IFERROR(8-VLOOKUP(H242,'Dados de consulta'!$A$2:$C$38,3,0),8))</f>
        <v>0</v>
      </c>
      <c r="BF242" s="97">
        <f>IF(OR(AY242="SÁB",AY242="DOM"),0,IFERROR(8-VLOOKUP(I242,'Dados de consulta'!$A$2:$C$38,3,0),8))</f>
        <v>0</v>
      </c>
      <c r="BG242" s="97">
        <f>IF(OR(AY242="SÁB",AY242="DOM"),0,IFERROR(8-VLOOKUP(J242,'Dados de consulta'!$A$2:$C$38,3,0),8))</f>
        <v>0</v>
      </c>
      <c r="BH242" s="97">
        <f>IF(OR(AY242="SÁB",AY242="DOM"),0,IFERROR(8-VLOOKUP(K242,'Dados de consulta'!$A$2:$C$38,3,0),8))</f>
        <v>0</v>
      </c>
      <c r="BI242" s="97">
        <f>IF(OR(AY242="SÁB",AY242="DOM"),0,IFERROR(8-VLOOKUP(L242,'Dados de consulta'!$A$2:$C$38,3,0),8))</f>
        <v>0</v>
      </c>
      <c r="BJ242" s="97">
        <f>IF(OR(AY242="SÁB",AY242="DOM"),0,IFERROR(8-VLOOKUP(M242,'Dados de consulta'!$A$2:$C$38,3,0),8))</f>
        <v>0</v>
      </c>
      <c r="BK242" s="97">
        <f>IF(OR(AY242="SÁB",AY242="DOM"),0,IFERROR(8-VLOOKUP(N242,'Dados de consulta'!$A$2:$C$38,3,0),8))</f>
        <v>0</v>
      </c>
      <c r="BL242" s="97">
        <f>IF(OR(AY242="SÁB",AY242="DOM"),0,IFERROR(8-VLOOKUP(O242,'Dados de consulta'!$A$2:$C$38,3,0),8))</f>
        <v>0</v>
      </c>
      <c r="BM242" s="97">
        <f>IF(OR(AY242="SÁB",AY242="DOM"),0,IFERROR(8-VLOOKUP(P242,'Dados de consulta'!$A$2:$C$38,3,0),8))</f>
        <v>0</v>
      </c>
      <c r="BN242" s="97">
        <f>IF(OR(AY242="SÁB",AY242="DOM"),0,IFERROR(8-VLOOKUP(Q242,'Dados de consulta'!$A$2:$C$38,3,0),8))</f>
        <v>0</v>
      </c>
      <c r="BO242" s="97">
        <f>IF(OR(AY242="SÁB",AY242="DOM"),0,IFERROR(8-VLOOKUP(R242,'Dados de consulta'!$A$2:$C$38,3,0),8))</f>
        <v>0</v>
      </c>
      <c r="BP242" s="97">
        <f>IF(OR(AY242="SÁB",AY242="DOM"),0,IFERROR(8-VLOOKUP(S242,'Dados de consulta'!$A$2:$C$38,3,0),8))</f>
        <v>0</v>
      </c>
      <c r="BQ242" s="113">
        <f>IFERROR(6-VLOOKUP(T242,'Dados de consulta'!$A$2:$C$38,3,0)+2,6)</f>
        <v>6</v>
      </c>
      <c r="BR242" s="114">
        <f t="shared" si="102"/>
        <v>0</v>
      </c>
      <c r="BS242">
        <f t="shared" si="78"/>
        <v>0</v>
      </c>
      <c r="BU242">
        <f>IFERROR(8-VLOOKUP(U242,'Dados de consulta'!$A:$D,3,0),8)</f>
        <v>8</v>
      </c>
      <c r="BV242">
        <f>IFERROR(8-VLOOKUP(V242,'Dados de consulta'!$A:$D,3,0),8)</f>
        <v>8</v>
      </c>
      <c r="BW242">
        <f t="shared" si="103"/>
        <v>16</v>
      </c>
    </row>
    <row r="243" spans="1:75" ht="15" hidden="1" x14ac:dyDescent="0.2">
      <c r="A243" s="98">
        <v>42366</v>
      </c>
      <c r="B243" s="129" t="str">
        <f t="shared" si="79"/>
        <v>seg</v>
      </c>
      <c r="C243" s="132">
        <v>99</v>
      </c>
      <c r="D243" s="132"/>
      <c r="E243" s="132">
        <v>99</v>
      </c>
      <c r="F243" s="132">
        <v>99</v>
      </c>
      <c r="G243" s="132"/>
      <c r="H243" s="132">
        <v>99</v>
      </c>
      <c r="I243" s="132"/>
      <c r="J243" s="132">
        <v>99</v>
      </c>
      <c r="K243" s="132">
        <v>18</v>
      </c>
      <c r="L243" s="132">
        <v>99</v>
      </c>
      <c r="M243" s="132">
        <v>101</v>
      </c>
      <c r="N243" s="132"/>
      <c r="O243" s="132">
        <v>99</v>
      </c>
      <c r="P243" s="132"/>
      <c r="Q243" s="132">
        <v>99</v>
      </c>
      <c r="R243" s="132"/>
      <c r="S243" s="132">
        <v>99</v>
      </c>
      <c r="T243" s="132">
        <v>99</v>
      </c>
      <c r="U243" s="151"/>
      <c r="V243" s="151"/>
      <c r="W243" s="307" t="s">
        <v>193</v>
      </c>
      <c r="X243" s="308"/>
      <c r="Y243" s="38">
        <f t="shared" si="80"/>
        <v>0</v>
      </c>
      <c r="Z243" s="38">
        <f t="shared" si="81"/>
        <v>80</v>
      </c>
      <c r="AA243" s="38">
        <f t="shared" si="82"/>
        <v>0</v>
      </c>
      <c r="AB243" s="38">
        <f t="shared" si="90"/>
        <v>0</v>
      </c>
      <c r="AC243" s="38">
        <f t="shared" si="91"/>
        <v>0</v>
      </c>
      <c r="AD243" s="38">
        <f t="shared" si="92"/>
        <v>6</v>
      </c>
      <c r="AE243" s="38">
        <f t="shared" si="93"/>
        <v>0</v>
      </c>
      <c r="AF243" s="38">
        <f t="shared" si="94"/>
        <v>0</v>
      </c>
      <c r="AG243" s="33">
        <f t="shared" si="95"/>
        <v>0</v>
      </c>
      <c r="AH243" s="33">
        <f t="shared" si="96"/>
        <v>86</v>
      </c>
      <c r="AI243" s="33">
        <f t="shared" si="97"/>
        <v>0</v>
      </c>
      <c r="AJ243" s="33">
        <f t="shared" si="98"/>
        <v>0</v>
      </c>
      <c r="AK243" s="34">
        <f t="shared" si="99"/>
        <v>0</v>
      </c>
      <c r="AL243" s="35">
        <f t="shared" si="100"/>
        <v>0.60563380281690138</v>
      </c>
      <c r="AM243" s="34">
        <f t="shared" si="83"/>
        <v>0</v>
      </c>
      <c r="AN243" s="36">
        <f t="shared" si="101"/>
        <v>0</v>
      </c>
      <c r="AO243" s="6">
        <f t="shared" si="84"/>
        <v>0</v>
      </c>
      <c r="AP243">
        <f t="shared" si="85"/>
        <v>8</v>
      </c>
      <c r="AQ243" s="6">
        <f t="shared" si="86"/>
        <v>0</v>
      </c>
      <c r="AR243" s="6">
        <f t="shared" si="87"/>
        <v>0</v>
      </c>
      <c r="AS243" s="6"/>
      <c r="AX243" s="95">
        <f t="shared" si="88"/>
        <v>42366</v>
      </c>
      <c r="AY243" s="96" t="str">
        <f t="shared" si="89"/>
        <v>seg</v>
      </c>
      <c r="AZ243" s="97">
        <f>IF(OR(AY243="SÁB",AY243="DOM"),0,IFERROR(8-VLOOKUP(C243,'Dados de consulta'!$A$2:$C$38,3,0),8))</f>
        <v>0</v>
      </c>
      <c r="BA243" s="97">
        <f>IF(OR(AY243="SÁB",AY243="DOM"),0,IFERROR(8-VLOOKUP(D243,'Dados de consulta'!$A$2:$C$38,3,0),8))</f>
        <v>8</v>
      </c>
      <c r="BB243" s="97">
        <f>IF(OR(AY243="SÁB",AY243="DOM"),0,IFERROR(8-VLOOKUP(E243,'Dados de consulta'!$A$2:$C$38,3,0),8))</f>
        <v>0</v>
      </c>
      <c r="BC243" s="97">
        <f>IF(OR(AY243="SÁB",AY243="DOM"),0,IFERROR(8-VLOOKUP(F243,'Dados de consulta'!$A$2:$C$38,3,0),8))</f>
        <v>0</v>
      </c>
      <c r="BD243" s="97">
        <f>IF(OR(AY243="SÁB",AY243="DOM"),0,IFERROR(8-VLOOKUP(G243,'Dados de consulta'!$A$2:$C$38,3,0),8))</f>
        <v>8</v>
      </c>
      <c r="BE243" s="97">
        <f>IF(OR(AY243="SÁB",AY243="DOM"),0,IFERROR(8-VLOOKUP(H243,'Dados de consulta'!$A$2:$C$38,3,0),8))</f>
        <v>0</v>
      </c>
      <c r="BF243" s="97">
        <f>IF(OR(AY243="SÁB",AY243="DOM"),0,IFERROR(8-VLOOKUP(I243,'Dados de consulta'!$A$2:$C$38,3,0),8))</f>
        <v>8</v>
      </c>
      <c r="BG243" s="97">
        <f>IF(OR(AY243="SÁB",AY243="DOM"),0,IFERROR(8-VLOOKUP(J243,'Dados de consulta'!$A$2:$C$38,3,0),8))</f>
        <v>0</v>
      </c>
      <c r="BH243" s="97">
        <f>IF(OR(AY243="SÁB",AY243="DOM"),0,IFERROR(8-VLOOKUP(K243,'Dados de consulta'!$A$2:$C$38,3,0),8))</f>
        <v>0</v>
      </c>
      <c r="BI243" s="97">
        <f>IF(OR(AY243="SÁB",AY243="DOM"),0,IFERROR(8-VLOOKUP(L243,'Dados de consulta'!$A$2:$C$38,3,0),8))</f>
        <v>0</v>
      </c>
      <c r="BJ243" s="97">
        <f>IF(OR(AY243="SÁB",AY243="DOM"),0,IFERROR(8-VLOOKUP(M243,'Dados de consulta'!$A$2:$C$38,3,0),8))</f>
        <v>0</v>
      </c>
      <c r="BK243" s="97">
        <f>IF(OR(AY243="SÁB",AY243="DOM"),0,IFERROR(8-VLOOKUP(N243,'Dados de consulta'!$A$2:$C$38,3,0),8))</f>
        <v>8</v>
      </c>
      <c r="BL243" s="97">
        <f>IF(OR(AY243="SÁB",AY243="DOM"),0,IFERROR(8-VLOOKUP(O243,'Dados de consulta'!$A$2:$C$38,3,0),8))</f>
        <v>0</v>
      </c>
      <c r="BM243" s="97">
        <f>IF(OR(AY243="SÁB",AY243="DOM"),0,IFERROR(8-VLOOKUP(P243,'Dados de consulta'!$A$2:$C$38,3,0),8))</f>
        <v>8</v>
      </c>
      <c r="BN243" s="97">
        <f>IF(OR(AY243="SÁB",AY243="DOM"),0,IFERROR(8-VLOOKUP(Q243,'Dados de consulta'!$A$2:$C$38,3,0),8))</f>
        <v>0</v>
      </c>
      <c r="BO243" s="97">
        <f>IF(OR(AY243="SÁB",AY243="DOM"),0,IFERROR(8-VLOOKUP(R243,'Dados de consulta'!$A$2:$C$38,3,0),8))</f>
        <v>8</v>
      </c>
      <c r="BP243" s="97">
        <f>IF(OR(AY243="SÁB",AY243="DOM"),0,IFERROR(8-VLOOKUP(S243,'Dados de consulta'!$A$2:$C$38,3,0),8))</f>
        <v>0</v>
      </c>
      <c r="BQ243" s="113">
        <f>IFERROR(6-VLOOKUP(T243,'Dados de consulta'!$A$2:$C$38,3,0)+2,6)</f>
        <v>0</v>
      </c>
      <c r="BR243" s="114">
        <f t="shared" si="102"/>
        <v>48</v>
      </c>
      <c r="BS243">
        <f t="shared" si="78"/>
        <v>134</v>
      </c>
      <c r="BU243">
        <f>IFERROR(8-VLOOKUP(U243,'Dados de consulta'!$A:$D,3,0),8)</f>
        <v>8</v>
      </c>
      <c r="BV243">
        <f>IFERROR(8-VLOOKUP(V243,'Dados de consulta'!$A:$D,3,0),8)</f>
        <v>8</v>
      </c>
      <c r="BW243">
        <f t="shared" si="103"/>
        <v>16</v>
      </c>
    </row>
    <row r="244" spans="1:75" ht="15" hidden="1" x14ac:dyDescent="0.2">
      <c r="A244" s="98">
        <v>42367</v>
      </c>
      <c r="B244" s="129" t="str">
        <f t="shared" si="79"/>
        <v>ter</v>
      </c>
      <c r="C244" s="132">
        <v>99</v>
      </c>
      <c r="D244" s="132"/>
      <c r="E244" s="132">
        <v>99</v>
      </c>
      <c r="F244" s="132">
        <v>99</v>
      </c>
      <c r="G244" s="132"/>
      <c r="H244" s="132">
        <v>99</v>
      </c>
      <c r="I244" s="132"/>
      <c r="J244" s="132">
        <v>99</v>
      </c>
      <c r="K244" s="132">
        <v>18</v>
      </c>
      <c r="L244" s="132">
        <v>99</v>
      </c>
      <c r="M244" s="132">
        <v>101</v>
      </c>
      <c r="N244" s="132"/>
      <c r="O244" s="132">
        <v>99</v>
      </c>
      <c r="P244" s="132"/>
      <c r="Q244" s="132">
        <v>99</v>
      </c>
      <c r="R244" s="132"/>
      <c r="S244" s="132">
        <v>99</v>
      </c>
      <c r="T244" s="132">
        <v>99</v>
      </c>
      <c r="U244" s="151"/>
      <c r="V244" s="151"/>
      <c r="W244" s="307" t="s">
        <v>193</v>
      </c>
      <c r="X244" s="308"/>
      <c r="Y244" s="38">
        <f t="shared" si="80"/>
        <v>0</v>
      </c>
      <c r="Z244" s="38">
        <f t="shared" si="81"/>
        <v>80</v>
      </c>
      <c r="AA244" s="38">
        <f t="shared" si="82"/>
        <v>0</v>
      </c>
      <c r="AB244" s="38">
        <f t="shared" si="90"/>
        <v>0</v>
      </c>
      <c r="AC244" s="38">
        <f t="shared" si="91"/>
        <v>0</v>
      </c>
      <c r="AD244" s="38">
        <f t="shared" si="92"/>
        <v>6</v>
      </c>
      <c r="AE244" s="38">
        <f t="shared" si="93"/>
        <v>0</v>
      </c>
      <c r="AF244" s="38">
        <f t="shared" si="94"/>
        <v>0</v>
      </c>
      <c r="AG244" s="33">
        <f t="shared" si="95"/>
        <v>0</v>
      </c>
      <c r="AH244" s="33">
        <f t="shared" si="96"/>
        <v>86</v>
      </c>
      <c r="AI244" s="33">
        <f t="shared" si="97"/>
        <v>0</v>
      </c>
      <c r="AJ244" s="33">
        <f t="shared" si="98"/>
        <v>0</v>
      </c>
      <c r="AK244" s="34">
        <f t="shared" si="99"/>
        <v>0</v>
      </c>
      <c r="AL244" s="35">
        <f t="shared" si="100"/>
        <v>0.60563380281690138</v>
      </c>
      <c r="AM244" s="34">
        <f t="shared" si="83"/>
        <v>0</v>
      </c>
      <c r="AN244" s="36">
        <f t="shared" si="101"/>
        <v>0</v>
      </c>
      <c r="AO244" s="6">
        <f t="shared" si="84"/>
        <v>0</v>
      </c>
      <c r="AP244">
        <f t="shared" si="85"/>
        <v>8</v>
      </c>
      <c r="AQ244" s="6">
        <f t="shared" si="86"/>
        <v>0</v>
      </c>
      <c r="AR244" s="6">
        <f t="shared" si="87"/>
        <v>0</v>
      </c>
      <c r="AS244" s="6"/>
      <c r="AX244" s="95">
        <f t="shared" si="88"/>
        <v>42367</v>
      </c>
      <c r="AY244" s="96" t="str">
        <f t="shared" si="89"/>
        <v>ter</v>
      </c>
      <c r="AZ244" s="97">
        <f>IF(OR(AY244="SÁB",AY244="DOM"),0,IFERROR(8-VLOOKUP(C244,'Dados de consulta'!$A$2:$C$38,3,0),8))</f>
        <v>0</v>
      </c>
      <c r="BA244" s="97">
        <f>IF(OR(AY244="SÁB",AY244="DOM"),0,IFERROR(8-VLOOKUP(D244,'Dados de consulta'!$A$2:$C$38,3,0),8))</f>
        <v>8</v>
      </c>
      <c r="BB244" s="97">
        <f>IF(OR(AY244="SÁB",AY244="DOM"),0,IFERROR(8-VLOOKUP(E244,'Dados de consulta'!$A$2:$C$38,3,0),8))</f>
        <v>0</v>
      </c>
      <c r="BC244" s="97">
        <f>IF(OR(AY244="SÁB",AY244="DOM"),0,IFERROR(8-VLOOKUP(F244,'Dados de consulta'!$A$2:$C$38,3,0),8))</f>
        <v>0</v>
      </c>
      <c r="BD244" s="97">
        <f>IF(OR(AY244="SÁB",AY244="DOM"),0,IFERROR(8-VLOOKUP(G244,'Dados de consulta'!$A$2:$C$38,3,0),8))</f>
        <v>8</v>
      </c>
      <c r="BE244" s="97">
        <f>IF(OR(AY244="SÁB",AY244="DOM"),0,IFERROR(8-VLOOKUP(H244,'Dados de consulta'!$A$2:$C$38,3,0),8))</f>
        <v>0</v>
      </c>
      <c r="BF244" s="97">
        <f>IF(OR(AY244="SÁB",AY244="DOM"),0,IFERROR(8-VLOOKUP(I244,'Dados de consulta'!$A$2:$C$38,3,0),8))</f>
        <v>8</v>
      </c>
      <c r="BG244" s="97">
        <f>IF(OR(AY244="SÁB",AY244="DOM"),0,IFERROR(8-VLOOKUP(J244,'Dados de consulta'!$A$2:$C$38,3,0),8))</f>
        <v>0</v>
      </c>
      <c r="BH244" s="97">
        <f>IF(OR(AY244="SÁB",AY244="DOM"),0,IFERROR(8-VLOOKUP(K244,'Dados de consulta'!$A$2:$C$38,3,0),8))</f>
        <v>0</v>
      </c>
      <c r="BI244" s="97">
        <f>IF(OR(AY244="SÁB",AY244="DOM"),0,IFERROR(8-VLOOKUP(L244,'Dados de consulta'!$A$2:$C$38,3,0),8))</f>
        <v>0</v>
      </c>
      <c r="BJ244" s="97">
        <f>IF(OR(AY244="SÁB",AY244="DOM"),0,IFERROR(8-VLOOKUP(M244,'Dados de consulta'!$A$2:$C$38,3,0),8))</f>
        <v>0</v>
      </c>
      <c r="BK244" s="97">
        <f>IF(OR(AY244="SÁB",AY244="DOM"),0,IFERROR(8-VLOOKUP(N244,'Dados de consulta'!$A$2:$C$38,3,0),8))</f>
        <v>8</v>
      </c>
      <c r="BL244" s="97">
        <f>IF(OR(AY244="SÁB",AY244="DOM"),0,IFERROR(8-VLOOKUP(O244,'Dados de consulta'!$A$2:$C$38,3,0),8))</f>
        <v>0</v>
      </c>
      <c r="BM244" s="97">
        <f>IF(OR(AY244="SÁB",AY244="DOM"),0,IFERROR(8-VLOOKUP(P244,'Dados de consulta'!$A$2:$C$38,3,0),8))</f>
        <v>8</v>
      </c>
      <c r="BN244" s="97">
        <f>IF(OR(AY244="SÁB",AY244="DOM"),0,IFERROR(8-VLOOKUP(Q244,'Dados de consulta'!$A$2:$C$38,3,0),8))</f>
        <v>0</v>
      </c>
      <c r="BO244" s="97">
        <f>IF(OR(AY244="SÁB",AY244="DOM"),0,IFERROR(8-VLOOKUP(R244,'Dados de consulta'!$A$2:$C$38,3,0),8))</f>
        <v>8</v>
      </c>
      <c r="BP244" s="97">
        <f>IF(OR(AY244="SÁB",AY244="DOM"),0,IFERROR(8-VLOOKUP(S244,'Dados de consulta'!$A$2:$C$38,3,0),8))</f>
        <v>0</v>
      </c>
      <c r="BQ244" s="113">
        <f>IFERROR(6-VLOOKUP(T244,'Dados de consulta'!$A$2:$C$38,3,0)+2,6)</f>
        <v>0</v>
      </c>
      <c r="BR244" s="114">
        <f t="shared" si="102"/>
        <v>48</v>
      </c>
      <c r="BS244">
        <f t="shared" si="78"/>
        <v>134</v>
      </c>
      <c r="BU244">
        <f>IFERROR(8-VLOOKUP(U244,'Dados de consulta'!$A:$D,3,0),8)</f>
        <v>8</v>
      </c>
      <c r="BV244">
        <f>IFERROR(8-VLOOKUP(V244,'Dados de consulta'!$A:$D,3,0),8)</f>
        <v>8</v>
      </c>
      <c r="BW244">
        <f t="shared" si="103"/>
        <v>16</v>
      </c>
    </row>
    <row r="245" spans="1:75" ht="15" hidden="1" x14ac:dyDescent="0.2">
      <c r="A245" s="98">
        <v>42368</v>
      </c>
      <c r="B245" s="129" t="str">
        <f t="shared" si="79"/>
        <v>qua</v>
      </c>
      <c r="C245" s="132">
        <v>99</v>
      </c>
      <c r="D245" s="132"/>
      <c r="E245" s="132">
        <v>99</v>
      </c>
      <c r="F245" s="132">
        <v>99</v>
      </c>
      <c r="G245" s="132"/>
      <c r="H245" s="132">
        <v>99</v>
      </c>
      <c r="I245" s="132"/>
      <c r="J245" s="132">
        <v>99</v>
      </c>
      <c r="K245" s="132">
        <v>18</v>
      </c>
      <c r="L245" s="132">
        <v>99</v>
      </c>
      <c r="M245" s="132">
        <v>101</v>
      </c>
      <c r="N245" s="132"/>
      <c r="O245" s="132">
        <v>99</v>
      </c>
      <c r="P245" s="132"/>
      <c r="Q245" s="132">
        <v>99</v>
      </c>
      <c r="R245" s="132"/>
      <c r="S245" s="132">
        <v>99</v>
      </c>
      <c r="T245" s="132">
        <v>99</v>
      </c>
      <c r="U245" s="151"/>
      <c r="V245" s="151"/>
      <c r="W245" s="307" t="s">
        <v>193</v>
      </c>
      <c r="X245" s="308"/>
      <c r="Y245" s="38">
        <f t="shared" si="80"/>
        <v>0</v>
      </c>
      <c r="Z245" s="38">
        <f t="shared" si="81"/>
        <v>80</v>
      </c>
      <c r="AA245" s="38">
        <f t="shared" si="82"/>
        <v>0</v>
      </c>
      <c r="AB245" s="38">
        <f t="shared" si="90"/>
        <v>0</v>
      </c>
      <c r="AC245" s="38">
        <f t="shared" si="91"/>
        <v>0</v>
      </c>
      <c r="AD245" s="38">
        <f t="shared" si="92"/>
        <v>6</v>
      </c>
      <c r="AE245" s="38">
        <f t="shared" si="93"/>
        <v>0</v>
      </c>
      <c r="AF245" s="38">
        <f t="shared" si="94"/>
        <v>0</v>
      </c>
      <c r="AG245" s="33">
        <f t="shared" si="95"/>
        <v>0</v>
      </c>
      <c r="AH245" s="33">
        <f t="shared" si="96"/>
        <v>86</v>
      </c>
      <c r="AI245" s="33">
        <f t="shared" si="97"/>
        <v>0</v>
      </c>
      <c r="AJ245" s="33">
        <f t="shared" si="98"/>
        <v>0</v>
      </c>
      <c r="AK245" s="34">
        <f t="shared" si="99"/>
        <v>0</v>
      </c>
      <c r="AL245" s="35">
        <f t="shared" si="100"/>
        <v>0.60563380281690138</v>
      </c>
      <c r="AM245" s="34">
        <f t="shared" si="83"/>
        <v>0</v>
      </c>
      <c r="AN245" s="36">
        <f t="shared" si="101"/>
        <v>0</v>
      </c>
      <c r="AO245" s="6">
        <f t="shared" si="84"/>
        <v>0</v>
      </c>
      <c r="AP245">
        <f t="shared" si="85"/>
        <v>8</v>
      </c>
      <c r="AQ245" s="6">
        <f t="shared" si="86"/>
        <v>0</v>
      </c>
      <c r="AR245" s="6">
        <f t="shared" si="87"/>
        <v>0</v>
      </c>
      <c r="AS245" s="6"/>
      <c r="AX245" s="95">
        <f t="shared" si="88"/>
        <v>42368</v>
      </c>
      <c r="AY245" s="96" t="str">
        <f t="shared" si="89"/>
        <v>qua</v>
      </c>
      <c r="AZ245" s="97">
        <f>IF(OR(AY245="SÁB",AY245="DOM"),0,IFERROR(8-VLOOKUP(C245,'Dados de consulta'!$A$2:$C$38,3,0),8))</f>
        <v>0</v>
      </c>
      <c r="BA245" s="97">
        <f>IF(OR(AY245="SÁB",AY245="DOM"),0,IFERROR(8-VLOOKUP(D245,'Dados de consulta'!$A$2:$C$38,3,0),8))</f>
        <v>8</v>
      </c>
      <c r="BB245" s="97">
        <f>IF(OR(AY245="SÁB",AY245="DOM"),0,IFERROR(8-VLOOKUP(E245,'Dados de consulta'!$A$2:$C$38,3,0),8))</f>
        <v>0</v>
      </c>
      <c r="BC245" s="97">
        <f>IF(OR(AY245="SÁB",AY245="DOM"),0,IFERROR(8-VLOOKUP(F245,'Dados de consulta'!$A$2:$C$38,3,0),8))</f>
        <v>0</v>
      </c>
      <c r="BD245" s="97">
        <f>IF(OR(AY245="SÁB",AY245="DOM"),0,IFERROR(8-VLOOKUP(G245,'Dados de consulta'!$A$2:$C$38,3,0),8))</f>
        <v>8</v>
      </c>
      <c r="BE245" s="97">
        <f>IF(OR(AY245="SÁB",AY245="DOM"),0,IFERROR(8-VLOOKUP(H245,'Dados de consulta'!$A$2:$C$38,3,0),8))</f>
        <v>0</v>
      </c>
      <c r="BF245" s="97">
        <f>IF(OR(AY245="SÁB",AY245="DOM"),0,IFERROR(8-VLOOKUP(I245,'Dados de consulta'!$A$2:$C$38,3,0),8))</f>
        <v>8</v>
      </c>
      <c r="BG245" s="97">
        <f>IF(OR(AY245="SÁB",AY245="DOM"),0,IFERROR(8-VLOOKUP(J245,'Dados de consulta'!$A$2:$C$38,3,0),8))</f>
        <v>0</v>
      </c>
      <c r="BH245" s="97">
        <f>IF(OR(AY245="SÁB",AY245="DOM"),0,IFERROR(8-VLOOKUP(K245,'Dados de consulta'!$A$2:$C$38,3,0),8))</f>
        <v>0</v>
      </c>
      <c r="BI245" s="97">
        <f>IF(OR(AY245="SÁB",AY245="DOM"),0,IFERROR(8-VLOOKUP(L245,'Dados de consulta'!$A$2:$C$38,3,0),8))</f>
        <v>0</v>
      </c>
      <c r="BJ245" s="97">
        <f>IF(OR(AY245="SÁB",AY245="DOM"),0,IFERROR(8-VLOOKUP(M245,'Dados de consulta'!$A$2:$C$38,3,0),8))</f>
        <v>0</v>
      </c>
      <c r="BK245" s="97">
        <f>IF(OR(AY245="SÁB",AY245="DOM"),0,IFERROR(8-VLOOKUP(N245,'Dados de consulta'!$A$2:$C$38,3,0),8))</f>
        <v>8</v>
      </c>
      <c r="BL245" s="97">
        <f>IF(OR(AY245="SÁB",AY245="DOM"),0,IFERROR(8-VLOOKUP(O245,'Dados de consulta'!$A$2:$C$38,3,0),8))</f>
        <v>0</v>
      </c>
      <c r="BM245" s="97">
        <f>IF(OR(AY245="SÁB",AY245="DOM"),0,IFERROR(8-VLOOKUP(P245,'Dados de consulta'!$A$2:$C$38,3,0),8))</f>
        <v>8</v>
      </c>
      <c r="BN245" s="97">
        <f>IF(OR(AY245="SÁB",AY245="DOM"),0,IFERROR(8-VLOOKUP(Q245,'Dados de consulta'!$A$2:$C$38,3,0),8))</f>
        <v>0</v>
      </c>
      <c r="BO245" s="97">
        <f>IF(OR(AY245="SÁB",AY245="DOM"),0,IFERROR(8-VLOOKUP(R245,'Dados de consulta'!$A$2:$C$38,3,0),8))</f>
        <v>8</v>
      </c>
      <c r="BP245" s="97">
        <f>IF(OR(AY245="SÁB",AY245="DOM"),0,IFERROR(8-VLOOKUP(S245,'Dados de consulta'!$A$2:$C$38,3,0),8))</f>
        <v>0</v>
      </c>
      <c r="BQ245" s="113">
        <f>IFERROR(6-VLOOKUP(T245,'Dados de consulta'!$A$2:$C$38,3,0)+2,6)</f>
        <v>0</v>
      </c>
      <c r="BR245" s="114">
        <f t="shared" si="102"/>
        <v>48</v>
      </c>
      <c r="BS245">
        <f t="shared" si="78"/>
        <v>134</v>
      </c>
      <c r="BU245">
        <f>IFERROR(8-VLOOKUP(U245,'Dados de consulta'!$A:$D,3,0),8)</f>
        <v>8</v>
      </c>
      <c r="BV245">
        <f>IFERROR(8-VLOOKUP(V245,'Dados de consulta'!$A:$D,3,0),8)</f>
        <v>8</v>
      </c>
      <c r="BW245">
        <f t="shared" si="103"/>
        <v>16</v>
      </c>
    </row>
    <row r="246" spans="1:75" ht="15" hidden="1" x14ac:dyDescent="0.2">
      <c r="A246" s="98">
        <v>42369</v>
      </c>
      <c r="B246" s="129" t="str">
        <f t="shared" si="79"/>
        <v>qui</v>
      </c>
      <c r="C246" s="132">
        <v>99</v>
      </c>
      <c r="D246" s="132"/>
      <c r="E246" s="132">
        <v>99</v>
      </c>
      <c r="F246" s="132">
        <v>99</v>
      </c>
      <c r="G246" s="132"/>
      <c r="H246" s="132">
        <v>99</v>
      </c>
      <c r="I246" s="132"/>
      <c r="J246" s="132">
        <v>99</v>
      </c>
      <c r="K246" s="132">
        <v>18</v>
      </c>
      <c r="L246" s="132">
        <v>99</v>
      </c>
      <c r="M246" s="132">
        <v>101</v>
      </c>
      <c r="N246" s="132"/>
      <c r="O246" s="132">
        <v>99</v>
      </c>
      <c r="P246" s="132"/>
      <c r="Q246" s="132">
        <v>99</v>
      </c>
      <c r="R246" s="132"/>
      <c r="S246" s="132">
        <v>99</v>
      </c>
      <c r="T246" s="132">
        <v>99</v>
      </c>
      <c r="U246" s="151"/>
      <c r="V246" s="151"/>
      <c r="W246" s="307" t="s">
        <v>193</v>
      </c>
      <c r="X246" s="308"/>
      <c r="Y246" s="38">
        <f t="shared" si="80"/>
        <v>0</v>
      </c>
      <c r="Z246" s="38">
        <f t="shared" si="81"/>
        <v>80</v>
      </c>
      <c r="AA246" s="38">
        <f t="shared" si="82"/>
        <v>0</v>
      </c>
      <c r="AB246" s="38">
        <f t="shared" si="90"/>
        <v>0</v>
      </c>
      <c r="AC246" s="38">
        <f t="shared" si="91"/>
        <v>0</v>
      </c>
      <c r="AD246" s="38">
        <f t="shared" si="92"/>
        <v>6</v>
      </c>
      <c r="AE246" s="38">
        <f t="shared" si="93"/>
        <v>0</v>
      </c>
      <c r="AF246" s="38">
        <f t="shared" si="94"/>
        <v>0</v>
      </c>
      <c r="AG246" s="33">
        <f t="shared" si="95"/>
        <v>0</v>
      </c>
      <c r="AH246" s="33">
        <f t="shared" si="96"/>
        <v>86</v>
      </c>
      <c r="AI246" s="33">
        <f t="shared" si="97"/>
        <v>0</v>
      </c>
      <c r="AJ246" s="33">
        <f t="shared" si="98"/>
        <v>0</v>
      </c>
      <c r="AK246" s="34">
        <f t="shared" si="99"/>
        <v>0</v>
      </c>
      <c r="AL246" s="35">
        <f t="shared" si="100"/>
        <v>0.60563380281690138</v>
      </c>
      <c r="AM246" s="34">
        <f t="shared" si="83"/>
        <v>0</v>
      </c>
      <c r="AN246" s="36">
        <f t="shared" si="101"/>
        <v>0</v>
      </c>
      <c r="AO246" s="6">
        <f t="shared" si="84"/>
        <v>0</v>
      </c>
      <c r="AP246">
        <f t="shared" si="85"/>
        <v>8</v>
      </c>
      <c r="AQ246" s="6">
        <f t="shared" si="86"/>
        <v>0</v>
      </c>
      <c r="AR246" s="6">
        <f t="shared" si="87"/>
        <v>0</v>
      </c>
      <c r="AS246" s="6"/>
      <c r="AX246" s="95">
        <f t="shared" si="88"/>
        <v>42369</v>
      </c>
      <c r="AY246" s="96" t="str">
        <f t="shared" si="89"/>
        <v>qui</v>
      </c>
      <c r="AZ246" s="97">
        <f>IF(OR(AY246="SÁB",AY246="DOM"),0,IFERROR(8-VLOOKUP(C246,'Dados de consulta'!$A$2:$C$38,3,0),8))</f>
        <v>0</v>
      </c>
      <c r="BA246" s="97">
        <f>IF(OR(AY246="SÁB",AY246="DOM"),0,IFERROR(8-VLOOKUP(D246,'Dados de consulta'!$A$2:$C$38,3,0),8))</f>
        <v>8</v>
      </c>
      <c r="BB246" s="97">
        <f>IF(OR(AY246="SÁB",AY246="DOM"),0,IFERROR(8-VLOOKUP(E246,'Dados de consulta'!$A$2:$C$38,3,0),8))</f>
        <v>0</v>
      </c>
      <c r="BC246" s="97">
        <f>IF(OR(AY246="SÁB",AY246="DOM"),0,IFERROR(8-VLOOKUP(F246,'Dados de consulta'!$A$2:$C$38,3,0),8))</f>
        <v>0</v>
      </c>
      <c r="BD246" s="97">
        <f>IF(OR(AY246="SÁB",AY246="DOM"),0,IFERROR(8-VLOOKUP(G246,'Dados de consulta'!$A$2:$C$38,3,0),8))</f>
        <v>8</v>
      </c>
      <c r="BE246" s="97">
        <f>IF(OR(AY246="SÁB",AY246="DOM"),0,IFERROR(8-VLOOKUP(H246,'Dados de consulta'!$A$2:$C$38,3,0),8))</f>
        <v>0</v>
      </c>
      <c r="BF246" s="97">
        <f>IF(OR(AY246="SÁB",AY246="DOM"),0,IFERROR(8-VLOOKUP(I246,'Dados de consulta'!$A$2:$C$38,3,0),8))</f>
        <v>8</v>
      </c>
      <c r="BG246" s="97">
        <f>IF(OR(AY246="SÁB",AY246="DOM"),0,IFERROR(8-VLOOKUP(J246,'Dados de consulta'!$A$2:$C$38,3,0),8))</f>
        <v>0</v>
      </c>
      <c r="BH246" s="97">
        <f>IF(OR(AY246="SÁB",AY246="DOM"),0,IFERROR(8-VLOOKUP(K246,'Dados de consulta'!$A$2:$C$38,3,0),8))</f>
        <v>0</v>
      </c>
      <c r="BI246" s="97">
        <f>IF(OR(AY246="SÁB",AY246="DOM"),0,IFERROR(8-VLOOKUP(L246,'Dados de consulta'!$A$2:$C$38,3,0),8))</f>
        <v>0</v>
      </c>
      <c r="BJ246" s="97">
        <f>IF(OR(AY246="SÁB",AY246="DOM"),0,IFERROR(8-VLOOKUP(M246,'Dados de consulta'!$A$2:$C$38,3,0),8))</f>
        <v>0</v>
      </c>
      <c r="BK246" s="97">
        <f>IF(OR(AY246="SÁB",AY246="DOM"),0,IFERROR(8-VLOOKUP(N246,'Dados de consulta'!$A$2:$C$38,3,0),8))</f>
        <v>8</v>
      </c>
      <c r="BL246" s="97">
        <f>IF(OR(AY246="SÁB",AY246="DOM"),0,IFERROR(8-VLOOKUP(O246,'Dados de consulta'!$A$2:$C$38,3,0),8))</f>
        <v>0</v>
      </c>
      <c r="BM246" s="97">
        <f>IF(OR(AY246="SÁB",AY246="DOM"),0,IFERROR(8-VLOOKUP(P246,'Dados de consulta'!$A$2:$C$38,3,0),8))</f>
        <v>8</v>
      </c>
      <c r="BN246" s="97">
        <f>IF(OR(AY246="SÁB",AY246="DOM"),0,IFERROR(8-VLOOKUP(Q246,'Dados de consulta'!$A$2:$C$38,3,0),8))</f>
        <v>0</v>
      </c>
      <c r="BO246" s="97">
        <f>IF(OR(AY246="SÁB",AY246="DOM"),0,IFERROR(8-VLOOKUP(R246,'Dados de consulta'!$A$2:$C$38,3,0),8))</f>
        <v>8</v>
      </c>
      <c r="BP246" s="97">
        <f>IF(OR(AY246="SÁB",AY246="DOM"),0,IFERROR(8-VLOOKUP(S246,'Dados de consulta'!$A$2:$C$38,3,0),8))</f>
        <v>0</v>
      </c>
      <c r="BQ246" s="113">
        <f>IFERROR(6-VLOOKUP(T246,'Dados de consulta'!$A$2:$C$38,3,0)+2,6)</f>
        <v>0</v>
      </c>
      <c r="BR246" s="114">
        <f t="shared" si="102"/>
        <v>48</v>
      </c>
      <c r="BS246">
        <f t="shared" si="78"/>
        <v>0</v>
      </c>
      <c r="BU246">
        <f>IFERROR(8-VLOOKUP(U246,'Dados de consulta'!$A:$D,3,0),8)</f>
        <v>8</v>
      </c>
      <c r="BV246">
        <f>IFERROR(8-VLOOKUP(V246,'Dados de consulta'!$A:$D,3,0),8)</f>
        <v>8</v>
      </c>
      <c r="BW246">
        <f t="shared" si="103"/>
        <v>16</v>
      </c>
    </row>
    <row r="247" spans="1:75" ht="15" hidden="1" x14ac:dyDescent="0.2">
      <c r="A247" s="98">
        <v>42370</v>
      </c>
      <c r="B247" s="129" t="str">
        <f t="shared" si="79"/>
        <v>sex</v>
      </c>
      <c r="C247" s="132">
        <v>17</v>
      </c>
      <c r="D247" s="132">
        <v>17</v>
      </c>
      <c r="E247" s="132">
        <v>17</v>
      </c>
      <c r="F247" s="132">
        <v>17</v>
      </c>
      <c r="G247" s="132">
        <v>17</v>
      </c>
      <c r="H247" s="132">
        <v>17</v>
      </c>
      <c r="I247" s="132">
        <v>17</v>
      </c>
      <c r="J247" s="132">
        <v>17</v>
      </c>
      <c r="K247" s="132">
        <v>17</v>
      </c>
      <c r="L247" s="132">
        <v>17</v>
      </c>
      <c r="M247" s="132">
        <v>17</v>
      </c>
      <c r="N247" s="132">
        <v>17</v>
      </c>
      <c r="O247" s="132">
        <v>17</v>
      </c>
      <c r="P247" s="132">
        <v>17</v>
      </c>
      <c r="Q247" s="132">
        <v>17</v>
      </c>
      <c r="R247" s="132">
        <v>17</v>
      </c>
      <c r="S247" s="132">
        <v>17</v>
      </c>
      <c r="T247" s="132">
        <v>17</v>
      </c>
      <c r="U247" s="151">
        <v>17</v>
      </c>
      <c r="V247" s="151">
        <v>17</v>
      </c>
      <c r="W247" s="307" t="s">
        <v>193</v>
      </c>
      <c r="X247" s="308"/>
      <c r="Y247" s="38">
        <f t="shared" si="80"/>
        <v>0</v>
      </c>
      <c r="Z247" s="38">
        <f t="shared" si="81"/>
        <v>0</v>
      </c>
      <c r="AA247" s="38">
        <f t="shared" si="82"/>
        <v>0</v>
      </c>
      <c r="AB247" s="38">
        <f t="shared" si="90"/>
        <v>0</v>
      </c>
      <c r="AC247" s="38">
        <f t="shared" si="91"/>
        <v>0</v>
      </c>
      <c r="AD247" s="38">
        <f t="shared" si="92"/>
        <v>0</v>
      </c>
      <c r="AE247" s="38">
        <f t="shared" si="93"/>
        <v>0</v>
      </c>
      <c r="AF247" s="38">
        <f t="shared" si="94"/>
        <v>0</v>
      </c>
      <c r="AG247" s="33">
        <f t="shared" si="95"/>
        <v>0</v>
      </c>
      <c r="AH247" s="33">
        <f t="shared" si="96"/>
        <v>0</v>
      </c>
      <c r="AI247" s="33">
        <f t="shared" si="97"/>
        <v>0</v>
      </c>
      <c r="AJ247" s="33">
        <f t="shared" si="98"/>
        <v>0</v>
      </c>
      <c r="AK247" s="34">
        <f t="shared" si="99"/>
        <v>0</v>
      </c>
      <c r="AL247" s="35">
        <f t="shared" si="100"/>
        <v>0</v>
      </c>
      <c r="AM247" s="34">
        <f t="shared" si="83"/>
        <v>0</v>
      </c>
      <c r="AN247" s="36">
        <f t="shared" si="101"/>
        <v>0</v>
      </c>
      <c r="AO247" s="6">
        <f t="shared" si="84"/>
        <v>0</v>
      </c>
      <c r="AP247">
        <f t="shared" si="85"/>
        <v>0</v>
      </c>
      <c r="AQ247" s="6">
        <f t="shared" si="86"/>
        <v>0</v>
      </c>
      <c r="AR247" s="6">
        <f t="shared" si="87"/>
        <v>0</v>
      </c>
      <c r="AS247" s="6"/>
      <c r="AX247" s="95">
        <f t="shared" si="88"/>
        <v>42370</v>
      </c>
      <c r="AY247" s="96" t="str">
        <f t="shared" si="89"/>
        <v>sex</v>
      </c>
      <c r="AZ247" s="97">
        <f>IF(OR(AY247="SÁB",AY247="DOM"),0,IFERROR(8-VLOOKUP(C247,'Dados de consulta'!$A$2:$C$38,3,0),8))</f>
        <v>0</v>
      </c>
      <c r="BA247" s="97">
        <f>IF(OR(AY247="SÁB",AY247="DOM"),0,IFERROR(8-VLOOKUP(D247,'Dados de consulta'!$A$2:$C$38,3,0),8))</f>
        <v>0</v>
      </c>
      <c r="BB247" s="97">
        <f>IF(OR(AY247="SÁB",AY247="DOM"),0,IFERROR(8-VLOOKUP(E247,'Dados de consulta'!$A$2:$C$38,3,0),8))</f>
        <v>0</v>
      </c>
      <c r="BC247" s="97">
        <f>IF(OR(AY247="SÁB",AY247="DOM"),0,IFERROR(8-VLOOKUP(F247,'Dados de consulta'!$A$2:$C$38,3,0),8))</f>
        <v>0</v>
      </c>
      <c r="BD247" s="97">
        <f>IF(OR(AY247="SÁB",AY247="DOM"),0,IFERROR(8-VLOOKUP(G247,'Dados de consulta'!$A$2:$C$38,3,0),8))</f>
        <v>0</v>
      </c>
      <c r="BE247" s="97">
        <f>IF(OR(AY247="SÁB",AY247="DOM"),0,IFERROR(8-VLOOKUP(H247,'Dados de consulta'!$A$2:$C$38,3,0),8))</f>
        <v>0</v>
      </c>
      <c r="BF247" s="97">
        <f>IF(OR(AY247="SÁB",AY247="DOM"),0,IFERROR(8-VLOOKUP(I247,'Dados de consulta'!$A$2:$C$38,3,0),8))</f>
        <v>0</v>
      </c>
      <c r="BG247" s="97">
        <f>IF(OR(AY247="SÁB",AY247="DOM"),0,IFERROR(8-VLOOKUP(J247,'Dados de consulta'!$A$2:$C$38,3,0),8))</f>
        <v>0</v>
      </c>
      <c r="BH247" s="97">
        <f>IF(OR(AY247="SÁB",AY247="DOM"),0,IFERROR(8-VLOOKUP(K247,'Dados de consulta'!$A$2:$C$38,3,0),8))</f>
        <v>0</v>
      </c>
      <c r="BI247" s="97">
        <f>IF(OR(AY247="SÁB",AY247="DOM"),0,IFERROR(8-VLOOKUP(L247,'Dados de consulta'!$A$2:$C$38,3,0),8))</f>
        <v>0</v>
      </c>
      <c r="BJ247" s="97">
        <f>IF(OR(AY247="SÁB",AY247="DOM"),0,IFERROR(8-VLOOKUP(M247,'Dados de consulta'!$A$2:$C$38,3,0),8))</f>
        <v>0</v>
      </c>
      <c r="BK247" s="97">
        <f>IF(OR(AY247="SÁB",AY247="DOM"),0,IFERROR(8-VLOOKUP(N247,'Dados de consulta'!$A$2:$C$38,3,0),8))</f>
        <v>0</v>
      </c>
      <c r="BL247" s="97">
        <f>IF(OR(AY247="SÁB",AY247="DOM"),0,IFERROR(8-VLOOKUP(O247,'Dados de consulta'!$A$2:$C$38,3,0),8))</f>
        <v>0</v>
      </c>
      <c r="BM247" s="97">
        <f>IF(OR(AY247="SÁB",AY247="DOM"),0,IFERROR(8-VLOOKUP(P247,'Dados de consulta'!$A$2:$C$38,3,0),8))</f>
        <v>0</v>
      </c>
      <c r="BN247" s="97">
        <f>IF(OR(AY247="SÁB",AY247="DOM"),0,IFERROR(8-VLOOKUP(Q247,'Dados de consulta'!$A$2:$C$38,3,0),8))</f>
        <v>0</v>
      </c>
      <c r="BO247" s="97">
        <f>IF(OR(AY247="SÁB",AY247="DOM"),0,IFERROR(8-VLOOKUP(R247,'Dados de consulta'!$A$2:$C$38,3,0),8))</f>
        <v>0</v>
      </c>
      <c r="BP247" s="97">
        <f>IF(OR(AY247="SÁB",AY247="DOM"),0,IFERROR(8-VLOOKUP(S247,'Dados de consulta'!$A$2:$C$38,3,0),8))</f>
        <v>0</v>
      </c>
      <c r="BQ247" s="113">
        <f>IFERROR(6-VLOOKUP(T247,'Dados de consulta'!$A$2:$C$38,3,0)+2,6)</f>
        <v>0</v>
      </c>
      <c r="BR247" s="114">
        <f t="shared" si="102"/>
        <v>0</v>
      </c>
      <c r="BS247">
        <f t="shared" si="78"/>
        <v>142</v>
      </c>
      <c r="BU247">
        <f>IFERROR(8-VLOOKUP(U247,'Dados de consulta'!$A:$D,3,0),8)</f>
        <v>0</v>
      </c>
      <c r="BV247">
        <f>IFERROR(8-VLOOKUP(V247,'Dados de consulta'!$A:$D,3,0),8)</f>
        <v>0</v>
      </c>
      <c r="BW247">
        <f t="shared" si="103"/>
        <v>0</v>
      </c>
    </row>
    <row r="248" spans="1:75" ht="15" hidden="1" x14ac:dyDescent="0.2">
      <c r="A248" s="98">
        <v>42371</v>
      </c>
      <c r="B248" s="129" t="str">
        <f t="shared" si="79"/>
        <v>sáb</v>
      </c>
      <c r="C248" s="132"/>
      <c r="D248" s="132"/>
      <c r="E248" s="132"/>
      <c r="F248" s="132"/>
      <c r="G248" s="132"/>
      <c r="H248" s="132"/>
      <c r="I248" s="132"/>
      <c r="J248" s="132"/>
      <c r="K248" s="132">
        <v>18</v>
      </c>
      <c r="L248" s="132"/>
      <c r="M248" s="132">
        <v>101</v>
      </c>
      <c r="N248" s="132"/>
      <c r="O248" s="132"/>
      <c r="P248" s="132"/>
      <c r="Q248" s="132"/>
      <c r="R248" s="132"/>
      <c r="S248" s="132"/>
      <c r="T248" s="132"/>
      <c r="U248" s="151"/>
      <c r="V248" s="151"/>
      <c r="W248" s="307" t="s">
        <v>193</v>
      </c>
      <c r="X248" s="308"/>
      <c r="Y248" s="38">
        <f t="shared" si="80"/>
        <v>0</v>
      </c>
      <c r="Z248" s="38">
        <f t="shared" si="81"/>
        <v>8</v>
      </c>
      <c r="AA248" s="38">
        <f t="shared" si="82"/>
        <v>0</v>
      </c>
      <c r="AB248" s="38">
        <f t="shared" si="90"/>
        <v>0</v>
      </c>
      <c r="AC248" s="38">
        <f t="shared" si="91"/>
        <v>0</v>
      </c>
      <c r="AD248" s="38">
        <f t="shared" si="92"/>
        <v>0</v>
      </c>
      <c r="AE248" s="38">
        <f t="shared" si="93"/>
        <v>0</v>
      </c>
      <c r="AF248" s="38">
        <f t="shared" si="94"/>
        <v>0</v>
      </c>
      <c r="AG248" s="33">
        <f t="shared" si="95"/>
        <v>0</v>
      </c>
      <c r="AH248" s="33">
        <f t="shared" si="96"/>
        <v>0</v>
      </c>
      <c r="AI248" s="33">
        <f t="shared" si="97"/>
        <v>0</v>
      </c>
      <c r="AJ248" s="33">
        <f t="shared" si="98"/>
        <v>0</v>
      </c>
      <c r="AK248" s="34">
        <f t="shared" si="99"/>
        <v>0</v>
      </c>
      <c r="AL248" s="35">
        <f t="shared" si="100"/>
        <v>0</v>
      </c>
      <c r="AM248" s="34">
        <f t="shared" si="83"/>
        <v>0</v>
      </c>
      <c r="AN248" s="36">
        <f t="shared" si="101"/>
        <v>0</v>
      </c>
      <c r="AO248" s="6">
        <f t="shared" si="84"/>
        <v>0</v>
      </c>
      <c r="AP248">
        <f t="shared" si="85"/>
        <v>8</v>
      </c>
      <c r="AQ248" s="6">
        <f t="shared" si="86"/>
        <v>0</v>
      </c>
      <c r="AR248" s="6">
        <f t="shared" si="87"/>
        <v>0</v>
      </c>
      <c r="AS248" s="6"/>
      <c r="AX248" s="95">
        <f t="shared" si="88"/>
        <v>42371</v>
      </c>
      <c r="AY248" s="96" t="str">
        <f t="shared" si="89"/>
        <v>sáb</v>
      </c>
      <c r="AZ248" s="97">
        <f>IF(OR(AY248="SÁB",AY248="DOM"),0,IFERROR(8-VLOOKUP(C248,'Dados de consulta'!$A$2:$C$38,3,0),8))</f>
        <v>0</v>
      </c>
      <c r="BA248" s="97">
        <f>IF(OR(AY248="SÁB",AY248="DOM"),0,IFERROR(8-VLOOKUP(D248,'Dados de consulta'!$A$2:$C$38,3,0),8))</f>
        <v>0</v>
      </c>
      <c r="BB248" s="97">
        <f>IF(OR(AY248="SÁB",AY248="DOM"),0,IFERROR(8-VLOOKUP(E248,'Dados de consulta'!$A$2:$C$38,3,0),8))</f>
        <v>0</v>
      </c>
      <c r="BC248" s="97">
        <f>IF(OR(AY248="SÁB",AY248="DOM"),0,IFERROR(8-VLOOKUP(F248,'Dados de consulta'!$A$2:$C$38,3,0),8))</f>
        <v>0</v>
      </c>
      <c r="BD248" s="97">
        <f>IF(OR(AY248="SÁB",AY248="DOM"),0,IFERROR(8-VLOOKUP(G248,'Dados de consulta'!$A$2:$C$38,3,0),8))</f>
        <v>0</v>
      </c>
      <c r="BE248" s="97">
        <f>IF(OR(AY248="SÁB",AY248="DOM"),0,IFERROR(8-VLOOKUP(H248,'Dados de consulta'!$A$2:$C$38,3,0),8))</f>
        <v>0</v>
      </c>
      <c r="BF248" s="97">
        <f>IF(OR(AY248="SÁB",AY248="DOM"),0,IFERROR(8-VLOOKUP(I248,'Dados de consulta'!$A$2:$C$38,3,0),8))</f>
        <v>0</v>
      </c>
      <c r="BG248" s="97">
        <f>IF(OR(AY248="SÁB",AY248="DOM"),0,IFERROR(8-VLOOKUP(J248,'Dados de consulta'!$A$2:$C$38,3,0),8))</f>
        <v>0</v>
      </c>
      <c r="BH248" s="97">
        <f>IF(OR(AY248="SÁB",AY248="DOM"),0,IFERROR(8-VLOOKUP(K248,'Dados de consulta'!$A$2:$C$38,3,0),8))</f>
        <v>0</v>
      </c>
      <c r="BI248" s="97">
        <f>IF(OR(AY248="SÁB",AY248="DOM"),0,IFERROR(8-VLOOKUP(L248,'Dados de consulta'!$A$2:$C$38,3,0),8))</f>
        <v>0</v>
      </c>
      <c r="BJ248" s="97">
        <f>IF(OR(AY248="SÁB",AY248="DOM"),0,IFERROR(8-VLOOKUP(M248,'Dados de consulta'!$A$2:$C$38,3,0),8))</f>
        <v>0</v>
      </c>
      <c r="BK248" s="97">
        <f>IF(OR(AY248="SÁB",AY248="DOM"),0,IFERROR(8-VLOOKUP(N248,'Dados de consulta'!$A$2:$C$38,3,0),8))</f>
        <v>0</v>
      </c>
      <c r="BL248" s="97">
        <f>IF(OR(AY248="SÁB",AY248="DOM"),0,IFERROR(8-VLOOKUP(O248,'Dados de consulta'!$A$2:$C$38,3,0),8))</f>
        <v>0</v>
      </c>
      <c r="BM248" s="97">
        <f>IF(OR(AY248="SÁB",AY248="DOM"),0,IFERROR(8-VLOOKUP(P248,'Dados de consulta'!$A$2:$C$38,3,0),8))</f>
        <v>0</v>
      </c>
      <c r="BN248" s="97">
        <f>IF(OR(AY248="SÁB",AY248="DOM"),0,IFERROR(8-VLOOKUP(Q248,'Dados de consulta'!$A$2:$C$38,3,0),8))</f>
        <v>0</v>
      </c>
      <c r="BO248" s="97">
        <f>IF(OR(AY248="SÁB",AY248="DOM"),0,IFERROR(8-VLOOKUP(R248,'Dados de consulta'!$A$2:$C$38,3,0),8))</f>
        <v>0</v>
      </c>
      <c r="BP248" s="97">
        <f>IF(OR(AY248="SÁB",AY248="DOM"),0,IFERROR(8-VLOOKUP(S248,'Dados de consulta'!$A$2:$C$38,3,0),8))</f>
        <v>0</v>
      </c>
      <c r="BQ248" s="113">
        <f>IFERROR(6-VLOOKUP(T248,'Dados de consulta'!$A$2:$C$38,3,0)+2,6)</f>
        <v>6</v>
      </c>
      <c r="BR248" s="114">
        <f t="shared" si="102"/>
        <v>0</v>
      </c>
      <c r="BS248">
        <f t="shared" si="78"/>
        <v>0</v>
      </c>
      <c r="BU248">
        <f>IFERROR(8-VLOOKUP(U248,'Dados de consulta'!$A:$D,3,0),8)</f>
        <v>8</v>
      </c>
      <c r="BV248">
        <f>IFERROR(8-VLOOKUP(V248,'Dados de consulta'!$A:$D,3,0),8)</f>
        <v>8</v>
      </c>
      <c r="BW248">
        <f t="shared" si="103"/>
        <v>16</v>
      </c>
    </row>
    <row r="249" spans="1:75" ht="15" hidden="1" x14ac:dyDescent="0.2">
      <c r="A249" s="98">
        <v>42372</v>
      </c>
      <c r="B249" s="129" t="str">
        <f t="shared" si="79"/>
        <v>dom</v>
      </c>
      <c r="C249" s="132"/>
      <c r="D249" s="132"/>
      <c r="E249" s="132"/>
      <c r="F249" s="132"/>
      <c r="G249" s="132"/>
      <c r="H249" s="132"/>
      <c r="I249" s="132"/>
      <c r="J249" s="132"/>
      <c r="K249" s="132">
        <v>18</v>
      </c>
      <c r="L249" s="132"/>
      <c r="M249" s="132">
        <v>101</v>
      </c>
      <c r="N249" s="132"/>
      <c r="O249" s="132"/>
      <c r="P249" s="132"/>
      <c r="Q249" s="132"/>
      <c r="R249" s="132"/>
      <c r="S249" s="132"/>
      <c r="T249" s="132"/>
      <c r="U249" s="151"/>
      <c r="V249" s="151"/>
      <c r="W249" s="307" t="s">
        <v>193</v>
      </c>
      <c r="X249" s="308"/>
      <c r="Y249" s="38">
        <f t="shared" si="80"/>
        <v>0</v>
      </c>
      <c r="Z249" s="38">
        <f t="shared" si="81"/>
        <v>8</v>
      </c>
      <c r="AA249" s="38">
        <f t="shared" si="82"/>
        <v>0</v>
      </c>
      <c r="AB249" s="38">
        <f t="shared" si="90"/>
        <v>0</v>
      </c>
      <c r="AC249" s="38">
        <f t="shared" si="91"/>
        <v>0</v>
      </c>
      <c r="AD249" s="38">
        <f t="shared" si="92"/>
        <v>0</v>
      </c>
      <c r="AE249" s="38">
        <f t="shared" si="93"/>
        <v>0</v>
      </c>
      <c r="AF249" s="38">
        <f t="shared" si="94"/>
        <v>0</v>
      </c>
      <c r="AG249" s="33">
        <f t="shared" si="95"/>
        <v>0</v>
      </c>
      <c r="AH249" s="33">
        <f t="shared" si="96"/>
        <v>0</v>
      </c>
      <c r="AI249" s="33">
        <f t="shared" si="97"/>
        <v>0</v>
      </c>
      <c r="AJ249" s="33">
        <f t="shared" si="98"/>
        <v>0</v>
      </c>
      <c r="AK249" s="34">
        <f t="shared" si="99"/>
        <v>0</v>
      </c>
      <c r="AL249" s="35">
        <f t="shared" si="100"/>
        <v>0</v>
      </c>
      <c r="AM249" s="34">
        <f t="shared" si="83"/>
        <v>0</v>
      </c>
      <c r="AN249" s="36">
        <f t="shared" si="101"/>
        <v>0</v>
      </c>
      <c r="AO249" s="6">
        <f t="shared" si="84"/>
        <v>0</v>
      </c>
      <c r="AP249">
        <f t="shared" si="85"/>
        <v>8</v>
      </c>
      <c r="AQ249" s="6">
        <f t="shared" si="86"/>
        <v>0</v>
      </c>
      <c r="AR249" s="6">
        <f t="shared" si="87"/>
        <v>0</v>
      </c>
      <c r="AS249" s="6"/>
      <c r="AX249" s="95">
        <f t="shared" si="88"/>
        <v>42372</v>
      </c>
      <c r="AY249" s="96" t="str">
        <f t="shared" si="89"/>
        <v>dom</v>
      </c>
      <c r="AZ249" s="97">
        <f>IF(OR(AY249="SÁB",AY249="DOM"),0,IFERROR(8-VLOOKUP(C249,'Dados de consulta'!$A$2:$C$38,3,0),8))</f>
        <v>0</v>
      </c>
      <c r="BA249" s="97">
        <f>IF(OR(AY249="SÁB",AY249="DOM"),0,IFERROR(8-VLOOKUP(D249,'Dados de consulta'!$A$2:$C$38,3,0),8))</f>
        <v>0</v>
      </c>
      <c r="BB249" s="97">
        <f>IF(OR(AY249="SÁB",AY249="DOM"),0,IFERROR(8-VLOOKUP(E249,'Dados de consulta'!$A$2:$C$38,3,0),8))</f>
        <v>0</v>
      </c>
      <c r="BC249" s="97">
        <f>IF(OR(AY249="SÁB",AY249="DOM"),0,IFERROR(8-VLOOKUP(F249,'Dados de consulta'!$A$2:$C$38,3,0),8))</f>
        <v>0</v>
      </c>
      <c r="BD249" s="97">
        <f>IF(OR(AY249="SÁB",AY249="DOM"),0,IFERROR(8-VLOOKUP(G249,'Dados de consulta'!$A$2:$C$38,3,0),8))</f>
        <v>0</v>
      </c>
      <c r="BE249" s="97">
        <f>IF(OR(AY249="SÁB",AY249="DOM"),0,IFERROR(8-VLOOKUP(H249,'Dados de consulta'!$A$2:$C$38,3,0),8))</f>
        <v>0</v>
      </c>
      <c r="BF249" s="97">
        <f>IF(OR(AY249="SÁB",AY249="DOM"),0,IFERROR(8-VLOOKUP(I249,'Dados de consulta'!$A$2:$C$38,3,0),8))</f>
        <v>0</v>
      </c>
      <c r="BG249" s="97">
        <f>IF(OR(AY249="SÁB",AY249="DOM"),0,IFERROR(8-VLOOKUP(J249,'Dados de consulta'!$A$2:$C$38,3,0),8))</f>
        <v>0</v>
      </c>
      <c r="BH249" s="97">
        <f>IF(OR(AY249="SÁB",AY249="DOM"),0,IFERROR(8-VLOOKUP(K249,'Dados de consulta'!$A$2:$C$38,3,0),8))</f>
        <v>0</v>
      </c>
      <c r="BI249" s="97">
        <f>IF(OR(AY249="SÁB",AY249="DOM"),0,IFERROR(8-VLOOKUP(L249,'Dados de consulta'!$A$2:$C$38,3,0),8))</f>
        <v>0</v>
      </c>
      <c r="BJ249" s="97">
        <f>IF(OR(AY249="SÁB",AY249="DOM"),0,IFERROR(8-VLOOKUP(M249,'Dados de consulta'!$A$2:$C$38,3,0),8))</f>
        <v>0</v>
      </c>
      <c r="BK249" s="97">
        <f>IF(OR(AY249="SÁB",AY249="DOM"),0,IFERROR(8-VLOOKUP(N249,'Dados de consulta'!$A$2:$C$38,3,0),8))</f>
        <v>0</v>
      </c>
      <c r="BL249" s="97">
        <f>IF(OR(AY249="SÁB",AY249="DOM"),0,IFERROR(8-VLOOKUP(O249,'Dados de consulta'!$A$2:$C$38,3,0),8))</f>
        <v>0</v>
      </c>
      <c r="BM249" s="97">
        <f>IF(OR(AY249="SÁB",AY249="DOM"),0,IFERROR(8-VLOOKUP(P249,'Dados de consulta'!$A$2:$C$38,3,0),8))</f>
        <v>0</v>
      </c>
      <c r="BN249" s="97">
        <f>IF(OR(AY249="SÁB",AY249="DOM"),0,IFERROR(8-VLOOKUP(Q249,'Dados de consulta'!$A$2:$C$38,3,0),8))</f>
        <v>0</v>
      </c>
      <c r="BO249" s="97">
        <f>IF(OR(AY249="SÁB",AY249="DOM"),0,IFERROR(8-VLOOKUP(R249,'Dados de consulta'!$A$2:$C$38,3,0),8))</f>
        <v>0</v>
      </c>
      <c r="BP249" s="97">
        <f>IF(OR(AY249="SÁB",AY249="DOM"),0,IFERROR(8-VLOOKUP(S249,'Dados de consulta'!$A$2:$C$38,3,0),8))</f>
        <v>0</v>
      </c>
      <c r="BQ249" s="113">
        <f>IFERROR(6-VLOOKUP(T249,'Dados de consulta'!$A$2:$C$38,3,0)+2,6)</f>
        <v>6</v>
      </c>
      <c r="BR249" s="114">
        <f t="shared" si="102"/>
        <v>0</v>
      </c>
      <c r="BS249">
        <f t="shared" si="78"/>
        <v>0</v>
      </c>
      <c r="BU249">
        <f>IFERROR(8-VLOOKUP(U249,'Dados de consulta'!$A:$D,3,0),8)</f>
        <v>8</v>
      </c>
      <c r="BV249">
        <f>IFERROR(8-VLOOKUP(V249,'Dados de consulta'!$A:$D,3,0),8)</f>
        <v>8</v>
      </c>
      <c r="BW249">
        <f t="shared" si="103"/>
        <v>16</v>
      </c>
    </row>
    <row r="250" spans="1:75" ht="15" hidden="1" x14ac:dyDescent="0.2">
      <c r="A250" s="98">
        <v>42373</v>
      </c>
      <c r="B250" s="129" t="str">
        <f t="shared" si="79"/>
        <v>seg</v>
      </c>
      <c r="C250" s="132">
        <v>1</v>
      </c>
      <c r="D250" s="132"/>
      <c r="E250" s="132"/>
      <c r="F250" s="132">
        <v>1</v>
      </c>
      <c r="G250" s="132">
        <v>1</v>
      </c>
      <c r="H250" s="132"/>
      <c r="I250" s="132"/>
      <c r="J250" s="132"/>
      <c r="K250" s="132">
        <v>18</v>
      </c>
      <c r="L250" s="132"/>
      <c r="M250" s="132">
        <v>101</v>
      </c>
      <c r="N250" s="132"/>
      <c r="O250" s="132"/>
      <c r="P250" s="132"/>
      <c r="Q250" s="132"/>
      <c r="R250" s="132"/>
      <c r="S250" s="132"/>
      <c r="T250" s="132"/>
      <c r="U250" s="151"/>
      <c r="V250" s="151"/>
      <c r="W250" s="307" t="s">
        <v>193</v>
      </c>
      <c r="X250" s="308"/>
      <c r="Y250" s="38">
        <f t="shared" si="80"/>
        <v>0</v>
      </c>
      <c r="Z250" s="38">
        <f t="shared" si="81"/>
        <v>32</v>
      </c>
      <c r="AA250" s="38">
        <f t="shared" si="82"/>
        <v>0</v>
      </c>
      <c r="AB250" s="38">
        <f t="shared" si="90"/>
        <v>0</v>
      </c>
      <c r="AC250" s="38">
        <f t="shared" si="91"/>
        <v>0</v>
      </c>
      <c r="AD250" s="38">
        <f t="shared" si="92"/>
        <v>0</v>
      </c>
      <c r="AE250" s="38">
        <f t="shared" si="93"/>
        <v>0</v>
      </c>
      <c r="AF250" s="38">
        <f t="shared" si="94"/>
        <v>0</v>
      </c>
      <c r="AG250" s="33">
        <f t="shared" si="95"/>
        <v>0</v>
      </c>
      <c r="AH250" s="33">
        <f t="shared" si="96"/>
        <v>32</v>
      </c>
      <c r="AI250" s="33">
        <f t="shared" si="97"/>
        <v>0</v>
      </c>
      <c r="AJ250" s="33">
        <f t="shared" si="98"/>
        <v>0</v>
      </c>
      <c r="AK250" s="34">
        <f t="shared" si="99"/>
        <v>0</v>
      </c>
      <c r="AL250" s="35">
        <f t="shared" si="100"/>
        <v>0.22535211267605634</v>
      </c>
      <c r="AM250" s="34">
        <f t="shared" si="83"/>
        <v>0</v>
      </c>
      <c r="AN250" s="36">
        <f t="shared" si="101"/>
        <v>0</v>
      </c>
      <c r="AO250" s="6">
        <f t="shared" si="84"/>
        <v>0</v>
      </c>
      <c r="AP250">
        <f t="shared" si="85"/>
        <v>8</v>
      </c>
      <c r="AQ250" s="6">
        <f t="shared" si="86"/>
        <v>0</v>
      </c>
      <c r="AR250" s="6">
        <f t="shared" si="87"/>
        <v>0</v>
      </c>
      <c r="AS250" s="6"/>
      <c r="AX250" s="95">
        <f t="shared" si="88"/>
        <v>42373</v>
      </c>
      <c r="AY250" s="96" t="str">
        <f t="shared" si="89"/>
        <v>seg</v>
      </c>
      <c r="AZ250" s="97">
        <f>IF(OR(AY250="SÁB",AY250="DOM"),0,IFERROR(8-VLOOKUP(C250,'Dados de consulta'!$A$2:$C$38,3,0),8))</f>
        <v>0</v>
      </c>
      <c r="BA250" s="97">
        <f>IF(OR(AY250="SÁB",AY250="DOM"),0,IFERROR(8-VLOOKUP(D250,'Dados de consulta'!$A$2:$C$38,3,0),8))</f>
        <v>8</v>
      </c>
      <c r="BB250" s="97">
        <f>IF(OR(AY250="SÁB",AY250="DOM"),0,IFERROR(8-VLOOKUP(E250,'Dados de consulta'!$A$2:$C$38,3,0),8))</f>
        <v>8</v>
      </c>
      <c r="BC250" s="97">
        <f>IF(OR(AY250="SÁB",AY250="DOM"),0,IFERROR(8-VLOOKUP(F250,'Dados de consulta'!$A$2:$C$38,3,0),8))</f>
        <v>0</v>
      </c>
      <c r="BD250" s="97">
        <f>IF(OR(AY250="SÁB",AY250="DOM"),0,IFERROR(8-VLOOKUP(G250,'Dados de consulta'!$A$2:$C$38,3,0),8))</f>
        <v>0</v>
      </c>
      <c r="BE250" s="97">
        <f>IF(OR(AY250="SÁB",AY250="DOM"),0,IFERROR(8-VLOOKUP(H250,'Dados de consulta'!$A$2:$C$38,3,0),8))</f>
        <v>8</v>
      </c>
      <c r="BF250" s="97">
        <f>IF(OR(AY250="SÁB",AY250="DOM"),0,IFERROR(8-VLOOKUP(I250,'Dados de consulta'!$A$2:$C$38,3,0),8))</f>
        <v>8</v>
      </c>
      <c r="BG250" s="97">
        <f>IF(OR(AY250="SÁB",AY250="DOM"),0,IFERROR(8-VLOOKUP(J250,'Dados de consulta'!$A$2:$C$38,3,0),8))</f>
        <v>8</v>
      </c>
      <c r="BH250" s="97">
        <f>IF(OR(AY250="SÁB",AY250="DOM"),0,IFERROR(8-VLOOKUP(K250,'Dados de consulta'!$A$2:$C$38,3,0),8))</f>
        <v>0</v>
      </c>
      <c r="BI250" s="97">
        <f>IF(OR(AY250="SÁB",AY250="DOM"),0,IFERROR(8-VLOOKUP(L250,'Dados de consulta'!$A$2:$C$38,3,0),8))</f>
        <v>8</v>
      </c>
      <c r="BJ250" s="97">
        <f>IF(OR(AY250="SÁB",AY250="DOM"),0,IFERROR(8-VLOOKUP(M250,'Dados de consulta'!$A$2:$C$38,3,0),8))</f>
        <v>0</v>
      </c>
      <c r="BK250" s="97">
        <f>IF(OR(AY250="SÁB",AY250="DOM"),0,IFERROR(8-VLOOKUP(N250,'Dados de consulta'!$A$2:$C$38,3,0),8))</f>
        <v>8</v>
      </c>
      <c r="BL250" s="97">
        <f>IF(OR(AY250="SÁB",AY250="DOM"),0,IFERROR(8-VLOOKUP(O250,'Dados de consulta'!$A$2:$C$38,3,0),8))</f>
        <v>8</v>
      </c>
      <c r="BM250" s="97">
        <f>IF(OR(AY250="SÁB",AY250="DOM"),0,IFERROR(8-VLOOKUP(P250,'Dados de consulta'!$A$2:$C$38,3,0),8))</f>
        <v>8</v>
      </c>
      <c r="BN250" s="97">
        <f>IF(OR(AY250="SÁB",AY250="DOM"),0,IFERROR(8-VLOOKUP(Q250,'Dados de consulta'!$A$2:$C$38,3,0),8))</f>
        <v>8</v>
      </c>
      <c r="BO250" s="97">
        <f>IF(OR(AY250="SÁB",AY250="DOM"),0,IFERROR(8-VLOOKUP(R250,'Dados de consulta'!$A$2:$C$38,3,0),8))</f>
        <v>8</v>
      </c>
      <c r="BP250" s="97">
        <f>IF(OR(AY250="SÁB",AY250="DOM"),0,IFERROR(8-VLOOKUP(S250,'Dados de consulta'!$A$2:$C$38,3,0),8))</f>
        <v>8</v>
      </c>
      <c r="BQ250" s="113">
        <f>IFERROR(6-VLOOKUP(T250,'Dados de consulta'!$A$2:$C$38,3,0)+2,6)</f>
        <v>6</v>
      </c>
      <c r="BR250" s="114">
        <f t="shared" si="102"/>
        <v>102</v>
      </c>
      <c r="BS250">
        <f t="shared" si="78"/>
        <v>134</v>
      </c>
      <c r="BU250">
        <f>IFERROR(8-VLOOKUP(U250,'Dados de consulta'!$A:$D,3,0),8)</f>
        <v>8</v>
      </c>
      <c r="BV250">
        <f>IFERROR(8-VLOOKUP(V250,'Dados de consulta'!$A:$D,3,0),8)</f>
        <v>8</v>
      </c>
      <c r="BW250">
        <f t="shared" si="103"/>
        <v>16</v>
      </c>
    </row>
    <row r="251" spans="1:75" ht="15" hidden="1" x14ac:dyDescent="0.2">
      <c r="A251" s="98">
        <v>42374</v>
      </c>
      <c r="B251" s="129" t="str">
        <f t="shared" si="79"/>
        <v>ter</v>
      </c>
      <c r="C251" s="132">
        <v>18</v>
      </c>
      <c r="D251" s="132"/>
      <c r="E251" s="132"/>
      <c r="F251" s="132">
        <v>1</v>
      </c>
      <c r="G251" s="132">
        <v>1</v>
      </c>
      <c r="H251" s="132">
        <v>18</v>
      </c>
      <c r="I251" s="132"/>
      <c r="J251" s="132"/>
      <c r="K251" s="132">
        <v>18</v>
      </c>
      <c r="L251" s="132"/>
      <c r="M251" s="132">
        <v>101</v>
      </c>
      <c r="N251" s="132"/>
      <c r="O251" s="132"/>
      <c r="P251" s="132"/>
      <c r="Q251" s="132"/>
      <c r="R251" s="132"/>
      <c r="S251" s="132"/>
      <c r="T251" s="132"/>
      <c r="U251" s="151"/>
      <c r="V251" s="151"/>
      <c r="W251" s="307" t="s">
        <v>193</v>
      </c>
      <c r="X251" s="308"/>
      <c r="Y251" s="38">
        <f t="shared" si="80"/>
        <v>0</v>
      </c>
      <c r="Z251" s="38">
        <f t="shared" si="81"/>
        <v>40</v>
      </c>
      <c r="AA251" s="38">
        <f t="shared" si="82"/>
        <v>0</v>
      </c>
      <c r="AB251" s="38">
        <f t="shared" si="90"/>
        <v>0</v>
      </c>
      <c r="AC251" s="38">
        <f t="shared" si="91"/>
        <v>0</v>
      </c>
      <c r="AD251" s="38">
        <f t="shared" si="92"/>
        <v>0</v>
      </c>
      <c r="AE251" s="38">
        <f t="shared" si="93"/>
        <v>0</v>
      </c>
      <c r="AF251" s="38">
        <f t="shared" si="94"/>
        <v>0</v>
      </c>
      <c r="AG251" s="33">
        <f t="shared" si="95"/>
        <v>0</v>
      </c>
      <c r="AH251" s="33">
        <f t="shared" si="96"/>
        <v>40</v>
      </c>
      <c r="AI251" s="33">
        <f t="shared" si="97"/>
        <v>0</v>
      </c>
      <c r="AJ251" s="33">
        <f t="shared" si="98"/>
        <v>0</v>
      </c>
      <c r="AK251" s="34">
        <f t="shared" si="99"/>
        <v>0</v>
      </c>
      <c r="AL251" s="35">
        <f t="shared" si="100"/>
        <v>0.28169014084507044</v>
      </c>
      <c r="AM251" s="34">
        <f t="shared" si="83"/>
        <v>0</v>
      </c>
      <c r="AN251" s="36">
        <f t="shared" si="101"/>
        <v>0</v>
      </c>
      <c r="AO251" s="6">
        <f t="shared" si="84"/>
        <v>0</v>
      </c>
      <c r="AP251">
        <f t="shared" si="85"/>
        <v>8</v>
      </c>
      <c r="AQ251" s="6">
        <f t="shared" si="86"/>
        <v>0</v>
      </c>
      <c r="AR251" s="6">
        <f t="shared" si="87"/>
        <v>0</v>
      </c>
      <c r="AS251" s="6"/>
      <c r="AX251" s="95">
        <f t="shared" si="88"/>
        <v>42374</v>
      </c>
      <c r="AY251" s="96" t="str">
        <f t="shared" si="89"/>
        <v>ter</v>
      </c>
      <c r="AZ251" s="97">
        <f>IF(OR(AY251="SÁB",AY251="DOM"),0,IFERROR(8-VLOOKUP(C251,'Dados de consulta'!$A$2:$C$38,3,0),8))</f>
        <v>0</v>
      </c>
      <c r="BA251" s="97">
        <f>IF(OR(AY251="SÁB",AY251="DOM"),0,IFERROR(8-VLOOKUP(D251,'Dados de consulta'!$A$2:$C$38,3,0),8))</f>
        <v>8</v>
      </c>
      <c r="BB251" s="97">
        <f>IF(OR(AY251="SÁB",AY251="DOM"),0,IFERROR(8-VLOOKUP(E251,'Dados de consulta'!$A$2:$C$38,3,0),8))</f>
        <v>8</v>
      </c>
      <c r="BC251" s="97">
        <f>IF(OR(AY251="SÁB",AY251="DOM"),0,IFERROR(8-VLOOKUP(F251,'Dados de consulta'!$A$2:$C$38,3,0),8))</f>
        <v>0</v>
      </c>
      <c r="BD251" s="97">
        <f>IF(OR(AY251="SÁB",AY251="DOM"),0,IFERROR(8-VLOOKUP(G251,'Dados de consulta'!$A$2:$C$38,3,0),8))</f>
        <v>0</v>
      </c>
      <c r="BE251" s="97">
        <f>IF(OR(AY251="SÁB",AY251="DOM"),0,IFERROR(8-VLOOKUP(H251,'Dados de consulta'!$A$2:$C$38,3,0),8))</f>
        <v>0</v>
      </c>
      <c r="BF251" s="97">
        <f>IF(OR(AY251="SÁB",AY251="DOM"),0,IFERROR(8-VLOOKUP(I251,'Dados de consulta'!$A$2:$C$38,3,0),8))</f>
        <v>8</v>
      </c>
      <c r="BG251" s="97">
        <f>IF(OR(AY251="SÁB",AY251="DOM"),0,IFERROR(8-VLOOKUP(J251,'Dados de consulta'!$A$2:$C$38,3,0),8))</f>
        <v>8</v>
      </c>
      <c r="BH251" s="97">
        <f>IF(OR(AY251="SÁB",AY251="DOM"),0,IFERROR(8-VLOOKUP(K251,'Dados de consulta'!$A$2:$C$38,3,0),8))</f>
        <v>0</v>
      </c>
      <c r="BI251" s="97">
        <f>IF(OR(AY251="SÁB",AY251="DOM"),0,IFERROR(8-VLOOKUP(L251,'Dados de consulta'!$A$2:$C$38,3,0),8))</f>
        <v>8</v>
      </c>
      <c r="BJ251" s="97">
        <f>IF(OR(AY251="SÁB",AY251="DOM"),0,IFERROR(8-VLOOKUP(M251,'Dados de consulta'!$A$2:$C$38,3,0),8))</f>
        <v>0</v>
      </c>
      <c r="BK251" s="97">
        <f>IF(OR(AY251="SÁB",AY251="DOM"),0,IFERROR(8-VLOOKUP(N251,'Dados de consulta'!$A$2:$C$38,3,0),8))</f>
        <v>8</v>
      </c>
      <c r="BL251" s="97">
        <f>IF(OR(AY251="SÁB",AY251="DOM"),0,IFERROR(8-VLOOKUP(O251,'Dados de consulta'!$A$2:$C$38,3,0),8))</f>
        <v>8</v>
      </c>
      <c r="BM251" s="97">
        <f>IF(OR(AY251="SÁB",AY251="DOM"),0,IFERROR(8-VLOOKUP(P251,'Dados de consulta'!$A$2:$C$38,3,0),8))</f>
        <v>8</v>
      </c>
      <c r="BN251" s="97">
        <f>IF(OR(AY251="SÁB",AY251="DOM"),0,IFERROR(8-VLOOKUP(Q251,'Dados de consulta'!$A$2:$C$38,3,0),8))</f>
        <v>8</v>
      </c>
      <c r="BO251" s="97">
        <f>IF(OR(AY251="SÁB",AY251="DOM"),0,IFERROR(8-VLOOKUP(R251,'Dados de consulta'!$A$2:$C$38,3,0),8))</f>
        <v>8</v>
      </c>
      <c r="BP251" s="97">
        <f>IF(OR(AY251="SÁB",AY251="DOM"),0,IFERROR(8-VLOOKUP(S251,'Dados de consulta'!$A$2:$C$38,3,0),8))</f>
        <v>8</v>
      </c>
      <c r="BQ251" s="113">
        <f>IFERROR(6-VLOOKUP(T251,'Dados de consulta'!$A$2:$C$38,3,0)+2,6)</f>
        <v>6</v>
      </c>
      <c r="BR251" s="114">
        <f t="shared" si="102"/>
        <v>94</v>
      </c>
      <c r="BS251">
        <f t="shared" si="78"/>
        <v>134</v>
      </c>
      <c r="BU251">
        <f>IFERROR(8-VLOOKUP(U251,'Dados de consulta'!$A:$D,3,0),8)</f>
        <v>8</v>
      </c>
      <c r="BV251">
        <f>IFERROR(8-VLOOKUP(V251,'Dados de consulta'!$A:$D,3,0),8)</f>
        <v>8</v>
      </c>
      <c r="BW251">
        <f t="shared" si="103"/>
        <v>16</v>
      </c>
    </row>
    <row r="252" spans="1:75" ht="15" hidden="1" x14ac:dyDescent="0.2">
      <c r="A252" s="98">
        <v>42375</v>
      </c>
      <c r="B252" s="129" t="str">
        <f t="shared" si="79"/>
        <v>qua</v>
      </c>
      <c r="C252" s="132">
        <v>18</v>
      </c>
      <c r="D252" s="132"/>
      <c r="E252" s="132"/>
      <c r="F252" s="132">
        <v>1</v>
      </c>
      <c r="G252" s="132">
        <v>1</v>
      </c>
      <c r="H252" s="132">
        <v>18</v>
      </c>
      <c r="I252" s="132"/>
      <c r="J252" s="132"/>
      <c r="K252" s="132">
        <v>18</v>
      </c>
      <c r="L252" s="132"/>
      <c r="M252" s="132">
        <v>101</v>
      </c>
      <c r="N252" s="132"/>
      <c r="O252" s="132"/>
      <c r="P252" s="132"/>
      <c r="Q252" s="132"/>
      <c r="R252" s="132"/>
      <c r="S252" s="132"/>
      <c r="T252" s="132"/>
      <c r="U252" s="151"/>
      <c r="V252" s="151"/>
      <c r="W252" s="307" t="s">
        <v>193</v>
      </c>
      <c r="X252" s="308"/>
      <c r="Y252" s="38">
        <f t="shared" si="80"/>
        <v>0</v>
      </c>
      <c r="Z252" s="38">
        <f t="shared" si="81"/>
        <v>40</v>
      </c>
      <c r="AA252" s="38">
        <f t="shared" si="82"/>
        <v>0</v>
      </c>
      <c r="AB252" s="38">
        <f t="shared" si="90"/>
        <v>0</v>
      </c>
      <c r="AC252" s="38">
        <f t="shared" si="91"/>
        <v>0</v>
      </c>
      <c r="AD252" s="38">
        <f t="shared" si="92"/>
        <v>0</v>
      </c>
      <c r="AE252" s="38">
        <f t="shared" si="93"/>
        <v>0</v>
      </c>
      <c r="AF252" s="38">
        <f t="shared" si="94"/>
        <v>0</v>
      </c>
      <c r="AG252" s="33">
        <f t="shared" si="95"/>
        <v>0</v>
      </c>
      <c r="AH252" s="33">
        <f t="shared" si="96"/>
        <v>40</v>
      </c>
      <c r="AI252" s="33">
        <f t="shared" si="97"/>
        <v>0</v>
      </c>
      <c r="AJ252" s="33">
        <f t="shared" si="98"/>
        <v>0</v>
      </c>
      <c r="AK252" s="34">
        <f t="shared" si="99"/>
        <v>0</v>
      </c>
      <c r="AL252" s="35">
        <f t="shared" si="100"/>
        <v>0.28169014084507044</v>
      </c>
      <c r="AM252" s="34">
        <f t="shared" si="83"/>
        <v>0</v>
      </c>
      <c r="AN252" s="36">
        <f t="shared" si="101"/>
        <v>0</v>
      </c>
      <c r="AO252" s="6">
        <f t="shared" si="84"/>
        <v>0</v>
      </c>
      <c r="AP252">
        <f t="shared" si="85"/>
        <v>8</v>
      </c>
      <c r="AQ252" s="6">
        <f t="shared" si="86"/>
        <v>0</v>
      </c>
      <c r="AR252" s="6">
        <f t="shared" si="87"/>
        <v>0</v>
      </c>
      <c r="AS252" s="6"/>
      <c r="AX252" s="95">
        <f t="shared" si="88"/>
        <v>42375</v>
      </c>
      <c r="AY252" s="96" t="str">
        <f t="shared" si="89"/>
        <v>qua</v>
      </c>
      <c r="AZ252" s="97">
        <f>IF(OR(AY252="SÁB",AY252="DOM"),0,IFERROR(8-VLOOKUP(C252,'Dados de consulta'!$A$2:$C$38,3,0),8))</f>
        <v>0</v>
      </c>
      <c r="BA252" s="97">
        <f>IF(OR(AY252="SÁB",AY252="DOM"),0,IFERROR(8-VLOOKUP(D252,'Dados de consulta'!$A$2:$C$38,3,0),8))</f>
        <v>8</v>
      </c>
      <c r="BB252" s="97">
        <f>IF(OR(AY252="SÁB",AY252="DOM"),0,IFERROR(8-VLOOKUP(E252,'Dados de consulta'!$A$2:$C$38,3,0),8))</f>
        <v>8</v>
      </c>
      <c r="BC252" s="97">
        <f>IF(OR(AY252="SÁB",AY252="DOM"),0,IFERROR(8-VLOOKUP(F252,'Dados de consulta'!$A$2:$C$38,3,0),8))</f>
        <v>0</v>
      </c>
      <c r="BD252" s="97">
        <f>IF(OR(AY252="SÁB",AY252="DOM"),0,IFERROR(8-VLOOKUP(G252,'Dados de consulta'!$A$2:$C$38,3,0),8))</f>
        <v>0</v>
      </c>
      <c r="BE252" s="97">
        <f>IF(OR(AY252="SÁB",AY252="DOM"),0,IFERROR(8-VLOOKUP(H252,'Dados de consulta'!$A$2:$C$38,3,0),8))</f>
        <v>0</v>
      </c>
      <c r="BF252" s="97">
        <f>IF(OR(AY252="SÁB",AY252="DOM"),0,IFERROR(8-VLOOKUP(I252,'Dados de consulta'!$A$2:$C$38,3,0),8))</f>
        <v>8</v>
      </c>
      <c r="BG252" s="97">
        <f>IF(OR(AY252="SÁB",AY252="DOM"),0,IFERROR(8-VLOOKUP(J252,'Dados de consulta'!$A$2:$C$38,3,0),8))</f>
        <v>8</v>
      </c>
      <c r="BH252" s="97">
        <f>IF(OR(AY252="SÁB",AY252="DOM"),0,IFERROR(8-VLOOKUP(K252,'Dados de consulta'!$A$2:$C$38,3,0),8))</f>
        <v>0</v>
      </c>
      <c r="BI252" s="97">
        <f>IF(OR(AY252="SÁB",AY252="DOM"),0,IFERROR(8-VLOOKUP(L252,'Dados de consulta'!$A$2:$C$38,3,0),8))</f>
        <v>8</v>
      </c>
      <c r="BJ252" s="97">
        <f>IF(OR(AY252="SÁB",AY252="DOM"),0,IFERROR(8-VLOOKUP(M252,'Dados de consulta'!$A$2:$C$38,3,0),8))</f>
        <v>0</v>
      </c>
      <c r="BK252" s="97">
        <f>IF(OR(AY252="SÁB",AY252="DOM"),0,IFERROR(8-VLOOKUP(N252,'Dados de consulta'!$A$2:$C$38,3,0),8))</f>
        <v>8</v>
      </c>
      <c r="BL252" s="97">
        <f>IF(OR(AY252="SÁB",AY252="DOM"),0,IFERROR(8-VLOOKUP(O252,'Dados de consulta'!$A$2:$C$38,3,0),8))</f>
        <v>8</v>
      </c>
      <c r="BM252" s="97">
        <f>IF(OR(AY252="SÁB",AY252="DOM"),0,IFERROR(8-VLOOKUP(P252,'Dados de consulta'!$A$2:$C$38,3,0),8))</f>
        <v>8</v>
      </c>
      <c r="BN252" s="97">
        <f>IF(OR(AY252="SÁB",AY252="DOM"),0,IFERROR(8-VLOOKUP(Q252,'Dados de consulta'!$A$2:$C$38,3,0),8))</f>
        <v>8</v>
      </c>
      <c r="BO252" s="97">
        <f>IF(OR(AY252="SÁB",AY252="DOM"),0,IFERROR(8-VLOOKUP(R252,'Dados de consulta'!$A$2:$C$38,3,0),8))</f>
        <v>8</v>
      </c>
      <c r="BP252" s="97">
        <f>IF(OR(AY252="SÁB",AY252="DOM"),0,IFERROR(8-VLOOKUP(S252,'Dados de consulta'!$A$2:$C$38,3,0),8))</f>
        <v>8</v>
      </c>
      <c r="BQ252" s="113">
        <f>IFERROR(6-VLOOKUP(T252,'Dados de consulta'!$A$2:$C$38,3,0)+2,6)</f>
        <v>6</v>
      </c>
      <c r="BR252" s="114">
        <f t="shared" si="102"/>
        <v>94</v>
      </c>
      <c r="BS252">
        <f t="shared" si="78"/>
        <v>134</v>
      </c>
      <c r="BU252">
        <f>IFERROR(8-VLOOKUP(U252,'Dados de consulta'!$A:$D,3,0),8)</f>
        <v>8</v>
      </c>
      <c r="BV252">
        <f>IFERROR(8-VLOOKUP(V252,'Dados de consulta'!$A:$D,3,0),8)</f>
        <v>8</v>
      </c>
      <c r="BW252">
        <f t="shared" si="103"/>
        <v>16</v>
      </c>
    </row>
    <row r="253" spans="1:75" ht="15" hidden="1" x14ac:dyDescent="0.2">
      <c r="A253" s="98">
        <v>42376</v>
      </c>
      <c r="B253" s="129" t="str">
        <f t="shared" si="79"/>
        <v>qui</v>
      </c>
      <c r="C253" s="132">
        <v>18</v>
      </c>
      <c r="D253" s="132"/>
      <c r="E253" s="132"/>
      <c r="F253" s="132">
        <v>1</v>
      </c>
      <c r="G253" s="132"/>
      <c r="H253" s="132">
        <v>18</v>
      </c>
      <c r="I253" s="132"/>
      <c r="J253" s="132"/>
      <c r="K253" s="132">
        <v>18</v>
      </c>
      <c r="L253" s="132"/>
      <c r="M253" s="132">
        <v>101</v>
      </c>
      <c r="N253" s="132"/>
      <c r="O253" s="132"/>
      <c r="P253" s="132"/>
      <c r="Q253" s="132"/>
      <c r="R253" s="132"/>
      <c r="S253" s="132"/>
      <c r="T253" s="132"/>
      <c r="U253" s="151"/>
      <c r="V253" s="151"/>
      <c r="W253" s="307" t="s">
        <v>193</v>
      </c>
      <c r="X253" s="308"/>
      <c r="Y253" s="38">
        <f t="shared" si="80"/>
        <v>0</v>
      </c>
      <c r="Z253" s="38">
        <f t="shared" si="81"/>
        <v>32</v>
      </c>
      <c r="AA253" s="38">
        <f t="shared" si="82"/>
        <v>0</v>
      </c>
      <c r="AB253" s="38">
        <f t="shared" si="90"/>
        <v>0</v>
      </c>
      <c r="AC253" s="38">
        <f t="shared" si="91"/>
        <v>0</v>
      </c>
      <c r="AD253" s="38">
        <f t="shared" si="92"/>
        <v>0</v>
      </c>
      <c r="AE253" s="38">
        <f t="shared" si="93"/>
        <v>0</v>
      </c>
      <c r="AF253" s="38">
        <f t="shared" si="94"/>
        <v>0</v>
      </c>
      <c r="AG253" s="33">
        <f t="shared" si="95"/>
        <v>0</v>
      </c>
      <c r="AH253" s="33">
        <f t="shared" si="96"/>
        <v>32</v>
      </c>
      <c r="AI253" s="33">
        <f t="shared" si="97"/>
        <v>0</v>
      </c>
      <c r="AJ253" s="33">
        <f t="shared" si="98"/>
        <v>0</v>
      </c>
      <c r="AK253" s="34">
        <f t="shared" si="99"/>
        <v>0</v>
      </c>
      <c r="AL253" s="35">
        <f t="shared" si="100"/>
        <v>0.22535211267605634</v>
      </c>
      <c r="AM253" s="34">
        <f t="shared" si="83"/>
        <v>0</v>
      </c>
      <c r="AN253" s="36">
        <f t="shared" si="101"/>
        <v>0</v>
      </c>
      <c r="AO253" s="6">
        <f t="shared" si="84"/>
        <v>0</v>
      </c>
      <c r="AP253">
        <f t="shared" si="85"/>
        <v>8</v>
      </c>
      <c r="AQ253" s="6">
        <f t="shared" si="86"/>
        <v>0</v>
      </c>
      <c r="AR253" s="6">
        <f t="shared" si="87"/>
        <v>0</v>
      </c>
      <c r="AS253" s="6"/>
      <c r="AX253" s="95">
        <f t="shared" si="88"/>
        <v>42376</v>
      </c>
      <c r="AY253" s="96" t="str">
        <f t="shared" si="89"/>
        <v>qui</v>
      </c>
      <c r="AZ253" s="97">
        <f>IF(OR(AY253="SÁB",AY253="DOM"),0,IFERROR(8-VLOOKUP(C253,'Dados de consulta'!$A$2:$C$38,3,0),8))</f>
        <v>0</v>
      </c>
      <c r="BA253" s="97">
        <f>IF(OR(AY253="SÁB",AY253="DOM"),0,IFERROR(8-VLOOKUP(D253,'Dados de consulta'!$A$2:$C$38,3,0),8))</f>
        <v>8</v>
      </c>
      <c r="BB253" s="97">
        <f>IF(OR(AY253="SÁB",AY253="DOM"),0,IFERROR(8-VLOOKUP(E253,'Dados de consulta'!$A$2:$C$38,3,0),8))</f>
        <v>8</v>
      </c>
      <c r="BC253" s="97">
        <f>IF(OR(AY253="SÁB",AY253="DOM"),0,IFERROR(8-VLOOKUP(F253,'Dados de consulta'!$A$2:$C$38,3,0),8))</f>
        <v>0</v>
      </c>
      <c r="BD253" s="97">
        <f>IF(OR(AY253="SÁB",AY253="DOM"),0,IFERROR(8-VLOOKUP(G253,'Dados de consulta'!$A$2:$C$38,3,0),8))</f>
        <v>8</v>
      </c>
      <c r="BE253" s="97">
        <f>IF(OR(AY253="SÁB",AY253="DOM"),0,IFERROR(8-VLOOKUP(H253,'Dados de consulta'!$A$2:$C$38,3,0),8))</f>
        <v>0</v>
      </c>
      <c r="BF253" s="97">
        <f>IF(OR(AY253="SÁB",AY253="DOM"),0,IFERROR(8-VLOOKUP(I253,'Dados de consulta'!$A$2:$C$38,3,0),8))</f>
        <v>8</v>
      </c>
      <c r="BG253" s="97">
        <f>IF(OR(AY253="SÁB",AY253="DOM"),0,IFERROR(8-VLOOKUP(J253,'Dados de consulta'!$A$2:$C$38,3,0),8))</f>
        <v>8</v>
      </c>
      <c r="BH253" s="97">
        <f>IF(OR(AY253="SÁB",AY253="DOM"),0,IFERROR(8-VLOOKUP(K253,'Dados de consulta'!$A$2:$C$38,3,0),8))</f>
        <v>0</v>
      </c>
      <c r="BI253" s="97">
        <f>IF(OR(AY253="SÁB",AY253="DOM"),0,IFERROR(8-VLOOKUP(L253,'Dados de consulta'!$A$2:$C$38,3,0),8))</f>
        <v>8</v>
      </c>
      <c r="BJ253" s="97">
        <f>IF(OR(AY253="SÁB",AY253="DOM"),0,IFERROR(8-VLOOKUP(M253,'Dados de consulta'!$A$2:$C$38,3,0),8))</f>
        <v>0</v>
      </c>
      <c r="BK253" s="97">
        <f>IF(OR(AY253="SÁB",AY253="DOM"),0,IFERROR(8-VLOOKUP(N253,'Dados de consulta'!$A$2:$C$38,3,0),8))</f>
        <v>8</v>
      </c>
      <c r="BL253" s="97">
        <f>IF(OR(AY253="SÁB",AY253="DOM"),0,IFERROR(8-VLOOKUP(O253,'Dados de consulta'!$A$2:$C$38,3,0),8))</f>
        <v>8</v>
      </c>
      <c r="BM253" s="97">
        <f>IF(OR(AY253="SÁB",AY253="DOM"),0,IFERROR(8-VLOOKUP(P253,'Dados de consulta'!$A$2:$C$38,3,0),8))</f>
        <v>8</v>
      </c>
      <c r="BN253" s="97">
        <f>IF(OR(AY253="SÁB",AY253="DOM"),0,IFERROR(8-VLOOKUP(Q253,'Dados de consulta'!$A$2:$C$38,3,0),8))</f>
        <v>8</v>
      </c>
      <c r="BO253" s="97">
        <f>IF(OR(AY253="SÁB",AY253="DOM"),0,IFERROR(8-VLOOKUP(R253,'Dados de consulta'!$A$2:$C$38,3,0),8))</f>
        <v>8</v>
      </c>
      <c r="BP253" s="97">
        <f>IF(OR(AY253="SÁB",AY253="DOM"),0,IFERROR(8-VLOOKUP(S253,'Dados de consulta'!$A$2:$C$38,3,0),8))</f>
        <v>8</v>
      </c>
      <c r="BQ253" s="113">
        <f>IFERROR(6-VLOOKUP(T253,'Dados de consulta'!$A$2:$C$38,3,0)+2,6)</f>
        <v>6</v>
      </c>
      <c r="BR253" s="114">
        <f t="shared" si="102"/>
        <v>102</v>
      </c>
      <c r="BS253">
        <f t="shared" si="78"/>
        <v>134</v>
      </c>
      <c r="BU253">
        <f>IFERROR(8-VLOOKUP(U253,'Dados de consulta'!$A:$D,3,0),8)</f>
        <v>8</v>
      </c>
      <c r="BV253">
        <f>IFERROR(8-VLOOKUP(V253,'Dados de consulta'!$A:$D,3,0),8)</f>
        <v>8</v>
      </c>
      <c r="BW253">
        <f t="shared" si="103"/>
        <v>16</v>
      </c>
    </row>
    <row r="254" spans="1:75" ht="15" hidden="1" x14ac:dyDescent="0.2">
      <c r="A254" s="98">
        <v>42377</v>
      </c>
      <c r="B254" s="129" t="str">
        <f t="shared" si="79"/>
        <v>sex</v>
      </c>
      <c r="C254" s="132">
        <v>18</v>
      </c>
      <c r="D254" s="132"/>
      <c r="E254" s="132"/>
      <c r="F254" s="132">
        <v>1</v>
      </c>
      <c r="G254" s="132"/>
      <c r="H254" s="132">
        <v>18</v>
      </c>
      <c r="I254" s="132">
        <v>1</v>
      </c>
      <c r="J254" s="132"/>
      <c r="K254" s="132">
        <v>18</v>
      </c>
      <c r="L254" s="132"/>
      <c r="M254" s="132">
        <v>101</v>
      </c>
      <c r="N254" s="132"/>
      <c r="O254" s="132"/>
      <c r="P254" s="132">
        <v>8</v>
      </c>
      <c r="Q254" s="132"/>
      <c r="R254" s="132"/>
      <c r="S254" s="132"/>
      <c r="T254" s="132"/>
      <c r="U254" s="151"/>
      <c r="V254" s="151"/>
      <c r="W254" s="307" t="s">
        <v>193</v>
      </c>
      <c r="X254" s="308"/>
      <c r="Y254" s="38">
        <f t="shared" si="80"/>
        <v>8</v>
      </c>
      <c r="Z254" s="38">
        <f t="shared" si="81"/>
        <v>40</v>
      </c>
      <c r="AA254" s="38">
        <f t="shared" si="82"/>
        <v>0</v>
      </c>
      <c r="AB254" s="38">
        <f t="shared" si="90"/>
        <v>0</v>
      </c>
      <c r="AC254" s="38">
        <f t="shared" si="91"/>
        <v>0</v>
      </c>
      <c r="AD254" s="38">
        <f t="shared" si="92"/>
        <v>0</v>
      </c>
      <c r="AE254" s="38">
        <f t="shared" si="93"/>
        <v>0</v>
      </c>
      <c r="AF254" s="38">
        <f t="shared" si="94"/>
        <v>0</v>
      </c>
      <c r="AG254" s="33">
        <f t="shared" si="95"/>
        <v>8</v>
      </c>
      <c r="AH254" s="33">
        <f t="shared" si="96"/>
        <v>40</v>
      </c>
      <c r="AI254" s="33">
        <f t="shared" si="97"/>
        <v>0</v>
      </c>
      <c r="AJ254" s="33">
        <f t="shared" si="98"/>
        <v>0</v>
      </c>
      <c r="AK254" s="34">
        <f t="shared" si="99"/>
        <v>5.6338028169014086E-2</v>
      </c>
      <c r="AL254" s="35">
        <f t="shared" si="100"/>
        <v>0.28169014084507044</v>
      </c>
      <c r="AM254" s="34">
        <f t="shared" si="83"/>
        <v>0</v>
      </c>
      <c r="AN254" s="36">
        <f t="shared" si="101"/>
        <v>0</v>
      </c>
      <c r="AO254" s="6">
        <f t="shared" si="84"/>
        <v>0</v>
      </c>
      <c r="AP254">
        <f t="shared" si="85"/>
        <v>8</v>
      </c>
      <c r="AQ254" s="6">
        <f t="shared" si="86"/>
        <v>0</v>
      </c>
      <c r="AR254" s="6">
        <f t="shared" si="87"/>
        <v>0</v>
      </c>
      <c r="AS254" s="6"/>
      <c r="AX254" s="95">
        <f t="shared" si="88"/>
        <v>42377</v>
      </c>
      <c r="AY254" s="96" t="str">
        <f t="shared" si="89"/>
        <v>sex</v>
      </c>
      <c r="AZ254" s="97">
        <f>IF(OR(AY254="SÁB",AY254="DOM"),0,IFERROR(8-VLOOKUP(C254,'Dados de consulta'!$A$2:$C$38,3,0),8))</f>
        <v>0</v>
      </c>
      <c r="BA254" s="97">
        <f>IF(OR(AY254="SÁB",AY254="DOM"),0,IFERROR(8-VLOOKUP(D254,'Dados de consulta'!$A$2:$C$38,3,0),8))</f>
        <v>8</v>
      </c>
      <c r="BB254" s="97">
        <f>IF(OR(AY254="SÁB",AY254="DOM"),0,IFERROR(8-VLOOKUP(E254,'Dados de consulta'!$A$2:$C$38,3,0),8))</f>
        <v>8</v>
      </c>
      <c r="BC254" s="97">
        <f>IF(OR(AY254="SÁB",AY254="DOM"),0,IFERROR(8-VLOOKUP(F254,'Dados de consulta'!$A$2:$C$38,3,0),8))</f>
        <v>0</v>
      </c>
      <c r="BD254" s="97">
        <f>IF(OR(AY254="SÁB",AY254="DOM"),0,IFERROR(8-VLOOKUP(G254,'Dados de consulta'!$A$2:$C$38,3,0),8))</f>
        <v>8</v>
      </c>
      <c r="BE254" s="97">
        <f>IF(OR(AY254="SÁB",AY254="DOM"),0,IFERROR(8-VLOOKUP(H254,'Dados de consulta'!$A$2:$C$38,3,0),8))</f>
        <v>0</v>
      </c>
      <c r="BF254" s="97">
        <f>IF(OR(AY254="SÁB",AY254="DOM"),0,IFERROR(8-VLOOKUP(I254,'Dados de consulta'!$A$2:$C$38,3,0),8))</f>
        <v>0</v>
      </c>
      <c r="BG254" s="97">
        <f>IF(OR(AY254="SÁB",AY254="DOM"),0,IFERROR(8-VLOOKUP(J254,'Dados de consulta'!$A$2:$C$38,3,0),8))</f>
        <v>8</v>
      </c>
      <c r="BH254" s="97">
        <f>IF(OR(AY254="SÁB",AY254="DOM"),0,IFERROR(8-VLOOKUP(K254,'Dados de consulta'!$A$2:$C$38,3,0),8))</f>
        <v>0</v>
      </c>
      <c r="BI254" s="97">
        <f>IF(OR(AY254="SÁB",AY254="DOM"),0,IFERROR(8-VLOOKUP(L254,'Dados de consulta'!$A$2:$C$38,3,0),8))</f>
        <v>8</v>
      </c>
      <c r="BJ254" s="97">
        <f>IF(OR(AY254="SÁB",AY254="DOM"),0,IFERROR(8-VLOOKUP(M254,'Dados de consulta'!$A$2:$C$38,3,0),8))</f>
        <v>0</v>
      </c>
      <c r="BK254" s="97">
        <f>IF(OR(AY254="SÁB",AY254="DOM"),0,IFERROR(8-VLOOKUP(N254,'Dados de consulta'!$A$2:$C$38,3,0),8))</f>
        <v>8</v>
      </c>
      <c r="BL254" s="97">
        <f>IF(OR(AY254="SÁB",AY254="DOM"),0,IFERROR(8-VLOOKUP(O254,'Dados de consulta'!$A$2:$C$38,3,0),8))</f>
        <v>8</v>
      </c>
      <c r="BM254" s="97">
        <f>IF(OR(AY254="SÁB",AY254="DOM"),0,IFERROR(8-VLOOKUP(P254,'Dados de consulta'!$A$2:$C$38,3,0),8))</f>
        <v>0</v>
      </c>
      <c r="BN254" s="97">
        <f>IF(OR(AY254="SÁB",AY254="DOM"),0,IFERROR(8-VLOOKUP(Q254,'Dados de consulta'!$A$2:$C$38,3,0),8))</f>
        <v>8</v>
      </c>
      <c r="BO254" s="97">
        <f>IF(OR(AY254="SÁB",AY254="DOM"),0,IFERROR(8-VLOOKUP(R254,'Dados de consulta'!$A$2:$C$38,3,0),8))</f>
        <v>8</v>
      </c>
      <c r="BP254" s="97">
        <f>IF(OR(AY254="SÁB",AY254="DOM"),0,IFERROR(8-VLOOKUP(S254,'Dados de consulta'!$A$2:$C$38,3,0),8))</f>
        <v>8</v>
      </c>
      <c r="BQ254" s="113">
        <f>IFERROR(6-VLOOKUP(T254,'Dados de consulta'!$A$2:$C$38,3,0)+2,6)</f>
        <v>6</v>
      </c>
      <c r="BR254" s="114">
        <f t="shared" si="102"/>
        <v>86</v>
      </c>
      <c r="BS254">
        <f t="shared" ref="BS254:BS317" si="104">IF(R255=17,0,IF(OR(AY254="SÁB",AY254="DOM"),0,((COUNT(AZ254:BQ254)-1)*8+6)-SUM(AO254:AR254)))</f>
        <v>134</v>
      </c>
      <c r="BU254">
        <f>IFERROR(8-VLOOKUP(U254,'Dados de consulta'!$A:$D,3,0),8)</f>
        <v>8</v>
      </c>
      <c r="BV254">
        <f>IFERROR(8-VLOOKUP(V254,'Dados de consulta'!$A:$D,3,0),8)</f>
        <v>8</v>
      </c>
      <c r="BW254">
        <f t="shared" si="103"/>
        <v>16</v>
      </c>
    </row>
    <row r="255" spans="1:75" ht="15" hidden="1" x14ac:dyDescent="0.2">
      <c r="A255" s="98">
        <v>42378</v>
      </c>
      <c r="B255" s="129" t="str">
        <f t="shared" si="79"/>
        <v>sáb</v>
      </c>
      <c r="C255" s="132">
        <v>18</v>
      </c>
      <c r="D255" s="132"/>
      <c r="E255" s="132"/>
      <c r="F255" s="132"/>
      <c r="G255" s="132"/>
      <c r="H255" s="132">
        <v>18</v>
      </c>
      <c r="I255" s="132"/>
      <c r="J255" s="132"/>
      <c r="K255" s="132">
        <v>18</v>
      </c>
      <c r="L255" s="132"/>
      <c r="M255" s="132">
        <v>101</v>
      </c>
      <c r="N255" s="132"/>
      <c r="O255" s="132"/>
      <c r="P255" s="132"/>
      <c r="Q255" s="132"/>
      <c r="R255" s="132"/>
      <c r="S255" s="132"/>
      <c r="T255" s="132"/>
      <c r="U255" s="151"/>
      <c r="V255" s="151"/>
      <c r="W255" s="307" t="s">
        <v>193</v>
      </c>
      <c r="X255" s="308"/>
      <c r="Y255" s="38">
        <f t="shared" si="80"/>
        <v>0</v>
      </c>
      <c r="Z255" s="38">
        <f t="shared" si="81"/>
        <v>24</v>
      </c>
      <c r="AA255" s="38">
        <f t="shared" si="82"/>
        <v>0</v>
      </c>
      <c r="AB255" s="38">
        <f t="shared" si="90"/>
        <v>0</v>
      </c>
      <c r="AC255" s="38">
        <f t="shared" si="91"/>
        <v>0</v>
      </c>
      <c r="AD255" s="38">
        <f t="shared" si="92"/>
        <v>0</v>
      </c>
      <c r="AE255" s="38">
        <f t="shared" si="93"/>
        <v>0</v>
      </c>
      <c r="AF255" s="38">
        <f t="shared" si="94"/>
        <v>0</v>
      </c>
      <c r="AG255" s="33">
        <f t="shared" si="95"/>
        <v>0</v>
      </c>
      <c r="AH255" s="33">
        <f t="shared" si="96"/>
        <v>0</v>
      </c>
      <c r="AI255" s="33">
        <f t="shared" si="97"/>
        <v>0</v>
      </c>
      <c r="AJ255" s="33">
        <f t="shared" si="98"/>
        <v>0</v>
      </c>
      <c r="AK255" s="34">
        <f t="shared" si="99"/>
        <v>0</v>
      </c>
      <c r="AL255" s="35">
        <f t="shared" si="100"/>
        <v>0</v>
      </c>
      <c r="AM255" s="34">
        <f t="shared" si="83"/>
        <v>0</v>
      </c>
      <c r="AN255" s="36">
        <f t="shared" si="101"/>
        <v>0</v>
      </c>
      <c r="AO255" s="6">
        <f t="shared" si="84"/>
        <v>0</v>
      </c>
      <c r="AP255">
        <f t="shared" si="85"/>
        <v>8</v>
      </c>
      <c r="AQ255" s="6">
        <f t="shared" si="86"/>
        <v>0</v>
      </c>
      <c r="AR255" s="6">
        <f t="shared" si="87"/>
        <v>0</v>
      </c>
      <c r="AS255" s="6"/>
      <c r="AX255" s="95">
        <f t="shared" si="88"/>
        <v>42378</v>
      </c>
      <c r="AY255" s="96" t="str">
        <f t="shared" si="89"/>
        <v>sáb</v>
      </c>
      <c r="AZ255" s="97">
        <f>IF(OR(AY255="SÁB",AY255="DOM"),0,IFERROR(8-VLOOKUP(C255,'Dados de consulta'!$A$2:$C$38,3,0),8))</f>
        <v>0</v>
      </c>
      <c r="BA255" s="97">
        <f>IF(OR(AY255="SÁB",AY255="DOM"),0,IFERROR(8-VLOOKUP(D255,'Dados de consulta'!$A$2:$C$38,3,0),8))</f>
        <v>0</v>
      </c>
      <c r="BB255" s="97">
        <f>IF(OR(AY255="SÁB",AY255="DOM"),0,IFERROR(8-VLOOKUP(E255,'Dados de consulta'!$A$2:$C$38,3,0),8))</f>
        <v>0</v>
      </c>
      <c r="BC255" s="97">
        <f>IF(OR(AY255="SÁB",AY255="DOM"),0,IFERROR(8-VLOOKUP(F255,'Dados de consulta'!$A$2:$C$38,3,0),8))</f>
        <v>0</v>
      </c>
      <c r="BD255" s="97">
        <f>IF(OR(AY255="SÁB",AY255="DOM"),0,IFERROR(8-VLOOKUP(G255,'Dados de consulta'!$A$2:$C$38,3,0),8))</f>
        <v>0</v>
      </c>
      <c r="BE255" s="97">
        <f>IF(OR(AY255="SÁB",AY255="DOM"),0,IFERROR(8-VLOOKUP(H255,'Dados de consulta'!$A$2:$C$38,3,0),8))</f>
        <v>0</v>
      </c>
      <c r="BF255" s="97">
        <f>IF(OR(AY255="SÁB",AY255="DOM"),0,IFERROR(8-VLOOKUP(I255,'Dados de consulta'!$A$2:$C$38,3,0),8))</f>
        <v>0</v>
      </c>
      <c r="BG255" s="97">
        <f>IF(OR(AY255="SÁB",AY255="DOM"),0,IFERROR(8-VLOOKUP(J255,'Dados de consulta'!$A$2:$C$38,3,0),8))</f>
        <v>0</v>
      </c>
      <c r="BH255" s="97">
        <f>IF(OR(AY255="SÁB",AY255="DOM"),0,IFERROR(8-VLOOKUP(K255,'Dados de consulta'!$A$2:$C$38,3,0),8))</f>
        <v>0</v>
      </c>
      <c r="BI255" s="97">
        <f>IF(OR(AY255="SÁB",AY255="DOM"),0,IFERROR(8-VLOOKUP(L255,'Dados de consulta'!$A$2:$C$38,3,0),8))</f>
        <v>0</v>
      </c>
      <c r="BJ255" s="97">
        <f>IF(OR(AY255="SÁB",AY255="DOM"),0,IFERROR(8-VLOOKUP(M255,'Dados de consulta'!$A$2:$C$38,3,0),8))</f>
        <v>0</v>
      </c>
      <c r="BK255" s="97">
        <f>IF(OR(AY255="SÁB",AY255="DOM"),0,IFERROR(8-VLOOKUP(N255,'Dados de consulta'!$A$2:$C$38,3,0),8))</f>
        <v>0</v>
      </c>
      <c r="BL255" s="97">
        <f>IF(OR(AY255="SÁB",AY255="DOM"),0,IFERROR(8-VLOOKUP(O255,'Dados de consulta'!$A$2:$C$38,3,0),8))</f>
        <v>0</v>
      </c>
      <c r="BM255" s="97">
        <f>IF(OR(AY255="SÁB",AY255="DOM"),0,IFERROR(8-VLOOKUP(P255,'Dados de consulta'!$A$2:$C$38,3,0),8))</f>
        <v>0</v>
      </c>
      <c r="BN255" s="97">
        <f>IF(OR(AY255="SÁB",AY255="DOM"),0,IFERROR(8-VLOOKUP(Q255,'Dados de consulta'!$A$2:$C$38,3,0),8))</f>
        <v>0</v>
      </c>
      <c r="BO255" s="97">
        <f>IF(OR(AY255="SÁB",AY255="DOM"),0,IFERROR(8-VLOOKUP(R255,'Dados de consulta'!$A$2:$C$38,3,0),8))</f>
        <v>0</v>
      </c>
      <c r="BP255" s="97">
        <f>IF(OR(AY255="SÁB",AY255="DOM"),0,IFERROR(8-VLOOKUP(S255,'Dados de consulta'!$A$2:$C$38,3,0),8))</f>
        <v>0</v>
      </c>
      <c r="BQ255" s="113">
        <f>IFERROR(6-VLOOKUP(T255,'Dados de consulta'!$A$2:$C$38,3,0)+2,6)</f>
        <v>6</v>
      </c>
      <c r="BR255" s="114">
        <f t="shared" si="102"/>
        <v>0</v>
      </c>
      <c r="BS255">
        <f t="shared" si="104"/>
        <v>0</v>
      </c>
      <c r="BU255">
        <f>IFERROR(8-VLOOKUP(U255,'Dados de consulta'!$A:$D,3,0),8)</f>
        <v>8</v>
      </c>
      <c r="BV255">
        <f>IFERROR(8-VLOOKUP(V255,'Dados de consulta'!$A:$D,3,0),8)</f>
        <v>8</v>
      </c>
      <c r="BW255">
        <f t="shared" si="103"/>
        <v>16</v>
      </c>
    </row>
    <row r="256" spans="1:75" ht="15" hidden="1" x14ac:dyDescent="0.2">
      <c r="A256" s="98">
        <v>42379</v>
      </c>
      <c r="B256" s="129" t="str">
        <f t="shared" si="79"/>
        <v>dom</v>
      </c>
      <c r="C256" s="132">
        <v>18</v>
      </c>
      <c r="D256" s="132"/>
      <c r="E256" s="132"/>
      <c r="F256" s="132"/>
      <c r="G256" s="132"/>
      <c r="H256" s="132">
        <v>18</v>
      </c>
      <c r="I256" s="132"/>
      <c r="J256" s="132"/>
      <c r="K256" s="132">
        <v>18</v>
      </c>
      <c r="L256" s="132"/>
      <c r="M256" s="132">
        <v>101</v>
      </c>
      <c r="N256" s="132"/>
      <c r="O256" s="132"/>
      <c r="P256" s="132"/>
      <c r="Q256" s="132"/>
      <c r="R256" s="132"/>
      <c r="S256" s="132">
        <v>1</v>
      </c>
      <c r="T256" s="132"/>
      <c r="U256" s="151"/>
      <c r="V256" s="151"/>
      <c r="W256" s="307" t="s">
        <v>193</v>
      </c>
      <c r="X256" s="308"/>
      <c r="Y256" s="38">
        <f t="shared" si="80"/>
        <v>0</v>
      </c>
      <c r="Z256" s="38">
        <f t="shared" si="81"/>
        <v>32</v>
      </c>
      <c r="AA256" s="38">
        <f t="shared" si="82"/>
        <v>0</v>
      </c>
      <c r="AB256" s="38">
        <f t="shared" si="90"/>
        <v>0</v>
      </c>
      <c r="AC256" s="38">
        <f t="shared" si="91"/>
        <v>0</v>
      </c>
      <c r="AD256" s="38">
        <f t="shared" si="92"/>
        <v>0</v>
      </c>
      <c r="AE256" s="38">
        <f t="shared" si="93"/>
        <v>0</v>
      </c>
      <c r="AF256" s="38">
        <f t="shared" si="94"/>
        <v>0</v>
      </c>
      <c r="AG256" s="33">
        <f t="shared" si="95"/>
        <v>0</v>
      </c>
      <c r="AH256" s="33">
        <f t="shared" si="96"/>
        <v>0</v>
      </c>
      <c r="AI256" s="33">
        <f t="shared" si="97"/>
        <v>0</v>
      </c>
      <c r="AJ256" s="33">
        <f t="shared" si="98"/>
        <v>0</v>
      </c>
      <c r="AK256" s="34">
        <f t="shared" si="99"/>
        <v>0</v>
      </c>
      <c r="AL256" s="35">
        <f t="shared" si="100"/>
        <v>0</v>
      </c>
      <c r="AM256" s="34">
        <f t="shared" si="83"/>
        <v>0</v>
      </c>
      <c r="AN256" s="36">
        <f t="shared" si="101"/>
        <v>0</v>
      </c>
      <c r="AO256" s="6">
        <f t="shared" si="84"/>
        <v>0</v>
      </c>
      <c r="AP256">
        <f t="shared" si="85"/>
        <v>8</v>
      </c>
      <c r="AQ256" s="6">
        <f t="shared" si="86"/>
        <v>0</v>
      </c>
      <c r="AR256" s="6">
        <f t="shared" si="87"/>
        <v>0</v>
      </c>
      <c r="AS256" s="6"/>
      <c r="AX256" s="95">
        <f t="shared" si="88"/>
        <v>42379</v>
      </c>
      <c r="AY256" s="96" t="str">
        <f t="shared" si="89"/>
        <v>dom</v>
      </c>
      <c r="AZ256" s="97">
        <f>IF(OR(AY256="SÁB",AY256="DOM"),0,IFERROR(8-VLOOKUP(C256,'Dados de consulta'!$A$2:$C$38,3,0),8))</f>
        <v>0</v>
      </c>
      <c r="BA256" s="97">
        <f>IF(OR(AY256="SÁB",AY256="DOM"),0,IFERROR(8-VLOOKUP(D256,'Dados de consulta'!$A$2:$C$38,3,0),8))</f>
        <v>0</v>
      </c>
      <c r="BB256" s="97">
        <f>IF(OR(AY256="SÁB",AY256="DOM"),0,IFERROR(8-VLOOKUP(E256,'Dados de consulta'!$A$2:$C$38,3,0),8))</f>
        <v>0</v>
      </c>
      <c r="BC256" s="97">
        <f>IF(OR(AY256="SÁB",AY256="DOM"),0,IFERROR(8-VLOOKUP(F256,'Dados de consulta'!$A$2:$C$38,3,0),8))</f>
        <v>0</v>
      </c>
      <c r="BD256" s="97">
        <f>IF(OR(AY256="SÁB",AY256="DOM"),0,IFERROR(8-VLOOKUP(G256,'Dados de consulta'!$A$2:$C$38,3,0),8))</f>
        <v>0</v>
      </c>
      <c r="BE256" s="97">
        <f>IF(OR(AY256="SÁB",AY256="DOM"),0,IFERROR(8-VLOOKUP(H256,'Dados de consulta'!$A$2:$C$38,3,0),8))</f>
        <v>0</v>
      </c>
      <c r="BF256" s="97">
        <f>IF(OR(AY256="SÁB",AY256="DOM"),0,IFERROR(8-VLOOKUP(I256,'Dados de consulta'!$A$2:$C$38,3,0),8))</f>
        <v>0</v>
      </c>
      <c r="BG256" s="97">
        <f>IF(OR(AY256="SÁB",AY256="DOM"),0,IFERROR(8-VLOOKUP(J256,'Dados de consulta'!$A$2:$C$38,3,0),8))</f>
        <v>0</v>
      </c>
      <c r="BH256" s="97">
        <f>IF(OR(AY256="SÁB",AY256="DOM"),0,IFERROR(8-VLOOKUP(K256,'Dados de consulta'!$A$2:$C$38,3,0),8))</f>
        <v>0</v>
      </c>
      <c r="BI256" s="97">
        <f>IF(OR(AY256="SÁB",AY256="DOM"),0,IFERROR(8-VLOOKUP(L256,'Dados de consulta'!$A$2:$C$38,3,0),8))</f>
        <v>0</v>
      </c>
      <c r="BJ256" s="97">
        <f>IF(OR(AY256="SÁB",AY256="DOM"),0,IFERROR(8-VLOOKUP(M256,'Dados de consulta'!$A$2:$C$38,3,0),8))</f>
        <v>0</v>
      </c>
      <c r="BK256" s="97">
        <f>IF(OR(AY256="SÁB",AY256="DOM"),0,IFERROR(8-VLOOKUP(N256,'Dados de consulta'!$A$2:$C$38,3,0),8))</f>
        <v>0</v>
      </c>
      <c r="BL256" s="97">
        <f>IF(OR(AY256="SÁB",AY256="DOM"),0,IFERROR(8-VLOOKUP(O256,'Dados de consulta'!$A$2:$C$38,3,0),8))</f>
        <v>0</v>
      </c>
      <c r="BM256" s="97">
        <f>IF(OR(AY256="SÁB",AY256="DOM"),0,IFERROR(8-VLOOKUP(P256,'Dados de consulta'!$A$2:$C$38,3,0),8))</f>
        <v>0</v>
      </c>
      <c r="BN256" s="97">
        <f>IF(OR(AY256="SÁB",AY256="DOM"),0,IFERROR(8-VLOOKUP(Q256,'Dados de consulta'!$A$2:$C$38,3,0),8))</f>
        <v>0</v>
      </c>
      <c r="BO256" s="97">
        <f>IF(OR(AY256="SÁB",AY256="DOM"),0,IFERROR(8-VLOOKUP(R256,'Dados de consulta'!$A$2:$C$38,3,0),8))</f>
        <v>0</v>
      </c>
      <c r="BP256" s="97">
        <f>IF(OR(AY256="SÁB",AY256="DOM"),0,IFERROR(8-VLOOKUP(S256,'Dados de consulta'!$A$2:$C$38,3,0),8))</f>
        <v>0</v>
      </c>
      <c r="BQ256" s="113">
        <f>IFERROR(6-VLOOKUP(T256,'Dados de consulta'!$A$2:$C$38,3,0)+2,6)</f>
        <v>6</v>
      </c>
      <c r="BR256" s="114">
        <f t="shared" si="102"/>
        <v>0</v>
      </c>
      <c r="BS256">
        <f t="shared" si="104"/>
        <v>0</v>
      </c>
      <c r="BU256">
        <f>IFERROR(8-VLOOKUP(U256,'Dados de consulta'!$A:$D,3,0),8)</f>
        <v>8</v>
      </c>
      <c r="BV256">
        <f>IFERROR(8-VLOOKUP(V256,'Dados de consulta'!$A:$D,3,0),8)</f>
        <v>8</v>
      </c>
      <c r="BW256">
        <f t="shared" si="103"/>
        <v>16</v>
      </c>
    </row>
    <row r="257" spans="1:75" ht="15" hidden="1" x14ac:dyDescent="0.2">
      <c r="A257" s="98">
        <v>42380</v>
      </c>
      <c r="B257" s="129" t="str">
        <f t="shared" si="79"/>
        <v>seg</v>
      </c>
      <c r="C257" s="132">
        <v>18</v>
      </c>
      <c r="D257" s="132"/>
      <c r="E257" s="132">
        <v>1</v>
      </c>
      <c r="F257" s="132">
        <v>8</v>
      </c>
      <c r="G257" s="132"/>
      <c r="H257" s="132">
        <v>18</v>
      </c>
      <c r="I257" s="132"/>
      <c r="J257" s="132"/>
      <c r="K257" s="132">
        <v>18</v>
      </c>
      <c r="L257" s="132"/>
      <c r="M257" s="132">
        <v>101</v>
      </c>
      <c r="N257" s="132"/>
      <c r="O257" s="132"/>
      <c r="P257" s="132"/>
      <c r="Q257" s="132"/>
      <c r="R257" s="132"/>
      <c r="S257" s="132"/>
      <c r="T257" s="132">
        <v>8</v>
      </c>
      <c r="U257" s="151"/>
      <c r="V257" s="151">
        <v>8</v>
      </c>
      <c r="W257" s="307" t="s">
        <v>193</v>
      </c>
      <c r="X257" s="308"/>
      <c r="Y257" s="38">
        <f t="shared" si="80"/>
        <v>8</v>
      </c>
      <c r="Z257" s="38">
        <f t="shared" si="81"/>
        <v>32</v>
      </c>
      <c r="AA257" s="38">
        <f t="shared" si="82"/>
        <v>0</v>
      </c>
      <c r="AB257" s="38">
        <f t="shared" si="90"/>
        <v>0</v>
      </c>
      <c r="AC257" s="38">
        <f t="shared" si="91"/>
        <v>6</v>
      </c>
      <c r="AD257" s="38">
        <f t="shared" si="92"/>
        <v>0</v>
      </c>
      <c r="AE257" s="38">
        <f t="shared" si="93"/>
        <v>0</v>
      </c>
      <c r="AF257" s="38">
        <f t="shared" si="94"/>
        <v>0</v>
      </c>
      <c r="AG257" s="33">
        <f t="shared" si="95"/>
        <v>14</v>
      </c>
      <c r="AH257" s="33">
        <f t="shared" si="96"/>
        <v>32</v>
      </c>
      <c r="AI257" s="33">
        <f t="shared" si="97"/>
        <v>0</v>
      </c>
      <c r="AJ257" s="33">
        <f t="shared" si="98"/>
        <v>0</v>
      </c>
      <c r="AK257" s="34">
        <f t="shared" si="99"/>
        <v>9.8591549295774641E-2</v>
      </c>
      <c r="AL257" s="35">
        <f t="shared" si="100"/>
        <v>0.22535211267605634</v>
      </c>
      <c r="AM257" s="34">
        <f t="shared" si="83"/>
        <v>0</v>
      </c>
      <c r="AN257" s="36">
        <f t="shared" si="101"/>
        <v>0</v>
      </c>
      <c r="AO257" s="6">
        <f t="shared" si="84"/>
        <v>0</v>
      </c>
      <c r="AP257">
        <f t="shared" si="85"/>
        <v>8</v>
      </c>
      <c r="AQ257" s="6">
        <f t="shared" si="86"/>
        <v>0</v>
      </c>
      <c r="AR257" s="6">
        <f t="shared" si="87"/>
        <v>0</v>
      </c>
      <c r="AS257" s="6"/>
      <c r="AX257" s="95">
        <f t="shared" si="88"/>
        <v>42380</v>
      </c>
      <c r="AY257" s="96" t="str">
        <f t="shared" si="89"/>
        <v>seg</v>
      </c>
      <c r="AZ257" s="97">
        <f>IF(OR(AY257="SÁB",AY257="DOM"),0,IFERROR(8-VLOOKUP(C257,'Dados de consulta'!$A$2:$C$38,3,0),8))</f>
        <v>0</v>
      </c>
      <c r="BA257" s="97">
        <f>IF(OR(AY257="SÁB",AY257="DOM"),0,IFERROR(8-VLOOKUP(D257,'Dados de consulta'!$A$2:$C$38,3,0),8))</f>
        <v>8</v>
      </c>
      <c r="BB257" s="97">
        <f>IF(OR(AY257="SÁB",AY257="DOM"),0,IFERROR(8-VLOOKUP(E257,'Dados de consulta'!$A$2:$C$38,3,0),8))</f>
        <v>0</v>
      </c>
      <c r="BC257" s="97">
        <f>IF(OR(AY257="SÁB",AY257="DOM"),0,IFERROR(8-VLOOKUP(F257,'Dados de consulta'!$A$2:$C$38,3,0),8))</f>
        <v>0</v>
      </c>
      <c r="BD257" s="97">
        <f>IF(OR(AY257="SÁB",AY257="DOM"),0,IFERROR(8-VLOOKUP(G257,'Dados de consulta'!$A$2:$C$38,3,0),8))</f>
        <v>8</v>
      </c>
      <c r="BE257" s="97">
        <f>IF(OR(AY257="SÁB",AY257="DOM"),0,IFERROR(8-VLOOKUP(H257,'Dados de consulta'!$A$2:$C$38,3,0),8))</f>
        <v>0</v>
      </c>
      <c r="BF257" s="97">
        <f>IF(OR(AY257="SÁB",AY257="DOM"),0,IFERROR(8-VLOOKUP(I257,'Dados de consulta'!$A$2:$C$38,3,0),8))</f>
        <v>8</v>
      </c>
      <c r="BG257" s="97">
        <f>IF(OR(AY257="SÁB",AY257="DOM"),0,IFERROR(8-VLOOKUP(J257,'Dados de consulta'!$A$2:$C$38,3,0),8))</f>
        <v>8</v>
      </c>
      <c r="BH257" s="97">
        <f>IF(OR(AY257="SÁB",AY257="DOM"),0,IFERROR(8-VLOOKUP(K257,'Dados de consulta'!$A$2:$C$38,3,0),8))</f>
        <v>0</v>
      </c>
      <c r="BI257" s="97">
        <f>IF(OR(AY257="SÁB",AY257="DOM"),0,IFERROR(8-VLOOKUP(L257,'Dados de consulta'!$A$2:$C$38,3,0),8))</f>
        <v>8</v>
      </c>
      <c r="BJ257" s="97">
        <f>IF(OR(AY257="SÁB",AY257="DOM"),0,IFERROR(8-VLOOKUP(M257,'Dados de consulta'!$A$2:$C$38,3,0),8))</f>
        <v>0</v>
      </c>
      <c r="BK257" s="97">
        <f>IF(OR(AY257="SÁB",AY257="DOM"),0,IFERROR(8-VLOOKUP(N257,'Dados de consulta'!$A$2:$C$38,3,0),8))</f>
        <v>8</v>
      </c>
      <c r="BL257" s="97">
        <f>IF(OR(AY257="SÁB",AY257="DOM"),0,IFERROR(8-VLOOKUP(O257,'Dados de consulta'!$A$2:$C$38,3,0),8))</f>
        <v>8</v>
      </c>
      <c r="BM257" s="97">
        <f>IF(OR(AY257="SÁB",AY257="DOM"),0,IFERROR(8-VLOOKUP(P257,'Dados de consulta'!$A$2:$C$38,3,0),8))</f>
        <v>8</v>
      </c>
      <c r="BN257" s="97">
        <f>IF(OR(AY257="SÁB",AY257="DOM"),0,IFERROR(8-VLOOKUP(Q257,'Dados de consulta'!$A$2:$C$38,3,0),8))</f>
        <v>8</v>
      </c>
      <c r="BO257" s="97">
        <f>IF(OR(AY257="SÁB",AY257="DOM"),0,IFERROR(8-VLOOKUP(R257,'Dados de consulta'!$A$2:$C$38,3,0),8))</f>
        <v>8</v>
      </c>
      <c r="BP257" s="97">
        <f>IF(OR(AY257="SÁB",AY257="DOM"),0,IFERROR(8-VLOOKUP(S257,'Dados de consulta'!$A$2:$C$38,3,0),8))</f>
        <v>8</v>
      </c>
      <c r="BQ257" s="113">
        <f>IFERROR(6-VLOOKUP(T257,'Dados de consulta'!$A$2:$C$38,3,0)+2,6)</f>
        <v>0</v>
      </c>
      <c r="BR257" s="114">
        <f t="shared" si="102"/>
        <v>88</v>
      </c>
      <c r="BS257">
        <f t="shared" si="104"/>
        <v>134</v>
      </c>
      <c r="BU257">
        <f>IFERROR(8-VLOOKUP(U257,'Dados de consulta'!$A:$D,3,0),8)</f>
        <v>8</v>
      </c>
      <c r="BV257">
        <f>IFERROR(8-VLOOKUP(V257,'Dados de consulta'!$A:$D,3,0),8)</f>
        <v>0</v>
      </c>
      <c r="BW257">
        <f t="shared" si="103"/>
        <v>8</v>
      </c>
    </row>
    <row r="258" spans="1:75" ht="15" hidden="1" x14ac:dyDescent="0.2">
      <c r="A258" s="98">
        <v>42381</v>
      </c>
      <c r="B258" s="129" t="str">
        <f t="shared" ref="B258:B321" si="105">TEXT(A258,"ddd")</f>
        <v>ter</v>
      </c>
      <c r="C258" s="132">
        <v>18</v>
      </c>
      <c r="D258" s="132"/>
      <c r="E258" s="132"/>
      <c r="F258" s="132">
        <v>8</v>
      </c>
      <c r="G258" s="132"/>
      <c r="H258" s="132">
        <v>18</v>
      </c>
      <c r="I258" s="132"/>
      <c r="J258" s="132"/>
      <c r="K258" s="132">
        <v>18</v>
      </c>
      <c r="L258" s="132"/>
      <c r="M258" s="132">
        <v>101</v>
      </c>
      <c r="N258" s="132"/>
      <c r="O258" s="132"/>
      <c r="P258" s="132"/>
      <c r="Q258" s="132"/>
      <c r="R258" s="132">
        <v>8</v>
      </c>
      <c r="S258" s="132"/>
      <c r="T258" s="132"/>
      <c r="U258" s="151"/>
      <c r="V258" s="151"/>
      <c r="W258" s="307" t="s">
        <v>193</v>
      </c>
      <c r="X258" s="308"/>
      <c r="Y258" s="38">
        <f t="shared" ref="Y258:Y321" si="106">(COUNTIF(C258:S258,4)+COUNTIF(C258:S258,8)+COUNTIF(C258:S258,"8P")/2+COUNTIF(C258:S258,9)+COUNTIF(C258:S258,"9P")/2+COUNTIF(C258:S258,14))*8</f>
        <v>16</v>
      </c>
      <c r="Z258" s="38">
        <f t="shared" ref="Z258:Z321" si="107">(COUNTIF(C258:S258,1)+COUNTIF(C258:S258,2)+COUNTIF(C258:S258,3)+COUNTIF(C258:S258,5)+COUNTIF(C258:S258,10)+COUNTIF(C258:S258,13)+COUNTIF(C258:S258,"13P")/2+COUNTIF(C258:S258,15)+COUNTIF(C258:S258,18)+COUNTIF(C258:S258,20)+COUNTIF(C258:S258,22)+COUNTIF(C258:S258,23)+COUNTIF(C258:S258,24)+COUNTIF(C258:S258,25)+COUNTIF(C258:S258,26)+COUNTIF(C258:S258,99))*8</f>
        <v>24</v>
      </c>
      <c r="AA258" s="38">
        <f t="shared" ref="AA258:AA319" si="108">(COUNTIF(C258:S258,28)+COUNTIF(C258:S258,"28P")/2+COUNTIF(C258:S258,29))*8</f>
        <v>0</v>
      </c>
      <c r="AB258" s="38">
        <f t="shared" si="90"/>
        <v>0</v>
      </c>
      <c r="AC258" s="38">
        <f t="shared" si="91"/>
        <v>0</v>
      </c>
      <c r="AD258" s="38">
        <f t="shared" si="92"/>
        <v>0</v>
      </c>
      <c r="AE258" s="38">
        <f t="shared" si="93"/>
        <v>0</v>
      </c>
      <c r="AF258" s="38">
        <f t="shared" si="94"/>
        <v>0</v>
      </c>
      <c r="AG258" s="33">
        <f t="shared" si="95"/>
        <v>16</v>
      </c>
      <c r="AH258" s="33">
        <f t="shared" si="96"/>
        <v>24</v>
      </c>
      <c r="AI258" s="33">
        <f t="shared" si="97"/>
        <v>0</v>
      </c>
      <c r="AJ258" s="33">
        <f t="shared" si="98"/>
        <v>0</v>
      </c>
      <c r="AK258" s="34">
        <f t="shared" si="99"/>
        <v>0.11267605633802817</v>
      </c>
      <c r="AL258" s="35">
        <f t="shared" si="100"/>
        <v>0.16901408450704225</v>
      </c>
      <c r="AM258" s="34">
        <f t="shared" ref="AM258:AM321" si="109">(AA258+AE258)/(COUNTA($C$1:$S$1)*8+COUNTA($T$1:$T$1)*6)</f>
        <v>0</v>
      </c>
      <c r="AN258" s="36">
        <f t="shared" si="101"/>
        <v>0</v>
      </c>
      <c r="AO258" s="6">
        <f t="shared" ref="AO258:AO321" si="110">COUNTIF(C258:S258,100)*8</f>
        <v>0</v>
      </c>
      <c r="AP258">
        <f t="shared" ref="AP258:AP321" si="111">COUNTIF(C258:S258,101)*8</f>
        <v>8</v>
      </c>
      <c r="AQ258" s="6">
        <f t="shared" ref="AQ258:AQ321" si="112">COUNTIF(T258:T258,101)*6</f>
        <v>0</v>
      </c>
      <c r="AR258" s="6">
        <f t="shared" ref="AR258:AR321" si="113">COUNTIF(T258:T258,100)*6</f>
        <v>0</v>
      </c>
      <c r="AS258" s="6"/>
      <c r="AX258" s="95">
        <f t="shared" ref="AX258:AX321" si="114">A258</f>
        <v>42381</v>
      </c>
      <c r="AY258" s="96" t="str">
        <f t="shared" ref="AY258:AY321" si="115">B258</f>
        <v>ter</v>
      </c>
      <c r="AZ258" s="97">
        <f>IF(OR(AY258="SÁB",AY258="DOM"),0,IFERROR(8-VLOOKUP(C258,'Dados de consulta'!$A$2:$C$38,3,0),8))</f>
        <v>0</v>
      </c>
      <c r="BA258" s="97">
        <f>IF(OR(AY258="SÁB",AY258="DOM"),0,IFERROR(8-VLOOKUP(D258,'Dados de consulta'!$A$2:$C$38,3,0),8))</f>
        <v>8</v>
      </c>
      <c r="BB258" s="97">
        <f>IF(OR(AY258="SÁB",AY258="DOM"),0,IFERROR(8-VLOOKUP(E258,'Dados de consulta'!$A$2:$C$38,3,0),8))</f>
        <v>8</v>
      </c>
      <c r="BC258" s="97">
        <f>IF(OR(AY258="SÁB",AY258="DOM"),0,IFERROR(8-VLOOKUP(F258,'Dados de consulta'!$A$2:$C$38,3,0),8))</f>
        <v>0</v>
      </c>
      <c r="BD258" s="97">
        <f>IF(OR(AY258="SÁB",AY258="DOM"),0,IFERROR(8-VLOOKUP(G258,'Dados de consulta'!$A$2:$C$38,3,0),8))</f>
        <v>8</v>
      </c>
      <c r="BE258" s="97">
        <f>IF(OR(AY258="SÁB",AY258="DOM"),0,IFERROR(8-VLOOKUP(H258,'Dados de consulta'!$A$2:$C$38,3,0),8))</f>
        <v>0</v>
      </c>
      <c r="BF258" s="97">
        <f>IF(OR(AY258="SÁB",AY258="DOM"),0,IFERROR(8-VLOOKUP(I258,'Dados de consulta'!$A$2:$C$38,3,0),8))</f>
        <v>8</v>
      </c>
      <c r="BG258" s="97">
        <f>IF(OR(AY258="SÁB",AY258="DOM"),0,IFERROR(8-VLOOKUP(J258,'Dados de consulta'!$A$2:$C$38,3,0),8))</f>
        <v>8</v>
      </c>
      <c r="BH258" s="97">
        <f>IF(OR(AY258="SÁB",AY258="DOM"),0,IFERROR(8-VLOOKUP(K258,'Dados de consulta'!$A$2:$C$38,3,0),8))</f>
        <v>0</v>
      </c>
      <c r="BI258" s="97">
        <f>IF(OR(AY258="SÁB",AY258="DOM"),0,IFERROR(8-VLOOKUP(L258,'Dados de consulta'!$A$2:$C$38,3,0),8))</f>
        <v>8</v>
      </c>
      <c r="BJ258" s="97">
        <f>IF(OR(AY258="SÁB",AY258="DOM"),0,IFERROR(8-VLOOKUP(M258,'Dados de consulta'!$A$2:$C$38,3,0),8))</f>
        <v>0</v>
      </c>
      <c r="BK258" s="97">
        <f>IF(OR(AY258="SÁB",AY258="DOM"),0,IFERROR(8-VLOOKUP(N258,'Dados de consulta'!$A$2:$C$38,3,0),8))</f>
        <v>8</v>
      </c>
      <c r="BL258" s="97">
        <f>IF(OR(AY258="SÁB",AY258="DOM"),0,IFERROR(8-VLOOKUP(O258,'Dados de consulta'!$A$2:$C$38,3,0),8))</f>
        <v>8</v>
      </c>
      <c r="BM258" s="97">
        <f>IF(OR(AY258="SÁB",AY258="DOM"),0,IFERROR(8-VLOOKUP(P258,'Dados de consulta'!$A$2:$C$38,3,0),8))</f>
        <v>8</v>
      </c>
      <c r="BN258" s="97">
        <f>IF(OR(AY258="SÁB",AY258="DOM"),0,IFERROR(8-VLOOKUP(Q258,'Dados de consulta'!$A$2:$C$38,3,0),8))</f>
        <v>8</v>
      </c>
      <c r="BO258" s="97">
        <f>IF(OR(AY258="SÁB",AY258="DOM"),0,IFERROR(8-VLOOKUP(R258,'Dados de consulta'!$A$2:$C$38,3,0),8))</f>
        <v>0</v>
      </c>
      <c r="BP258" s="97">
        <f>IF(OR(AY258="SÁB",AY258="DOM"),0,IFERROR(8-VLOOKUP(S258,'Dados de consulta'!$A$2:$C$38,3,0),8))</f>
        <v>8</v>
      </c>
      <c r="BQ258" s="113">
        <f>IFERROR(6-VLOOKUP(T258,'Dados de consulta'!$A$2:$C$38,3,0)+2,6)</f>
        <v>6</v>
      </c>
      <c r="BR258" s="114">
        <f t="shared" si="102"/>
        <v>94</v>
      </c>
      <c r="BS258">
        <f t="shared" si="104"/>
        <v>134</v>
      </c>
      <c r="BU258">
        <f>IFERROR(8-VLOOKUP(U258,'Dados de consulta'!$A:$D,3,0),8)</f>
        <v>8</v>
      </c>
      <c r="BV258">
        <f>IFERROR(8-VLOOKUP(V258,'Dados de consulta'!$A:$D,3,0),8)</f>
        <v>8</v>
      </c>
      <c r="BW258">
        <f t="shared" si="103"/>
        <v>16</v>
      </c>
    </row>
    <row r="259" spans="1:75" ht="15" hidden="1" x14ac:dyDescent="0.2">
      <c r="A259" s="98">
        <v>42382</v>
      </c>
      <c r="B259" s="129" t="str">
        <f t="shared" si="105"/>
        <v>qua</v>
      </c>
      <c r="C259" s="132">
        <v>18</v>
      </c>
      <c r="D259" s="132"/>
      <c r="E259" s="132"/>
      <c r="F259" s="132">
        <v>8</v>
      </c>
      <c r="G259" s="132"/>
      <c r="H259" s="132">
        <v>18</v>
      </c>
      <c r="I259" s="132"/>
      <c r="J259" s="132"/>
      <c r="K259" s="132">
        <v>18</v>
      </c>
      <c r="L259" s="132"/>
      <c r="M259" s="132">
        <v>101</v>
      </c>
      <c r="N259" s="132"/>
      <c r="O259" s="132"/>
      <c r="P259" s="132"/>
      <c r="Q259" s="132"/>
      <c r="R259" s="132"/>
      <c r="S259" s="132"/>
      <c r="T259" s="132"/>
      <c r="U259" s="151">
        <v>8</v>
      </c>
      <c r="V259" s="151"/>
      <c r="W259" s="307" t="s">
        <v>193</v>
      </c>
      <c r="X259" s="308"/>
      <c r="Y259" s="38">
        <f t="shared" si="106"/>
        <v>8</v>
      </c>
      <c r="Z259" s="38">
        <f t="shared" si="107"/>
        <v>24</v>
      </c>
      <c r="AA259" s="38">
        <f t="shared" si="108"/>
        <v>0</v>
      </c>
      <c r="AB259" s="38">
        <f t="shared" ref="AB259:AB322" si="116">(COUNTIF(C259:S259,6)+COUNTIF(C259:S259,"6P")/2+COUNTIF(C259:S259,7)+COUNTIF(C259:S259,11)+COUNTIF(C259:S259,12)+COUNTIF(C259:S259,19))*8</f>
        <v>0</v>
      </c>
      <c r="AC259" s="38">
        <f t="shared" ref="AC259:AC322" si="117">(COUNTIF(T259,4)+COUNTIF(T259,8)+COUNTIF(T259,"8P")+COUNTIF(T259,9)+COUNTIF(T259,"9P")+COUNTIF(T259,14))*6</f>
        <v>0</v>
      </c>
      <c r="AD259" s="38">
        <f t="shared" ref="AD259:AD322" si="118">(COUNTIF(T259,1)+COUNTIF(T259,2)+COUNTIF(T259,3)+COUNTIF(T259,5)+COUNTIF(T259,10)+COUNTIF(T259,13)+COUNTIF(T259,"13P")+COUNTIF(T259,15)+COUNTIF(T259,16)+COUNTIF(T259,18)+COUNTIF(T259,20)+COUNTIF(T259,21)+COUNTIF(T259,22)+COUNTIF(T259,23)+COUNTIF(T259,24)+COUNTIF(T259,25)+COUNTIF(T259,26)+COUNTIF(T259,99))*6</f>
        <v>0</v>
      </c>
      <c r="AE259" s="38">
        <f t="shared" ref="AE259:AE322" si="119">(COUNTIF(T259,28)+COUNTIF(T259,"28P")+COUNTIF(T259,29))*6</f>
        <v>0</v>
      </c>
      <c r="AF259" s="38">
        <f t="shared" ref="AF259:AF322" si="120">(COUNTIF(T259,6)+COUNTIF(T259,"6P")+COUNTIF(T259,7)+COUNTIF(T259,11)+COUNTIF(T259,12))*6</f>
        <v>0</v>
      </c>
      <c r="AG259" s="33">
        <f t="shared" ref="AG259:AG322" si="121">IF(OR(B259="SÁB",B259="DOM"),0,Y259+AC259)</f>
        <v>8</v>
      </c>
      <c r="AH259" s="33">
        <f t="shared" ref="AH259:AH322" si="122">IF(OR(B259="SÁB",B259="DOM"),0,Z259+AD259)</f>
        <v>24</v>
      </c>
      <c r="AI259" s="33">
        <f t="shared" ref="AI259:AI322" si="123">IF(OR(B259="SÁB",B259="DOM"),0,AA259+AE259)</f>
        <v>0</v>
      </c>
      <c r="AJ259" s="33">
        <f t="shared" ref="AJ259:AJ322" si="124">IF(OR(B259="SÁB",B259="DOM"),0,AB259+AF259)</f>
        <v>0</v>
      </c>
      <c r="AK259" s="34">
        <f t="shared" ref="AK259:AK322" si="125">AG259/(COUNTA($C$1:$S$1)*8+6)</f>
        <v>5.6338028169014086E-2</v>
      </c>
      <c r="AL259" s="35">
        <f t="shared" ref="AL259:AL322" si="126">AH259/(COUNTA($C$1:$S$1)*8+6)</f>
        <v>0.16901408450704225</v>
      </c>
      <c r="AM259" s="34">
        <f t="shared" si="109"/>
        <v>0</v>
      </c>
      <c r="AN259" s="36">
        <f t="shared" ref="AN259:AN322" si="127">AJ259/(COUNTA($C$1:$S$1)*8+6)</f>
        <v>0</v>
      </c>
      <c r="AO259" s="6">
        <f t="shared" si="110"/>
        <v>0</v>
      </c>
      <c r="AP259">
        <f t="shared" si="111"/>
        <v>8</v>
      </c>
      <c r="AQ259" s="6">
        <f t="shared" si="112"/>
        <v>0</v>
      </c>
      <c r="AR259" s="6">
        <f t="shared" si="113"/>
        <v>0</v>
      </c>
      <c r="AS259" s="6"/>
      <c r="AX259" s="95">
        <f t="shared" si="114"/>
        <v>42382</v>
      </c>
      <c r="AY259" s="96" t="str">
        <f t="shared" si="115"/>
        <v>qua</v>
      </c>
      <c r="AZ259" s="97">
        <f>IF(OR(AY259="SÁB",AY259="DOM"),0,IFERROR(8-VLOOKUP(C259,'Dados de consulta'!$A$2:$C$38,3,0),8))</f>
        <v>0</v>
      </c>
      <c r="BA259" s="97">
        <f>IF(OR(AY259="SÁB",AY259="DOM"),0,IFERROR(8-VLOOKUP(D259,'Dados de consulta'!$A$2:$C$38,3,0),8))</f>
        <v>8</v>
      </c>
      <c r="BB259" s="97">
        <f>IF(OR(AY259="SÁB",AY259="DOM"),0,IFERROR(8-VLOOKUP(E259,'Dados de consulta'!$A$2:$C$38,3,0),8))</f>
        <v>8</v>
      </c>
      <c r="BC259" s="97">
        <f>IF(OR(AY259="SÁB",AY259="DOM"),0,IFERROR(8-VLOOKUP(F259,'Dados de consulta'!$A$2:$C$38,3,0),8))</f>
        <v>0</v>
      </c>
      <c r="BD259" s="97">
        <f>IF(OR(AY259="SÁB",AY259="DOM"),0,IFERROR(8-VLOOKUP(G259,'Dados de consulta'!$A$2:$C$38,3,0),8))</f>
        <v>8</v>
      </c>
      <c r="BE259" s="97">
        <f>IF(OR(AY259="SÁB",AY259="DOM"),0,IFERROR(8-VLOOKUP(H259,'Dados de consulta'!$A$2:$C$38,3,0),8))</f>
        <v>0</v>
      </c>
      <c r="BF259" s="97">
        <f>IF(OR(AY259="SÁB",AY259="DOM"),0,IFERROR(8-VLOOKUP(I259,'Dados de consulta'!$A$2:$C$38,3,0),8))</f>
        <v>8</v>
      </c>
      <c r="BG259" s="97">
        <f>IF(OR(AY259="SÁB",AY259="DOM"),0,IFERROR(8-VLOOKUP(J259,'Dados de consulta'!$A$2:$C$38,3,0),8))</f>
        <v>8</v>
      </c>
      <c r="BH259" s="97">
        <f>IF(OR(AY259="SÁB",AY259="DOM"),0,IFERROR(8-VLOOKUP(K259,'Dados de consulta'!$A$2:$C$38,3,0),8))</f>
        <v>0</v>
      </c>
      <c r="BI259" s="97">
        <f>IF(OR(AY259="SÁB",AY259="DOM"),0,IFERROR(8-VLOOKUP(L259,'Dados de consulta'!$A$2:$C$38,3,0),8))</f>
        <v>8</v>
      </c>
      <c r="BJ259" s="97">
        <f>IF(OR(AY259="SÁB",AY259="DOM"),0,IFERROR(8-VLOOKUP(M259,'Dados de consulta'!$A$2:$C$38,3,0),8))</f>
        <v>0</v>
      </c>
      <c r="BK259" s="97">
        <f>IF(OR(AY259="SÁB",AY259="DOM"),0,IFERROR(8-VLOOKUP(N259,'Dados de consulta'!$A$2:$C$38,3,0),8))</f>
        <v>8</v>
      </c>
      <c r="BL259" s="97">
        <f>IF(OR(AY259="SÁB",AY259="DOM"),0,IFERROR(8-VLOOKUP(O259,'Dados de consulta'!$A$2:$C$38,3,0),8))</f>
        <v>8</v>
      </c>
      <c r="BM259" s="97">
        <f>IF(OR(AY259="SÁB",AY259="DOM"),0,IFERROR(8-VLOOKUP(P259,'Dados de consulta'!$A$2:$C$38,3,0),8))</f>
        <v>8</v>
      </c>
      <c r="BN259" s="97">
        <f>IF(OR(AY259="SÁB",AY259="DOM"),0,IFERROR(8-VLOOKUP(Q259,'Dados de consulta'!$A$2:$C$38,3,0),8))</f>
        <v>8</v>
      </c>
      <c r="BO259" s="97">
        <f>IF(OR(AY259="SÁB",AY259="DOM"),0,IFERROR(8-VLOOKUP(R259,'Dados de consulta'!$A$2:$C$38,3,0),8))</f>
        <v>8</v>
      </c>
      <c r="BP259" s="97">
        <f>IF(OR(AY259="SÁB",AY259="DOM"),0,IFERROR(8-VLOOKUP(S259,'Dados de consulta'!$A$2:$C$38,3,0),8))</f>
        <v>8</v>
      </c>
      <c r="BQ259" s="113">
        <f>IFERROR(6-VLOOKUP(T259,'Dados de consulta'!$A$2:$C$38,3,0)+2,6)</f>
        <v>6</v>
      </c>
      <c r="BR259" s="114">
        <f t="shared" ref="BR259:BR322" si="128">IF(OR(AY259="SÁB",AY259="DOM"),0,SUM(AZ259:BQ259))</f>
        <v>102</v>
      </c>
      <c r="BS259">
        <f t="shared" si="104"/>
        <v>134</v>
      </c>
      <c r="BU259">
        <f>IFERROR(8-VLOOKUP(U259,'Dados de consulta'!$A:$D,3,0),8)</f>
        <v>0</v>
      </c>
      <c r="BV259">
        <f>IFERROR(8-VLOOKUP(V259,'Dados de consulta'!$A:$D,3,0),8)</f>
        <v>8</v>
      </c>
      <c r="BW259">
        <f t="shared" ref="BW259:BW322" si="129">BU259+BV259</f>
        <v>8</v>
      </c>
    </row>
    <row r="260" spans="1:75" ht="15" hidden="1" x14ac:dyDescent="0.2">
      <c r="A260" s="98">
        <v>42383</v>
      </c>
      <c r="B260" s="129" t="str">
        <f t="shared" si="105"/>
        <v>qui</v>
      </c>
      <c r="C260" s="132">
        <v>18</v>
      </c>
      <c r="D260" s="132"/>
      <c r="E260" s="132"/>
      <c r="F260" s="132">
        <v>8</v>
      </c>
      <c r="G260" s="132"/>
      <c r="H260" s="132">
        <v>18</v>
      </c>
      <c r="I260" s="132"/>
      <c r="J260" s="132"/>
      <c r="K260" s="132">
        <v>18</v>
      </c>
      <c r="L260" s="132"/>
      <c r="M260" s="132">
        <v>101</v>
      </c>
      <c r="N260" s="132"/>
      <c r="O260" s="132"/>
      <c r="P260" s="132"/>
      <c r="Q260" s="132"/>
      <c r="R260" s="132"/>
      <c r="S260" s="132"/>
      <c r="T260" s="132"/>
      <c r="U260" s="151">
        <v>8</v>
      </c>
      <c r="V260" s="151"/>
      <c r="W260" s="307" t="s">
        <v>193</v>
      </c>
      <c r="X260" s="308"/>
      <c r="Y260" s="38">
        <f t="shared" si="106"/>
        <v>8</v>
      </c>
      <c r="Z260" s="38">
        <f t="shared" si="107"/>
        <v>24</v>
      </c>
      <c r="AA260" s="38">
        <f t="shared" si="108"/>
        <v>0</v>
      </c>
      <c r="AB260" s="38">
        <f t="shared" si="116"/>
        <v>0</v>
      </c>
      <c r="AC260" s="38">
        <f t="shared" si="117"/>
        <v>0</v>
      </c>
      <c r="AD260" s="38">
        <f t="shared" si="118"/>
        <v>0</v>
      </c>
      <c r="AE260" s="38">
        <f t="shared" si="119"/>
        <v>0</v>
      </c>
      <c r="AF260" s="38">
        <f t="shared" si="120"/>
        <v>0</v>
      </c>
      <c r="AG260" s="33">
        <f t="shared" si="121"/>
        <v>8</v>
      </c>
      <c r="AH260" s="33">
        <f t="shared" si="122"/>
        <v>24</v>
      </c>
      <c r="AI260" s="33">
        <f t="shared" si="123"/>
        <v>0</v>
      </c>
      <c r="AJ260" s="33">
        <f t="shared" si="124"/>
        <v>0</v>
      </c>
      <c r="AK260" s="34">
        <f t="shared" si="125"/>
        <v>5.6338028169014086E-2</v>
      </c>
      <c r="AL260" s="35">
        <f t="shared" si="126"/>
        <v>0.16901408450704225</v>
      </c>
      <c r="AM260" s="34">
        <f t="shared" si="109"/>
        <v>0</v>
      </c>
      <c r="AN260" s="36">
        <f t="shared" si="127"/>
        <v>0</v>
      </c>
      <c r="AO260" s="6">
        <f t="shared" si="110"/>
        <v>0</v>
      </c>
      <c r="AP260">
        <f t="shared" si="111"/>
        <v>8</v>
      </c>
      <c r="AQ260" s="6">
        <f t="shared" si="112"/>
        <v>0</v>
      </c>
      <c r="AR260" s="6">
        <f t="shared" si="113"/>
        <v>0</v>
      </c>
      <c r="AS260" s="6"/>
      <c r="AX260" s="95">
        <f t="shared" si="114"/>
        <v>42383</v>
      </c>
      <c r="AY260" s="96" t="str">
        <f t="shared" si="115"/>
        <v>qui</v>
      </c>
      <c r="AZ260" s="97">
        <f>IF(OR(AY260="SÁB",AY260="DOM"),0,IFERROR(8-VLOOKUP(C260,'Dados de consulta'!$A$2:$C$38,3,0),8))</f>
        <v>0</v>
      </c>
      <c r="BA260" s="97">
        <f>IF(OR(AY260="SÁB",AY260="DOM"),0,IFERROR(8-VLOOKUP(D260,'Dados de consulta'!$A$2:$C$38,3,0),8))</f>
        <v>8</v>
      </c>
      <c r="BB260" s="97">
        <f>IF(OR(AY260="SÁB",AY260="DOM"),0,IFERROR(8-VLOOKUP(E260,'Dados de consulta'!$A$2:$C$38,3,0),8))</f>
        <v>8</v>
      </c>
      <c r="BC260" s="97">
        <f>IF(OR(AY260="SÁB",AY260="DOM"),0,IFERROR(8-VLOOKUP(F260,'Dados de consulta'!$A$2:$C$38,3,0),8))</f>
        <v>0</v>
      </c>
      <c r="BD260" s="97">
        <f>IF(OR(AY260="SÁB",AY260="DOM"),0,IFERROR(8-VLOOKUP(G260,'Dados de consulta'!$A$2:$C$38,3,0),8))</f>
        <v>8</v>
      </c>
      <c r="BE260" s="97">
        <f>IF(OR(AY260="SÁB",AY260="DOM"),0,IFERROR(8-VLOOKUP(H260,'Dados de consulta'!$A$2:$C$38,3,0),8))</f>
        <v>0</v>
      </c>
      <c r="BF260" s="97">
        <f>IF(OR(AY260="SÁB",AY260="DOM"),0,IFERROR(8-VLOOKUP(I260,'Dados de consulta'!$A$2:$C$38,3,0),8))</f>
        <v>8</v>
      </c>
      <c r="BG260" s="97">
        <f>IF(OR(AY260="SÁB",AY260="DOM"),0,IFERROR(8-VLOOKUP(J260,'Dados de consulta'!$A$2:$C$38,3,0),8))</f>
        <v>8</v>
      </c>
      <c r="BH260" s="97">
        <f>IF(OR(AY260="SÁB",AY260="DOM"),0,IFERROR(8-VLOOKUP(K260,'Dados de consulta'!$A$2:$C$38,3,0),8))</f>
        <v>0</v>
      </c>
      <c r="BI260" s="97">
        <f>IF(OR(AY260="SÁB",AY260="DOM"),0,IFERROR(8-VLOOKUP(L260,'Dados de consulta'!$A$2:$C$38,3,0),8))</f>
        <v>8</v>
      </c>
      <c r="BJ260" s="97">
        <f>IF(OR(AY260="SÁB",AY260="DOM"),0,IFERROR(8-VLOOKUP(M260,'Dados de consulta'!$A$2:$C$38,3,0),8))</f>
        <v>0</v>
      </c>
      <c r="BK260" s="97">
        <f>IF(OR(AY260="SÁB",AY260="DOM"),0,IFERROR(8-VLOOKUP(N260,'Dados de consulta'!$A$2:$C$38,3,0),8))</f>
        <v>8</v>
      </c>
      <c r="BL260" s="97">
        <f>IF(OR(AY260="SÁB",AY260="DOM"),0,IFERROR(8-VLOOKUP(O260,'Dados de consulta'!$A$2:$C$38,3,0),8))</f>
        <v>8</v>
      </c>
      <c r="BM260" s="97">
        <f>IF(OR(AY260="SÁB",AY260="DOM"),0,IFERROR(8-VLOOKUP(P260,'Dados de consulta'!$A$2:$C$38,3,0),8))</f>
        <v>8</v>
      </c>
      <c r="BN260" s="97">
        <f>IF(OR(AY260="SÁB",AY260="DOM"),0,IFERROR(8-VLOOKUP(Q260,'Dados de consulta'!$A$2:$C$38,3,0),8))</f>
        <v>8</v>
      </c>
      <c r="BO260" s="97">
        <f>IF(OR(AY260="SÁB",AY260="DOM"),0,IFERROR(8-VLOOKUP(R260,'Dados de consulta'!$A$2:$C$38,3,0),8))</f>
        <v>8</v>
      </c>
      <c r="BP260" s="97">
        <f>IF(OR(AY260="SÁB",AY260="DOM"),0,IFERROR(8-VLOOKUP(S260,'Dados de consulta'!$A$2:$C$38,3,0),8))</f>
        <v>8</v>
      </c>
      <c r="BQ260" s="113">
        <f>IFERROR(6-VLOOKUP(T260,'Dados de consulta'!$A$2:$C$38,3,0)+2,6)</f>
        <v>6</v>
      </c>
      <c r="BR260" s="114">
        <f t="shared" si="128"/>
        <v>102</v>
      </c>
      <c r="BS260">
        <f t="shared" si="104"/>
        <v>134</v>
      </c>
      <c r="BU260">
        <f>IFERROR(8-VLOOKUP(U260,'Dados de consulta'!$A:$D,3,0),8)</f>
        <v>0</v>
      </c>
      <c r="BV260">
        <f>IFERROR(8-VLOOKUP(V260,'Dados de consulta'!$A:$D,3,0),8)</f>
        <v>8</v>
      </c>
      <c r="BW260">
        <f t="shared" si="129"/>
        <v>8</v>
      </c>
    </row>
    <row r="261" spans="1:75" ht="15" hidden="1" x14ac:dyDescent="0.2">
      <c r="A261" s="98">
        <v>42384</v>
      </c>
      <c r="B261" s="129" t="str">
        <f t="shared" si="105"/>
        <v>sex</v>
      </c>
      <c r="C261" s="132"/>
      <c r="D261" s="132"/>
      <c r="E261" s="132"/>
      <c r="F261" s="132">
        <v>8</v>
      </c>
      <c r="G261" s="132"/>
      <c r="H261" s="132"/>
      <c r="I261" s="132"/>
      <c r="J261" s="132"/>
      <c r="K261" s="132">
        <v>18</v>
      </c>
      <c r="L261" s="132"/>
      <c r="M261" s="132">
        <v>101</v>
      </c>
      <c r="N261" s="132"/>
      <c r="O261" s="132"/>
      <c r="P261" s="132">
        <v>8</v>
      </c>
      <c r="Q261" s="132"/>
      <c r="R261" s="132">
        <v>2</v>
      </c>
      <c r="S261" s="132"/>
      <c r="T261" s="132"/>
      <c r="U261" s="151">
        <v>8</v>
      </c>
      <c r="V261" s="151"/>
      <c r="W261" s="307" t="s">
        <v>193</v>
      </c>
      <c r="X261" s="308"/>
      <c r="Y261" s="38">
        <f t="shared" si="106"/>
        <v>16</v>
      </c>
      <c r="Z261" s="38">
        <f t="shared" si="107"/>
        <v>16</v>
      </c>
      <c r="AA261" s="38">
        <f t="shared" si="108"/>
        <v>0</v>
      </c>
      <c r="AB261" s="38">
        <f t="shared" si="116"/>
        <v>0</v>
      </c>
      <c r="AC261" s="38">
        <f t="shared" si="117"/>
        <v>0</v>
      </c>
      <c r="AD261" s="38">
        <f t="shared" si="118"/>
        <v>0</v>
      </c>
      <c r="AE261" s="38">
        <f t="shared" si="119"/>
        <v>0</v>
      </c>
      <c r="AF261" s="38">
        <f t="shared" si="120"/>
        <v>0</v>
      </c>
      <c r="AG261" s="33">
        <f t="shared" si="121"/>
        <v>16</v>
      </c>
      <c r="AH261" s="33">
        <f t="shared" si="122"/>
        <v>16</v>
      </c>
      <c r="AI261" s="33">
        <f t="shared" si="123"/>
        <v>0</v>
      </c>
      <c r="AJ261" s="33">
        <f t="shared" si="124"/>
        <v>0</v>
      </c>
      <c r="AK261" s="34">
        <f t="shared" si="125"/>
        <v>0.11267605633802817</v>
      </c>
      <c r="AL261" s="35">
        <f t="shared" si="126"/>
        <v>0.11267605633802817</v>
      </c>
      <c r="AM261" s="34">
        <f t="shared" si="109"/>
        <v>0</v>
      </c>
      <c r="AN261" s="36">
        <f t="shared" si="127"/>
        <v>0</v>
      </c>
      <c r="AO261" s="6">
        <f t="shared" si="110"/>
        <v>0</v>
      </c>
      <c r="AP261">
        <f t="shared" si="111"/>
        <v>8</v>
      </c>
      <c r="AQ261" s="6">
        <f t="shared" si="112"/>
        <v>0</v>
      </c>
      <c r="AR261" s="6">
        <f t="shared" si="113"/>
        <v>0</v>
      </c>
      <c r="AS261" s="6"/>
      <c r="AX261" s="95">
        <f t="shared" si="114"/>
        <v>42384</v>
      </c>
      <c r="AY261" s="96" t="str">
        <f t="shared" si="115"/>
        <v>sex</v>
      </c>
      <c r="AZ261" s="97">
        <f>IF(OR(AY261="SÁB",AY261="DOM"),0,IFERROR(8-VLOOKUP(C261,'Dados de consulta'!$A$2:$C$38,3,0),8))</f>
        <v>8</v>
      </c>
      <c r="BA261" s="97">
        <f>IF(OR(AY261="SÁB",AY261="DOM"),0,IFERROR(8-VLOOKUP(D261,'Dados de consulta'!$A$2:$C$38,3,0),8))</f>
        <v>8</v>
      </c>
      <c r="BB261" s="97">
        <f>IF(OR(AY261="SÁB",AY261="DOM"),0,IFERROR(8-VLOOKUP(E261,'Dados de consulta'!$A$2:$C$38,3,0),8))</f>
        <v>8</v>
      </c>
      <c r="BC261" s="97">
        <f>IF(OR(AY261="SÁB",AY261="DOM"),0,IFERROR(8-VLOOKUP(F261,'Dados de consulta'!$A$2:$C$38,3,0),8))</f>
        <v>0</v>
      </c>
      <c r="BD261" s="97">
        <f>IF(OR(AY261="SÁB",AY261="DOM"),0,IFERROR(8-VLOOKUP(G261,'Dados de consulta'!$A$2:$C$38,3,0),8))</f>
        <v>8</v>
      </c>
      <c r="BE261" s="97">
        <f>IF(OR(AY261="SÁB",AY261="DOM"),0,IFERROR(8-VLOOKUP(H261,'Dados de consulta'!$A$2:$C$38,3,0),8))</f>
        <v>8</v>
      </c>
      <c r="BF261" s="97">
        <f>IF(OR(AY261="SÁB",AY261="DOM"),0,IFERROR(8-VLOOKUP(I261,'Dados de consulta'!$A$2:$C$38,3,0),8))</f>
        <v>8</v>
      </c>
      <c r="BG261" s="97">
        <f>IF(OR(AY261="SÁB",AY261="DOM"),0,IFERROR(8-VLOOKUP(J261,'Dados de consulta'!$A$2:$C$38,3,0),8))</f>
        <v>8</v>
      </c>
      <c r="BH261" s="97">
        <f>IF(OR(AY261="SÁB",AY261="DOM"),0,IFERROR(8-VLOOKUP(K261,'Dados de consulta'!$A$2:$C$38,3,0),8))</f>
        <v>0</v>
      </c>
      <c r="BI261" s="97">
        <f>IF(OR(AY261="SÁB",AY261="DOM"),0,IFERROR(8-VLOOKUP(L261,'Dados de consulta'!$A$2:$C$38,3,0),8))</f>
        <v>8</v>
      </c>
      <c r="BJ261" s="97">
        <f>IF(OR(AY261="SÁB",AY261="DOM"),0,IFERROR(8-VLOOKUP(M261,'Dados de consulta'!$A$2:$C$38,3,0),8))</f>
        <v>0</v>
      </c>
      <c r="BK261" s="97">
        <f>IF(OR(AY261="SÁB",AY261="DOM"),0,IFERROR(8-VLOOKUP(N261,'Dados de consulta'!$A$2:$C$38,3,0),8))</f>
        <v>8</v>
      </c>
      <c r="BL261" s="97">
        <f>IF(OR(AY261="SÁB",AY261="DOM"),0,IFERROR(8-VLOOKUP(O261,'Dados de consulta'!$A$2:$C$38,3,0),8))</f>
        <v>8</v>
      </c>
      <c r="BM261" s="97">
        <f>IF(OR(AY261="SÁB",AY261="DOM"),0,IFERROR(8-VLOOKUP(P261,'Dados de consulta'!$A$2:$C$38,3,0),8))</f>
        <v>0</v>
      </c>
      <c r="BN261" s="97">
        <f>IF(OR(AY261="SÁB",AY261="DOM"),0,IFERROR(8-VLOOKUP(Q261,'Dados de consulta'!$A$2:$C$38,3,0),8))</f>
        <v>8</v>
      </c>
      <c r="BO261" s="97">
        <f>IF(OR(AY261="SÁB",AY261="DOM"),0,IFERROR(8-VLOOKUP(R261,'Dados de consulta'!$A$2:$C$38,3,0),8))</f>
        <v>0</v>
      </c>
      <c r="BP261" s="97">
        <f>IF(OR(AY261="SÁB",AY261="DOM"),0,IFERROR(8-VLOOKUP(S261,'Dados de consulta'!$A$2:$C$38,3,0),8))</f>
        <v>8</v>
      </c>
      <c r="BQ261" s="113">
        <f>IFERROR(6-VLOOKUP(T261,'Dados de consulta'!$A$2:$C$38,3,0)+2,6)</f>
        <v>6</v>
      </c>
      <c r="BR261" s="114">
        <f t="shared" si="128"/>
        <v>102</v>
      </c>
      <c r="BS261">
        <f t="shared" si="104"/>
        <v>134</v>
      </c>
      <c r="BU261">
        <f>IFERROR(8-VLOOKUP(U261,'Dados de consulta'!$A:$D,3,0),8)</f>
        <v>0</v>
      </c>
      <c r="BV261">
        <f>IFERROR(8-VLOOKUP(V261,'Dados de consulta'!$A:$D,3,0),8)</f>
        <v>8</v>
      </c>
      <c r="BW261">
        <f t="shared" si="129"/>
        <v>8</v>
      </c>
    </row>
    <row r="262" spans="1:75" ht="15" hidden="1" x14ac:dyDescent="0.2">
      <c r="A262" s="98">
        <v>42385</v>
      </c>
      <c r="B262" s="129" t="str">
        <f t="shared" si="105"/>
        <v>sáb</v>
      </c>
      <c r="C262" s="132"/>
      <c r="D262" s="132"/>
      <c r="E262" s="132"/>
      <c r="F262" s="132">
        <v>8</v>
      </c>
      <c r="G262" s="132"/>
      <c r="H262" s="132"/>
      <c r="I262" s="132"/>
      <c r="J262" s="132"/>
      <c r="K262" s="132">
        <v>18</v>
      </c>
      <c r="L262" s="132"/>
      <c r="M262" s="132">
        <v>101</v>
      </c>
      <c r="N262" s="132"/>
      <c r="O262" s="132"/>
      <c r="P262" s="132"/>
      <c r="Q262" s="132"/>
      <c r="R262" s="132"/>
      <c r="S262" s="132"/>
      <c r="T262" s="132"/>
      <c r="U262" s="151"/>
      <c r="V262" s="151"/>
      <c r="W262" s="307" t="s">
        <v>193</v>
      </c>
      <c r="X262" s="308"/>
      <c r="Y262" s="38">
        <f t="shared" si="106"/>
        <v>8</v>
      </c>
      <c r="Z262" s="38">
        <f t="shared" si="107"/>
        <v>8</v>
      </c>
      <c r="AA262" s="38">
        <f t="shared" si="108"/>
        <v>0</v>
      </c>
      <c r="AB262" s="38">
        <f t="shared" si="116"/>
        <v>0</v>
      </c>
      <c r="AC262" s="38">
        <f t="shared" si="117"/>
        <v>0</v>
      </c>
      <c r="AD262" s="38">
        <f t="shared" si="118"/>
        <v>0</v>
      </c>
      <c r="AE262" s="38">
        <f t="shared" si="119"/>
        <v>0</v>
      </c>
      <c r="AF262" s="38">
        <f t="shared" si="120"/>
        <v>0</v>
      </c>
      <c r="AG262" s="33">
        <f t="shared" si="121"/>
        <v>0</v>
      </c>
      <c r="AH262" s="33">
        <f t="shared" si="122"/>
        <v>0</v>
      </c>
      <c r="AI262" s="33">
        <f t="shared" si="123"/>
        <v>0</v>
      </c>
      <c r="AJ262" s="33">
        <f t="shared" si="124"/>
        <v>0</v>
      </c>
      <c r="AK262" s="34">
        <f t="shared" si="125"/>
        <v>0</v>
      </c>
      <c r="AL262" s="35">
        <f t="shared" si="126"/>
        <v>0</v>
      </c>
      <c r="AM262" s="34">
        <f t="shared" si="109"/>
        <v>0</v>
      </c>
      <c r="AN262" s="36">
        <f t="shared" si="127"/>
        <v>0</v>
      </c>
      <c r="AO262" s="6">
        <f t="shared" si="110"/>
        <v>0</v>
      </c>
      <c r="AP262">
        <f t="shared" si="111"/>
        <v>8</v>
      </c>
      <c r="AQ262" s="6">
        <f t="shared" si="112"/>
        <v>0</v>
      </c>
      <c r="AR262" s="6">
        <f t="shared" si="113"/>
        <v>0</v>
      </c>
      <c r="AS262" s="6"/>
      <c r="AX262" s="95">
        <f t="shared" si="114"/>
        <v>42385</v>
      </c>
      <c r="AY262" s="96" t="str">
        <f t="shared" si="115"/>
        <v>sáb</v>
      </c>
      <c r="AZ262" s="97">
        <f>IF(OR(AY262="SÁB",AY262="DOM"),0,IFERROR(8-VLOOKUP(C262,'Dados de consulta'!$A$2:$C$38,3,0),8))</f>
        <v>0</v>
      </c>
      <c r="BA262" s="97">
        <f>IF(OR(AY262="SÁB",AY262="DOM"),0,IFERROR(8-VLOOKUP(D262,'Dados de consulta'!$A$2:$C$38,3,0),8))</f>
        <v>0</v>
      </c>
      <c r="BB262" s="97">
        <f>IF(OR(AY262="SÁB",AY262="DOM"),0,IFERROR(8-VLOOKUP(E262,'Dados de consulta'!$A$2:$C$38,3,0),8))</f>
        <v>0</v>
      </c>
      <c r="BC262" s="97">
        <f>IF(OR(AY262="SÁB",AY262="DOM"),0,IFERROR(8-VLOOKUP(F262,'Dados de consulta'!$A$2:$C$38,3,0),8))</f>
        <v>0</v>
      </c>
      <c r="BD262" s="97">
        <f>IF(OR(AY262="SÁB",AY262="DOM"),0,IFERROR(8-VLOOKUP(G262,'Dados de consulta'!$A$2:$C$38,3,0),8))</f>
        <v>0</v>
      </c>
      <c r="BE262" s="97">
        <f>IF(OR(AY262="SÁB",AY262="DOM"),0,IFERROR(8-VLOOKUP(H262,'Dados de consulta'!$A$2:$C$38,3,0),8))</f>
        <v>0</v>
      </c>
      <c r="BF262" s="97">
        <f>IF(OR(AY262="SÁB",AY262="DOM"),0,IFERROR(8-VLOOKUP(I262,'Dados de consulta'!$A$2:$C$38,3,0),8))</f>
        <v>0</v>
      </c>
      <c r="BG262" s="97">
        <f>IF(OR(AY262="SÁB",AY262="DOM"),0,IFERROR(8-VLOOKUP(J262,'Dados de consulta'!$A$2:$C$38,3,0),8))</f>
        <v>0</v>
      </c>
      <c r="BH262" s="97">
        <f>IF(OR(AY262="SÁB",AY262="DOM"),0,IFERROR(8-VLOOKUP(K262,'Dados de consulta'!$A$2:$C$38,3,0),8))</f>
        <v>0</v>
      </c>
      <c r="BI262" s="97">
        <f>IF(OR(AY262="SÁB",AY262="DOM"),0,IFERROR(8-VLOOKUP(L262,'Dados de consulta'!$A$2:$C$38,3,0),8))</f>
        <v>0</v>
      </c>
      <c r="BJ262" s="97">
        <f>IF(OR(AY262="SÁB",AY262="DOM"),0,IFERROR(8-VLOOKUP(M262,'Dados de consulta'!$A$2:$C$38,3,0),8))</f>
        <v>0</v>
      </c>
      <c r="BK262" s="97">
        <f>IF(OR(AY262="SÁB",AY262="DOM"),0,IFERROR(8-VLOOKUP(N262,'Dados de consulta'!$A$2:$C$38,3,0),8))</f>
        <v>0</v>
      </c>
      <c r="BL262" s="97">
        <f>IF(OR(AY262="SÁB",AY262="DOM"),0,IFERROR(8-VLOOKUP(O262,'Dados de consulta'!$A$2:$C$38,3,0),8))</f>
        <v>0</v>
      </c>
      <c r="BM262" s="97">
        <f>IF(OR(AY262="SÁB",AY262="DOM"),0,IFERROR(8-VLOOKUP(P262,'Dados de consulta'!$A$2:$C$38,3,0),8))</f>
        <v>0</v>
      </c>
      <c r="BN262" s="97">
        <f>IF(OR(AY262="SÁB",AY262="DOM"),0,IFERROR(8-VLOOKUP(Q262,'Dados de consulta'!$A$2:$C$38,3,0),8))</f>
        <v>0</v>
      </c>
      <c r="BO262" s="97">
        <f>IF(OR(AY262="SÁB",AY262="DOM"),0,IFERROR(8-VLOOKUP(R262,'Dados de consulta'!$A$2:$C$38,3,0),8))</f>
        <v>0</v>
      </c>
      <c r="BP262" s="97">
        <f>IF(OR(AY262="SÁB",AY262="DOM"),0,IFERROR(8-VLOOKUP(S262,'Dados de consulta'!$A$2:$C$38,3,0),8))</f>
        <v>0</v>
      </c>
      <c r="BQ262" s="113">
        <f>IFERROR(6-VLOOKUP(T262,'Dados de consulta'!$A$2:$C$38,3,0)+2,6)</f>
        <v>6</v>
      </c>
      <c r="BR262" s="114">
        <f t="shared" si="128"/>
        <v>0</v>
      </c>
      <c r="BS262">
        <f t="shared" si="104"/>
        <v>0</v>
      </c>
      <c r="BU262">
        <f>IFERROR(8-VLOOKUP(U262,'Dados de consulta'!$A:$D,3,0),8)</f>
        <v>8</v>
      </c>
      <c r="BV262">
        <f>IFERROR(8-VLOOKUP(V262,'Dados de consulta'!$A:$D,3,0),8)</f>
        <v>8</v>
      </c>
      <c r="BW262">
        <f t="shared" si="129"/>
        <v>16</v>
      </c>
    </row>
    <row r="263" spans="1:75" ht="15" hidden="1" x14ac:dyDescent="0.2">
      <c r="A263" s="98">
        <v>42386</v>
      </c>
      <c r="B263" s="129" t="str">
        <f t="shared" si="105"/>
        <v>dom</v>
      </c>
      <c r="C263" s="132"/>
      <c r="D263" s="132"/>
      <c r="E263" s="132"/>
      <c r="F263" s="132">
        <v>8</v>
      </c>
      <c r="G263" s="132"/>
      <c r="H263" s="132"/>
      <c r="I263" s="132"/>
      <c r="J263" s="132"/>
      <c r="K263" s="132"/>
      <c r="L263" s="132"/>
      <c r="M263" s="132">
        <v>101</v>
      </c>
      <c r="N263" s="132"/>
      <c r="O263" s="132"/>
      <c r="P263" s="132"/>
      <c r="Q263" s="132"/>
      <c r="R263" s="132"/>
      <c r="S263" s="132"/>
      <c r="T263" s="132"/>
      <c r="U263" s="151"/>
      <c r="V263" s="151"/>
      <c r="W263" s="307" t="s">
        <v>193</v>
      </c>
      <c r="X263" s="308"/>
      <c r="Y263" s="38">
        <f t="shared" si="106"/>
        <v>8</v>
      </c>
      <c r="Z263" s="38">
        <f t="shared" si="107"/>
        <v>0</v>
      </c>
      <c r="AA263" s="38">
        <f t="shared" si="108"/>
        <v>0</v>
      </c>
      <c r="AB263" s="38">
        <f t="shared" si="116"/>
        <v>0</v>
      </c>
      <c r="AC263" s="38">
        <f t="shared" si="117"/>
        <v>0</v>
      </c>
      <c r="AD263" s="38">
        <f t="shared" si="118"/>
        <v>0</v>
      </c>
      <c r="AE263" s="38">
        <f t="shared" si="119"/>
        <v>0</v>
      </c>
      <c r="AF263" s="38">
        <f t="shared" si="120"/>
        <v>0</v>
      </c>
      <c r="AG263" s="33">
        <f t="shared" si="121"/>
        <v>0</v>
      </c>
      <c r="AH263" s="33">
        <f t="shared" si="122"/>
        <v>0</v>
      </c>
      <c r="AI263" s="33">
        <f t="shared" si="123"/>
        <v>0</v>
      </c>
      <c r="AJ263" s="33">
        <f t="shared" si="124"/>
        <v>0</v>
      </c>
      <c r="AK263" s="34">
        <f t="shared" si="125"/>
        <v>0</v>
      </c>
      <c r="AL263" s="35">
        <f t="shared" si="126"/>
        <v>0</v>
      </c>
      <c r="AM263" s="34">
        <f t="shared" si="109"/>
        <v>0</v>
      </c>
      <c r="AN263" s="36">
        <f t="shared" si="127"/>
        <v>0</v>
      </c>
      <c r="AO263" s="6">
        <f t="shared" si="110"/>
        <v>0</v>
      </c>
      <c r="AP263">
        <f t="shared" si="111"/>
        <v>8</v>
      </c>
      <c r="AQ263" s="6">
        <f t="shared" si="112"/>
        <v>0</v>
      </c>
      <c r="AR263" s="6">
        <f t="shared" si="113"/>
        <v>0</v>
      </c>
      <c r="AS263" s="6"/>
      <c r="AX263" s="95">
        <f t="shared" si="114"/>
        <v>42386</v>
      </c>
      <c r="AY263" s="96" t="str">
        <f t="shared" si="115"/>
        <v>dom</v>
      </c>
      <c r="AZ263" s="97">
        <f>IF(OR(AY263="SÁB",AY263="DOM"),0,IFERROR(8-VLOOKUP(C263,'Dados de consulta'!$A$2:$C$38,3,0),8))</f>
        <v>0</v>
      </c>
      <c r="BA263" s="97">
        <f>IF(OR(AY263="SÁB",AY263="DOM"),0,IFERROR(8-VLOOKUP(D263,'Dados de consulta'!$A$2:$C$38,3,0),8))</f>
        <v>0</v>
      </c>
      <c r="BB263" s="97">
        <f>IF(OR(AY263="SÁB",AY263="DOM"),0,IFERROR(8-VLOOKUP(E263,'Dados de consulta'!$A$2:$C$38,3,0),8))</f>
        <v>0</v>
      </c>
      <c r="BC263" s="97">
        <f>IF(OR(AY263="SÁB",AY263="DOM"),0,IFERROR(8-VLOOKUP(F263,'Dados de consulta'!$A$2:$C$38,3,0),8))</f>
        <v>0</v>
      </c>
      <c r="BD263" s="97">
        <f>IF(OR(AY263="SÁB",AY263="DOM"),0,IFERROR(8-VLOOKUP(G263,'Dados de consulta'!$A$2:$C$38,3,0),8))</f>
        <v>0</v>
      </c>
      <c r="BE263" s="97">
        <f>IF(OR(AY263="SÁB",AY263="DOM"),0,IFERROR(8-VLOOKUP(H263,'Dados de consulta'!$A$2:$C$38,3,0),8))</f>
        <v>0</v>
      </c>
      <c r="BF263" s="97">
        <f>IF(OR(AY263="SÁB",AY263="DOM"),0,IFERROR(8-VLOOKUP(I263,'Dados de consulta'!$A$2:$C$38,3,0),8))</f>
        <v>0</v>
      </c>
      <c r="BG263" s="97">
        <f>IF(OR(AY263="SÁB",AY263="DOM"),0,IFERROR(8-VLOOKUP(J263,'Dados de consulta'!$A$2:$C$38,3,0),8))</f>
        <v>0</v>
      </c>
      <c r="BH263" s="97">
        <f>IF(OR(AY263="SÁB",AY263="DOM"),0,IFERROR(8-VLOOKUP(K263,'Dados de consulta'!$A$2:$C$38,3,0),8))</f>
        <v>0</v>
      </c>
      <c r="BI263" s="97">
        <f>IF(OR(AY263="SÁB",AY263="DOM"),0,IFERROR(8-VLOOKUP(L263,'Dados de consulta'!$A$2:$C$38,3,0),8))</f>
        <v>0</v>
      </c>
      <c r="BJ263" s="97">
        <f>IF(OR(AY263="SÁB",AY263="DOM"),0,IFERROR(8-VLOOKUP(M263,'Dados de consulta'!$A$2:$C$38,3,0),8))</f>
        <v>0</v>
      </c>
      <c r="BK263" s="97">
        <f>IF(OR(AY263="SÁB",AY263="DOM"),0,IFERROR(8-VLOOKUP(N263,'Dados de consulta'!$A$2:$C$38,3,0),8))</f>
        <v>0</v>
      </c>
      <c r="BL263" s="97">
        <f>IF(OR(AY263="SÁB",AY263="DOM"),0,IFERROR(8-VLOOKUP(O263,'Dados de consulta'!$A$2:$C$38,3,0),8))</f>
        <v>0</v>
      </c>
      <c r="BM263" s="97">
        <f>IF(OR(AY263="SÁB",AY263="DOM"),0,IFERROR(8-VLOOKUP(P263,'Dados de consulta'!$A$2:$C$38,3,0),8))</f>
        <v>0</v>
      </c>
      <c r="BN263" s="97">
        <f>IF(OR(AY263="SÁB",AY263="DOM"),0,IFERROR(8-VLOOKUP(Q263,'Dados de consulta'!$A$2:$C$38,3,0),8))</f>
        <v>0</v>
      </c>
      <c r="BO263" s="97">
        <f>IF(OR(AY263="SÁB",AY263="DOM"),0,IFERROR(8-VLOOKUP(R263,'Dados de consulta'!$A$2:$C$38,3,0),8))</f>
        <v>0</v>
      </c>
      <c r="BP263" s="97">
        <f>IF(OR(AY263="SÁB",AY263="DOM"),0,IFERROR(8-VLOOKUP(S263,'Dados de consulta'!$A$2:$C$38,3,0),8))</f>
        <v>0</v>
      </c>
      <c r="BQ263" s="113">
        <f>IFERROR(6-VLOOKUP(T263,'Dados de consulta'!$A$2:$C$38,3,0)+2,6)</f>
        <v>6</v>
      </c>
      <c r="BR263" s="114">
        <f t="shared" si="128"/>
        <v>0</v>
      </c>
      <c r="BS263">
        <f t="shared" si="104"/>
        <v>0</v>
      </c>
      <c r="BU263">
        <f>IFERROR(8-VLOOKUP(U263,'Dados de consulta'!$A:$D,3,0),8)</f>
        <v>8</v>
      </c>
      <c r="BV263">
        <f>IFERROR(8-VLOOKUP(V263,'Dados de consulta'!$A:$D,3,0),8)</f>
        <v>8</v>
      </c>
      <c r="BW263">
        <f t="shared" si="129"/>
        <v>16</v>
      </c>
    </row>
    <row r="264" spans="1:75" ht="15" hidden="1" x14ac:dyDescent="0.2">
      <c r="A264" s="98">
        <v>42387</v>
      </c>
      <c r="B264" s="129" t="str">
        <f t="shared" si="105"/>
        <v>seg</v>
      </c>
      <c r="C264" s="132"/>
      <c r="D264" s="132"/>
      <c r="E264" s="132"/>
      <c r="F264" s="132">
        <v>8</v>
      </c>
      <c r="G264" s="132"/>
      <c r="H264" s="132"/>
      <c r="I264" s="132"/>
      <c r="J264" s="132"/>
      <c r="K264" s="132"/>
      <c r="L264" s="132"/>
      <c r="M264" s="132">
        <v>101</v>
      </c>
      <c r="N264" s="132"/>
      <c r="O264" s="132"/>
      <c r="P264" s="132"/>
      <c r="Q264" s="132"/>
      <c r="R264" s="132"/>
      <c r="S264" s="132"/>
      <c r="T264" s="132"/>
      <c r="U264" s="151">
        <v>8</v>
      </c>
      <c r="V264" s="151"/>
      <c r="W264" s="307" t="s">
        <v>193</v>
      </c>
      <c r="X264" s="308"/>
      <c r="Y264" s="38">
        <f t="shared" si="106"/>
        <v>8</v>
      </c>
      <c r="Z264" s="38">
        <f t="shared" si="107"/>
        <v>0</v>
      </c>
      <c r="AA264" s="38">
        <f t="shared" si="108"/>
        <v>0</v>
      </c>
      <c r="AB264" s="38">
        <f t="shared" si="116"/>
        <v>0</v>
      </c>
      <c r="AC264" s="38">
        <f t="shared" si="117"/>
        <v>0</v>
      </c>
      <c r="AD264" s="38">
        <f t="shared" si="118"/>
        <v>0</v>
      </c>
      <c r="AE264" s="38">
        <f t="shared" si="119"/>
        <v>0</v>
      </c>
      <c r="AF264" s="38">
        <f t="shared" si="120"/>
        <v>0</v>
      </c>
      <c r="AG264" s="33">
        <f t="shared" si="121"/>
        <v>8</v>
      </c>
      <c r="AH264" s="33">
        <f t="shared" si="122"/>
        <v>0</v>
      </c>
      <c r="AI264" s="33">
        <f t="shared" si="123"/>
        <v>0</v>
      </c>
      <c r="AJ264" s="33">
        <f t="shared" si="124"/>
        <v>0</v>
      </c>
      <c r="AK264" s="34">
        <f t="shared" si="125"/>
        <v>5.6338028169014086E-2</v>
      </c>
      <c r="AL264" s="35">
        <f t="shared" si="126"/>
        <v>0</v>
      </c>
      <c r="AM264" s="34">
        <f t="shared" si="109"/>
        <v>0</v>
      </c>
      <c r="AN264" s="36">
        <f t="shared" si="127"/>
        <v>0</v>
      </c>
      <c r="AO264" s="6">
        <f t="shared" si="110"/>
        <v>0</v>
      </c>
      <c r="AP264">
        <f t="shared" si="111"/>
        <v>8</v>
      </c>
      <c r="AQ264" s="6">
        <f t="shared" si="112"/>
        <v>0</v>
      </c>
      <c r="AR264" s="6">
        <f t="shared" si="113"/>
        <v>0</v>
      </c>
      <c r="AS264" s="6"/>
      <c r="AX264" s="95">
        <f t="shared" si="114"/>
        <v>42387</v>
      </c>
      <c r="AY264" s="96" t="str">
        <f t="shared" si="115"/>
        <v>seg</v>
      </c>
      <c r="AZ264" s="97">
        <f>IF(OR(AY264="SÁB",AY264="DOM"),0,IFERROR(8-VLOOKUP(C264,'Dados de consulta'!$A$2:$C$38,3,0),8))</f>
        <v>8</v>
      </c>
      <c r="BA264" s="97">
        <f>IF(OR(AY264="SÁB",AY264="DOM"),0,IFERROR(8-VLOOKUP(D264,'Dados de consulta'!$A$2:$C$38,3,0),8))</f>
        <v>8</v>
      </c>
      <c r="BB264" s="97">
        <f>IF(OR(AY264="SÁB",AY264="DOM"),0,IFERROR(8-VLOOKUP(E264,'Dados de consulta'!$A$2:$C$38,3,0),8))</f>
        <v>8</v>
      </c>
      <c r="BC264" s="97">
        <f>IF(OR(AY264="SÁB",AY264="DOM"),0,IFERROR(8-VLOOKUP(F264,'Dados de consulta'!$A$2:$C$38,3,0),8))</f>
        <v>0</v>
      </c>
      <c r="BD264" s="97">
        <f>IF(OR(AY264="SÁB",AY264="DOM"),0,IFERROR(8-VLOOKUP(G264,'Dados de consulta'!$A$2:$C$38,3,0),8))</f>
        <v>8</v>
      </c>
      <c r="BE264" s="97">
        <f>IF(OR(AY264="SÁB",AY264="DOM"),0,IFERROR(8-VLOOKUP(H264,'Dados de consulta'!$A$2:$C$38,3,0),8))</f>
        <v>8</v>
      </c>
      <c r="BF264" s="97">
        <f>IF(OR(AY264="SÁB",AY264="DOM"),0,IFERROR(8-VLOOKUP(I264,'Dados de consulta'!$A$2:$C$38,3,0),8))</f>
        <v>8</v>
      </c>
      <c r="BG264" s="97">
        <f>IF(OR(AY264="SÁB",AY264="DOM"),0,IFERROR(8-VLOOKUP(J264,'Dados de consulta'!$A$2:$C$38,3,0),8))</f>
        <v>8</v>
      </c>
      <c r="BH264" s="97">
        <f>IF(OR(AY264="SÁB",AY264="DOM"),0,IFERROR(8-VLOOKUP(K264,'Dados de consulta'!$A$2:$C$38,3,0),8))</f>
        <v>8</v>
      </c>
      <c r="BI264" s="97">
        <f>IF(OR(AY264="SÁB",AY264="DOM"),0,IFERROR(8-VLOOKUP(L264,'Dados de consulta'!$A$2:$C$38,3,0),8))</f>
        <v>8</v>
      </c>
      <c r="BJ264" s="97">
        <f>IF(OR(AY264="SÁB",AY264="DOM"),0,IFERROR(8-VLOOKUP(M264,'Dados de consulta'!$A$2:$C$38,3,0),8))</f>
        <v>0</v>
      </c>
      <c r="BK264" s="97">
        <f>IF(OR(AY264="SÁB",AY264="DOM"),0,IFERROR(8-VLOOKUP(N264,'Dados de consulta'!$A$2:$C$38,3,0),8))</f>
        <v>8</v>
      </c>
      <c r="BL264" s="97">
        <f>IF(OR(AY264="SÁB",AY264="DOM"),0,IFERROR(8-VLOOKUP(O264,'Dados de consulta'!$A$2:$C$38,3,0),8))</f>
        <v>8</v>
      </c>
      <c r="BM264" s="97">
        <f>IF(OR(AY264="SÁB",AY264="DOM"),0,IFERROR(8-VLOOKUP(P264,'Dados de consulta'!$A$2:$C$38,3,0),8))</f>
        <v>8</v>
      </c>
      <c r="BN264" s="97">
        <f>IF(OR(AY264="SÁB",AY264="DOM"),0,IFERROR(8-VLOOKUP(Q264,'Dados de consulta'!$A$2:$C$38,3,0),8))</f>
        <v>8</v>
      </c>
      <c r="BO264" s="97">
        <f>IF(OR(AY264="SÁB",AY264="DOM"),0,IFERROR(8-VLOOKUP(R264,'Dados de consulta'!$A$2:$C$38,3,0),8))</f>
        <v>8</v>
      </c>
      <c r="BP264" s="97">
        <f>IF(OR(AY264="SÁB",AY264="DOM"),0,IFERROR(8-VLOOKUP(S264,'Dados de consulta'!$A$2:$C$38,3,0),8))</f>
        <v>8</v>
      </c>
      <c r="BQ264" s="113">
        <f>IFERROR(6-VLOOKUP(T264,'Dados de consulta'!$A$2:$C$38,3,0)+2,6)</f>
        <v>6</v>
      </c>
      <c r="BR264" s="114">
        <f t="shared" si="128"/>
        <v>126</v>
      </c>
      <c r="BS264">
        <f t="shared" si="104"/>
        <v>134</v>
      </c>
      <c r="BU264">
        <f>IFERROR(8-VLOOKUP(U264,'Dados de consulta'!$A:$D,3,0),8)</f>
        <v>0</v>
      </c>
      <c r="BV264">
        <f>IFERROR(8-VLOOKUP(V264,'Dados de consulta'!$A:$D,3,0),8)</f>
        <v>8</v>
      </c>
      <c r="BW264">
        <f t="shared" si="129"/>
        <v>8</v>
      </c>
    </row>
    <row r="265" spans="1:75" ht="15" hidden="1" x14ac:dyDescent="0.2">
      <c r="A265" s="98">
        <v>42388</v>
      </c>
      <c r="B265" s="129" t="str">
        <f t="shared" si="105"/>
        <v>ter</v>
      </c>
      <c r="C265" s="132"/>
      <c r="D265" s="132"/>
      <c r="E265" s="132"/>
      <c r="F265" s="132">
        <v>8</v>
      </c>
      <c r="G265" s="132"/>
      <c r="H265" s="132"/>
      <c r="I265" s="132"/>
      <c r="J265" s="132"/>
      <c r="K265" s="132"/>
      <c r="L265" s="132"/>
      <c r="M265" s="132">
        <v>101</v>
      </c>
      <c r="N265" s="132"/>
      <c r="O265" s="132"/>
      <c r="P265" s="132"/>
      <c r="Q265" s="132"/>
      <c r="R265" s="132"/>
      <c r="S265" s="132"/>
      <c r="T265" s="132"/>
      <c r="U265" s="151">
        <v>8</v>
      </c>
      <c r="V265" s="151"/>
      <c r="W265" s="307" t="s">
        <v>193</v>
      </c>
      <c r="X265" s="308"/>
      <c r="Y265" s="38">
        <f t="shared" si="106"/>
        <v>8</v>
      </c>
      <c r="Z265" s="38">
        <f t="shared" si="107"/>
        <v>0</v>
      </c>
      <c r="AA265" s="38">
        <f t="shared" si="108"/>
        <v>0</v>
      </c>
      <c r="AB265" s="38">
        <f t="shared" si="116"/>
        <v>0</v>
      </c>
      <c r="AC265" s="38">
        <f t="shared" si="117"/>
        <v>0</v>
      </c>
      <c r="AD265" s="38">
        <f t="shared" si="118"/>
        <v>0</v>
      </c>
      <c r="AE265" s="38">
        <f t="shared" si="119"/>
        <v>0</v>
      </c>
      <c r="AF265" s="38">
        <f t="shared" si="120"/>
        <v>0</v>
      </c>
      <c r="AG265" s="33">
        <f t="shared" si="121"/>
        <v>8</v>
      </c>
      <c r="AH265" s="33">
        <f t="shared" si="122"/>
        <v>0</v>
      </c>
      <c r="AI265" s="33">
        <f t="shared" si="123"/>
        <v>0</v>
      </c>
      <c r="AJ265" s="33">
        <f t="shared" si="124"/>
        <v>0</v>
      </c>
      <c r="AK265" s="34">
        <f t="shared" si="125"/>
        <v>5.6338028169014086E-2</v>
      </c>
      <c r="AL265" s="35">
        <f t="shared" si="126"/>
        <v>0</v>
      </c>
      <c r="AM265" s="34">
        <f t="shared" si="109"/>
        <v>0</v>
      </c>
      <c r="AN265" s="36">
        <f t="shared" si="127"/>
        <v>0</v>
      </c>
      <c r="AO265" s="6">
        <f t="shared" si="110"/>
        <v>0</v>
      </c>
      <c r="AP265">
        <f t="shared" si="111"/>
        <v>8</v>
      </c>
      <c r="AQ265" s="6">
        <f t="shared" si="112"/>
        <v>0</v>
      </c>
      <c r="AR265" s="6">
        <f t="shared" si="113"/>
        <v>0</v>
      </c>
      <c r="AS265" s="6"/>
      <c r="AX265" s="95">
        <f t="shared" si="114"/>
        <v>42388</v>
      </c>
      <c r="AY265" s="96" t="str">
        <f t="shared" si="115"/>
        <v>ter</v>
      </c>
      <c r="AZ265" s="97">
        <f>IF(OR(AY265="SÁB",AY265="DOM"),0,IFERROR(8-VLOOKUP(C265,'Dados de consulta'!$A$2:$C$38,3,0),8))</f>
        <v>8</v>
      </c>
      <c r="BA265" s="97">
        <f>IF(OR(AY265="SÁB",AY265="DOM"),0,IFERROR(8-VLOOKUP(D265,'Dados de consulta'!$A$2:$C$38,3,0),8))</f>
        <v>8</v>
      </c>
      <c r="BB265" s="97">
        <f>IF(OR(AY265="SÁB",AY265="DOM"),0,IFERROR(8-VLOOKUP(E265,'Dados de consulta'!$A$2:$C$38,3,0),8))</f>
        <v>8</v>
      </c>
      <c r="BC265" s="97">
        <f>IF(OR(AY265="SÁB",AY265="DOM"),0,IFERROR(8-VLOOKUP(F265,'Dados de consulta'!$A$2:$C$38,3,0),8))</f>
        <v>0</v>
      </c>
      <c r="BD265" s="97">
        <f>IF(OR(AY265="SÁB",AY265="DOM"),0,IFERROR(8-VLOOKUP(G265,'Dados de consulta'!$A$2:$C$38,3,0),8))</f>
        <v>8</v>
      </c>
      <c r="BE265" s="97">
        <f>IF(OR(AY265="SÁB",AY265="DOM"),0,IFERROR(8-VLOOKUP(H265,'Dados de consulta'!$A$2:$C$38,3,0),8))</f>
        <v>8</v>
      </c>
      <c r="BF265" s="97">
        <f>IF(OR(AY265="SÁB",AY265="DOM"),0,IFERROR(8-VLOOKUP(I265,'Dados de consulta'!$A$2:$C$38,3,0),8))</f>
        <v>8</v>
      </c>
      <c r="BG265" s="97">
        <f>IF(OR(AY265="SÁB",AY265="DOM"),0,IFERROR(8-VLOOKUP(J265,'Dados de consulta'!$A$2:$C$38,3,0),8))</f>
        <v>8</v>
      </c>
      <c r="BH265" s="97">
        <f>IF(OR(AY265="SÁB",AY265="DOM"),0,IFERROR(8-VLOOKUP(K265,'Dados de consulta'!$A$2:$C$38,3,0),8))</f>
        <v>8</v>
      </c>
      <c r="BI265" s="97">
        <f>IF(OR(AY265="SÁB",AY265="DOM"),0,IFERROR(8-VLOOKUP(L265,'Dados de consulta'!$A$2:$C$38,3,0),8))</f>
        <v>8</v>
      </c>
      <c r="BJ265" s="97">
        <f>IF(OR(AY265="SÁB",AY265="DOM"),0,IFERROR(8-VLOOKUP(M265,'Dados de consulta'!$A$2:$C$38,3,0),8))</f>
        <v>0</v>
      </c>
      <c r="BK265" s="97">
        <f>IF(OR(AY265="SÁB",AY265="DOM"),0,IFERROR(8-VLOOKUP(N265,'Dados de consulta'!$A$2:$C$38,3,0),8))</f>
        <v>8</v>
      </c>
      <c r="BL265" s="97">
        <f>IF(OR(AY265="SÁB",AY265="DOM"),0,IFERROR(8-VLOOKUP(O265,'Dados de consulta'!$A$2:$C$38,3,0),8))</f>
        <v>8</v>
      </c>
      <c r="BM265" s="97">
        <f>IF(OR(AY265="SÁB",AY265="DOM"),0,IFERROR(8-VLOOKUP(P265,'Dados de consulta'!$A$2:$C$38,3,0),8))</f>
        <v>8</v>
      </c>
      <c r="BN265" s="97">
        <f>IF(OR(AY265="SÁB",AY265="DOM"),0,IFERROR(8-VLOOKUP(Q265,'Dados de consulta'!$A$2:$C$38,3,0),8))</f>
        <v>8</v>
      </c>
      <c r="BO265" s="97">
        <f>IF(OR(AY265="SÁB",AY265="DOM"),0,IFERROR(8-VLOOKUP(R265,'Dados de consulta'!$A$2:$C$38,3,0),8))</f>
        <v>8</v>
      </c>
      <c r="BP265" s="97">
        <f>IF(OR(AY265="SÁB",AY265="DOM"),0,IFERROR(8-VLOOKUP(S265,'Dados de consulta'!$A$2:$C$38,3,0),8))</f>
        <v>8</v>
      </c>
      <c r="BQ265" s="113">
        <f>IFERROR(6-VLOOKUP(T265,'Dados de consulta'!$A$2:$C$38,3,0)+2,6)</f>
        <v>6</v>
      </c>
      <c r="BR265" s="114">
        <f t="shared" si="128"/>
        <v>126</v>
      </c>
      <c r="BS265">
        <f t="shared" si="104"/>
        <v>134</v>
      </c>
      <c r="BU265">
        <f>IFERROR(8-VLOOKUP(U265,'Dados de consulta'!$A:$D,3,0),8)</f>
        <v>0</v>
      </c>
      <c r="BV265">
        <f>IFERROR(8-VLOOKUP(V265,'Dados de consulta'!$A:$D,3,0),8)</f>
        <v>8</v>
      </c>
      <c r="BW265">
        <f t="shared" si="129"/>
        <v>8</v>
      </c>
    </row>
    <row r="266" spans="1:75" ht="15" hidden="1" x14ac:dyDescent="0.2">
      <c r="A266" s="98">
        <v>42389</v>
      </c>
      <c r="B266" s="129" t="str">
        <f t="shared" si="105"/>
        <v>qua</v>
      </c>
      <c r="C266" s="132"/>
      <c r="D266" s="132"/>
      <c r="E266" s="132"/>
      <c r="F266" s="132">
        <v>8</v>
      </c>
      <c r="G266" s="132"/>
      <c r="H266" s="132"/>
      <c r="I266" s="132"/>
      <c r="J266" s="132"/>
      <c r="K266" s="132"/>
      <c r="L266" s="132"/>
      <c r="M266" s="132">
        <v>101</v>
      </c>
      <c r="N266" s="132"/>
      <c r="O266" s="132"/>
      <c r="P266" s="132"/>
      <c r="Q266" s="132"/>
      <c r="R266" s="132"/>
      <c r="S266" s="132"/>
      <c r="T266" s="132"/>
      <c r="U266" s="151">
        <v>8</v>
      </c>
      <c r="V266" s="151"/>
      <c r="W266" s="307" t="s">
        <v>193</v>
      </c>
      <c r="X266" s="308"/>
      <c r="Y266" s="38">
        <f t="shared" si="106"/>
        <v>8</v>
      </c>
      <c r="Z266" s="38">
        <f t="shared" si="107"/>
        <v>0</v>
      </c>
      <c r="AA266" s="38">
        <f t="shared" si="108"/>
        <v>0</v>
      </c>
      <c r="AB266" s="38">
        <f t="shared" si="116"/>
        <v>0</v>
      </c>
      <c r="AC266" s="38">
        <f t="shared" si="117"/>
        <v>0</v>
      </c>
      <c r="AD266" s="38">
        <f t="shared" si="118"/>
        <v>0</v>
      </c>
      <c r="AE266" s="38">
        <f t="shared" si="119"/>
        <v>0</v>
      </c>
      <c r="AF266" s="38">
        <f t="shared" si="120"/>
        <v>0</v>
      </c>
      <c r="AG266" s="33">
        <f t="shared" si="121"/>
        <v>8</v>
      </c>
      <c r="AH266" s="33">
        <f t="shared" si="122"/>
        <v>0</v>
      </c>
      <c r="AI266" s="33">
        <f t="shared" si="123"/>
        <v>0</v>
      </c>
      <c r="AJ266" s="33">
        <f t="shared" si="124"/>
        <v>0</v>
      </c>
      <c r="AK266" s="34">
        <f t="shared" si="125"/>
        <v>5.6338028169014086E-2</v>
      </c>
      <c r="AL266" s="35">
        <f t="shared" si="126"/>
        <v>0</v>
      </c>
      <c r="AM266" s="34">
        <f t="shared" si="109"/>
        <v>0</v>
      </c>
      <c r="AN266" s="36">
        <f t="shared" si="127"/>
        <v>0</v>
      </c>
      <c r="AO266" s="6">
        <f t="shared" si="110"/>
        <v>0</v>
      </c>
      <c r="AP266">
        <f t="shared" si="111"/>
        <v>8</v>
      </c>
      <c r="AQ266" s="6">
        <f t="shared" si="112"/>
        <v>0</v>
      </c>
      <c r="AR266" s="6">
        <f t="shared" si="113"/>
        <v>0</v>
      </c>
      <c r="AS266" s="6"/>
      <c r="AX266" s="95">
        <f t="shared" si="114"/>
        <v>42389</v>
      </c>
      <c r="AY266" s="96" t="str">
        <f t="shared" si="115"/>
        <v>qua</v>
      </c>
      <c r="AZ266" s="97">
        <f>IF(OR(AY266="SÁB",AY266="DOM"),0,IFERROR(8-VLOOKUP(C266,'Dados de consulta'!$A$2:$C$38,3,0),8))</f>
        <v>8</v>
      </c>
      <c r="BA266" s="97">
        <f>IF(OR(AY266="SÁB",AY266="DOM"),0,IFERROR(8-VLOOKUP(D266,'Dados de consulta'!$A$2:$C$38,3,0),8))</f>
        <v>8</v>
      </c>
      <c r="BB266" s="97">
        <f>IF(OR(AY266="SÁB",AY266="DOM"),0,IFERROR(8-VLOOKUP(E266,'Dados de consulta'!$A$2:$C$38,3,0),8))</f>
        <v>8</v>
      </c>
      <c r="BC266" s="97">
        <f>IF(OR(AY266="SÁB",AY266="DOM"),0,IFERROR(8-VLOOKUP(F266,'Dados de consulta'!$A$2:$C$38,3,0),8))</f>
        <v>0</v>
      </c>
      <c r="BD266" s="97">
        <f>IF(OR(AY266="SÁB",AY266="DOM"),0,IFERROR(8-VLOOKUP(G266,'Dados de consulta'!$A$2:$C$38,3,0),8))</f>
        <v>8</v>
      </c>
      <c r="BE266" s="97">
        <f>IF(OR(AY266="SÁB",AY266="DOM"),0,IFERROR(8-VLOOKUP(H266,'Dados de consulta'!$A$2:$C$38,3,0),8))</f>
        <v>8</v>
      </c>
      <c r="BF266" s="97">
        <f>IF(OR(AY266="SÁB",AY266="DOM"),0,IFERROR(8-VLOOKUP(I266,'Dados de consulta'!$A$2:$C$38,3,0),8))</f>
        <v>8</v>
      </c>
      <c r="BG266" s="97">
        <f>IF(OR(AY266="SÁB",AY266="DOM"),0,IFERROR(8-VLOOKUP(J266,'Dados de consulta'!$A$2:$C$38,3,0),8))</f>
        <v>8</v>
      </c>
      <c r="BH266" s="97">
        <f>IF(OR(AY266="SÁB",AY266="DOM"),0,IFERROR(8-VLOOKUP(K266,'Dados de consulta'!$A$2:$C$38,3,0),8))</f>
        <v>8</v>
      </c>
      <c r="BI266" s="97">
        <f>IF(OR(AY266="SÁB",AY266="DOM"),0,IFERROR(8-VLOOKUP(L266,'Dados de consulta'!$A$2:$C$38,3,0),8))</f>
        <v>8</v>
      </c>
      <c r="BJ266" s="97">
        <f>IF(OR(AY266="SÁB",AY266="DOM"),0,IFERROR(8-VLOOKUP(M266,'Dados de consulta'!$A$2:$C$38,3,0),8))</f>
        <v>0</v>
      </c>
      <c r="BK266" s="97">
        <f>IF(OR(AY266="SÁB",AY266="DOM"),0,IFERROR(8-VLOOKUP(N266,'Dados de consulta'!$A$2:$C$38,3,0),8))</f>
        <v>8</v>
      </c>
      <c r="BL266" s="97">
        <f>IF(OR(AY266="SÁB",AY266="DOM"),0,IFERROR(8-VLOOKUP(O266,'Dados de consulta'!$A$2:$C$38,3,0),8))</f>
        <v>8</v>
      </c>
      <c r="BM266" s="97">
        <f>IF(OR(AY266="SÁB",AY266="DOM"),0,IFERROR(8-VLOOKUP(P266,'Dados de consulta'!$A$2:$C$38,3,0),8))</f>
        <v>8</v>
      </c>
      <c r="BN266" s="97">
        <f>IF(OR(AY266="SÁB",AY266="DOM"),0,IFERROR(8-VLOOKUP(Q266,'Dados de consulta'!$A$2:$C$38,3,0),8))</f>
        <v>8</v>
      </c>
      <c r="BO266" s="97">
        <f>IF(OR(AY266="SÁB",AY266="DOM"),0,IFERROR(8-VLOOKUP(R266,'Dados de consulta'!$A$2:$C$38,3,0),8))</f>
        <v>8</v>
      </c>
      <c r="BP266" s="97">
        <f>IF(OR(AY266="SÁB",AY266="DOM"),0,IFERROR(8-VLOOKUP(S266,'Dados de consulta'!$A$2:$C$38,3,0),8))</f>
        <v>8</v>
      </c>
      <c r="BQ266" s="113">
        <f>IFERROR(6-VLOOKUP(T266,'Dados de consulta'!$A$2:$C$38,3,0)+2,6)</f>
        <v>6</v>
      </c>
      <c r="BR266" s="114">
        <f t="shared" si="128"/>
        <v>126</v>
      </c>
      <c r="BS266">
        <f t="shared" si="104"/>
        <v>134</v>
      </c>
      <c r="BU266">
        <f>IFERROR(8-VLOOKUP(U266,'Dados de consulta'!$A:$D,3,0),8)</f>
        <v>0</v>
      </c>
      <c r="BV266">
        <f>IFERROR(8-VLOOKUP(V266,'Dados de consulta'!$A:$D,3,0),8)</f>
        <v>8</v>
      </c>
      <c r="BW266">
        <f t="shared" si="129"/>
        <v>8</v>
      </c>
    </row>
    <row r="267" spans="1:75" ht="15" hidden="1" x14ac:dyDescent="0.2">
      <c r="A267" s="98">
        <v>42390</v>
      </c>
      <c r="B267" s="129" t="str">
        <f t="shared" si="105"/>
        <v>qui</v>
      </c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>
        <v>101</v>
      </c>
      <c r="N267" s="132"/>
      <c r="O267" s="132"/>
      <c r="P267" s="132"/>
      <c r="Q267" s="132"/>
      <c r="R267" s="132"/>
      <c r="S267" s="132"/>
      <c r="T267" s="132"/>
      <c r="U267" s="151">
        <v>8</v>
      </c>
      <c r="V267" s="151"/>
      <c r="W267" s="307" t="s">
        <v>193</v>
      </c>
      <c r="X267" s="308"/>
      <c r="Y267" s="38">
        <f t="shared" si="106"/>
        <v>0</v>
      </c>
      <c r="Z267" s="38">
        <f t="shared" si="107"/>
        <v>0</v>
      </c>
      <c r="AA267" s="38">
        <f t="shared" si="108"/>
        <v>0</v>
      </c>
      <c r="AB267" s="38">
        <f t="shared" si="116"/>
        <v>0</v>
      </c>
      <c r="AC267" s="38">
        <f t="shared" si="117"/>
        <v>0</v>
      </c>
      <c r="AD267" s="38">
        <f t="shared" si="118"/>
        <v>0</v>
      </c>
      <c r="AE267" s="38">
        <f t="shared" si="119"/>
        <v>0</v>
      </c>
      <c r="AF267" s="38">
        <f t="shared" si="120"/>
        <v>0</v>
      </c>
      <c r="AG267" s="33">
        <f t="shared" si="121"/>
        <v>0</v>
      </c>
      <c r="AH267" s="33">
        <f t="shared" si="122"/>
        <v>0</v>
      </c>
      <c r="AI267" s="33">
        <f t="shared" si="123"/>
        <v>0</v>
      </c>
      <c r="AJ267" s="33">
        <f t="shared" si="124"/>
        <v>0</v>
      </c>
      <c r="AK267" s="34">
        <f t="shared" si="125"/>
        <v>0</v>
      </c>
      <c r="AL267" s="35">
        <f t="shared" si="126"/>
        <v>0</v>
      </c>
      <c r="AM267" s="34">
        <f t="shared" si="109"/>
        <v>0</v>
      </c>
      <c r="AN267" s="36">
        <f t="shared" si="127"/>
        <v>0</v>
      </c>
      <c r="AO267" s="6">
        <f t="shared" si="110"/>
        <v>0</v>
      </c>
      <c r="AP267">
        <f t="shared" si="111"/>
        <v>8</v>
      </c>
      <c r="AQ267" s="6">
        <f t="shared" si="112"/>
        <v>0</v>
      </c>
      <c r="AR267" s="6">
        <f t="shared" si="113"/>
        <v>0</v>
      </c>
      <c r="AS267" s="6"/>
      <c r="AX267" s="95">
        <f t="shared" si="114"/>
        <v>42390</v>
      </c>
      <c r="AY267" s="96" t="str">
        <f t="shared" si="115"/>
        <v>qui</v>
      </c>
      <c r="AZ267" s="97">
        <f>IF(OR(AY267="SÁB",AY267="DOM"),0,IFERROR(8-VLOOKUP(C267,'Dados de consulta'!$A$2:$C$38,3,0),8))</f>
        <v>8</v>
      </c>
      <c r="BA267" s="97">
        <f>IF(OR(AY267="SÁB",AY267="DOM"),0,IFERROR(8-VLOOKUP(D267,'Dados de consulta'!$A$2:$C$38,3,0),8))</f>
        <v>8</v>
      </c>
      <c r="BB267" s="97">
        <f>IF(OR(AY267="SÁB",AY267="DOM"),0,IFERROR(8-VLOOKUP(E267,'Dados de consulta'!$A$2:$C$38,3,0),8))</f>
        <v>8</v>
      </c>
      <c r="BC267" s="97">
        <f>IF(OR(AY267="SÁB",AY267="DOM"),0,IFERROR(8-VLOOKUP(F267,'Dados de consulta'!$A$2:$C$38,3,0),8))</f>
        <v>8</v>
      </c>
      <c r="BD267" s="97">
        <f>IF(OR(AY267="SÁB",AY267="DOM"),0,IFERROR(8-VLOOKUP(G267,'Dados de consulta'!$A$2:$C$38,3,0),8))</f>
        <v>8</v>
      </c>
      <c r="BE267" s="97">
        <f>IF(OR(AY267="SÁB",AY267="DOM"),0,IFERROR(8-VLOOKUP(H267,'Dados de consulta'!$A$2:$C$38,3,0),8))</f>
        <v>8</v>
      </c>
      <c r="BF267" s="97">
        <f>IF(OR(AY267="SÁB",AY267="DOM"),0,IFERROR(8-VLOOKUP(I267,'Dados de consulta'!$A$2:$C$38,3,0),8))</f>
        <v>8</v>
      </c>
      <c r="BG267" s="97">
        <f>IF(OR(AY267="SÁB",AY267="DOM"),0,IFERROR(8-VLOOKUP(J267,'Dados de consulta'!$A$2:$C$38,3,0),8))</f>
        <v>8</v>
      </c>
      <c r="BH267" s="97">
        <f>IF(OR(AY267="SÁB",AY267="DOM"),0,IFERROR(8-VLOOKUP(K267,'Dados de consulta'!$A$2:$C$38,3,0),8))</f>
        <v>8</v>
      </c>
      <c r="BI267" s="97">
        <f>IF(OR(AY267="SÁB",AY267="DOM"),0,IFERROR(8-VLOOKUP(L267,'Dados de consulta'!$A$2:$C$38,3,0),8))</f>
        <v>8</v>
      </c>
      <c r="BJ267" s="97">
        <f>IF(OR(AY267="SÁB",AY267="DOM"),0,IFERROR(8-VLOOKUP(M267,'Dados de consulta'!$A$2:$C$38,3,0),8))</f>
        <v>0</v>
      </c>
      <c r="BK267" s="97">
        <f>IF(OR(AY267="SÁB",AY267="DOM"),0,IFERROR(8-VLOOKUP(N267,'Dados de consulta'!$A$2:$C$38,3,0),8))</f>
        <v>8</v>
      </c>
      <c r="BL267" s="97">
        <f>IF(OR(AY267="SÁB",AY267="DOM"),0,IFERROR(8-VLOOKUP(O267,'Dados de consulta'!$A$2:$C$38,3,0),8))</f>
        <v>8</v>
      </c>
      <c r="BM267" s="97">
        <f>IF(OR(AY267="SÁB",AY267="DOM"),0,IFERROR(8-VLOOKUP(P267,'Dados de consulta'!$A$2:$C$38,3,0),8))</f>
        <v>8</v>
      </c>
      <c r="BN267" s="97">
        <f>IF(OR(AY267="SÁB",AY267="DOM"),0,IFERROR(8-VLOOKUP(Q267,'Dados de consulta'!$A$2:$C$38,3,0),8))</f>
        <v>8</v>
      </c>
      <c r="BO267" s="97">
        <f>IF(OR(AY267="SÁB",AY267="DOM"),0,IFERROR(8-VLOOKUP(R267,'Dados de consulta'!$A$2:$C$38,3,0),8))</f>
        <v>8</v>
      </c>
      <c r="BP267" s="97">
        <f>IF(OR(AY267="SÁB",AY267="DOM"),0,IFERROR(8-VLOOKUP(S267,'Dados de consulta'!$A$2:$C$38,3,0),8))</f>
        <v>8</v>
      </c>
      <c r="BQ267" s="113">
        <f>IFERROR(6-VLOOKUP(T267,'Dados de consulta'!$A$2:$C$38,3,0)+2,6)</f>
        <v>6</v>
      </c>
      <c r="BR267" s="114">
        <f t="shared" si="128"/>
        <v>134</v>
      </c>
      <c r="BS267">
        <f t="shared" si="104"/>
        <v>134</v>
      </c>
      <c r="BU267">
        <f>IFERROR(8-VLOOKUP(U267,'Dados de consulta'!$A:$D,3,0),8)</f>
        <v>0</v>
      </c>
      <c r="BV267">
        <f>IFERROR(8-VLOOKUP(V267,'Dados de consulta'!$A:$D,3,0),8)</f>
        <v>8</v>
      </c>
      <c r="BW267">
        <f t="shared" si="129"/>
        <v>8</v>
      </c>
    </row>
    <row r="268" spans="1:75" ht="15" hidden="1" x14ac:dyDescent="0.2">
      <c r="A268" s="98">
        <v>42391</v>
      </c>
      <c r="B268" s="129" t="str">
        <f t="shared" si="105"/>
        <v>sex</v>
      </c>
      <c r="C268" s="132" t="s">
        <v>194</v>
      </c>
      <c r="D268" s="132"/>
      <c r="E268" s="132"/>
      <c r="F268" s="132"/>
      <c r="G268" s="132"/>
      <c r="H268" s="132"/>
      <c r="I268" s="132"/>
      <c r="J268" s="132"/>
      <c r="K268" s="132"/>
      <c r="L268" s="132"/>
      <c r="M268" s="132">
        <v>101</v>
      </c>
      <c r="N268" s="132"/>
      <c r="O268" s="132"/>
      <c r="P268" s="132">
        <v>8</v>
      </c>
      <c r="Q268" s="132"/>
      <c r="R268" s="132"/>
      <c r="S268" s="132"/>
      <c r="T268" s="132"/>
      <c r="U268" s="151">
        <v>8</v>
      </c>
      <c r="V268" s="151"/>
      <c r="W268" s="307" t="s">
        <v>193</v>
      </c>
      <c r="X268" s="308"/>
      <c r="Y268" s="38">
        <f t="shared" si="106"/>
        <v>12</v>
      </c>
      <c r="Z268" s="38">
        <f t="shared" si="107"/>
        <v>0</v>
      </c>
      <c r="AA268" s="38">
        <f t="shared" si="108"/>
        <v>0</v>
      </c>
      <c r="AB268" s="38">
        <f t="shared" si="116"/>
        <v>0</v>
      </c>
      <c r="AC268" s="38">
        <f t="shared" si="117"/>
        <v>0</v>
      </c>
      <c r="AD268" s="38">
        <f t="shared" si="118"/>
        <v>0</v>
      </c>
      <c r="AE268" s="38">
        <f t="shared" si="119"/>
        <v>0</v>
      </c>
      <c r="AF268" s="38">
        <f t="shared" si="120"/>
        <v>0</v>
      </c>
      <c r="AG268" s="33">
        <f t="shared" si="121"/>
        <v>12</v>
      </c>
      <c r="AH268" s="33">
        <f t="shared" si="122"/>
        <v>0</v>
      </c>
      <c r="AI268" s="33">
        <f t="shared" si="123"/>
        <v>0</v>
      </c>
      <c r="AJ268" s="33">
        <f t="shared" si="124"/>
        <v>0</v>
      </c>
      <c r="AK268" s="34">
        <f t="shared" si="125"/>
        <v>8.4507042253521125E-2</v>
      </c>
      <c r="AL268" s="35">
        <f t="shared" si="126"/>
        <v>0</v>
      </c>
      <c r="AM268" s="34">
        <f t="shared" si="109"/>
        <v>0</v>
      </c>
      <c r="AN268" s="36">
        <f t="shared" si="127"/>
        <v>0</v>
      </c>
      <c r="AO268" s="6">
        <f t="shared" si="110"/>
        <v>0</v>
      </c>
      <c r="AP268">
        <f t="shared" si="111"/>
        <v>8</v>
      </c>
      <c r="AQ268" s="6">
        <f t="shared" si="112"/>
        <v>0</v>
      </c>
      <c r="AR268" s="6">
        <f t="shared" si="113"/>
        <v>0</v>
      </c>
      <c r="AS268" s="6"/>
      <c r="AX268" s="95">
        <f t="shared" si="114"/>
        <v>42391</v>
      </c>
      <c r="AY268" s="96" t="str">
        <f t="shared" si="115"/>
        <v>sex</v>
      </c>
      <c r="AZ268" s="97">
        <f>IF(OR(AY268="SÁB",AY268="DOM"),0,IFERROR(8-VLOOKUP(C268,'Dados de consulta'!$A$2:$C$38,3,0),8))</f>
        <v>4</v>
      </c>
      <c r="BA268" s="97">
        <f>IF(OR(AY268="SÁB",AY268="DOM"),0,IFERROR(8-VLOOKUP(D268,'Dados de consulta'!$A$2:$C$38,3,0),8))</f>
        <v>8</v>
      </c>
      <c r="BB268" s="97">
        <f>IF(OR(AY268="SÁB",AY268="DOM"),0,IFERROR(8-VLOOKUP(E268,'Dados de consulta'!$A$2:$C$38,3,0),8))</f>
        <v>8</v>
      </c>
      <c r="BC268" s="97">
        <f>IF(OR(AY268="SÁB",AY268="DOM"),0,IFERROR(8-VLOOKUP(F268,'Dados de consulta'!$A$2:$C$38,3,0),8))</f>
        <v>8</v>
      </c>
      <c r="BD268" s="97">
        <f>IF(OR(AY268="SÁB",AY268="DOM"),0,IFERROR(8-VLOOKUP(G268,'Dados de consulta'!$A$2:$C$38,3,0),8))</f>
        <v>8</v>
      </c>
      <c r="BE268" s="97">
        <f>IF(OR(AY268="SÁB",AY268="DOM"),0,IFERROR(8-VLOOKUP(H268,'Dados de consulta'!$A$2:$C$38,3,0),8))</f>
        <v>8</v>
      </c>
      <c r="BF268" s="97">
        <f>IF(OR(AY268="SÁB",AY268="DOM"),0,IFERROR(8-VLOOKUP(I268,'Dados de consulta'!$A$2:$C$38,3,0),8))</f>
        <v>8</v>
      </c>
      <c r="BG268" s="97">
        <f>IF(OR(AY268="SÁB",AY268="DOM"),0,IFERROR(8-VLOOKUP(J268,'Dados de consulta'!$A$2:$C$38,3,0),8))</f>
        <v>8</v>
      </c>
      <c r="BH268" s="97">
        <f>IF(OR(AY268="SÁB",AY268="DOM"),0,IFERROR(8-VLOOKUP(K268,'Dados de consulta'!$A$2:$C$38,3,0),8))</f>
        <v>8</v>
      </c>
      <c r="BI268" s="97">
        <f>IF(OR(AY268="SÁB",AY268="DOM"),0,IFERROR(8-VLOOKUP(L268,'Dados de consulta'!$A$2:$C$38,3,0),8))</f>
        <v>8</v>
      </c>
      <c r="BJ268" s="97">
        <f>IF(OR(AY268="SÁB",AY268="DOM"),0,IFERROR(8-VLOOKUP(M268,'Dados de consulta'!$A$2:$C$38,3,0),8))</f>
        <v>0</v>
      </c>
      <c r="BK268" s="97">
        <f>IF(OR(AY268="SÁB",AY268="DOM"),0,IFERROR(8-VLOOKUP(N268,'Dados de consulta'!$A$2:$C$38,3,0),8))</f>
        <v>8</v>
      </c>
      <c r="BL268" s="97">
        <f>IF(OR(AY268="SÁB",AY268="DOM"),0,IFERROR(8-VLOOKUP(O268,'Dados de consulta'!$A$2:$C$38,3,0),8))</f>
        <v>8</v>
      </c>
      <c r="BM268" s="97">
        <f>IF(OR(AY268="SÁB",AY268="DOM"),0,IFERROR(8-VLOOKUP(P268,'Dados de consulta'!$A$2:$C$38,3,0),8))</f>
        <v>0</v>
      </c>
      <c r="BN268" s="97">
        <f>IF(OR(AY268="SÁB",AY268="DOM"),0,IFERROR(8-VLOOKUP(Q268,'Dados de consulta'!$A$2:$C$38,3,0),8))</f>
        <v>8</v>
      </c>
      <c r="BO268" s="97">
        <f>IF(OR(AY268="SÁB",AY268="DOM"),0,IFERROR(8-VLOOKUP(R268,'Dados de consulta'!$A$2:$C$38,3,0),8))</f>
        <v>8</v>
      </c>
      <c r="BP268" s="97">
        <f>IF(OR(AY268="SÁB",AY268="DOM"),0,IFERROR(8-VLOOKUP(S268,'Dados de consulta'!$A$2:$C$38,3,0),8))</f>
        <v>8</v>
      </c>
      <c r="BQ268" s="113">
        <f>IFERROR(6-VLOOKUP(T268,'Dados de consulta'!$A$2:$C$38,3,0)+2,6)</f>
        <v>6</v>
      </c>
      <c r="BR268" s="114">
        <f t="shared" si="128"/>
        <v>122</v>
      </c>
      <c r="BS268">
        <f t="shared" si="104"/>
        <v>134</v>
      </c>
      <c r="BU268">
        <f>IFERROR(8-VLOOKUP(U268,'Dados de consulta'!$A:$D,3,0),8)</f>
        <v>0</v>
      </c>
      <c r="BV268">
        <f>IFERROR(8-VLOOKUP(V268,'Dados de consulta'!$A:$D,3,0),8)</f>
        <v>8</v>
      </c>
      <c r="BW268">
        <f t="shared" si="129"/>
        <v>8</v>
      </c>
    </row>
    <row r="269" spans="1:75" ht="15" hidden="1" x14ac:dyDescent="0.2">
      <c r="A269" s="98">
        <v>42392</v>
      </c>
      <c r="B269" s="129" t="str">
        <f t="shared" si="105"/>
        <v>sáb</v>
      </c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>
        <v>101</v>
      </c>
      <c r="N269" s="132"/>
      <c r="O269" s="132"/>
      <c r="P269" s="132"/>
      <c r="Q269" s="132"/>
      <c r="R269" s="132"/>
      <c r="S269" s="132"/>
      <c r="T269" s="132"/>
      <c r="U269" s="151"/>
      <c r="V269" s="151"/>
      <c r="W269" s="307" t="s">
        <v>193</v>
      </c>
      <c r="X269" s="308"/>
      <c r="Y269" s="38">
        <f t="shared" si="106"/>
        <v>0</v>
      </c>
      <c r="Z269" s="38">
        <f t="shared" si="107"/>
        <v>0</v>
      </c>
      <c r="AA269" s="38">
        <f t="shared" si="108"/>
        <v>0</v>
      </c>
      <c r="AB269" s="38">
        <f t="shared" si="116"/>
        <v>0</v>
      </c>
      <c r="AC269" s="38">
        <f t="shared" si="117"/>
        <v>0</v>
      </c>
      <c r="AD269" s="38">
        <f t="shared" si="118"/>
        <v>0</v>
      </c>
      <c r="AE269" s="38">
        <f t="shared" si="119"/>
        <v>0</v>
      </c>
      <c r="AF269" s="38">
        <f t="shared" si="120"/>
        <v>0</v>
      </c>
      <c r="AG269" s="33">
        <f t="shared" si="121"/>
        <v>0</v>
      </c>
      <c r="AH269" s="33">
        <f t="shared" si="122"/>
        <v>0</v>
      </c>
      <c r="AI269" s="33">
        <f t="shared" si="123"/>
        <v>0</v>
      </c>
      <c r="AJ269" s="33">
        <f t="shared" si="124"/>
        <v>0</v>
      </c>
      <c r="AK269" s="34">
        <f t="shared" si="125"/>
        <v>0</v>
      </c>
      <c r="AL269" s="35">
        <f t="shared" si="126"/>
        <v>0</v>
      </c>
      <c r="AM269" s="34">
        <f t="shared" si="109"/>
        <v>0</v>
      </c>
      <c r="AN269" s="36">
        <f t="shared" si="127"/>
        <v>0</v>
      </c>
      <c r="AO269" s="6">
        <f t="shared" si="110"/>
        <v>0</v>
      </c>
      <c r="AP269">
        <f t="shared" si="111"/>
        <v>8</v>
      </c>
      <c r="AQ269" s="6">
        <f t="shared" si="112"/>
        <v>0</v>
      </c>
      <c r="AR269" s="6">
        <f t="shared" si="113"/>
        <v>0</v>
      </c>
      <c r="AS269" s="6"/>
      <c r="AX269" s="95">
        <f t="shared" si="114"/>
        <v>42392</v>
      </c>
      <c r="AY269" s="96" t="str">
        <f t="shared" si="115"/>
        <v>sáb</v>
      </c>
      <c r="AZ269" s="97">
        <f>IF(OR(AY269="SÁB",AY269="DOM"),0,IFERROR(8-VLOOKUP(C269,'Dados de consulta'!$A$2:$C$38,3,0),8))</f>
        <v>0</v>
      </c>
      <c r="BA269" s="97">
        <f>IF(OR(AY269="SÁB",AY269="DOM"),0,IFERROR(8-VLOOKUP(D269,'Dados de consulta'!$A$2:$C$38,3,0),8))</f>
        <v>0</v>
      </c>
      <c r="BB269" s="97">
        <f>IF(OR(AY269="SÁB",AY269="DOM"),0,IFERROR(8-VLOOKUP(E269,'Dados de consulta'!$A$2:$C$38,3,0),8))</f>
        <v>0</v>
      </c>
      <c r="BC269" s="97">
        <f>IF(OR(AY269="SÁB",AY269="DOM"),0,IFERROR(8-VLOOKUP(F269,'Dados de consulta'!$A$2:$C$38,3,0),8))</f>
        <v>0</v>
      </c>
      <c r="BD269" s="97">
        <f>IF(OR(AY269="SÁB",AY269="DOM"),0,IFERROR(8-VLOOKUP(G269,'Dados de consulta'!$A$2:$C$38,3,0),8))</f>
        <v>0</v>
      </c>
      <c r="BE269" s="97">
        <f>IF(OR(AY269="SÁB",AY269="DOM"),0,IFERROR(8-VLOOKUP(H269,'Dados de consulta'!$A$2:$C$38,3,0),8))</f>
        <v>0</v>
      </c>
      <c r="BF269" s="97">
        <f>IF(OR(AY269="SÁB",AY269="DOM"),0,IFERROR(8-VLOOKUP(I269,'Dados de consulta'!$A$2:$C$38,3,0),8))</f>
        <v>0</v>
      </c>
      <c r="BG269" s="97">
        <f>IF(OR(AY269="SÁB",AY269="DOM"),0,IFERROR(8-VLOOKUP(J269,'Dados de consulta'!$A$2:$C$38,3,0),8))</f>
        <v>0</v>
      </c>
      <c r="BH269" s="97">
        <f>IF(OR(AY269="SÁB",AY269="DOM"),0,IFERROR(8-VLOOKUP(K269,'Dados de consulta'!$A$2:$C$38,3,0),8))</f>
        <v>0</v>
      </c>
      <c r="BI269" s="97">
        <f>IF(OR(AY269="SÁB",AY269="DOM"),0,IFERROR(8-VLOOKUP(L269,'Dados de consulta'!$A$2:$C$38,3,0),8))</f>
        <v>0</v>
      </c>
      <c r="BJ269" s="97">
        <f>IF(OR(AY269="SÁB",AY269="DOM"),0,IFERROR(8-VLOOKUP(M269,'Dados de consulta'!$A$2:$C$38,3,0),8))</f>
        <v>0</v>
      </c>
      <c r="BK269" s="97">
        <f>IF(OR(AY269="SÁB",AY269="DOM"),0,IFERROR(8-VLOOKUP(N269,'Dados de consulta'!$A$2:$C$38,3,0),8))</f>
        <v>0</v>
      </c>
      <c r="BL269" s="97">
        <f>IF(OR(AY269="SÁB",AY269="DOM"),0,IFERROR(8-VLOOKUP(O269,'Dados de consulta'!$A$2:$C$38,3,0),8))</f>
        <v>0</v>
      </c>
      <c r="BM269" s="97">
        <f>IF(OR(AY269="SÁB",AY269="DOM"),0,IFERROR(8-VLOOKUP(P269,'Dados de consulta'!$A$2:$C$38,3,0),8))</f>
        <v>0</v>
      </c>
      <c r="BN269" s="97">
        <f>IF(OR(AY269="SÁB",AY269="DOM"),0,IFERROR(8-VLOOKUP(Q269,'Dados de consulta'!$A$2:$C$38,3,0),8))</f>
        <v>0</v>
      </c>
      <c r="BO269" s="97">
        <f>IF(OR(AY269="SÁB",AY269="DOM"),0,IFERROR(8-VLOOKUP(R269,'Dados de consulta'!$A$2:$C$38,3,0),8))</f>
        <v>0</v>
      </c>
      <c r="BP269" s="97">
        <f>IF(OR(AY269="SÁB",AY269="DOM"),0,IFERROR(8-VLOOKUP(S269,'Dados de consulta'!$A$2:$C$38,3,0),8))</f>
        <v>0</v>
      </c>
      <c r="BQ269" s="113">
        <f>IFERROR(6-VLOOKUP(T269,'Dados de consulta'!$A$2:$C$38,3,0)+2,6)</f>
        <v>6</v>
      </c>
      <c r="BR269" s="114">
        <f t="shared" si="128"/>
        <v>0</v>
      </c>
      <c r="BS269">
        <f t="shared" si="104"/>
        <v>0</v>
      </c>
      <c r="BU269">
        <f>IFERROR(8-VLOOKUP(U269,'Dados de consulta'!$A:$D,3,0),8)</f>
        <v>8</v>
      </c>
      <c r="BV269">
        <f>IFERROR(8-VLOOKUP(V269,'Dados de consulta'!$A:$D,3,0),8)</f>
        <v>8</v>
      </c>
      <c r="BW269">
        <f t="shared" si="129"/>
        <v>16</v>
      </c>
    </row>
    <row r="270" spans="1:75" ht="15" hidden="1" x14ac:dyDescent="0.2">
      <c r="A270" s="98">
        <v>42393</v>
      </c>
      <c r="B270" s="129" t="str">
        <f t="shared" si="105"/>
        <v>dom</v>
      </c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>
        <v>101</v>
      </c>
      <c r="N270" s="132"/>
      <c r="O270" s="132"/>
      <c r="P270" s="132"/>
      <c r="Q270" s="132"/>
      <c r="R270" s="132"/>
      <c r="S270" s="132"/>
      <c r="T270" s="132"/>
      <c r="U270" s="151"/>
      <c r="V270" s="151"/>
      <c r="W270" s="307" t="s">
        <v>193</v>
      </c>
      <c r="X270" s="308"/>
      <c r="Y270" s="38">
        <f t="shared" si="106"/>
        <v>0</v>
      </c>
      <c r="Z270" s="38">
        <f t="shared" si="107"/>
        <v>0</v>
      </c>
      <c r="AA270" s="38">
        <f t="shared" si="108"/>
        <v>0</v>
      </c>
      <c r="AB270" s="38">
        <f t="shared" si="116"/>
        <v>0</v>
      </c>
      <c r="AC270" s="38">
        <f t="shared" si="117"/>
        <v>0</v>
      </c>
      <c r="AD270" s="38">
        <f t="shared" si="118"/>
        <v>0</v>
      </c>
      <c r="AE270" s="38">
        <f t="shared" si="119"/>
        <v>0</v>
      </c>
      <c r="AF270" s="38">
        <f t="shared" si="120"/>
        <v>0</v>
      </c>
      <c r="AG270" s="33">
        <f t="shared" si="121"/>
        <v>0</v>
      </c>
      <c r="AH270" s="33">
        <f t="shared" si="122"/>
        <v>0</v>
      </c>
      <c r="AI270" s="33">
        <f t="shared" si="123"/>
        <v>0</v>
      </c>
      <c r="AJ270" s="33">
        <f t="shared" si="124"/>
        <v>0</v>
      </c>
      <c r="AK270" s="34">
        <f t="shared" si="125"/>
        <v>0</v>
      </c>
      <c r="AL270" s="35">
        <f t="shared" si="126"/>
        <v>0</v>
      </c>
      <c r="AM270" s="34">
        <f t="shared" si="109"/>
        <v>0</v>
      </c>
      <c r="AN270" s="36">
        <f t="shared" si="127"/>
        <v>0</v>
      </c>
      <c r="AO270" s="6">
        <f t="shared" si="110"/>
        <v>0</v>
      </c>
      <c r="AP270">
        <f t="shared" si="111"/>
        <v>8</v>
      </c>
      <c r="AQ270" s="6">
        <f t="shared" si="112"/>
        <v>0</v>
      </c>
      <c r="AR270" s="6">
        <f t="shared" si="113"/>
        <v>0</v>
      </c>
      <c r="AS270" s="6"/>
      <c r="AX270" s="95">
        <f t="shared" si="114"/>
        <v>42393</v>
      </c>
      <c r="AY270" s="96" t="str">
        <f t="shared" si="115"/>
        <v>dom</v>
      </c>
      <c r="AZ270" s="97">
        <f>IF(OR(AY270="SÁB",AY270="DOM"),0,IFERROR(8-VLOOKUP(C270,'Dados de consulta'!$A$2:$C$38,3,0),8))</f>
        <v>0</v>
      </c>
      <c r="BA270" s="97">
        <f>IF(OR(AY270="SÁB",AY270="DOM"),0,IFERROR(8-VLOOKUP(D270,'Dados de consulta'!$A$2:$C$38,3,0),8))</f>
        <v>0</v>
      </c>
      <c r="BB270" s="97">
        <f>IF(OR(AY270="SÁB",AY270="DOM"),0,IFERROR(8-VLOOKUP(E270,'Dados de consulta'!$A$2:$C$38,3,0),8))</f>
        <v>0</v>
      </c>
      <c r="BC270" s="97">
        <f>IF(OR(AY270="SÁB",AY270="DOM"),0,IFERROR(8-VLOOKUP(F270,'Dados de consulta'!$A$2:$C$38,3,0),8))</f>
        <v>0</v>
      </c>
      <c r="BD270" s="97">
        <f>IF(OR(AY270="SÁB",AY270="DOM"),0,IFERROR(8-VLOOKUP(G270,'Dados de consulta'!$A$2:$C$38,3,0),8))</f>
        <v>0</v>
      </c>
      <c r="BE270" s="97">
        <f>IF(OR(AY270="SÁB",AY270="DOM"),0,IFERROR(8-VLOOKUP(H270,'Dados de consulta'!$A$2:$C$38,3,0),8))</f>
        <v>0</v>
      </c>
      <c r="BF270" s="97">
        <f>IF(OR(AY270="SÁB",AY270="DOM"),0,IFERROR(8-VLOOKUP(I270,'Dados de consulta'!$A$2:$C$38,3,0),8))</f>
        <v>0</v>
      </c>
      <c r="BG270" s="97">
        <f>IF(OR(AY270="SÁB",AY270="DOM"),0,IFERROR(8-VLOOKUP(J270,'Dados de consulta'!$A$2:$C$38,3,0),8))</f>
        <v>0</v>
      </c>
      <c r="BH270" s="97">
        <f>IF(OR(AY270="SÁB",AY270="DOM"),0,IFERROR(8-VLOOKUP(K270,'Dados de consulta'!$A$2:$C$38,3,0),8))</f>
        <v>0</v>
      </c>
      <c r="BI270" s="97">
        <f>IF(OR(AY270="SÁB",AY270="DOM"),0,IFERROR(8-VLOOKUP(L270,'Dados de consulta'!$A$2:$C$38,3,0),8))</f>
        <v>0</v>
      </c>
      <c r="BJ270" s="97">
        <f>IF(OR(AY270="SÁB",AY270="DOM"),0,IFERROR(8-VLOOKUP(M270,'Dados de consulta'!$A$2:$C$38,3,0),8))</f>
        <v>0</v>
      </c>
      <c r="BK270" s="97">
        <f>IF(OR(AY270="SÁB",AY270="DOM"),0,IFERROR(8-VLOOKUP(N270,'Dados de consulta'!$A$2:$C$38,3,0),8))</f>
        <v>0</v>
      </c>
      <c r="BL270" s="97">
        <f>IF(OR(AY270="SÁB",AY270="DOM"),0,IFERROR(8-VLOOKUP(O270,'Dados de consulta'!$A$2:$C$38,3,0),8))</f>
        <v>0</v>
      </c>
      <c r="BM270" s="97">
        <f>IF(OR(AY270="SÁB",AY270="DOM"),0,IFERROR(8-VLOOKUP(P270,'Dados de consulta'!$A$2:$C$38,3,0),8))</f>
        <v>0</v>
      </c>
      <c r="BN270" s="97">
        <f>IF(OR(AY270="SÁB",AY270="DOM"),0,IFERROR(8-VLOOKUP(Q270,'Dados de consulta'!$A$2:$C$38,3,0),8))</f>
        <v>0</v>
      </c>
      <c r="BO270" s="97">
        <f>IF(OR(AY270="SÁB",AY270="DOM"),0,IFERROR(8-VLOOKUP(R270,'Dados de consulta'!$A$2:$C$38,3,0),8))</f>
        <v>0</v>
      </c>
      <c r="BP270" s="97">
        <f>IF(OR(AY270="SÁB",AY270="DOM"),0,IFERROR(8-VLOOKUP(S270,'Dados de consulta'!$A$2:$C$38,3,0),8))</f>
        <v>0</v>
      </c>
      <c r="BQ270" s="113">
        <f>IFERROR(6-VLOOKUP(T270,'Dados de consulta'!$A$2:$C$38,3,0)+2,6)</f>
        <v>6</v>
      </c>
      <c r="BR270" s="114">
        <f t="shared" si="128"/>
        <v>0</v>
      </c>
      <c r="BS270">
        <f t="shared" si="104"/>
        <v>0</v>
      </c>
      <c r="BU270">
        <f>IFERROR(8-VLOOKUP(U270,'Dados de consulta'!$A:$D,3,0),8)</f>
        <v>8</v>
      </c>
      <c r="BV270">
        <f>IFERROR(8-VLOOKUP(V270,'Dados de consulta'!$A:$D,3,0),8)</f>
        <v>8</v>
      </c>
      <c r="BW270">
        <f t="shared" si="129"/>
        <v>16</v>
      </c>
    </row>
    <row r="271" spans="1:75" ht="15" hidden="1" x14ac:dyDescent="0.2">
      <c r="A271" s="98">
        <v>42394</v>
      </c>
      <c r="B271" s="129" t="str">
        <f t="shared" si="105"/>
        <v>seg</v>
      </c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>
        <v>101</v>
      </c>
      <c r="N271" s="132"/>
      <c r="O271" s="132"/>
      <c r="P271" s="132"/>
      <c r="Q271" s="132"/>
      <c r="R271" s="132"/>
      <c r="S271" s="132"/>
      <c r="T271" s="132"/>
      <c r="U271" s="151">
        <v>8</v>
      </c>
      <c r="V271" s="151"/>
      <c r="W271" s="307" t="s">
        <v>193</v>
      </c>
      <c r="X271" s="308"/>
      <c r="Y271" s="38">
        <f t="shared" si="106"/>
        <v>0</v>
      </c>
      <c r="Z271" s="38">
        <f t="shared" si="107"/>
        <v>0</v>
      </c>
      <c r="AA271" s="38">
        <f t="shared" si="108"/>
        <v>0</v>
      </c>
      <c r="AB271" s="38">
        <f t="shared" si="116"/>
        <v>0</v>
      </c>
      <c r="AC271" s="38">
        <f t="shared" si="117"/>
        <v>0</v>
      </c>
      <c r="AD271" s="38">
        <f t="shared" si="118"/>
        <v>0</v>
      </c>
      <c r="AE271" s="38">
        <f t="shared" si="119"/>
        <v>0</v>
      </c>
      <c r="AF271" s="38">
        <f t="shared" si="120"/>
        <v>0</v>
      </c>
      <c r="AG271" s="33">
        <f t="shared" si="121"/>
        <v>0</v>
      </c>
      <c r="AH271" s="33">
        <f t="shared" si="122"/>
        <v>0</v>
      </c>
      <c r="AI271" s="33">
        <f t="shared" si="123"/>
        <v>0</v>
      </c>
      <c r="AJ271" s="33">
        <f t="shared" si="124"/>
        <v>0</v>
      </c>
      <c r="AK271" s="34">
        <f t="shared" si="125"/>
        <v>0</v>
      </c>
      <c r="AL271" s="35">
        <f t="shared" si="126"/>
        <v>0</v>
      </c>
      <c r="AM271" s="34">
        <f t="shared" si="109"/>
        <v>0</v>
      </c>
      <c r="AN271" s="36">
        <f t="shared" si="127"/>
        <v>0</v>
      </c>
      <c r="AO271" s="6">
        <f t="shared" si="110"/>
        <v>0</v>
      </c>
      <c r="AP271">
        <f t="shared" si="111"/>
        <v>8</v>
      </c>
      <c r="AQ271" s="6">
        <f t="shared" si="112"/>
        <v>0</v>
      </c>
      <c r="AR271" s="6">
        <f t="shared" si="113"/>
        <v>0</v>
      </c>
      <c r="AS271" s="6"/>
      <c r="AX271" s="95">
        <f t="shared" si="114"/>
        <v>42394</v>
      </c>
      <c r="AY271" s="96" t="str">
        <f t="shared" si="115"/>
        <v>seg</v>
      </c>
      <c r="AZ271" s="97">
        <f>IF(OR(AY271="SÁB",AY271="DOM"),0,IFERROR(8-VLOOKUP(C271,'Dados de consulta'!$A$2:$C$38,3,0),8))</f>
        <v>8</v>
      </c>
      <c r="BA271" s="97">
        <f>IF(OR(AY271="SÁB",AY271="DOM"),0,IFERROR(8-VLOOKUP(D271,'Dados de consulta'!$A$2:$C$38,3,0),8))</f>
        <v>8</v>
      </c>
      <c r="BB271" s="97">
        <f>IF(OR(AY271="SÁB",AY271="DOM"),0,IFERROR(8-VLOOKUP(E271,'Dados de consulta'!$A$2:$C$38,3,0),8))</f>
        <v>8</v>
      </c>
      <c r="BC271" s="97">
        <f>IF(OR(AY271="SÁB",AY271="DOM"),0,IFERROR(8-VLOOKUP(F271,'Dados de consulta'!$A$2:$C$38,3,0),8))</f>
        <v>8</v>
      </c>
      <c r="BD271" s="97">
        <f>IF(OR(AY271="SÁB",AY271="DOM"),0,IFERROR(8-VLOOKUP(G271,'Dados de consulta'!$A$2:$C$38,3,0),8))</f>
        <v>8</v>
      </c>
      <c r="BE271" s="97">
        <f>IF(OR(AY271="SÁB",AY271="DOM"),0,IFERROR(8-VLOOKUP(H271,'Dados de consulta'!$A$2:$C$38,3,0),8))</f>
        <v>8</v>
      </c>
      <c r="BF271" s="97">
        <f>IF(OR(AY271="SÁB",AY271="DOM"),0,IFERROR(8-VLOOKUP(I271,'Dados de consulta'!$A$2:$C$38,3,0),8))</f>
        <v>8</v>
      </c>
      <c r="BG271" s="97">
        <f>IF(OR(AY271="SÁB",AY271="DOM"),0,IFERROR(8-VLOOKUP(J271,'Dados de consulta'!$A$2:$C$38,3,0),8))</f>
        <v>8</v>
      </c>
      <c r="BH271" s="97">
        <f>IF(OR(AY271="SÁB",AY271="DOM"),0,IFERROR(8-VLOOKUP(K271,'Dados de consulta'!$A$2:$C$38,3,0),8))</f>
        <v>8</v>
      </c>
      <c r="BI271" s="97">
        <f>IF(OR(AY271="SÁB",AY271="DOM"),0,IFERROR(8-VLOOKUP(L271,'Dados de consulta'!$A$2:$C$38,3,0),8))</f>
        <v>8</v>
      </c>
      <c r="BJ271" s="97">
        <f>IF(OR(AY271="SÁB",AY271="DOM"),0,IFERROR(8-VLOOKUP(M271,'Dados de consulta'!$A$2:$C$38,3,0),8))</f>
        <v>0</v>
      </c>
      <c r="BK271" s="97">
        <f>IF(OR(AY271="SÁB",AY271="DOM"),0,IFERROR(8-VLOOKUP(N271,'Dados de consulta'!$A$2:$C$38,3,0),8))</f>
        <v>8</v>
      </c>
      <c r="BL271" s="97">
        <f>IF(OR(AY271="SÁB",AY271="DOM"),0,IFERROR(8-VLOOKUP(O271,'Dados de consulta'!$A$2:$C$38,3,0),8))</f>
        <v>8</v>
      </c>
      <c r="BM271" s="97">
        <f>IF(OR(AY271="SÁB",AY271="DOM"),0,IFERROR(8-VLOOKUP(P271,'Dados de consulta'!$A$2:$C$38,3,0),8))</f>
        <v>8</v>
      </c>
      <c r="BN271" s="97">
        <f>IF(OR(AY271="SÁB",AY271="DOM"),0,IFERROR(8-VLOOKUP(Q271,'Dados de consulta'!$A$2:$C$38,3,0),8))</f>
        <v>8</v>
      </c>
      <c r="BO271" s="97">
        <f>IF(OR(AY271="SÁB",AY271="DOM"),0,IFERROR(8-VLOOKUP(R271,'Dados de consulta'!$A$2:$C$38,3,0),8))</f>
        <v>8</v>
      </c>
      <c r="BP271" s="97">
        <f>IF(OR(AY271="SÁB",AY271="DOM"),0,IFERROR(8-VLOOKUP(S271,'Dados de consulta'!$A$2:$C$38,3,0),8))</f>
        <v>8</v>
      </c>
      <c r="BQ271" s="113">
        <f>IFERROR(6-VLOOKUP(T271,'Dados de consulta'!$A$2:$C$38,3,0)+2,6)</f>
        <v>6</v>
      </c>
      <c r="BR271" s="114">
        <f t="shared" si="128"/>
        <v>134</v>
      </c>
      <c r="BS271">
        <f t="shared" si="104"/>
        <v>134</v>
      </c>
      <c r="BU271">
        <f>IFERROR(8-VLOOKUP(U271,'Dados de consulta'!$A:$D,3,0),8)</f>
        <v>0</v>
      </c>
      <c r="BV271">
        <f>IFERROR(8-VLOOKUP(V271,'Dados de consulta'!$A:$D,3,0),8)</f>
        <v>8</v>
      </c>
      <c r="BW271">
        <f t="shared" si="129"/>
        <v>8</v>
      </c>
    </row>
    <row r="272" spans="1:75" ht="15" hidden="1" x14ac:dyDescent="0.2">
      <c r="A272" s="98">
        <v>42395</v>
      </c>
      <c r="B272" s="129" t="str">
        <f t="shared" si="105"/>
        <v>ter</v>
      </c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>
        <v>101</v>
      </c>
      <c r="N272" s="132"/>
      <c r="O272" s="132"/>
      <c r="P272" s="132"/>
      <c r="Q272" s="132"/>
      <c r="R272" s="132"/>
      <c r="S272" s="132"/>
      <c r="T272" s="132"/>
      <c r="U272" s="151">
        <v>8</v>
      </c>
      <c r="V272" s="151"/>
      <c r="W272" s="307" t="s">
        <v>193</v>
      </c>
      <c r="X272" s="308"/>
      <c r="Y272" s="38">
        <f t="shared" si="106"/>
        <v>0</v>
      </c>
      <c r="Z272" s="38">
        <f t="shared" si="107"/>
        <v>0</v>
      </c>
      <c r="AA272" s="38">
        <f t="shared" si="108"/>
        <v>0</v>
      </c>
      <c r="AB272" s="38">
        <f t="shared" si="116"/>
        <v>0</v>
      </c>
      <c r="AC272" s="38">
        <f t="shared" si="117"/>
        <v>0</v>
      </c>
      <c r="AD272" s="38">
        <f t="shared" si="118"/>
        <v>0</v>
      </c>
      <c r="AE272" s="38">
        <f t="shared" si="119"/>
        <v>0</v>
      </c>
      <c r="AF272" s="38">
        <f t="shared" si="120"/>
        <v>0</v>
      </c>
      <c r="AG272" s="33">
        <f t="shared" si="121"/>
        <v>0</v>
      </c>
      <c r="AH272" s="33">
        <f t="shared" si="122"/>
        <v>0</v>
      </c>
      <c r="AI272" s="33">
        <f t="shared" si="123"/>
        <v>0</v>
      </c>
      <c r="AJ272" s="33">
        <f t="shared" si="124"/>
        <v>0</v>
      </c>
      <c r="AK272" s="34">
        <f t="shared" si="125"/>
        <v>0</v>
      </c>
      <c r="AL272" s="35">
        <f t="shared" si="126"/>
        <v>0</v>
      </c>
      <c r="AM272" s="34">
        <f t="shared" si="109"/>
        <v>0</v>
      </c>
      <c r="AN272" s="36">
        <f t="shared" si="127"/>
        <v>0</v>
      </c>
      <c r="AO272" s="6">
        <f t="shared" si="110"/>
        <v>0</v>
      </c>
      <c r="AP272">
        <f t="shared" si="111"/>
        <v>8</v>
      </c>
      <c r="AQ272" s="6">
        <f t="shared" si="112"/>
        <v>0</v>
      </c>
      <c r="AR272" s="6">
        <f t="shared" si="113"/>
        <v>0</v>
      </c>
      <c r="AS272" s="6"/>
      <c r="AX272" s="95">
        <f t="shared" si="114"/>
        <v>42395</v>
      </c>
      <c r="AY272" s="96" t="str">
        <f t="shared" si="115"/>
        <v>ter</v>
      </c>
      <c r="AZ272" s="97">
        <f>IF(OR(AY272="SÁB",AY272="DOM"),0,IFERROR(8-VLOOKUP(C272,'Dados de consulta'!$A$2:$C$38,3,0),8))</f>
        <v>8</v>
      </c>
      <c r="BA272" s="97">
        <f>IF(OR(AY272="SÁB",AY272="DOM"),0,IFERROR(8-VLOOKUP(D272,'Dados de consulta'!$A$2:$C$38,3,0),8))</f>
        <v>8</v>
      </c>
      <c r="BB272" s="97">
        <f>IF(OR(AY272="SÁB",AY272="DOM"),0,IFERROR(8-VLOOKUP(E272,'Dados de consulta'!$A$2:$C$38,3,0),8))</f>
        <v>8</v>
      </c>
      <c r="BC272" s="97">
        <f>IF(OR(AY272="SÁB",AY272="DOM"),0,IFERROR(8-VLOOKUP(F272,'Dados de consulta'!$A$2:$C$38,3,0),8))</f>
        <v>8</v>
      </c>
      <c r="BD272" s="97">
        <f>IF(OR(AY272="SÁB",AY272="DOM"),0,IFERROR(8-VLOOKUP(G272,'Dados de consulta'!$A$2:$C$38,3,0),8))</f>
        <v>8</v>
      </c>
      <c r="BE272" s="97">
        <f>IF(OR(AY272="SÁB",AY272="DOM"),0,IFERROR(8-VLOOKUP(H272,'Dados de consulta'!$A$2:$C$38,3,0),8))</f>
        <v>8</v>
      </c>
      <c r="BF272" s="97">
        <f>IF(OR(AY272="SÁB",AY272="DOM"),0,IFERROR(8-VLOOKUP(I272,'Dados de consulta'!$A$2:$C$38,3,0),8))</f>
        <v>8</v>
      </c>
      <c r="BG272" s="97">
        <f>IF(OR(AY272="SÁB",AY272="DOM"),0,IFERROR(8-VLOOKUP(J272,'Dados de consulta'!$A$2:$C$38,3,0),8))</f>
        <v>8</v>
      </c>
      <c r="BH272" s="97">
        <f>IF(OR(AY272="SÁB",AY272="DOM"),0,IFERROR(8-VLOOKUP(K272,'Dados de consulta'!$A$2:$C$38,3,0),8))</f>
        <v>8</v>
      </c>
      <c r="BI272" s="97">
        <f>IF(OR(AY272="SÁB",AY272="DOM"),0,IFERROR(8-VLOOKUP(L272,'Dados de consulta'!$A$2:$C$38,3,0),8))</f>
        <v>8</v>
      </c>
      <c r="BJ272" s="97">
        <f>IF(OR(AY272="SÁB",AY272="DOM"),0,IFERROR(8-VLOOKUP(M272,'Dados de consulta'!$A$2:$C$38,3,0),8))</f>
        <v>0</v>
      </c>
      <c r="BK272" s="97">
        <f>IF(OR(AY272="SÁB",AY272="DOM"),0,IFERROR(8-VLOOKUP(N272,'Dados de consulta'!$A$2:$C$38,3,0),8))</f>
        <v>8</v>
      </c>
      <c r="BL272" s="97">
        <f>IF(OR(AY272="SÁB",AY272="DOM"),0,IFERROR(8-VLOOKUP(O272,'Dados de consulta'!$A$2:$C$38,3,0),8))</f>
        <v>8</v>
      </c>
      <c r="BM272" s="97">
        <f>IF(OR(AY272="SÁB",AY272="DOM"),0,IFERROR(8-VLOOKUP(P272,'Dados de consulta'!$A$2:$C$38,3,0),8))</f>
        <v>8</v>
      </c>
      <c r="BN272" s="97">
        <f>IF(OR(AY272="SÁB",AY272="DOM"),0,IFERROR(8-VLOOKUP(Q272,'Dados de consulta'!$A$2:$C$38,3,0),8))</f>
        <v>8</v>
      </c>
      <c r="BO272" s="97">
        <f>IF(OR(AY272="SÁB",AY272="DOM"),0,IFERROR(8-VLOOKUP(R272,'Dados de consulta'!$A$2:$C$38,3,0),8))</f>
        <v>8</v>
      </c>
      <c r="BP272" s="97">
        <f>IF(OR(AY272="SÁB",AY272="DOM"),0,IFERROR(8-VLOOKUP(S272,'Dados de consulta'!$A$2:$C$38,3,0),8))</f>
        <v>8</v>
      </c>
      <c r="BQ272" s="113">
        <f>IFERROR(6-VLOOKUP(T272,'Dados de consulta'!$A$2:$C$38,3,0)+2,6)</f>
        <v>6</v>
      </c>
      <c r="BR272" s="114">
        <f t="shared" si="128"/>
        <v>134</v>
      </c>
      <c r="BS272">
        <f t="shared" si="104"/>
        <v>134</v>
      </c>
      <c r="BU272">
        <f>IFERROR(8-VLOOKUP(U272,'Dados de consulta'!$A:$D,3,0),8)</f>
        <v>0</v>
      </c>
      <c r="BV272">
        <f>IFERROR(8-VLOOKUP(V272,'Dados de consulta'!$A:$D,3,0),8)</f>
        <v>8</v>
      </c>
      <c r="BW272">
        <f t="shared" si="129"/>
        <v>8</v>
      </c>
    </row>
    <row r="273" spans="1:75" ht="15" hidden="1" x14ac:dyDescent="0.2">
      <c r="A273" s="98">
        <v>42396</v>
      </c>
      <c r="B273" s="129" t="str">
        <f t="shared" si="105"/>
        <v>qua</v>
      </c>
      <c r="C273" s="132"/>
      <c r="D273" s="132"/>
      <c r="E273" s="132">
        <v>8</v>
      </c>
      <c r="F273" s="132"/>
      <c r="G273" s="132"/>
      <c r="H273" s="132"/>
      <c r="I273" s="132"/>
      <c r="J273" s="132"/>
      <c r="K273" s="132"/>
      <c r="L273" s="132"/>
      <c r="M273" s="132">
        <v>101</v>
      </c>
      <c r="N273" s="132"/>
      <c r="O273" s="132"/>
      <c r="P273" s="132"/>
      <c r="Q273" s="132"/>
      <c r="R273" s="132"/>
      <c r="S273" s="132"/>
      <c r="T273" s="132"/>
      <c r="U273" s="151">
        <v>8</v>
      </c>
      <c r="V273" s="151"/>
      <c r="W273" s="307" t="s">
        <v>193</v>
      </c>
      <c r="X273" s="308"/>
      <c r="Y273" s="38">
        <f t="shared" si="106"/>
        <v>8</v>
      </c>
      <c r="Z273" s="38">
        <f t="shared" si="107"/>
        <v>0</v>
      </c>
      <c r="AA273" s="38">
        <f t="shared" si="108"/>
        <v>0</v>
      </c>
      <c r="AB273" s="38">
        <f t="shared" si="116"/>
        <v>0</v>
      </c>
      <c r="AC273" s="38">
        <f t="shared" si="117"/>
        <v>0</v>
      </c>
      <c r="AD273" s="38">
        <f t="shared" si="118"/>
        <v>0</v>
      </c>
      <c r="AE273" s="38">
        <f t="shared" si="119"/>
        <v>0</v>
      </c>
      <c r="AF273" s="38">
        <f t="shared" si="120"/>
        <v>0</v>
      </c>
      <c r="AG273" s="33">
        <f t="shared" si="121"/>
        <v>8</v>
      </c>
      <c r="AH273" s="33">
        <f t="shared" si="122"/>
        <v>0</v>
      </c>
      <c r="AI273" s="33">
        <f t="shared" si="123"/>
        <v>0</v>
      </c>
      <c r="AJ273" s="33">
        <f t="shared" si="124"/>
        <v>0</v>
      </c>
      <c r="AK273" s="34">
        <f t="shared" si="125"/>
        <v>5.6338028169014086E-2</v>
      </c>
      <c r="AL273" s="35">
        <f t="shared" si="126"/>
        <v>0</v>
      </c>
      <c r="AM273" s="34">
        <f t="shared" si="109"/>
        <v>0</v>
      </c>
      <c r="AN273" s="36">
        <f t="shared" si="127"/>
        <v>0</v>
      </c>
      <c r="AO273" s="6">
        <f t="shared" si="110"/>
        <v>0</v>
      </c>
      <c r="AP273">
        <f t="shared" si="111"/>
        <v>8</v>
      </c>
      <c r="AQ273" s="6">
        <f t="shared" si="112"/>
        <v>0</v>
      </c>
      <c r="AR273" s="6">
        <f t="shared" si="113"/>
        <v>0</v>
      </c>
      <c r="AS273" s="6"/>
      <c r="AX273" s="95">
        <f t="shared" si="114"/>
        <v>42396</v>
      </c>
      <c r="AY273" s="96" t="str">
        <f t="shared" si="115"/>
        <v>qua</v>
      </c>
      <c r="AZ273" s="97">
        <f>IF(OR(AY273="SÁB",AY273="DOM"),0,IFERROR(8-VLOOKUP(C273,'Dados de consulta'!$A$2:$C$38,3,0),8))</f>
        <v>8</v>
      </c>
      <c r="BA273" s="97">
        <f>IF(OR(AY273="SÁB",AY273="DOM"),0,IFERROR(8-VLOOKUP(D273,'Dados de consulta'!$A$2:$C$38,3,0),8))</f>
        <v>8</v>
      </c>
      <c r="BB273" s="97">
        <f>IF(OR(AY273="SÁB",AY273="DOM"),0,IFERROR(8-VLOOKUP(E273,'Dados de consulta'!$A$2:$C$38,3,0),8))</f>
        <v>0</v>
      </c>
      <c r="BC273" s="97">
        <f>IF(OR(AY273="SÁB",AY273="DOM"),0,IFERROR(8-VLOOKUP(F273,'Dados de consulta'!$A$2:$C$38,3,0),8))</f>
        <v>8</v>
      </c>
      <c r="BD273" s="97">
        <f>IF(OR(AY273="SÁB",AY273="DOM"),0,IFERROR(8-VLOOKUP(G273,'Dados de consulta'!$A$2:$C$38,3,0),8))</f>
        <v>8</v>
      </c>
      <c r="BE273" s="97">
        <f>IF(OR(AY273="SÁB",AY273="DOM"),0,IFERROR(8-VLOOKUP(H273,'Dados de consulta'!$A$2:$C$38,3,0),8))</f>
        <v>8</v>
      </c>
      <c r="BF273" s="97">
        <f>IF(OR(AY273="SÁB",AY273="DOM"),0,IFERROR(8-VLOOKUP(I273,'Dados de consulta'!$A$2:$C$38,3,0),8))</f>
        <v>8</v>
      </c>
      <c r="BG273" s="97">
        <f>IF(OR(AY273="SÁB",AY273="DOM"),0,IFERROR(8-VLOOKUP(J273,'Dados de consulta'!$A$2:$C$38,3,0),8))</f>
        <v>8</v>
      </c>
      <c r="BH273" s="97">
        <f>IF(OR(AY273="SÁB",AY273="DOM"),0,IFERROR(8-VLOOKUP(K273,'Dados de consulta'!$A$2:$C$38,3,0),8))</f>
        <v>8</v>
      </c>
      <c r="BI273" s="97">
        <f>IF(OR(AY273="SÁB",AY273="DOM"),0,IFERROR(8-VLOOKUP(L273,'Dados de consulta'!$A$2:$C$38,3,0),8))</f>
        <v>8</v>
      </c>
      <c r="BJ273" s="97">
        <f>IF(OR(AY273="SÁB",AY273="DOM"),0,IFERROR(8-VLOOKUP(M273,'Dados de consulta'!$A$2:$C$38,3,0),8))</f>
        <v>0</v>
      </c>
      <c r="BK273" s="97">
        <f>IF(OR(AY273="SÁB",AY273="DOM"),0,IFERROR(8-VLOOKUP(N273,'Dados de consulta'!$A$2:$C$38,3,0),8))</f>
        <v>8</v>
      </c>
      <c r="BL273" s="97">
        <f>IF(OR(AY273="SÁB",AY273="DOM"),0,IFERROR(8-VLOOKUP(O273,'Dados de consulta'!$A$2:$C$38,3,0),8))</f>
        <v>8</v>
      </c>
      <c r="BM273" s="97">
        <f>IF(OR(AY273="SÁB",AY273="DOM"),0,IFERROR(8-VLOOKUP(P273,'Dados de consulta'!$A$2:$C$38,3,0),8))</f>
        <v>8</v>
      </c>
      <c r="BN273" s="97">
        <f>IF(OR(AY273="SÁB",AY273="DOM"),0,IFERROR(8-VLOOKUP(Q273,'Dados de consulta'!$A$2:$C$38,3,0),8))</f>
        <v>8</v>
      </c>
      <c r="BO273" s="97">
        <f>IF(OR(AY273="SÁB",AY273="DOM"),0,IFERROR(8-VLOOKUP(R273,'Dados de consulta'!$A$2:$C$38,3,0),8))</f>
        <v>8</v>
      </c>
      <c r="BP273" s="97">
        <f>IF(OR(AY273="SÁB",AY273="DOM"),0,IFERROR(8-VLOOKUP(S273,'Dados de consulta'!$A$2:$C$38,3,0),8))</f>
        <v>8</v>
      </c>
      <c r="BQ273" s="113">
        <f>IFERROR(6-VLOOKUP(T273,'Dados de consulta'!$A$2:$C$38,3,0)+2,6)</f>
        <v>6</v>
      </c>
      <c r="BR273" s="114">
        <f t="shared" si="128"/>
        <v>126</v>
      </c>
      <c r="BS273">
        <f t="shared" si="104"/>
        <v>134</v>
      </c>
      <c r="BU273">
        <f>IFERROR(8-VLOOKUP(U273,'Dados de consulta'!$A:$D,3,0),8)</f>
        <v>0</v>
      </c>
      <c r="BV273">
        <f>IFERROR(8-VLOOKUP(V273,'Dados de consulta'!$A:$D,3,0),8)</f>
        <v>8</v>
      </c>
      <c r="BW273">
        <f t="shared" si="129"/>
        <v>8</v>
      </c>
    </row>
    <row r="274" spans="1:75" ht="15" hidden="1" x14ac:dyDescent="0.2">
      <c r="A274" s="98">
        <v>42397</v>
      </c>
      <c r="B274" s="129" t="str">
        <f t="shared" si="105"/>
        <v>qui</v>
      </c>
      <c r="C274" s="132"/>
      <c r="D274" s="132"/>
      <c r="E274" s="132">
        <v>8</v>
      </c>
      <c r="F274" s="132"/>
      <c r="G274" s="132"/>
      <c r="H274" s="132"/>
      <c r="I274" s="132"/>
      <c r="J274" s="132"/>
      <c r="K274" s="132"/>
      <c r="L274" s="132"/>
      <c r="M274" s="132">
        <v>101</v>
      </c>
      <c r="N274" s="132"/>
      <c r="O274" s="132"/>
      <c r="P274" s="132"/>
      <c r="Q274" s="132"/>
      <c r="R274" s="132"/>
      <c r="S274" s="132">
        <v>8</v>
      </c>
      <c r="T274" s="132"/>
      <c r="U274" s="151">
        <v>8</v>
      </c>
      <c r="V274" s="151"/>
      <c r="W274" s="307" t="s">
        <v>193</v>
      </c>
      <c r="X274" s="308"/>
      <c r="Y274" s="38">
        <f t="shared" si="106"/>
        <v>16</v>
      </c>
      <c r="Z274" s="38">
        <f t="shared" si="107"/>
        <v>0</v>
      </c>
      <c r="AA274" s="38">
        <f t="shared" si="108"/>
        <v>0</v>
      </c>
      <c r="AB274" s="38">
        <f t="shared" si="116"/>
        <v>0</v>
      </c>
      <c r="AC274" s="38">
        <f t="shared" si="117"/>
        <v>0</v>
      </c>
      <c r="AD274" s="38">
        <f t="shared" si="118"/>
        <v>0</v>
      </c>
      <c r="AE274" s="38">
        <f t="shared" si="119"/>
        <v>0</v>
      </c>
      <c r="AF274" s="38">
        <f t="shared" si="120"/>
        <v>0</v>
      </c>
      <c r="AG274" s="33">
        <f t="shared" si="121"/>
        <v>16</v>
      </c>
      <c r="AH274" s="33">
        <f t="shared" si="122"/>
        <v>0</v>
      </c>
      <c r="AI274" s="33">
        <f t="shared" si="123"/>
        <v>0</v>
      </c>
      <c r="AJ274" s="33">
        <f t="shared" si="124"/>
        <v>0</v>
      </c>
      <c r="AK274" s="34">
        <f t="shared" si="125"/>
        <v>0.11267605633802817</v>
      </c>
      <c r="AL274" s="35">
        <f t="shared" si="126"/>
        <v>0</v>
      </c>
      <c r="AM274" s="34">
        <f t="shared" si="109"/>
        <v>0</v>
      </c>
      <c r="AN274" s="36">
        <f t="shared" si="127"/>
        <v>0</v>
      </c>
      <c r="AO274" s="6">
        <f t="shared" si="110"/>
        <v>0</v>
      </c>
      <c r="AP274">
        <f t="shared" si="111"/>
        <v>8</v>
      </c>
      <c r="AQ274" s="6">
        <f t="shared" si="112"/>
        <v>0</v>
      </c>
      <c r="AR274" s="6">
        <f t="shared" si="113"/>
        <v>0</v>
      </c>
      <c r="AS274" s="6"/>
      <c r="AX274" s="95">
        <f t="shared" si="114"/>
        <v>42397</v>
      </c>
      <c r="AY274" s="96" t="str">
        <f t="shared" si="115"/>
        <v>qui</v>
      </c>
      <c r="AZ274" s="97">
        <f>IF(OR(AY274="SÁB",AY274="DOM"),0,IFERROR(8-VLOOKUP(C274,'Dados de consulta'!$A$2:$C$38,3,0),8))</f>
        <v>8</v>
      </c>
      <c r="BA274" s="97">
        <f>IF(OR(AY274="SÁB",AY274="DOM"),0,IFERROR(8-VLOOKUP(D274,'Dados de consulta'!$A$2:$C$38,3,0),8))</f>
        <v>8</v>
      </c>
      <c r="BB274" s="97">
        <f>IF(OR(AY274="SÁB",AY274="DOM"),0,IFERROR(8-VLOOKUP(E274,'Dados de consulta'!$A$2:$C$38,3,0),8))</f>
        <v>0</v>
      </c>
      <c r="BC274" s="97">
        <f>IF(OR(AY274="SÁB",AY274="DOM"),0,IFERROR(8-VLOOKUP(F274,'Dados de consulta'!$A$2:$C$38,3,0),8))</f>
        <v>8</v>
      </c>
      <c r="BD274" s="97">
        <f>IF(OR(AY274="SÁB",AY274="DOM"),0,IFERROR(8-VLOOKUP(G274,'Dados de consulta'!$A$2:$C$38,3,0),8))</f>
        <v>8</v>
      </c>
      <c r="BE274" s="97">
        <f>IF(OR(AY274="SÁB",AY274="DOM"),0,IFERROR(8-VLOOKUP(H274,'Dados de consulta'!$A$2:$C$38,3,0),8))</f>
        <v>8</v>
      </c>
      <c r="BF274" s="97">
        <f>IF(OR(AY274="SÁB",AY274="DOM"),0,IFERROR(8-VLOOKUP(I274,'Dados de consulta'!$A$2:$C$38,3,0),8))</f>
        <v>8</v>
      </c>
      <c r="BG274" s="97">
        <f>IF(OR(AY274="SÁB",AY274="DOM"),0,IFERROR(8-VLOOKUP(J274,'Dados de consulta'!$A$2:$C$38,3,0),8))</f>
        <v>8</v>
      </c>
      <c r="BH274" s="97">
        <f>IF(OR(AY274="SÁB",AY274="DOM"),0,IFERROR(8-VLOOKUP(K274,'Dados de consulta'!$A$2:$C$38,3,0),8))</f>
        <v>8</v>
      </c>
      <c r="BI274" s="97">
        <f>IF(OR(AY274="SÁB",AY274="DOM"),0,IFERROR(8-VLOOKUP(L274,'Dados de consulta'!$A$2:$C$38,3,0),8))</f>
        <v>8</v>
      </c>
      <c r="BJ274" s="97">
        <f>IF(OR(AY274="SÁB",AY274="DOM"),0,IFERROR(8-VLOOKUP(M274,'Dados de consulta'!$A$2:$C$38,3,0),8))</f>
        <v>0</v>
      </c>
      <c r="BK274" s="97">
        <f>IF(OR(AY274="SÁB",AY274="DOM"),0,IFERROR(8-VLOOKUP(N274,'Dados de consulta'!$A$2:$C$38,3,0),8))</f>
        <v>8</v>
      </c>
      <c r="BL274" s="97">
        <f>IF(OR(AY274="SÁB",AY274="DOM"),0,IFERROR(8-VLOOKUP(O274,'Dados de consulta'!$A$2:$C$38,3,0),8))</f>
        <v>8</v>
      </c>
      <c r="BM274" s="97">
        <f>IF(OR(AY274="SÁB",AY274="DOM"),0,IFERROR(8-VLOOKUP(P274,'Dados de consulta'!$A$2:$C$38,3,0),8))</f>
        <v>8</v>
      </c>
      <c r="BN274" s="97">
        <f>IF(OR(AY274="SÁB",AY274="DOM"),0,IFERROR(8-VLOOKUP(Q274,'Dados de consulta'!$A$2:$C$38,3,0),8))</f>
        <v>8</v>
      </c>
      <c r="BO274" s="97">
        <f>IF(OR(AY274="SÁB",AY274="DOM"),0,IFERROR(8-VLOOKUP(R274,'Dados de consulta'!$A$2:$C$38,3,0),8))</f>
        <v>8</v>
      </c>
      <c r="BP274" s="97">
        <f>IF(OR(AY274="SÁB",AY274="DOM"),0,IFERROR(8-VLOOKUP(S274,'Dados de consulta'!$A$2:$C$38,3,0),8))</f>
        <v>0</v>
      </c>
      <c r="BQ274" s="113">
        <f>IFERROR(6-VLOOKUP(T274,'Dados de consulta'!$A$2:$C$38,3,0)+2,6)</f>
        <v>6</v>
      </c>
      <c r="BR274" s="114">
        <f t="shared" si="128"/>
        <v>118</v>
      </c>
      <c r="BS274">
        <f t="shared" si="104"/>
        <v>134</v>
      </c>
      <c r="BU274">
        <f>IFERROR(8-VLOOKUP(U274,'Dados de consulta'!$A:$D,3,0),8)</f>
        <v>0</v>
      </c>
      <c r="BV274">
        <f>IFERROR(8-VLOOKUP(V274,'Dados de consulta'!$A:$D,3,0),8)</f>
        <v>8</v>
      </c>
      <c r="BW274">
        <f t="shared" si="129"/>
        <v>8</v>
      </c>
    </row>
    <row r="275" spans="1:75" ht="15" hidden="1" x14ac:dyDescent="0.2">
      <c r="A275" s="98">
        <v>42398</v>
      </c>
      <c r="B275" s="129" t="str">
        <f t="shared" si="105"/>
        <v>sex</v>
      </c>
      <c r="C275" s="132"/>
      <c r="D275" s="132"/>
      <c r="E275" s="132">
        <v>8</v>
      </c>
      <c r="F275" s="132"/>
      <c r="G275" s="132"/>
      <c r="H275" s="132"/>
      <c r="I275" s="132"/>
      <c r="J275" s="132"/>
      <c r="K275" s="132"/>
      <c r="L275" s="132"/>
      <c r="M275" s="132">
        <v>101</v>
      </c>
      <c r="N275" s="132"/>
      <c r="O275" s="132"/>
      <c r="P275" s="132">
        <v>8</v>
      </c>
      <c r="Q275" s="132"/>
      <c r="R275" s="132"/>
      <c r="S275" s="132">
        <v>8</v>
      </c>
      <c r="T275" s="132"/>
      <c r="U275" s="151">
        <v>8</v>
      </c>
      <c r="V275" s="151"/>
      <c r="W275" s="307" t="s">
        <v>193</v>
      </c>
      <c r="X275" s="308"/>
      <c r="Y275" s="38">
        <f t="shared" si="106"/>
        <v>24</v>
      </c>
      <c r="Z275" s="38">
        <f t="shared" si="107"/>
        <v>0</v>
      </c>
      <c r="AA275" s="38">
        <f t="shared" si="108"/>
        <v>0</v>
      </c>
      <c r="AB275" s="38">
        <f t="shared" si="116"/>
        <v>0</v>
      </c>
      <c r="AC275" s="38">
        <f t="shared" si="117"/>
        <v>0</v>
      </c>
      <c r="AD275" s="38">
        <f t="shared" si="118"/>
        <v>0</v>
      </c>
      <c r="AE275" s="38">
        <f t="shared" si="119"/>
        <v>0</v>
      </c>
      <c r="AF275" s="38">
        <f t="shared" si="120"/>
        <v>0</v>
      </c>
      <c r="AG275" s="33">
        <f t="shared" si="121"/>
        <v>24</v>
      </c>
      <c r="AH275" s="33">
        <f t="shared" si="122"/>
        <v>0</v>
      </c>
      <c r="AI275" s="33">
        <f t="shared" si="123"/>
        <v>0</v>
      </c>
      <c r="AJ275" s="33">
        <f t="shared" si="124"/>
        <v>0</v>
      </c>
      <c r="AK275" s="34">
        <f t="shared" si="125"/>
        <v>0.16901408450704225</v>
      </c>
      <c r="AL275" s="35">
        <f t="shared" si="126"/>
        <v>0</v>
      </c>
      <c r="AM275" s="34">
        <f t="shared" si="109"/>
        <v>0</v>
      </c>
      <c r="AN275" s="36">
        <f t="shared" si="127"/>
        <v>0</v>
      </c>
      <c r="AO275" s="6">
        <f t="shared" si="110"/>
        <v>0</v>
      </c>
      <c r="AP275">
        <f t="shared" si="111"/>
        <v>8</v>
      </c>
      <c r="AQ275" s="6">
        <f t="shared" si="112"/>
        <v>0</v>
      </c>
      <c r="AR275" s="6">
        <f t="shared" si="113"/>
        <v>0</v>
      </c>
      <c r="AS275" s="6"/>
      <c r="AX275" s="95">
        <f t="shared" si="114"/>
        <v>42398</v>
      </c>
      <c r="AY275" s="96" t="str">
        <f t="shared" si="115"/>
        <v>sex</v>
      </c>
      <c r="AZ275" s="97">
        <f>IF(OR(AY275="SÁB",AY275="DOM"),0,IFERROR(8-VLOOKUP(C275,'Dados de consulta'!$A$2:$C$38,3,0),8))</f>
        <v>8</v>
      </c>
      <c r="BA275" s="97">
        <f>IF(OR(AY275="SÁB",AY275="DOM"),0,IFERROR(8-VLOOKUP(D275,'Dados de consulta'!$A$2:$C$38,3,0),8))</f>
        <v>8</v>
      </c>
      <c r="BB275" s="97">
        <f>IF(OR(AY275="SÁB",AY275="DOM"),0,IFERROR(8-VLOOKUP(E275,'Dados de consulta'!$A$2:$C$38,3,0),8))</f>
        <v>0</v>
      </c>
      <c r="BC275" s="97">
        <f>IF(OR(AY275="SÁB",AY275="DOM"),0,IFERROR(8-VLOOKUP(F275,'Dados de consulta'!$A$2:$C$38,3,0),8))</f>
        <v>8</v>
      </c>
      <c r="BD275" s="97">
        <f>IF(OR(AY275="SÁB",AY275="DOM"),0,IFERROR(8-VLOOKUP(G275,'Dados de consulta'!$A$2:$C$38,3,0),8))</f>
        <v>8</v>
      </c>
      <c r="BE275" s="97">
        <f>IF(OR(AY275="SÁB",AY275="DOM"),0,IFERROR(8-VLOOKUP(H275,'Dados de consulta'!$A$2:$C$38,3,0),8))</f>
        <v>8</v>
      </c>
      <c r="BF275" s="97">
        <f>IF(OR(AY275="SÁB",AY275="DOM"),0,IFERROR(8-VLOOKUP(I275,'Dados de consulta'!$A$2:$C$38,3,0),8))</f>
        <v>8</v>
      </c>
      <c r="BG275" s="97">
        <f>IF(OR(AY275="SÁB",AY275="DOM"),0,IFERROR(8-VLOOKUP(J275,'Dados de consulta'!$A$2:$C$38,3,0),8))</f>
        <v>8</v>
      </c>
      <c r="BH275" s="97">
        <f>IF(OR(AY275="SÁB",AY275="DOM"),0,IFERROR(8-VLOOKUP(K275,'Dados de consulta'!$A$2:$C$38,3,0),8))</f>
        <v>8</v>
      </c>
      <c r="BI275" s="97">
        <f>IF(OR(AY275="SÁB",AY275="DOM"),0,IFERROR(8-VLOOKUP(L275,'Dados de consulta'!$A$2:$C$38,3,0),8))</f>
        <v>8</v>
      </c>
      <c r="BJ275" s="97">
        <f>IF(OR(AY275="SÁB",AY275="DOM"),0,IFERROR(8-VLOOKUP(M275,'Dados de consulta'!$A$2:$C$38,3,0),8))</f>
        <v>0</v>
      </c>
      <c r="BK275" s="97">
        <f>IF(OR(AY275="SÁB",AY275="DOM"),0,IFERROR(8-VLOOKUP(N275,'Dados de consulta'!$A$2:$C$38,3,0),8))</f>
        <v>8</v>
      </c>
      <c r="BL275" s="97">
        <f>IF(OR(AY275="SÁB",AY275="DOM"),0,IFERROR(8-VLOOKUP(O275,'Dados de consulta'!$A$2:$C$38,3,0),8))</f>
        <v>8</v>
      </c>
      <c r="BM275" s="97">
        <f>IF(OR(AY275="SÁB",AY275="DOM"),0,IFERROR(8-VLOOKUP(P275,'Dados de consulta'!$A$2:$C$38,3,0),8))</f>
        <v>0</v>
      </c>
      <c r="BN275" s="97">
        <f>IF(OR(AY275="SÁB",AY275="DOM"),0,IFERROR(8-VLOOKUP(Q275,'Dados de consulta'!$A$2:$C$38,3,0),8))</f>
        <v>8</v>
      </c>
      <c r="BO275" s="97">
        <f>IF(OR(AY275="SÁB",AY275="DOM"),0,IFERROR(8-VLOOKUP(R275,'Dados de consulta'!$A$2:$C$38,3,0),8))</f>
        <v>8</v>
      </c>
      <c r="BP275" s="97">
        <f>IF(OR(AY275="SÁB",AY275="DOM"),0,IFERROR(8-VLOOKUP(S275,'Dados de consulta'!$A$2:$C$38,3,0),8))</f>
        <v>0</v>
      </c>
      <c r="BQ275" s="113">
        <f>IFERROR(6-VLOOKUP(T275,'Dados de consulta'!$A$2:$C$38,3,0)+2,6)</f>
        <v>6</v>
      </c>
      <c r="BR275" s="114">
        <f t="shared" si="128"/>
        <v>110</v>
      </c>
      <c r="BS275">
        <f t="shared" si="104"/>
        <v>134</v>
      </c>
      <c r="BU275">
        <f>IFERROR(8-VLOOKUP(U275,'Dados de consulta'!$A:$D,3,0),8)</f>
        <v>0</v>
      </c>
      <c r="BV275">
        <f>IFERROR(8-VLOOKUP(V275,'Dados de consulta'!$A:$D,3,0),8)</f>
        <v>8</v>
      </c>
      <c r="BW275">
        <f t="shared" si="129"/>
        <v>8</v>
      </c>
    </row>
    <row r="276" spans="1:75" ht="15" hidden="1" x14ac:dyDescent="0.2">
      <c r="A276" s="98">
        <v>42399</v>
      </c>
      <c r="B276" s="129" t="str">
        <f t="shared" si="105"/>
        <v>sáb</v>
      </c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>
        <v>101</v>
      </c>
      <c r="N276" s="132"/>
      <c r="O276" s="132"/>
      <c r="P276" s="132"/>
      <c r="Q276" s="132"/>
      <c r="R276" s="132"/>
      <c r="S276" s="132"/>
      <c r="T276" s="132"/>
      <c r="U276" s="151"/>
      <c r="V276" s="151"/>
      <c r="W276" s="307" t="s">
        <v>193</v>
      </c>
      <c r="X276" s="308"/>
      <c r="Y276" s="38">
        <f t="shared" si="106"/>
        <v>0</v>
      </c>
      <c r="Z276" s="38">
        <f t="shared" si="107"/>
        <v>0</v>
      </c>
      <c r="AA276" s="38">
        <f t="shared" si="108"/>
        <v>0</v>
      </c>
      <c r="AB276" s="38">
        <f t="shared" si="116"/>
        <v>0</v>
      </c>
      <c r="AC276" s="38">
        <f t="shared" si="117"/>
        <v>0</v>
      </c>
      <c r="AD276" s="38">
        <f t="shared" si="118"/>
        <v>0</v>
      </c>
      <c r="AE276" s="38">
        <f t="shared" si="119"/>
        <v>0</v>
      </c>
      <c r="AF276" s="38">
        <f t="shared" si="120"/>
        <v>0</v>
      </c>
      <c r="AG276" s="33">
        <f t="shared" si="121"/>
        <v>0</v>
      </c>
      <c r="AH276" s="33">
        <f t="shared" si="122"/>
        <v>0</v>
      </c>
      <c r="AI276" s="33">
        <f t="shared" si="123"/>
        <v>0</v>
      </c>
      <c r="AJ276" s="33">
        <f t="shared" si="124"/>
        <v>0</v>
      </c>
      <c r="AK276" s="34">
        <f t="shared" si="125"/>
        <v>0</v>
      </c>
      <c r="AL276" s="35">
        <f t="shared" si="126"/>
        <v>0</v>
      </c>
      <c r="AM276" s="34">
        <f t="shared" si="109"/>
        <v>0</v>
      </c>
      <c r="AN276" s="36">
        <f t="shared" si="127"/>
        <v>0</v>
      </c>
      <c r="AO276" s="6">
        <f t="shared" si="110"/>
        <v>0</v>
      </c>
      <c r="AP276">
        <f t="shared" si="111"/>
        <v>8</v>
      </c>
      <c r="AQ276" s="6">
        <f t="shared" si="112"/>
        <v>0</v>
      </c>
      <c r="AR276" s="6">
        <f t="shared" si="113"/>
        <v>0</v>
      </c>
      <c r="AS276" s="6"/>
      <c r="AX276" s="95">
        <f t="shared" si="114"/>
        <v>42399</v>
      </c>
      <c r="AY276" s="96" t="str">
        <f t="shared" si="115"/>
        <v>sáb</v>
      </c>
      <c r="AZ276" s="97">
        <f>IF(OR(AY276="SÁB",AY276="DOM"),0,IFERROR(8-VLOOKUP(C276,'Dados de consulta'!$A$2:$C$38,3,0),8))</f>
        <v>0</v>
      </c>
      <c r="BA276" s="97">
        <f>IF(OR(AY276="SÁB",AY276="DOM"),0,IFERROR(8-VLOOKUP(D276,'Dados de consulta'!$A$2:$C$38,3,0),8))</f>
        <v>0</v>
      </c>
      <c r="BB276" s="97">
        <f>IF(OR(AY276="SÁB",AY276="DOM"),0,IFERROR(8-VLOOKUP(E276,'Dados de consulta'!$A$2:$C$38,3,0),8))</f>
        <v>0</v>
      </c>
      <c r="BC276" s="97">
        <f>IF(OR(AY276="SÁB",AY276="DOM"),0,IFERROR(8-VLOOKUP(F276,'Dados de consulta'!$A$2:$C$38,3,0),8))</f>
        <v>0</v>
      </c>
      <c r="BD276" s="97">
        <f>IF(OR(AY276="SÁB",AY276="DOM"),0,IFERROR(8-VLOOKUP(G276,'Dados de consulta'!$A$2:$C$38,3,0),8))</f>
        <v>0</v>
      </c>
      <c r="BE276" s="97">
        <f>IF(OR(AY276="SÁB",AY276="DOM"),0,IFERROR(8-VLOOKUP(H276,'Dados de consulta'!$A$2:$C$38,3,0),8))</f>
        <v>0</v>
      </c>
      <c r="BF276" s="97">
        <f>IF(OR(AY276="SÁB",AY276="DOM"),0,IFERROR(8-VLOOKUP(I276,'Dados de consulta'!$A$2:$C$38,3,0),8))</f>
        <v>0</v>
      </c>
      <c r="BG276" s="97">
        <f>IF(OR(AY276="SÁB",AY276="DOM"),0,IFERROR(8-VLOOKUP(J276,'Dados de consulta'!$A$2:$C$38,3,0),8))</f>
        <v>0</v>
      </c>
      <c r="BH276" s="97">
        <f>IF(OR(AY276="SÁB",AY276="DOM"),0,IFERROR(8-VLOOKUP(K276,'Dados de consulta'!$A$2:$C$38,3,0),8))</f>
        <v>0</v>
      </c>
      <c r="BI276" s="97">
        <f>IF(OR(AY276="SÁB",AY276="DOM"),0,IFERROR(8-VLOOKUP(L276,'Dados de consulta'!$A$2:$C$38,3,0),8))</f>
        <v>0</v>
      </c>
      <c r="BJ276" s="97">
        <f>IF(OR(AY276="SÁB",AY276="DOM"),0,IFERROR(8-VLOOKUP(M276,'Dados de consulta'!$A$2:$C$38,3,0),8))</f>
        <v>0</v>
      </c>
      <c r="BK276" s="97">
        <f>IF(OR(AY276="SÁB",AY276="DOM"),0,IFERROR(8-VLOOKUP(N276,'Dados de consulta'!$A$2:$C$38,3,0),8))</f>
        <v>0</v>
      </c>
      <c r="BL276" s="97">
        <f>IF(OR(AY276="SÁB",AY276="DOM"),0,IFERROR(8-VLOOKUP(O276,'Dados de consulta'!$A$2:$C$38,3,0),8))</f>
        <v>0</v>
      </c>
      <c r="BM276" s="97">
        <f>IF(OR(AY276="SÁB",AY276="DOM"),0,IFERROR(8-VLOOKUP(P276,'Dados de consulta'!$A$2:$C$38,3,0),8))</f>
        <v>0</v>
      </c>
      <c r="BN276" s="97">
        <f>IF(OR(AY276="SÁB",AY276="DOM"),0,IFERROR(8-VLOOKUP(Q276,'Dados de consulta'!$A$2:$C$38,3,0),8))</f>
        <v>0</v>
      </c>
      <c r="BO276" s="97">
        <f>IF(OR(AY276="SÁB",AY276="DOM"),0,IFERROR(8-VLOOKUP(R276,'Dados de consulta'!$A$2:$C$38,3,0),8))</f>
        <v>0</v>
      </c>
      <c r="BP276" s="97">
        <f>IF(OR(AY276="SÁB",AY276="DOM"),0,IFERROR(8-VLOOKUP(S276,'Dados de consulta'!$A$2:$C$38,3,0),8))</f>
        <v>0</v>
      </c>
      <c r="BQ276" s="113">
        <f>IFERROR(6-VLOOKUP(T276,'Dados de consulta'!$A$2:$C$38,3,0)+2,6)</f>
        <v>6</v>
      </c>
      <c r="BR276" s="114">
        <f t="shared" si="128"/>
        <v>0</v>
      </c>
      <c r="BS276">
        <f t="shared" si="104"/>
        <v>0</v>
      </c>
      <c r="BU276">
        <f>IFERROR(8-VLOOKUP(U276,'Dados de consulta'!$A:$D,3,0),8)</f>
        <v>8</v>
      </c>
      <c r="BV276">
        <f>IFERROR(8-VLOOKUP(V276,'Dados de consulta'!$A:$D,3,0),8)</f>
        <v>8</v>
      </c>
      <c r="BW276">
        <f t="shared" si="129"/>
        <v>16</v>
      </c>
    </row>
    <row r="277" spans="1:75" ht="15" hidden="1" x14ac:dyDescent="0.2">
      <c r="A277" s="98">
        <v>42400</v>
      </c>
      <c r="B277" s="129" t="str">
        <f t="shared" si="105"/>
        <v>dom</v>
      </c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>
        <v>101</v>
      </c>
      <c r="N277" s="132"/>
      <c r="O277" s="132"/>
      <c r="P277" s="132"/>
      <c r="Q277" s="132"/>
      <c r="R277" s="132"/>
      <c r="S277" s="132"/>
      <c r="T277" s="132"/>
      <c r="U277" s="151"/>
      <c r="V277" s="151"/>
      <c r="W277" s="307" t="s">
        <v>193</v>
      </c>
      <c r="X277" s="308"/>
      <c r="Y277" s="38">
        <f t="shared" si="106"/>
        <v>0</v>
      </c>
      <c r="Z277" s="38">
        <f t="shared" si="107"/>
        <v>0</v>
      </c>
      <c r="AA277" s="38">
        <f t="shared" si="108"/>
        <v>0</v>
      </c>
      <c r="AB277" s="38">
        <f t="shared" si="116"/>
        <v>0</v>
      </c>
      <c r="AC277" s="38">
        <f t="shared" si="117"/>
        <v>0</v>
      </c>
      <c r="AD277" s="38">
        <f t="shared" si="118"/>
        <v>0</v>
      </c>
      <c r="AE277" s="38">
        <f t="shared" si="119"/>
        <v>0</v>
      </c>
      <c r="AF277" s="38">
        <f t="shared" si="120"/>
        <v>0</v>
      </c>
      <c r="AG277" s="33">
        <f t="shared" si="121"/>
        <v>0</v>
      </c>
      <c r="AH277" s="33">
        <f t="shared" si="122"/>
        <v>0</v>
      </c>
      <c r="AI277" s="33">
        <f t="shared" si="123"/>
        <v>0</v>
      </c>
      <c r="AJ277" s="33">
        <f t="shared" si="124"/>
        <v>0</v>
      </c>
      <c r="AK277" s="34">
        <f t="shared" si="125"/>
        <v>0</v>
      </c>
      <c r="AL277" s="35">
        <f t="shared" si="126"/>
        <v>0</v>
      </c>
      <c r="AM277" s="34">
        <f t="shared" si="109"/>
        <v>0</v>
      </c>
      <c r="AN277" s="36">
        <f t="shared" si="127"/>
        <v>0</v>
      </c>
      <c r="AO277" s="6">
        <f t="shared" si="110"/>
        <v>0</v>
      </c>
      <c r="AP277">
        <f t="shared" si="111"/>
        <v>8</v>
      </c>
      <c r="AQ277" s="6">
        <f t="shared" si="112"/>
        <v>0</v>
      </c>
      <c r="AR277" s="6">
        <f t="shared" si="113"/>
        <v>0</v>
      </c>
      <c r="AS277" s="6"/>
      <c r="AX277" s="95">
        <f t="shared" si="114"/>
        <v>42400</v>
      </c>
      <c r="AY277" s="96" t="str">
        <f t="shared" si="115"/>
        <v>dom</v>
      </c>
      <c r="AZ277" s="97">
        <f>IF(OR(AY277="SÁB",AY277="DOM"),0,IFERROR(8-VLOOKUP(C277,'Dados de consulta'!$A$2:$C$38,3,0),8))</f>
        <v>0</v>
      </c>
      <c r="BA277" s="97">
        <f>IF(OR(AY277="SÁB",AY277="DOM"),0,IFERROR(8-VLOOKUP(D277,'Dados de consulta'!$A$2:$C$38,3,0),8))</f>
        <v>0</v>
      </c>
      <c r="BB277" s="97">
        <f>IF(OR(AY277="SÁB",AY277="DOM"),0,IFERROR(8-VLOOKUP(E277,'Dados de consulta'!$A$2:$C$38,3,0),8))</f>
        <v>0</v>
      </c>
      <c r="BC277" s="97">
        <f>IF(OR(AY277="SÁB",AY277="DOM"),0,IFERROR(8-VLOOKUP(F277,'Dados de consulta'!$A$2:$C$38,3,0),8))</f>
        <v>0</v>
      </c>
      <c r="BD277" s="97">
        <f>IF(OR(AY277="SÁB",AY277="DOM"),0,IFERROR(8-VLOOKUP(G277,'Dados de consulta'!$A$2:$C$38,3,0),8))</f>
        <v>0</v>
      </c>
      <c r="BE277" s="97">
        <f>IF(OR(AY277="SÁB",AY277="DOM"),0,IFERROR(8-VLOOKUP(H277,'Dados de consulta'!$A$2:$C$38,3,0),8))</f>
        <v>0</v>
      </c>
      <c r="BF277" s="97">
        <f>IF(OR(AY277="SÁB",AY277="DOM"),0,IFERROR(8-VLOOKUP(I277,'Dados de consulta'!$A$2:$C$38,3,0),8))</f>
        <v>0</v>
      </c>
      <c r="BG277" s="97">
        <f>IF(OR(AY277="SÁB",AY277="DOM"),0,IFERROR(8-VLOOKUP(J277,'Dados de consulta'!$A$2:$C$38,3,0),8))</f>
        <v>0</v>
      </c>
      <c r="BH277" s="97">
        <f>IF(OR(AY277="SÁB",AY277="DOM"),0,IFERROR(8-VLOOKUP(K277,'Dados de consulta'!$A$2:$C$38,3,0),8))</f>
        <v>0</v>
      </c>
      <c r="BI277" s="97">
        <f>IF(OR(AY277="SÁB",AY277="DOM"),0,IFERROR(8-VLOOKUP(L277,'Dados de consulta'!$A$2:$C$38,3,0),8))</f>
        <v>0</v>
      </c>
      <c r="BJ277" s="97">
        <f>IF(OR(AY277="SÁB",AY277="DOM"),0,IFERROR(8-VLOOKUP(M277,'Dados de consulta'!$A$2:$C$38,3,0),8))</f>
        <v>0</v>
      </c>
      <c r="BK277" s="97">
        <f>IF(OR(AY277="SÁB",AY277="DOM"),0,IFERROR(8-VLOOKUP(N277,'Dados de consulta'!$A$2:$C$38,3,0),8))</f>
        <v>0</v>
      </c>
      <c r="BL277" s="97">
        <f>IF(OR(AY277="SÁB",AY277="DOM"),0,IFERROR(8-VLOOKUP(O277,'Dados de consulta'!$A$2:$C$38,3,0),8))</f>
        <v>0</v>
      </c>
      <c r="BM277" s="97">
        <f>IF(OR(AY277="SÁB",AY277="DOM"),0,IFERROR(8-VLOOKUP(P277,'Dados de consulta'!$A$2:$C$38,3,0),8))</f>
        <v>0</v>
      </c>
      <c r="BN277" s="97">
        <f>IF(OR(AY277="SÁB",AY277="DOM"),0,IFERROR(8-VLOOKUP(Q277,'Dados de consulta'!$A$2:$C$38,3,0),8))</f>
        <v>0</v>
      </c>
      <c r="BO277" s="97">
        <f>IF(OR(AY277="SÁB",AY277="DOM"),0,IFERROR(8-VLOOKUP(R277,'Dados de consulta'!$A$2:$C$38,3,0),8))</f>
        <v>0</v>
      </c>
      <c r="BP277" s="97">
        <f>IF(OR(AY277="SÁB",AY277="DOM"),0,IFERROR(8-VLOOKUP(S277,'Dados de consulta'!$A$2:$C$38,3,0),8))</f>
        <v>0</v>
      </c>
      <c r="BQ277" s="113">
        <f>IFERROR(6-VLOOKUP(T277,'Dados de consulta'!$A$2:$C$38,3,0)+2,6)</f>
        <v>6</v>
      </c>
      <c r="BR277" s="114">
        <f t="shared" si="128"/>
        <v>0</v>
      </c>
      <c r="BS277">
        <f t="shared" si="104"/>
        <v>0</v>
      </c>
      <c r="BU277">
        <f>IFERROR(8-VLOOKUP(U277,'Dados de consulta'!$A:$D,3,0),8)</f>
        <v>8</v>
      </c>
      <c r="BV277">
        <f>IFERROR(8-VLOOKUP(V277,'Dados de consulta'!$A:$D,3,0),8)</f>
        <v>8</v>
      </c>
      <c r="BW277">
        <f t="shared" si="129"/>
        <v>16</v>
      </c>
    </row>
    <row r="278" spans="1:75" ht="15" hidden="1" x14ac:dyDescent="0.2">
      <c r="A278" s="98">
        <v>42401</v>
      </c>
      <c r="B278" s="129" t="str">
        <f t="shared" si="105"/>
        <v>seg</v>
      </c>
      <c r="C278" s="132"/>
      <c r="D278" s="132"/>
      <c r="E278" s="132">
        <v>8</v>
      </c>
      <c r="F278" s="132"/>
      <c r="G278" s="132"/>
      <c r="H278" s="132"/>
      <c r="I278" s="132"/>
      <c r="J278" s="132"/>
      <c r="K278" s="132"/>
      <c r="L278" s="132"/>
      <c r="M278" s="132">
        <v>101</v>
      </c>
      <c r="N278" s="132"/>
      <c r="O278" s="132"/>
      <c r="P278" s="132"/>
      <c r="Q278" s="132"/>
      <c r="R278" s="132"/>
      <c r="S278" s="132"/>
      <c r="T278" s="132"/>
      <c r="U278" s="151">
        <v>8</v>
      </c>
      <c r="V278" s="151"/>
      <c r="W278" s="307" t="s">
        <v>193</v>
      </c>
      <c r="X278" s="308"/>
      <c r="Y278" s="38">
        <f t="shared" si="106"/>
        <v>8</v>
      </c>
      <c r="Z278" s="38">
        <f t="shared" si="107"/>
        <v>0</v>
      </c>
      <c r="AA278" s="38">
        <f t="shared" si="108"/>
        <v>0</v>
      </c>
      <c r="AB278" s="38">
        <f t="shared" si="116"/>
        <v>0</v>
      </c>
      <c r="AC278" s="38">
        <f t="shared" si="117"/>
        <v>0</v>
      </c>
      <c r="AD278" s="38">
        <f t="shared" si="118"/>
        <v>0</v>
      </c>
      <c r="AE278" s="38">
        <f t="shared" si="119"/>
        <v>0</v>
      </c>
      <c r="AF278" s="38">
        <f t="shared" si="120"/>
        <v>0</v>
      </c>
      <c r="AG278" s="33">
        <f t="shared" si="121"/>
        <v>8</v>
      </c>
      <c r="AH278" s="33">
        <f t="shared" si="122"/>
        <v>0</v>
      </c>
      <c r="AI278" s="33">
        <f t="shared" si="123"/>
        <v>0</v>
      </c>
      <c r="AJ278" s="33">
        <f t="shared" si="124"/>
        <v>0</v>
      </c>
      <c r="AK278" s="34">
        <f t="shared" si="125"/>
        <v>5.6338028169014086E-2</v>
      </c>
      <c r="AL278" s="35">
        <f t="shared" si="126"/>
        <v>0</v>
      </c>
      <c r="AM278" s="34">
        <f t="shared" si="109"/>
        <v>0</v>
      </c>
      <c r="AN278" s="36">
        <f t="shared" si="127"/>
        <v>0</v>
      </c>
      <c r="AO278" s="6">
        <f t="shared" si="110"/>
        <v>0</v>
      </c>
      <c r="AP278">
        <f t="shared" si="111"/>
        <v>8</v>
      </c>
      <c r="AQ278" s="6">
        <f t="shared" si="112"/>
        <v>0</v>
      </c>
      <c r="AR278" s="6">
        <f t="shared" si="113"/>
        <v>0</v>
      </c>
      <c r="AS278" s="6"/>
      <c r="AX278" s="95">
        <f t="shared" si="114"/>
        <v>42401</v>
      </c>
      <c r="AY278" s="96" t="str">
        <f t="shared" si="115"/>
        <v>seg</v>
      </c>
      <c r="AZ278" s="97">
        <f>IF(OR(AY278="SÁB",AY278="DOM"),0,IFERROR(8-VLOOKUP(C278,'Dados de consulta'!$A$2:$C$38,3,0),8))</f>
        <v>8</v>
      </c>
      <c r="BA278" s="97">
        <f>IF(OR(AY278="SÁB",AY278="DOM"),0,IFERROR(8-VLOOKUP(D278,'Dados de consulta'!$A$2:$C$38,3,0),8))</f>
        <v>8</v>
      </c>
      <c r="BB278" s="97">
        <f>IF(OR(AY278="SÁB",AY278="DOM"),0,IFERROR(8-VLOOKUP(E278,'Dados de consulta'!$A$2:$C$38,3,0),8))</f>
        <v>0</v>
      </c>
      <c r="BC278" s="97">
        <f>IF(OR(AY278="SÁB",AY278="DOM"),0,IFERROR(8-VLOOKUP(F278,'Dados de consulta'!$A$2:$C$38,3,0),8))</f>
        <v>8</v>
      </c>
      <c r="BD278" s="97">
        <f>IF(OR(AY278="SÁB",AY278="DOM"),0,IFERROR(8-VLOOKUP(G278,'Dados de consulta'!$A$2:$C$38,3,0),8))</f>
        <v>8</v>
      </c>
      <c r="BE278" s="97">
        <f>IF(OR(AY278="SÁB",AY278="DOM"),0,IFERROR(8-VLOOKUP(H278,'Dados de consulta'!$A$2:$C$38,3,0),8))</f>
        <v>8</v>
      </c>
      <c r="BF278" s="97">
        <f>IF(OR(AY278="SÁB",AY278="DOM"),0,IFERROR(8-VLOOKUP(I278,'Dados de consulta'!$A$2:$C$38,3,0),8))</f>
        <v>8</v>
      </c>
      <c r="BG278" s="97">
        <f>IF(OR(AY278="SÁB",AY278="DOM"),0,IFERROR(8-VLOOKUP(J278,'Dados de consulta'!$A$2:$C$38,3,0),8))</f>
        <v>8</v>
      </c>
      <c r="BH278" s="97">
        <f>IF(OR(AY278="SÁB",AY278="DOM"),0,IFERROR(8-VLOOKUP(K278,'Dados de consulta'!$A$2:$C$38,3,0),8))</f>
        <v>8</v>
      </c>
      <c r="BI278" s="97">
        <f>IF(OR(AY278="SÁB",AY278="DOM"),0,IFERROR(8-VLOOKUP(L278,'Dados de consulta'!$A$2:$C$38,3,0),8))</f>
        <v>8</v>
      </c>
      <c r="BJ278" s="97">
        <f>IF(OR(AY278="SÁB",AY278="DOM"),0,IFERROR(8-VLOOKUP(M278,'Dados de consulta'!$A$2:$C$38,3,0),8))</f>
        <v>0</v>
      </c>
      <c r="BK278" s="97">
        <f>IF(OR(AY278="SÁB",AY278="DOM"),0,IFERROR(8-VLOOKUP(N278,'Dados de consulta'!$A$2:$C$38,3,0),8))</f>
        <v>8</v>
      </c>
      <c r="BL278" s="97">
        <f>IF(OR(AY278="SÁB",AY278="DOM"),0,IFERROR(8-VLOOKUP(O278,'Dados de consulta'!$A$2:$C$38,3,0),8))</f>
        <v>8</v>
      </c>
      <c r="BM278" s="97">
        <f>IF(OR(AY278="SÁB",AY278="DOM"),0,IFERROR(8-VLOOKUP(P278,'Dados de consulta'!$A$2:$C$38,3,0),8))</f>
        <v>8</v>
      </c>
      <c r="BN278" s="97">
        <f>IF(OR(AY278="SÁB",AY278="DOM"),0,IFERROR(8-VLOOKUP(Q278,'Dados de consulta'!$A$2:$C$38,3,0),8))</f>
        <v>8</v>
      </c>
      <c r="BO278" s="97">
        <f>IF(OR(AY278="SÁB",AY278="DOM"),0,IFERROR(8-VLOOKUP(R278,'Dados de consulta'!$A$2:$C$38,3,0),8))</f>
        <v>8</v>
      </c>
      <c r="BP278" s="97">
        <f>IF(OR(AY278="SÁB",AY278="DOM"),0,IFERROR(8-VLOOKUP(S278,'Dados de consulta'!$A$2:$C$38,3,0),8))</f>
        <v>8</v>
      </c>
      <c r="BQ278" s="113">
        <f>IFERROR(6-VLOOKUP(T278,'Dados de consulta'!$A$2:$C$38,3,0)+2,6)</f>
        <v>6</v>
      </c>
      <c r="BR278" s="114">
        <f t="shared" si="128"/>
        <v>126</v>
      </c>
      <c r="BS278">
        <f t="shared" si="104"/>
        <v>134</v>
      </c>
      <c r="BU278">
        <f>IFERROR(8-VLOOKUP(U278,'Dados de consulta'!$A:$D,3,0),8)</f>
        <v>0</v>
      </c>
      <c r="BV278">
        <f>IFERROR(8-VLOOKUP(V278,'Dados de consulta'!$A:$D,3,0),8)</f>
        <v>8</v>
      </c>
      <c r="BW278">
        <f t="shared" si="129"/>
        <v>8</v>
      </c>
    </row>
    <row r="279" spans="1:75" ht="15" hidden="1" x14ac:dyDescent="0.2">
      <c r="A279" s="98">
        <v>42402</v>
      </c>
      <c r="B279" s="129" t="str">
        <f t="shared" si="105"/>
        <v>ter</v>
      </c>
      <c r="C279" s="132"/>
      <c r="D279" s="132"/>
      <c r="E279" s="132">
        <v>8</v>
      </c>
      <c r="F279" s="132"/>
      <c r="G279" s="132"/>
      <c r="H279" s="132"/>
      <c r="I279" s="132" t="s">
        <v>194</v>
      </c>
      <c r="J279" s="132"/>
      <c r="K279" s="132"/>
      <c r="L279" s="132"/>
      <c r="M279" s="132">
        <v>101</v>
      </c>
      <c r="N279" s="132"/>
      <c r="O279" s="132"/>
      <c r="P279" s="132"/>
      <c r="Q279" s="132"/>
      <c r="R279" s="132"/>
      <c r="S279" s="132"/>
      <c r="T279" s="132"/>
      <c r="U279" s="151">
        <v>8</v>
      </c>
      <c r="V279" s="151"/>
      <c r="W279" s="307" t="s">
        <v>193</v>
      </c>
      <c r="X279" s="308"/>
      <c r="Y279" s="38">
        <f t="shared" si="106"/>
        <v>12</v>
      </c>
      <c r="Z279" s="38">
        <f t="shared" si="107"/>
        <v>0</v>
      </c>
      <c r="AA279" s="38">
        <f t="shared" si="108"/>
        <v>0</v>
      </c>
      <c r="AB279" s="38">
        <f t="shared" si="116"/>
        <v>0</v>
      </c>
      <c r="AC279" s="38">
        <f t="shared" si="117"/>
        <v>0</v>
      </c>
      <c r="AD279" s="38">
        <f t="shared" si="118"/>
        <v>0</v>
      </c>
      <c r="AE279" s="38">
        <f t="shared" si="119"/>
        <v>0</v>
      </c>
      <c r="AF279" s="38">
        <f t="shared" si="120"/>
        <v>0</v>
      </c>
      <c r="AG279" s="33">
        <f t="shared" si="121"/>
        <v>12</v>
      </c>
      <c r="AH279" s="33">
        <f t="shared" si="122"/>
        <v>0</v>
      </c>
      <c r="AI279" s="33">
        <f t="shared" si="123"/>
        <v>0</v>
      </c>
      <c r="AJ279" s="33">
        <f t="shared" si="124"/>
        <v>0</v>
      </c>
      <c r="AK279" s="34">
        <f t="shared" si="125"/>
        <v>8.4507042253521125E-2</v>
      </c>
      <c r="AL279" s="35">
        <f t="shared" si="126"/>
        <v>0</v>
      </c>
      <c r="AM279" s="34">
        <f t="shared" si="109"/>
        <v>0</v>
      </c>
      <c r="AN279" s="36">
        <f t="shared" si="127"/>
        <v>0</v>
      </c>
      <c r="AO279" s="6">
        <f t="shared" si="110"/>
        <v>0</v>
      </c>
      <c r="AP279">
        <f t="shared" si="111"/>
        <v>8</v>
      </c>
      <c r="AQ279" s="6">
        <f t="shared" si="112"/>
        <v>0</v>
      </c>
      <c r="AR279" s="6">
        <f t="shared" si="113"/>
        <v>0</v>
      </c>
      <c r="AS279" s="6"/>
      <c r="AX279" s="95">
        <f t="shared" si="114"/>
        <v>42402</v>
      </c>
      <c r="AY279" s="96" t="str">
        <f t="shared" si="115"/>
        <v>ter</v>
      </c>
      <c r="AZ279" s="97">
        <f>IF(OR(AY279="SÁB",AY279="DOM"),0,IFERROR(8-VLOOKUP(C279,'Dados de consulta'!$A$2:$C$38,3,0),8))</f>
        <v>8</v>
      </c>
      <c r="BA279" s="97">
        <f>IF(OR(AY279="SÁB",AY279="DOM"),0,IFERROR(8-VLOOKUP(D279,'Dados de consulta'!$A$2:$C$38,3,0),8))</f>
        <v>8</v>
      </c>
      <c r="BB279" s="97">
        <f>IF(OR(AY279="SÁB",AY279="DOM"),0,IFERROR(8-VLOOKUP(E279,'Dados de consulta'!$A$2:$C$38,3,0),8))</f>
        <v>0</v>
      </c>
      <c r="BC279" s="97">
        <f>IF(OR(AY279="SÁB",AY279="DOM"),0,IFERROR(8-VLOOKUP(F279,'Dados de consulta'!$A$2:$C$38,3,0),8))</f>
        <v>8</v>
      </c>
      <c r="BD279" s="97">
        <f>IF(OR(AY279="SÁB",AY279="DOM"),0,IFERROR(8-VLOOKUP(G279,'Dados de consulta'!$A$2:$C$38,3,0),8))</f>
        <v>8</v>
      </c>
      <c r="BE279" s="97">
        <f>IF(OR(AY279="SÁB",AY279="DOM"),0,IFERROR(8-VLOOKUP(H279,'Dados de consulta'!$A$2:$C$38,3,0),8))</f>
        <v>8</v>
      </c>
      <c r="BF279" s="97">
        <f>IF(OR(AY279="SÁB",AY279="DOM"),0,IFERROR(8-VLOOKUP(I279,'Dados de consulta'!$A$2:$C$38,3,0),8))</f>
        <v>4</v>
      </c>
      <c r="BG279" s="97">
        <f>IF(OR(AY279="SÁB",AY279="DOM"),0,IFERROR(8-VLOOKUP(J279,'Dados de consulta'!$A$2:$C$38,3,0),8))</f>
        <v>8</v>
      </c>
      <c r="BH279" s="97">
        <f>IF(OR(AY279="SÁB",AY279="DOM"),0,IFERROR(8-VLOOKUP(K279,'Dados de consulta'!$A$2:$C$38,3,0),8))</f>
        <v>8</v>
      </c>
      <c r="BI279" s="97">
        <f>IF(OR(AY279="SÁB",AY279="DOM"),0,IFERROR(8-VLOOKUP(L279,'Dados de consulta'!$A$2:$C$38,3,0),8))</f>
        <v>8</v>
      </c>
      <c r="BJ279" s="97">
        <f>IF(OR(AY279="SÁB",AY279="DOM"),0,IFERROR(8-VLOOKUP(M279,'Dados de consulta'!$A$2:$C$38,3,0),8))</f>
        <v>0</v>
      </c>
      <c r="BK279" s="97">
        <f>IF(OR(AY279="SÁB",AY279="DOM"),0,IFERROR(8-VLOOKUP(N279,'Dados de consulta'!$A$2:$C$38,3,0),8))</f>
        <v>8</v>
      </c>
      <c r="BL279" s="97">
        <f>IF(OR(AY279="SÁB",AY279="DOM"),0,IFERROR(8-VLOOKUP(O279,'Dados de consulta'!$A$2:$C$38,3,0),8))</f>
        <v>8</v>
      </c>
      <c r="BM279" s="97">
        <f>IF(OR(AY279="SÁB",AY279="DOM"),0,IFERROR(8-VLOOKUP(P279,'Dados de consulta'!$A$2:$C$38,3,0),8))</f>
        <v>8</v>
      </c>
      <c r="BN279" s="97">
        <f>IF(OR(AY279="SÁB",AY279="DOM"),0,IFERROR(8-VLOOKUP(Q279,'Dados de consulta'!$A$2:$C$38,3,0),8))</f>
        <v>8</v>
      </c>
      <c r="BO279" s="97">
        <f>IF(OR(AY279="SÁB",AY279="DOM"),0,IFERROR(8-VLOOKUP(R279,'Dados de consulta'!$A$2:$C$38,3,0),8))</f>
        <v>8</v>
      </c>
      <c r="BP279" s="97">
        <f>IF(OR(AY279="SÁB",AY279="DOM"),0,IFERROR(8-VLOOKUP(S279,'Dados de consulta'!$A$2:$C$38,3,0),8))</f>
        <v>8</v>
      </c>
      <c r="BQ279" s="113">
        <f>IFERROR(6-VLOOKUP(T279,'Dados de consulta'!$A$2:$C$38,3,0)+2,6)</f>
        <v>6</v>
      </c>
      <c r="BR279" s="114">
        <f t="shared" si="128"/>
        <v>122</v>
      </c>
      <c r="BS279">
        <f t="shared" si="104"/>
        <v>134</v>
      </c>
      <c r="BU279">
        <f>IFERROR(8-VLOOKUP(U279,'Dados de consulta'!$A:$D,3,0),8)</f>
        <v>0</v>
      </c>
      <c r="BV279">
        <f>IFERROR(8-VLOOKUP(V279,'Dados de consulta'!$A:$D,3,0),8)</f>
        <v>8</v>
      </c>
      <c r="BW279">
        <f t="shared" si="129"/>
        <v>8</v>
      </c>
    </row>
    <row r="280" spans="1:75" ht="15" hidden="1" x14ac:dyDescent="0.2">
      <c r="A280" s="98">
        <v>42403</v>
      </c>
      <c r="B280" s="129" t="str">
        <f t="shared" si="105"/>
        <v>qua</v>
      </c>
      <c r="C280" s="132" t="s">
        <v>194</v>
      </c>
      <c r="D280" s="132"/>
      <c r="E280" s="132">
        <v>8</v>
      </c>
      <c r="F280" s="132"/>
      <c r="G280" s="132" t="s">
        <v>194</v>
      </c>
      <c r="H280" s="132"/>
      <c r="I280" s="132"/>
      <c r="J280" s="132"/>
      <c r="K280" s="132"/>
      <c r="L280" s="132"/>
      <c r="M280" s="132">
        <v>101</v>
      </c>
      <c r="N280" s="132"/>
      <c r="O280" s="132"/>
      <c r="P280" s="132"/>
      <c r="Q280" s="132"/>
      <c r="R280" s="132" t="s">
        <v>194</v>
      </c>
      <c r="S280" s="132"/>
      <c r="T280" s="132"/>
      <c r="U280" s="151">
        <v>8</v>
      </c>
      <c r="V280" s="151"/>
      <c r="W280" s="307" t="s">
        <v>193</v>
      </c>
      <c r="X280" s="308"/>
      <c r="Y280" s="38">
        <f t="shared" si="106"/>
        <v>20</v>
      </c>
      <c r="Z280" s="38">
        <f t="shared" si="107"/>
        <v>0</v>
      </c>
      <c r="AA280" s="38">
        <f t="shared" si="108"/>
        <v>0</v>
      </c>
      <c r="AB280" s="38">
        <f t="shared" si="116"/>
        <v>0</v>
      </c>
      <c r="AC280" s="38">
        <f t="shared" si="117"/>
        <v>0</v>
      </c>
      <c r="AD280" s="38">
        <f t="shared" si="118"/>
        <v>0</v>
      </c>
      <c r="AE280" s="38">
        <f t="shared" si="119"/>
        <v>0</v>
      </c>
      <c r="AF280" s="38">
        <f t="shared" si="120"/>
        <v>0</v>
      </c>
      <c r="AG280" s="33">
        <f t="shared" si="121"/>
        <v>20</v>
      </c>
      <c r="AH280" s="33">
        <f t="shared" si="122"/>
        <v>0</v>
      </c>
      <c r="AI280" s="33">
        <f t="shared" si="123"/>
        <v>0</v>
      </c>
      <c r="AJ280" s="33">
        <f t="shared" si="124"/>
        <v>0</v>
      </c>
      <c r="AK280" s="34">
        <f t="shared" si="125"/>
        <v>0.14084507042253522</v>
      </c>
      <c r="AL280" s="35">
        <f t="shared" si="126"/>
        <v>0</v>
      </c>
      <c r="AM280" s="34">
        <f t="shared" si="109"/>
        <v>0</v>
      </c>
      <c r="AN280" s="36">
        <f t="shared" si="127"/>
        <v>0</v>
      </c>
      <c r="AO280" s="6">
        <f t="shared" si="110"/>
        <v>0</v>
      </c>
      <c r="AP280">
        <f t="shared" si="111"/>
        <v>8</v>
      </c>
      <c r="AQ280" s="6">
        <f t="shared" si="112"/>
        <v>0</v>
      </c>
      <c r="AR280" s="6">
        <f t="shared" si="113"/>
        <v>0</v>
      </c>
      <c r="AS280" s="6"/>
      <c r="AX280" s="95">
        <f t="shared" si="114"/>
        <v>42403</v>
      </c>
      <c r="AY280" s="96" t="str">
        <f t="shared" si="115"/>
        <v>qua</v>
      </c>
      <c r="AZ280" s="97">
        <f>IF(OR(AY280="SÁB",AY280="DOM"),0,IFERROR(8-VLOOKUP(C280,'Dados de consulta'!$A$2:$C$38,3,0),8))</f>
        <v>4</v>
      </c>
      <c r="BA280" s="97">
        <f>IF(OR(AY280="SÁB",AY280="DOM"),0,IFERROR(8-VLOOKUP(D280,'Dados de consulta'!$A$2:$C$38,3,0),8))</f>
        <v>8</v>
      </c>
      <c r="BB280" s="97">
        <f>IF(OR(AY280="SÁB",AY280="DOM"),0,IFERROR(8-VLOOKUP(E280,'Dados de consulta'!$A$2:$C$38,3,0),8))</f>
        <v>0</v>
      </c>
      <c r="BC280" s="97">
        <f>IF(OR(AY280="SÁB",AY280="DOM"),0,IFERROR(8-VLOOKUP(F280,'Dados de consulta'!$A$2:$C$38,3,0),8))</f>
        <v>8</v>
      </c>
      <c r="BD280" s="97">
        <f>IF(OR(AY280="SÁB",AY280="DOM"),0,IFERROR(8-VLOOKUP(G280,'Dados de consulta'!$A$2:$C$38,3,0),8))</f>
        <v>4</v>
      </c>
      <c r="BE280" s="97">
        <f>IF(OR(AY280="SÁB",AY280="DOM"),0,IFERROR(8-VLOOKUP(H280,'Dados de consulta'!$A$2:$C$38,3,0),8))</f>
        <v>8</v>
      </c>
      <c r="BF280" s="97">
        <f>IF(OR(AY280="SÁB",AY280="DOM"),0,IFERROR(8-VLOOKUP(I280,'Dados de consulta'!$A$2:$C$38,3,0),8))</f>
        <v>8</v>
      </c>
      <c r="BG280" s="97">
        <f>IF(OR(AY280="SÁB",AY280="DOM"),0,IFERROR(8-VLOOKUP(J280,'Dados de consulta'!$A$2:$C$38,3,0),8))</f>
        <v>8</v>
      </c>
      <c r="BH280" s="97">
        <f>IF(OR(AY280="SÁB",AY280="DOM"),0,IFERROR(8-VLOOKUP(K280,'Dados de consulta'!$A$2:$C$38,3,0),8))</f>
        <v>8</v>
      </c>
      <c r="BI280" s="97">
        <f>IF(OR(AY280="SÁB",AY280="DOM"),0,IFERROR(8-VLOOKUP(L280,'Dados de consulta'!$A$2:$C$38,3,0),8))</f>
        <v>8</v>
      </c>
      <c r="BJ280" s="97">
        <f>IF(OR(AY280="SÁB",AY280="DOM"),0,IFERROR(8-VLOOKUP(M280,'Dados de consulta'!$A$2:$C$38,3,0),8))</f>
        <v>0</v>
      </c>
      <c r="BK280" s="97">
        <f>IF(OR(AY280="SÁB",AY280="DOM"),0,IFERROR(8-VLOOKUP(N280,'Dados de consulta'!$A$2:$C$38,3,0),8))</f>
        <v>8</v>
      </c>
      <c r="BL280" s="97">
        <f>IF(OR(AY280="SÁB",AY280="DOM"),0,IFERROR(8-VLOOKUP(O280,'Dados de consulta'!$A$2:$C$38,3,0),8))</f>
        <v>8</v>
      </c>
      <c r="BM280" s="97">
        <f>IF(OR(AY280="SÁB",AY280="DOM"),0,IFERROR(8-VLOOKUP(P280,'Dados de consulta'!$A$2:$C$38,3,0),8))</f>
        <v>8</v>
      </c>
      <c r="BN280" s="97">
        <f>IF(OR(AY280="SÁB",AY280="DOM"),0,IFERROR(8-VLOOKUP(Q280,'Dados de consulta'!$A$2:$C$38,3,0),8))</f>
        <v>8</v>
      </c>
      <c r="BO280" s="97">
        <f>IF(OR(AY280="SÁB",AY280="DOM"),0,IFERROR(8-VLOOKUP(R280,'Dados de consulta'!$A$2:$C$38,3,0),8))</f>
        <v>4</v>
      </c>
      <c r="BP280" s="97">
        <f>IF(OR(AY280="SÁB",AY280="DOM"),0,IFERROR(8-VLOOKUP(S280,'Dados de consulta'!$A$2:$C$38,3,0),8))</f>
        <v>8</v>
      </c>
      <c r="BQ280" s="113">
        <f>IFERROR(6-VLOOKUP(T280,'Dados de consulta'!$A$2:$C$38,3,0)+2,6)</f>
        <v>6</v>
      </c>
      <c r="BR280" s="114">
        <f t="shared" si="128"/>
        <v>114</v>
      </c>
      <c r="BS280">
        <f t="shared" si="104"/>
        <v>134</v>
      </c>
      <c r="BU280">
        <f>IFERROR(8-VLOOKUP(U280,'Dados de consulta'!$A:$D,3,0),8)</f>
        <v>0</v>
      </c>
      <c r="BV280">
        <f>IFERROR(8-VLOOKUP(V280,'Dados de consulta'!$A:$D,3,0),8)</f>
        <v>8</v>
      </c>
      <c r="BW280">
        <f t="shared" si="129"/>
        <v>8</v>
      </c>
    </row>
    <row r="281" spans="1:75" ht="15" hidden="1" x14ac:dyDescent="0.2">
      <c r="A281" s="98">
        <v>42404</v>
      </c>
      <c r="B281" s="129" t="str">
        <f t="shared" si="105"/>
        <v>qui</v>
      </c>
      <c r="C281" s="132"/>
      <c r="D281" s="132"/>
      <c r="E281" s="132">
        <v>8</v>
      </c>
      <c r="F281" s="132"/>
      <c r="G281" s="132"/>
      <c r="H281" s="132"/>
      <c r="I281" s="132"/>
      <c r="J281" s="132"/>
      <c r="K281" s="132"/>
      <c r="L281" s="132"/>
      <c r="M281" s="132">
        <v>101</v>
      </c>
      <c r="N281" s="132"/>
      <c r="O281" s="132"/>
      <c r="P281" s="132"/>
      <c r="Q281" s="132"/>
      <c r="R281" s="132"/>
      <c r="S281" s="132"/>
      <c r="T281" s="132"/>
      <c r="U281" s="151">
        <v>8</v>
      </c>
      <c r="V281" s="151"/>
      <c r="W281" s="307" t="s">
        <v>193</v>
      </c>
      <c r="X281" s="308"/>
      <c r="Y281" s="38">
        <f t="shared" si="106"/>
        <v>8</v>
      </c>
      <c r="Z281" s="38">
        <f t="shared" si="107"/>
        <v>0</v>
      </c>
      <c r="AA281" s="38">
        <f t="shared" si="108"/>
        <v>0</v>
      </c>
      <c r="AB281" s="38">
        <f t="shared" si="116"/>
        <v>0</v>
      </c>
      <c r="AC281" s="38">
        <f t="shared" si="117"/>
        <v>0</v>
      </c>
      <c r="AD281" s="38">
        <f t="shared" si="118"/>
        <v>0</v>
      </c>
      <c r="AE281" s="38">
        <f t="shared" si="119"/>
        <v>0</v>
      </c>
      <c r="AF281" s="38">
        <f t="shared" si="120"/>
        <v>0</v>
      </c>
      <c r="AG281" s="33">
        <f t="shared" si="121"/>
        <v>8</v>
      </c>
      <c r="AH281" s="33">
        <f t="shared" si="122"/>
        <v>0</v>
      </c>
      <c r="AI281" s="33">
        <f t="shared" si="123"/>
        <v>0</v>
      </c>
      <c r="AJ281" s="33">
        <f t="shared" si="124"/>
        <v>0</v>
      </c>
      <c r="AK281" s="34">
        <f t="shared" si="125"/>
        <v>5.6338028169014086E-2</v>
      </c>
      <c r="AL281" s="35">
        <f t="shared" si="126"/>
        <v>0</v>
      </c>
      <c r="AM281" s="34">
        <f t="shared" si="109"/>
        <v>0</v>
      </c>
      <c r="AN281" s="36">
        <f t="shared" si="127"/>
        <v>0</v>
      </c>
      <c r="AO281" s="6">
        <f t="shared" si="110"/>
        <v>0</v>
      </c>
      <c r="AP281">
        <f t="shared" si="111"/>
        <v>8</v>
      </c>
      <c r="AQ281" s="6">
        <f t="shared" si="112"/>
        <v>0</v>
      </c>
      <c r="AR281" s="6">
        <f t="shared" si="113"/>
        <v>0</v>
      </c>
      <c r="AS281" s="6"/>
      <c r="AX281" s="95">
        <f t="shared" si="114"/>
        <v>42404</v>
      </c>
      <c r="AY281" s="96" t="str">
        <f t="shared" si="115"/>
        <v>qui</v>
      </c>
      <c r="AZ281" s="97">
        <f>IF(OR(AY281="SÁB",AY281="DOM"),0,IFERROR(8-VLOOKUP(C281,'Dados de consulta'!$A$2:$C$38,3,0),8))</f>
        <v>8</v>
      </c>
      <c r="BA281" s="97">
        <f>IF(OR(AY281="SÁB",AY281="DOM"),0,IFERROR(8-VLOOKUP(D281,'Dados de consulta'!$A$2:$C$38,3,0),8))</f>
        <v>8</v>
      </c>
      <c r="BB281" s="97">
        <f>IF(OR(AY281="SÁB",AY281="DOM"),0,IFERROR(8-VLOOKUP(E281,'Dados de consulta'!$A$2:$C$38,3,0),8))</f>
        <v>0</v>
      </c>
      <c r="BC281" s="97">
        <f>IF(OR(AY281="SÁB",AY281="DOM"),0,IFERROR(8-VLOOKUP(F281,'Dados de consulta'!$A$2:$C$38,3,0),8))</f>
        <v>8</v>
      </c>
      <c r="BD281" s="97">
        <f>IF(OR(AY281="SÁB",AY281="DOM"),0,IFERROR(8-VLOOKUP(G281,'Dados de consulta'!$A$2:$C$38,3,0),8))</f>
        <v>8</v>
      </c>
      <c r="BE281" s="97">
        <f>IF(OR(AY281="SÁB",AY281="DOM"),0,IFERROR(8-VLOOKUP(H281,'Dados de consulta'!$A$2:$C$38,3,0),8))</f>
        <v>8</v>
      </c>
      <c r="BF281" s="97">
        <f>IF(OR(AY281="SÁB",AY281="DOM"),0,IFERROR(8-VLOOKUP(I281,'Dados de consulta'!$A$2:$C$38,3,0),8))</f>
        <v>8</v>
      </c>
      <c r="BG281" s="97">
        <f>IF(OR(AY281="SÁB",AY281="DOM"),0,IFERROR(8-VLOOKUP(J281,'Dados de consulta'!$A$2:$C$38,3,0),8))</f>
        <v>8</v>
      </c>
      <c r="BH281" s="97">
        <f>IF(OR(AY281="SÁB",AY281="DOM"),0,IFERROR(8-VLOOKUP(K281,'Dados de consulta'!$A$2:$C$38,3,0),8))</f>
        <v>8</v>
      </c>
      <c r="BI281" s="97">
        <f>IF(OR(AY281="SÁB",AY281="DOM"),0,IFERROR(8-VLOOKUP(L281,'Dados de consulta'!$A$2:$C$38,3,0),8))</f>
        <v>8</v>
      </c>
      <c r="BJ281" s="97">
        <f>IF(OR(AY281="SÁB",AY281="DOM"),0,IFERROR(8-VLOOKUP(M281,'Dados de consulta'!$A$2:$C$38,3,0),8))</f>
        <v>0</v>
      </c>
      <c r="BK281" s="97">
        <f>IF(OR(AY281="SÁB",AY281="DOM"),0,IFERROR(8-VLOOKUP(N281,'Dados de consulta'!$A$2:$C$38,3,0),8))</f>
        <v>8</v>
      </c>
      <c r="BL281" s="97">
        <f>IF(OR(AY281="SÁB",AY281="DOM"),0,IFERROR(8-VLOOKUP(O281,'Dados de consulta'!$A$2:$C$38,3,0),8))</f>
        <v>8</v>
      </c>
      <c r="BM281" s="97">
        <f>IF(OR(AY281="SÁB",AY281="DOM"),0,IFERROR(8-VLOOKUP(P281,'Dados de consulta'!$A$2:$C$38,3,0),8))</f>
        <v>8</v>
      </c>
      <c r="BN281" s="97">
        <f>IF(OR(AY281="SÁB",AY281="DOM"),0,IFERROR(8-VLOOKUP(Q281,'Dados de consulta'!$A$2:$C$38,3,0),8))</f>
        <v>8</v>
      </c>
      <c r="BO281" s="97">
        <f>IF(OR(AY281="SÁB",AY281="DOM"),0,IFERROR(8-VLOOKUP(R281,'Dados de consulta'!$A$2:$C$38,3,0),8))</f>
        <v>8</v>
      </c>
      <c r="BP281" s="97">
        <f>IF(OR(AY281="SÁB",AY281="DOM"),0,IFERROR(8-VLOOKUP(S281,'Dados de consulta'!$A$2:$C$38,3,0),8))</f>
        <v>8</v>
      </c>
      <c r="BQ281" s="113">
        <f>IFERROR(6-VLOOKUP(T281,'Dados de consulta'!$A$2:$C$38,3,0)+2,6)</f>
        <v>6</v>
      </c>
      <c r="BR281" s="114">
        <f t="shared" si="128"/>
        <v>126</v>
      </c>
      <c r="BS281">
        <f t="shared" si="104"/>
        <v>134</v>
      </c>
      <c r="BU281">
        <f>IFERROR(8-VLOOKUP(U281,'Dados de consulta'!$A:$D,3,0),8)</f>
        <v>0</v>
      </c>
      <c r="BV281">
        <f>IFERROR(8-VLOOKUP(V281,'Dados de consulta'!$A:$D,3,0),8)</f>
        <v>8</v>
      </c>
      <c r="BW281">
        <f t="shared" si="129"/>
        <v>8</v>
      </c>
    </row>
    <row r="282" spans="1:75" ht="15" hidden="1" x14ac:dyDescent="0.2">
      <c r="A282" s="98">
        <v>42405</v>
      </c>
      <c r="B282" s="129" t="str">
        <f t="shared" si="105"/>
        <v>sex</v>
      </c>
      <c r="C282" s="132"/>
      <c r="D282" s="132"/>
      <c r="E282" s="132">
        <v>8</v>
      </c>
      <c r="F282" s="132"/>
      <c r="G282" s="132"/>
      <c r="H282" s="132"/>
      <c r="I282" s="132"/>
      <c r="J282" s="132"/>
      <c r="K282" s="132" t="s">
        <v>194</v>
      </c>
      <c r="L282" s="132"/>
      <c r="M282" s="132">
        <v>101</v>
      </c>
      <c r="N282" s="132"/>
      <c r="O282" s="132"/>
      <c r="P282" s="132">
        <v>8</v>
      </c>
      <c r="Q282" s="132"/>
      <c r="R282" s="132"/>
      <c r="S282" s="132">
        <v>1</v>
      </c>
      <c r="T282" s="132"/>
      <c r="U282" s="151">
        <v>8</v>
      </c>
      <c r="V282" s="151"/>
      <c r="W282" s="307" t="s">
        <v>193</v>
      </c>
      <c r="X282" s="308"/>
      <c r="Y282" s="38">
        <f t="shared" si="106"/>
        <v>20</v>
      </c>
      <c r="Z282" s="38">
        <f t="shared" si="107"/>
        <v>8</v>
      </c>
      <c r="AA282" s="38">
        <f t="shared" si="108"/>
        <v>0</v>
      </c>
      <c r="AB282" s="38">
        <f t="shared" si="116"/>
        <v>0</v>
      </c>
      <c r="AC282" s="38">
        <f t="shared" si="117"/>
        <v>0</v>
      </c>
      <c r="AD282" s="38">
        <f t="shared" si="118"/>
        <v>0</v>
      </c>
      <c r="AE282" s="38">
        <f t="shared" si="119"/>
        <v>0</v>
      </c>
      <c r="AF282" s="38">
        <f t="shared" si="120"/>
        <v>0</v>
      </c>
      <c r="AG282" s="33">
        <f t="shared" si="121"/>
        <v>20</v>
      </c>
      <c r="AH282" s="33">
        <f t="shared" si="122"/>
        <v>8</v>
      </c>
      <c r="AI282" s="33">
        <f t="shared" si="123"/>
        <v>0</v>
      </c>
      <c r="AJ282" s="33">
        <f t="shared" si="124"/>
        <v>0</v>
      </c>
      <c r="AK282" s="34">
        <f t="shared" si="125"/>
        <v>0.14084507042253522</v>
      </c>
      <c r="AL282" s="35">
        <f t="shared" si="126"/>
        <v>5.6338028169014086E-2</v>
      </c>
      <c r="AM282" s="34">
        <f t="shared" si="109"/>
        <v>0</v>
      </c>
      <c r="AN282" s="36">
        <f t="shared" si="127"/>
        <v>0</v>
      </c>
      <c r="AO282" s="6">
        <f t="shared" si="110"/>
        <v>0</v>
      </c>
      <c r="AP282">
        <f t="shared" si="111"/>
        <v>8</v>
      </c>
      <c r="AQ282" s="6">
        <f t="shared" si="112"/>
        <v>0</v>
      </c>
      <c r="AR282" s="6">
        <f t="shared" si="113"/>
        <v>0</v>
      </c>
      <c r="AS282" s="6"/>
      <c r="AX282" s="95">
        <f t="shared" si="114"/>
        <v>42405</v>
      </c>
      <c r="AY282" s="96" t="str">
        <f t="shared" si="115"/>
        <v>sex</v>
      </c>
      <c r="AZ282" s="97">
        <f>IF(OR(AY282="SÁB",AY282="DOM"),0,IFERROR(8-VLOOKUP(C282,'Dados de consulta'!$A$2:$C$38,3,0),8))</f>
        <v>8</v>
      </c>
      <c r="BA282" s="97">
        <f>IF(OR(AY282="SÁB",AY282="DOM"),0,IFERROR(8-VLOOKUP(D282,'Dados de consulta'!$A$2:$C$38,3,0),8))</f>
        <v>8</v>
      </c>
      <c r="BB282" s="97">
        <f>IF(OR(AY282="SÁB",AY282="DOM"),0,IFERROR(8-VLOOKUP(E282,'Dados de consulta'!$A$2:$C$38,3,0),8))</f>
        <v>0</v>
      </c>
      <c r="BC282" s="97">
        <f>IF(OR(AY282="SÁB",AY282="DOM"),0,IFERROR(8-VLOOKUP(F282,'Dados de consulta'!$A$2:$C$38,3,0),8))</f>
        <v>8</v>
      </c>
      <c r="BD282" s="97">
        <f>IF(OR(AY282="SÁB",AY282="DOM"),0,IFERROR(8-VLOOKUP(G282,'Dados de consulta'!$A$2:$C$38,3,0),8))</f>
        <v>8</v>
      </c>
      <c r="BE282" s="97">
        <f>IF(OR(AY282="SÁB",AY282="DOM"),0,IFERROR(8-VLOOKUP(H282,'Dados de consulta'!$A$2:$C$38,3,0),8))</f>
        <v>8</v>
      </c>
      <c r="BF282" s="97">
        <f>IF(OR(AY282="SÁB",AY282="DOM"),0,IFERROR(8-VLOOKUP(I282,'Dados de consulta'!$A$2:$C$38,3,0),8))</f>
        <v>8</v>
      </c>
      <c r="BG282" s="97">
        <f>IF(OR(AY282="SÁB",AY282="DOM"),0,IFERROR(8-VLOOKUP(J282,'Dados de consulta'!$A$2:$C$38,3,0),8))</f>
        <v>8</v>
      </c>
      <c r="BH282" s="97">
        <f>IF(OR(AY282="SÁB",AY282="DOM"),0,IFERROR(8-VLOOKUP(K282,'Dados de consulta'!$A$2:$C$38,3,0),8))</f>
        <v>4</v>
      </c>
      <c r="BI282" s="97">
        <f>IF(OR(AY282="SÁB",AY282="DOM"),0,IFERROR(8-VLOOKUP(L282,'Dados de consulta'!$A$2:$C$38,3,0),8))</f>
        <v>8</v>
      </c>
      <c r="BJ282" s="97">
        <f>IF(OR(AY282="SÁB",AY282="DOM"),0,IFERROR(8-VLOOKUP(M282,'Dados de consulta'!$A$2:$C$38,3,0),8))</f>
        <v>0</v>
      </c>
      <c r="BK282" s="97">
        <f>IF(OR(AY282="SÁB",AY282="DOM"),0,IFERROR(8-VLOOKUP(N282,'Dados de consulta'!$A$2:$C$38,3,0),8))</f>
        <v>8</v>
      </c>
      <c r="BL282" s="97">
        <f>IF(OR(AY282="SÁB",AY282="DOM"),0,IFERROR(8-VLOOKUP(O282,'Dados de consulta'!$A$2:$C$38,3,0),8))</f>
        <v>8</v>
      </c>
      <c r="BM282" s="97">
        <f>IF(OR(AY282="SÁB",AY282="DOM"),0,IFERROR(8-VLOOKUP(P282,'Dados de consulta'!$A$2:$C$38,3,0),8))</f>
        <v>0</v>
      </c>
      <c r="BN282" s="97">
        <f>IF(OR(AY282="SÁB",AY282="DOM"),0,IFERROR(8-VLOOKUP(Q282,'Dados de consulta'!$A$2:$C$38,3,0),8))</f>
        <v>8</v>
      </c>
      <c r="BO282" s="97">
        <f>IF(OR(AY282="SÁB",AY282="DOM"),0,IFERROR(8-VLOOKUP(R282,'Dados de consulta'!$A$2:$C$38,3,0),8))</f>
        <v>8</v>
      </c>
      <c r="BP282" s="97">
        <f>IF(OR(AY282="SÁB",AY282="DOM"),0,IFERROR(8-VLOOKUP(S282,'Dados de consulta'!$A$2:$C$38,3,0),8))</f>
        <v>0</v>
      </c>
      <c r="BQ282" s="113">
        <f>IFERROR(6-VLOOKUP(T282,'Dados de consulta'!$A$2:$C$38,3,0)+2,6)</f>
        <v>6</v>
      </c>
      <c r="BR282" s="114">
        <f t="shared" si="128"/>
        <v>106</v>
      </c>
      <c r="BS282">
        <f t="shared" si="104"/>
        <v>134</v>
      </c>
      <c r="BU282">
        <f>IFERROR(8-VLOOKUP(U282,'Dados de consulta'!$A:$D,3,0),8)</f>
        <v>0</v>
      </c>
      <c r="BV282">
        <f>IFERROR(8-VLOOKUP(V282,'Dados de consulta'!$A:$D,3,0),8)</f>
        <v>8</v>
      </c>
      <c r="BW282">
        <f t="shared" si="129"/>
        <v>8</v>
      </c>
    </row>
    <row r="283" spans="1:75" ht="15" hidden="1" x14ac:dyDescent="0.2">
      <c r="A283" s="98">
        <v>42406</v>
      </c>
      <c r="B283" s="129" t="str">
        <f t="shared" si="105"/>
        <v>sáb</v>
      </c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>
        <v>101</v>
      </c>
      <c r="N283" s="132"/>
      <c r="O283" s="132"/>
      <c r="P283" s="132"/>
      <c r="Q283" s="132"/>
      <c r="R283" s="132"/>
      <c r="S283" s="132"/>
      <c r="T283" s="132"/>
      <c r="U283" s="151"/>
      <c r="V283" s="151"/>
      <c r="W283" s="307" t="s">
        <v>193</v>
      </c>
      <c r="X283" s="308"/>
      <c r="Y283" s="38">
        <f t="shared" si="106"/>
        <v>0</v>
      </c>
      <c r="Z283" s="38">
        <f t="shared" si="107"/>
        <v>0</v>
      </c>
      <c r="AA283" s="38">
        <f t="shared" si="108"/>
        <v>0</v>
      </c>
      <c r="AB283" s="38">
        <f t="shared" si="116"/>
        <v>0</v>
      </c>
      <c r="AC283" s="38">
        <f t="shared" si="117"/>
        <v>0</v>
      </c>
      <c r="AD283" s="38">
        <f t="shared" si="118"/>
        <v>0</v>
      </c>
      <c r="AE283" s="38">
        <f t="shared" si="119"/>
        <v>0</v>
      </c>
      <c r="AF283" s="38">
        <f t="shared" si="120"/>
        <v>0</v>
      </c>
      <c r="AG283" s="33">
        <f t="shared" si="121"/>
        <v>0</v>
      </c>
      <c r="AH283" s="33">
        <f t="shared" si="122"/>
        <v>0</v>
      </c>
      <c r="AI283" s="33">
        <f t="shared" si="123"/>
        <v>0</v>
      </c>
      <c r="AJ283" s="33">
        <f t="shared" si="124"/>
        <v>0</v>
      </c>
      <c r="AK283" s="34">
        <f t="shared" si="125"/>
        <v>0</v>
      </c>
      <c r="AL283" s="35">
        <f t="shared" si="126"/>
        <v>0</v>
      </c>
      <c r="AM283" s="34">
        <f t="shared" si="109"/>
        <v>0</v>
      </c>
      <c r="AN283" s="36">
        <f t="shared" si="127"/>
        <v>0</v>
      </c>
      <c r="AO283" s="6">
        <f t="shared" si="110"/>
        <v>0</v>
      </c>
      <c r="AP283">
        <f t="shared" si="111"/>
        <v>8</v>
      </c>
      <c r="AQ283" s="6">
        <f t="shared" si="112"/>
        <v>0</v>
      </c>
      <c r="AR283" s="6">
        <f t="shared" si="113"/>
        <v>0</v>
      </c>
      <c r="AS283" s="6"/>
      <c r="AX283" s="95">
        <f t="shared" si="114"/>
        <v>42406</v>
      </c>
      <c r="AY283" s="96" t="str">
        <f t="shared" si="115"/>
        <v>sáb</v>
      </c>
      <c r="AZ283" s="97">
        <f>IF(OR(AY283="SÁB",AY283="DOM"),0,IFERROR(8-VLOOKUP(C283,'Dados de consulta'!$A$2:$C$38,3,0),8))</f>
        <v>0</v>
      </c>
      <c r="BA283" s="97">
        <f>IF(OR(AY283="SÁB",AY283="DOM"),0,IFERROR(8-VLOOKUP(D283,'Dados de consulta'!$A$2:$C$38,3,0),8))</f>
        <v>0</v>
      </c>
      <c r="BB283" s="97">
        <f>IF(OR(AY283="SÁB",AY283="DOM"),0,IFERROR(8-VLOOKUP(E283,'Dados de consulta'!$A$2:$C$38,3,0),8))</f>
        <v>0</v>
      </c>
      <c r="BC283" s="97">
        <f>IF(OR(AY283="SÁB",AY283="DOM"),0,IFERROR(8-VLOOKUP(F283,'Dados de consulta'!$A$2:$C$38,3,0),8))</f>
        <v>0</v>
      </c>
      <c r="BD283" s="97">
        <f>IF(OR(AY283="SÁB",AY283="DOM"),0,IFERROR(8-VLOOKUP(G283,'Dados de consulta'!$A$2:$C$38,3,0),8))</f>
        <v>0</v>
      </c>
      <c r="BE283" s="97">
        <f>IF(OR(AY283="SÁB",AY283="DOM"),0,IFERROR(8-VLOOKUP(H283,'Dados de consulta'!$A$2:$C$38,3,0),8))</f>
        <v>0</v>
      </c>
      <c r="BF283" s="97">
        <f>IF(OR(AY283="SÁB",AY283="DOM"),0,IFERROR(8-VLOOKUP(I283,'Dados de consulta'!$A$2:$C$38,3,0),8))</f>
        <v>0</v>
      </c>
      <c r="BG283" s="97">
        <f>IF(OR(AY283="SÁB",AY283="DOM"),0,IFERROR(8-VLOOKUP(J283,'Dados de consulta'!$A$2:$C$38,3,0),8))</f>
        <v>0</v>
      </c>
      <c r="BH283" s="97">
        <f>IF(OR(AY283="SÁB",AY283="DOM"),0,IFERROR(8-VLOOKUP(K283,'Dados de consulta'!$A$2:$C$38,3,0),8))</f>
        <v>0</v>
      </c>
      <c r="BI283" s="97">
        <f>IF(OR(AY283="SÁB",AY283="DOM"),0,IFERROR(8-VLOOKUP(L283,'Dados de consulta'!$A$2:$C$38,3,0),8))</f>
        <v>0</v>
      </c>
      <c r="BJ283" s="97">
        <f>IF(OR(AY283="SÁB",AY283="DOM"),0,IFERROR(8-VLOOKUP(M283,'Dados de consulta'!$A$2:$C$38,3,0),8))</f>
        <v>0</v>
      </c>
      <c r="BK283" s="97">
        <f>IF(OR(AY283="SÁB",AY283="DOM"),0,IFERROR(8-VLOOKUP(N283,'Dados de consulta'!$A$2:$C$38,3,0),8))</f>
        <v>0</v>
      </c>
      <c r="BL283" s="97">
        <f>IF(OR(AY283="SÁB",AY283="DOM"),0,IFERROR(8-VLOOKUP(O283,'Dados de consulta'!$A$2:$C$38,3,0),8))</f>
        <v>0</v>
      </c>
      <c r="BM283" s="97">
        <f>IF(OR(AY283="SÁB",AY283="DOM"),0,IFERROR(8-VLOOKUP(P283,'Dados de consulta'!$A$2:$C$38,3,0),8))</f>
        <v>0</v>
      </c>
      <c r="BN283" s="97">
        <f>IF(OR(AY283="SÁB",AY283="DOM"),0,IFERROR(8-VLOOKUP(Q283,'Dados de consulta'!$A$2:$C$38,3,0),8))</f>
        <v>0</v>
      </c>
      <c r="BO283" s="97">
        <f>IF(OR(AY283="SÁB",AY283="DOM"),0,IFERROR(8-VLOOKUP(R283,'Dados de consulta'!$A$2:$C$38,3,0),8))</f>
        <v>0</v>
      </c>
      <c r="BP283" s="97">
        <f>IF(OR(AY283="SÁB",AY283="DOM"),0,IFERROR(8-VLOOKUP(S283,'Dados de consulta'!$A$2:$C$38,3,0),8))</f>
        <v>0</v>
      </c>
      <c r="BQ283" s="113">
        <f>IFERROR(6-VLOOKUP(T283,'Dados de consulta'!$A$2:$C$38,3,0)+2,6)</f>
        <v>6</v>
      </c>
      <c r="BR283" s="114">
        <f t="shared" si="128"/>
        <v>0</v>
      </c>
      <c r="BS283">
        <f t="shared" si="104"/>
        <v>0</v>
      </c>
      <c r="BU283">
        <f>IFERROR(8-VLOOKUP(U283,'Dados de consulta'!$A:$D,3,0),8)</f>
        <v>8</v>
      </c>
      <c r="BV283">
        <f>IFERROR(8-VLOOKUP(V283,'Dados de consulta'!$A:$D,3,0),8)</f>
        <v>8</v>
      </c>
      <c r="BW283">
        <f t="shared" si="129"/>
        <v>16</v>
      </c>
    </row>
    <row r="284" spans="1:75" ht="15" hidden="1" x14ac:dyDescent="0.2">
      <c r="A284" s="98">
        <v>42407</v>
      </c>
      <c r="B284" s="129" t="str">
        <f t="shared" si="105"/>
        <v>dom</v>
      </c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>
        <v>101</v>
      </c>
      <c r="N284" s="132"/>
      <c r="O284" s="132"/>
      <c r="P284" s="132"/>
      <c r="Q284" s="132"/>
      <c r="R284" s="132"/>
      <c r="S284" s="132"/>
      <c r="T284" s="132"/>
      <c r="U284" s="151"/>
      <c r="V284" s="151"/>
      <c r="W284" s="307" t="s">
        <v>193</v>
      </c>
      <c r="X284" s="308"/>
      <c r="Y284" s="38">
        <f t="shared" si="106"/>
        <v>0</v>
      </c>
      <c r="Z284" s="38">
        <f t="shared" si="107"/>
        <v>0</v>
      </c>
      <c r="AA284" s="38">
        <f t="shared" si="108"/>
        <v>0</v>
      </c>
      <c r="AB284" s="38">
        <f t="shared" si="116"/>
        <v>0</v>
      </c>
      <c r="AC284" s="38">
        <f t="shared" si="117"/>
        <v>0</v>
      </c>
      <c r="AD284" s="38">
        <f t="shared" si="118"/>
        <v>0</v>
      </c>
      <c r="AE284" s="38">
        <f t="shared" si="119"/>
        <v>0</v>
      </c>
      <c r="AF284" s="38">
        <f t="shared" si="120"/>
        <v>0</v>
      </c>
      <c r="AG284" s="33">
        <f t="shared" si="121"/>
        <v>0</v>
      </c>
      <c r="AH284" s="33">
        <f t="shared" si="122"/>
        <v>0</v>
      </c>
      <c r="AI284" s="33">
        <f t="shared" si="123"/>
        <v>0</v>
      </c>
      <c r="AJ284" s="33">
        <f t="shared" si="124"/>
        <v>0</v>
      </c>
      <c r="AK284" s="34">
        <f t="shared" si="125"/>
        <v>0</v>
      </c>
      <c r="AL284" s="35">
        <f t="shared" si="126"/>
        <v>0</v>
      </c>
      <c r="AM284" s="34">
        <f t="shared" si="109"/>
        <v>0</v>
      </c>
      <c r="AN284" s="36">
        <f t="shared" si="127"/>
        <v>0</v>
      </c>
      <c r="AO284" s="6">
        <f t="shared" si="110"/>
        <v>0</v>
      </c>
      <c r="AP284">
        <f t="shared" si="111"/>
        <v>8</v>
      </c>
      <c r="AQ284" s="6">
        <f t="shared" si="112"/>
        <v>0</v>
      </c>
      <c r="AR284" s="6">
        <f t="shared" si="113"/>
        <v>0</v>
      </c>
      <c r="AS284" s="6"/>
      <c r="AX284" s="95">
        <f t="shared" si="114"/>
        <v>42407</v>
      </c>
      <c r="AY284" s="96" t="str">
        <f t="shared" si="115"/>
        <v>dom</v>
      </c>
      <c r="AZ284" s="97">
        <f>IF(OR(AY284="SÁB",AY284="DOM"),0,IFERROR(8-VLOOKUP(C284,'Dados de consulta'!$A$2:$C$38,3,0),8))</f>
        <v>0</v>
      </c>
      <c r="BA284" s="97">
        <f>IF(OR(AY284="SÁB",AY284="DOM"),0,IFERROR(8-VLOOKUP(D284,'Dados de consulta'!$A$2:$C$38,3,0),8))</f>
        <v>0</v>
      </c>
      <c r="BB284" s="97">
        <f>IF(OR(AY284="SÁB",AY284="DOM"),0,IFERROR(8-VLOOKUP(E284,'Dados de consulta'!$A$2:$C$38,3,0),8))</f>
        <v>0</v>
      </c>
      <c r="BC284" s="97">
        <f>IF(OR(AY284="SÁB",AY284="DOM"),0,IFERROR(8-VLOOKUP(F284,'Dados de consulta'!$A$2:$C$38,3,0),8))</f>
        <v>0</v>
      </c>
      <c r="BD284" s="97">
        <f>IF(OR(AY284="SÁB",AY284="DOM"),0,IFERROR(8-VLOOKUP(G284,'Dados de consulta'!$A$2:$C$38,3,0),8))</f>
        <v>0</v>
      </c>
      <c r="BE284" s="97">
        <f>IF(OR(AY284="SÁB",AY284="DOM"),0,IFERROR(8-VLOOKUP(H284,'Dados de consulta'!$A$2:$C$38,3,0),8))</f>
        <v>0</v>
      </c>
      <c r="BF284" s="97">
        <f>IF(OR(AY284="SÁB",AY284="DOM"),0,IFERROR(8-VLOOKUP(I284,'Dados de consulta'!$A$2:$C$38,3,0),8))</f>
        <v>0</v>
      </c>
      <c r="BG284" s="97">
        <f>IF(OR(AY284="SÁB",AY284="DOM"),0,IFERROR(8-VLOOKUP(J284,'Dados de consulta'!$A$2:$C$38,3,0),8))</f>
        <v>0</v>
      </c>
      <c r="BH284" s="97">
        <f>IF(OR(AY284="SÁB",AY284="DOM"),0,IFERROR(8-VLOOKUP(K284,'Dados de consulta'!$A$2:$C$38,3,0),8))</f>
        <v>0</v>
      </c>
      <c r="BI284" s="97">
        <f>IF(OR(AY284="SÁB",AY284="DOM"),0,IFERROR(8-VLOOKUP(L284,'Dados de consulta'!$A$2:$C$38,3,0),8))</f>
        <v>0</v>
      </c>
      <c r="BJ284" s="97">
        <f>IF(OR(AY284="SÁB",AY284="DOM"),0,IFERROR(8-VLOOKUP(M284,'Dados de consulta'!$A$2:$C$38,3,0),8))</f>
        <v>0</v>
      </c>
      <c r="BK284" s="97">
        <f>IF(OR(AY284="SÁB",AY284="DOM"),0,IFERROR(8-VLOOKUP(N284,'Dados de consulta'!$A$2:$C$38,3,0),8))</f>
        <v>0</v>
      </c>
      <c r="BL284" s="97">
        <f>IF(OR(AY284="SÁB",AY284="DOM"),0,IFERROR(8-VLOOKUP(O284,'Dados de consulta'!$A$2:$C$38,3,0),8))</f>
        <v>0</v>
      </c>
      <c r="BM284" s="97">
        <f>IF(OR(AY284="SÁB",AY284="DOM"),0,IFERROR(8-VLOOKUP(P284,'Dados de consulta'!$A$2:$C$38,3,0),8))</f>
        <v>0</v>
      </c>
      <c r="BN284" s="97">
        <f>IF(OR(AY284="SÁB",AY284="DOM"),0,IFERROR(8-VLOOKUP(Q284,'Dados de consulta'!$A$2:$C$38,3,0),8))</f>
        <v>0</v>
      </c>
      <c r="BO284" s="97">
        <f>IF(OR(AY284="SÁB",AY284="DOM"),0,IFERROR(8-VLOOKUP(R284,'Dados de consulta'!$A$2:$C$38,3,0),8))</f>
        <v>0</v>
      </c>
      <c r="BP284" s="97">
        <f>IF(OR(AY284="SÁB",AY284="DOM"),0,IFERROR(8-VLOOKUP(S284,'Dados de consulta'!$A$2:$C$38,3,0),8))</f>
        <v>0</v>
      </c>
      <c r="BQ284" s="113">
        <f>IFERROR(6-VLOOKUP(T284,'Dados de consulta'!$A$2:$C$38,3,0)+2,6)</f>
        <v>6</v>
      </c>
      <c r="BR284" s="114">
        <f t="shared" si="128"/>
        <v>0</v>
      </c>
      <c r="BS284">
        <f t="shared" si="104"/>
        <v>0</v>
      </c>
      <c r="BU284">
        <f>IFERROR(8-VLOOKUP(U284,'Dados de consulta'!$A:$D,3,0),8)</f>
        <v>8</v>
      </c>
      <c r="BV284">
        <f>IFERROR(8-VLOOKUP(V284,'Dados de consulta'!$A:$D,3,0),8)</f>
        <v>8</v>
      </c>
      <c r="BW284">
        <f t="shared" si="129"/>
        <v>16</v>
      </c>
    </row>
    <row r="285" spans="1:75" ht="15" hidden="1" x14ac:dyDescent="0.2">
      <c r="A285" s="98">
        <v>42408</v>
      </c>
      <c r="B285" s="129" t="str">
        <f t="shared" si="105"/>
        <v>seg</v>
      </c>
      <c r="C285" s="132">
        <v>17</v>
      </c>
      <c r="D285" s="132">
        <v>17</v>
      </c>
      <c r="E285" s="132">
        <v>17</v>
      </c>
      <c r="F285" s="132">
        <v>17</v>
      </c>
      <c r="G285" s="132">
        <v>17</v>
      </c>
      <c r="H285" s="132">
        <v>17</v>
      </c>
      <c r="I285" s="132">
        <v>17</v>
      </c>
      <c r="J285" s="132">
        <v>17</v>
      </c>
      <c r="K285" s="132">
        <v>17</v>
      </c>
      <c r="L285" s="132">
        <v>17</v>
      </c>
      <c r="M285" s="132">
        <v>17</v>
      </c>
      <c r="N285" s="132">
        <v>17</v>
      </c>
      <c r="O285" s="132">
        <v>17</v>
      </c>
      <c r="P285" s="132">
        <v>17</v>
      </c>
      <c r="Q285" s="132">
        <v>17</v>
      </c>
      <c r="R285" s="132">
        <v>17</v>
      </c>
      <c r="S285" s="132">
        <v>17</v>
      </c>
      <c r="T285" s="132">
        <v>17</v>
      </c>
      <c r="U285" s="151">
        <v>17</v>
      </c>
      <c r="V285" s="151">
        <v>17</v>
      </c>
      <c r="W285" s="307" t="s">
        <v>193</v>
      </c>
      <c r="X285" s="308"/>
      <c r="Y285" s="38">
        <f t="shared" si="106"/>
        <v>0</v>
      </c>
      <c r="Z285" s="38">
        <f t="shared" si="107"/>
        <v>0</v>
      </c>
      <c r="AA285" s="38">
        <f t="shared" si="108"/>
        <v>0</v>
      </c>
      <c r="AB285" s="38">
        <f t="shared" si="116"/>
        <v>0</v>
      </c>
      <c r="AC285" s="38">
        <f t="shared" si="117"/>
        <v>0</v>
      </c>
      <c r="AD285" s="38">
        <f t="shared" si="118"/>
        <v>0</v>
      </c>
      <c r="AE285" s="38">
        <f t="shared" si="119"/>
        <v>0</v>
      </c>
      <c r="AF285" s="38">
        <f t="shared" si="120"/>
        <v>0</v>
      </c>
      <c r="AG285" s="33">
        <f t="shared" si="121"/>
        <v>0</v>
      </c>
      <c r="AH285" s="33">
        <f t="shared" si="122"/>
        <v>0</v>
      </c>
      <c r="AI285" s="33">
        <f t="shared" si="123"/>
        <v>0</v>
      </c>
      <c r="AJ285" s="33">
        <f t="shared" si="124"/>
        <v>0</v>
      </c>
      <c r="AK285" s="34">
        <f t="shared" si="125"/>
        <v>0</v>
      </c>
      <c r="AL285" s="35">
        <f t="shared" si="126"/>
        <v>0</v>
      </c>
      <c r="AM285" s="34">
        <f t="shared" si="109"/>
        <v>0</v>
      </c>
      <c r="AN285" s="36">
        <f t="shared" si="127"/>
        <v>0</v>
      </c>
      <c r="AO285" s="6">
        <f t="shared" si="110"/>
        <v>0</v>
      </c>
      <c r="AP285">
        <f t="shared" si="111"/>
        <v>0</v>
      </c>
      <c r="AQ285" s="6">
        <f t="shared" si="112"/>
        <v>0</v>
      </c>
      <c r="AR285" s="6">
        <f t="shared" si="113"/>
        <v>0</v>
      </c>
      <c r="AS285" s="6"/>
      <c r="AX285" s="95">
        <f t="shared" si="114"/>
        <v>42408</v>
      </c>
      <c r="AY285" s="96" t="str">
        <f t="shared" si="115"/>
        <v>seg</v>
      </c>
      <c r="AZ285" s="97">
        <f>IF(OR(AY285="SÁB",AY285="DOM"),0,IFERROR(8-VLOOKUP(C285,'Dados de consulta'!$A$2:$C$38,3,0),8))</f>
        <v>0</v>
      </c>
      <c r="BA285" s="97">
        <f>IF(OR(AY285="SÁB",AY285="DOM"),0,IFERROR(8-VLOOKUP(D285,'Dados de consulta'!$A$2:$C$38,3,0),8))</f>
        <v>0</v>
      </c>
      <c r="BB285" s="97">
        <f>IF(OR(AY285="SÁB",AY285="DOM"),0,IFERROR(8-VLOOKUP(E285,'Dados de consulta'!$A$2:$C$38,3,0),8))</f>
        <v>0</v>
      </c>
      <c r="BC285" s="97">
        <f>IF(OR(AY285="SÁB",AY285="DOM"),0,IFERROR(8-VLOOKUP(F285,'Dados de consulta'!$A$2:$C$38,3,0),8))</f>
        <v>0</v>
      </c>
      <c r="BD285" s="97">
        <f>IF(OR(AY285="SÁB",AY285="DOM"),0,IFERROR(8-VLOOKUP(G285,'Dados de consulta'!$A$2:$C$38,3,0),8))</f>
        <v>0</v>
      </c>
      <c r="BE285" s="97">
        <f>IF(OR(AY285="SÁB",AY285="DOM"),0,IFERROR(8-VLOOKUP(H285,'Dados de consulta'!$A$2:$C$38,3,0),8))</f>
        <v>0</v>
      </c>
      <c r="BF285" s="97">
        <f>IF(OR(AY285="SÁB",AY285="DOM"),0,IFERROR(8-VLOOKUP(I285,'Dados de consulta'!$A$2:$C$38,3,0),8))</f>
        <v>0</v>
      </c>
      <c r="BG285" s="97">
        <f>IF(OR(AY285="SÁB",AY285="DOM"),0,IFERROR(8-VLOOKUP(J285,'Dados de consulta'!$A$2:$C$38,3,0),8))</f>
        <v>0</v>
      </c>
      <c r="BH285" s="97">
        <f>IF(OR(AY285="SÁB",AY285="DOM"),0,IFERROR(8-VLOOKUP(K285,'Dados de consulta'!$A$2:$C$38,3,0),8))</f>
        <v>0</v>
      </c>
      <c r="BI285" s="97">
        <f>IF(OR(AY285="SÁB",AY285="DOM"),0,IFERROR(8-VLOOKUP(L285,'Dados de consulta'!$A$2:$C$38,3,0),8))</f>
        <v>0</v>
      </c>
      <c r="BJ285" s="97">
        <f>IF(OR(AY285="SÁB",AY285="DOM"),0,IFERROR(8-VLOOKUP(M285,'Dados de consulta'!$A$2:$C$38,3,0),8))</f>
        <v>0</v>
      </c>
      <c r="BK285" s="97">
        <f>IF(OR(AY285="SÁB",AY285="DOM"),0,IFERROR(8-VLOOKUP(N285,'Dados de consulta'!$A$2:$C$38,3,0),8))</f>
        <v>0</v>
      </c>
      <c r="BL285" s="97">
        <f>IF(OR(AY285="SÁB",AY285="DOM"),0,IFERROR(8-VLOOKUP(O285,'Dados de consulta'!$A$2:$C$38,3,0),8))</f>
        <v>0</v>
      </c>
      <c r="BM285" s="97">
        <f>IF(OR(AY285="SÁB",AY285="DOM"),0,IFERROR(8-VLOOKUP(P285,'Dados de consulta'!$A$2:$C$38,3,0),8))</f>
        <v>0</v>
      </c>
      <c r="BN285" s="97">
        <f>IF(OR(AY285="SÁB",AY285="DOM"),0,IFERROR(8-VLOOKUP(Q285,'Dados de consulta'!$A$2:$C$38,3,0),8))</f>
        <v>0</v>
      </c>
      <c r="BO285" s="97">
        <f>IF(OR(AY285="SÁB",AY285="DOM"),0,IFERROR(8-VLOOKUP(R285,'Dados de consulta'!$A$2:$C$38,3,0),8))</f>
        <v>0</v>
      </c>
      <c r="BP285" s="97">
        <f>IF(OR(AY285="SÁB",AY285="DOM"),0,IFERROR(8-VLOOKUP(S285,'Dados de consulta'!$A$2:$C$38,3,0),8))</f>
        <v>0</v>
      </c>
      <c r="BQ285" s="113">
        <f>IFERROR(6-VLOOKUP(T285,'Dados de consulta'!$A$2:$C$38,3,0)+2,6)</f>
        <v>0</v>
      </c>
      <c r="BR285" s="114">
        <f t="shared" si="128"/>
        <v>0</v>
      </c>
      <c r="BS285">
        <f t="shared" si="104"/>
        <v>0</v>
      </c>
      <c r="BU285">
        <f>IFERROR(8-VLOOKUP(U285,'Dados de consulta'!$A:$D,3,0),8)</f>
        <v>0</v>
      </c>
      <c r="BV285">
        <f>IFERROR(8-VLOOKUP(V285,'Dados de consulta'!$A:$D,3,0),8)</f>
        <v>0</v>
      </c>
      <c r="BW285">
        <f t="shared" si="129"/>
        <v>0</v>
      </c>
    </row>
    <row r="286" spans="1:75" ht="15" hidden="1" x14ac:dyDescent="0.2">
      <c r="A286" s="98">
        <v>42409</v>
      </c>
      <c r="B286" s="129" t="str">
        <f t="shared" si="105"/>
        <v>ter</v>
      </c>
      <c r="C286" s="132">
        <v>17</v>
      </c>
      <c r="D286" s="132">
        <v>17</v>
      </c>
      <c r="E286" s="132">
        <v>17</v>
      </c>
      <c r="F286" s="132">
        <v>17</v>
      </c>
      <c r="G286" s="132">
        <v>17</v>
      </c>
      <c r="H286" s="132">
        <v>17</v>
      </c>
      <c r="I286" s="132">
        <v>17</v>
      </c>
      <c r="J286" s="132">
        <v>17</v>
      </c>
      <c r="K286" s="132">
        <v>17</v>
      </c>
      <c r="L286" s="132">
        <v>17</v>
      </c>
      <c r="M286" s="132">
        <v>17</v>
      </c>
      <c r="N286" s="132">
        <v>17</v>
      </c>
      <c r="O286" s="132">
        <v>17</v>
      </c>
      <c r="P286" s="132">
        <v>17</v>
      </c>
      <c r="Q286" s="132">
        <v>17</v>
      </c>
      <c r="R286" s="132">
        <v>17</v>
      </c>
      <c r="S286" s="132">
        <v>17</v>
      </c>
      <c r="T286" s="132">
        <v>17</v>
      </c>
      <c r="U286" s="151">
        <v>17</v>
      </c>
      <c r="V286" s="151">
        <v>17</v>
      </c>
      <c r="W286" s="307" t="s">
        <v>193</v>
      </c>
      <c r="X286" s="308"/>
      <c r="Y286" s="38">
        <f t="shared" si="106"/>
        <v>0</v>
      </c>
      <c r="Z286" s="38">
        <f t="shared" si="107"/>
        <v>0</v>
      </c>
      <c r="AA286" s="38">
        <f t="shared" si="108"/>
        <v>0</v>
      </c>
      <c r="AB286" s="38">
        <f t="shared" si="116"/>
        <v>0</v>
      </c>
      <c r="AC286" s="38">
        <f t="shared" si="117"/>
        <v>0</v>
      </c>
      <c r="AD286" s="38">
        <f t="shared" si="118"/>
        <v>0</v>
      </c>
      <c r="AE286" s="38">
        <f t="shared" si="119"/>
        <v>0</v>
      </c>
      <c r="AF286" s="38">
        <f t="shared" si="120"/>
        <v>0</v>
      </c>
      <c r="AG286" s="33">
        <f t="shared" si="121"/>
        <v>0</v>
      </c>
      <c r="AH286" s="33">
        <f t="shared" si="122"/>
        <v>0</v>
      </c>
      <c r="AI286" s="33">
        <f t="shared" si="123"/>
        <v>0</v>
      </c>
      <c r="AJ286" s="33">
        <f t="shared" si="124"/>
        <v>0</v>
      </c>
      <c r="AK286" s="34">
        <f t="shared" si="125"/>
        <v>0</v>
      </c>
      <c r="AL286" s="35">
        <f t="shared" si="126"/>
        <v>0</v>
      </c>
      <c r="AM286" s="34">
        <f t="shared" si="109"/>
        <v>0</v>
      </c>
      <c r="AN286" s="36">
        <f t="shared" si="127"/>
        <v>0</v>
      </c>
      <c r="AO286" s="6">
        <f t="shared" si="110"/>
        <v>0</v>
      </c>
      <c r="AP286">
        <f t="shared" si="111"/>
        <v>0</v>
      </c>
      <c r="AQ286" s="6">
        <f t="shared" si="112"/>
        <v>0</v>
      </c>
      <c r="AR286" s="6">
        <f t="shared" si="113"/>
        <v>0</v>
      </c>
      <c r="AS286" s="6"/>
      <c r="AX286" s="95">
        <f t="shared" si="114"/>
        <v>42409</v>
      </c>
      <c r="AY286" s="96" t="str">
        <f t="shared" si="115"/>
        <v>ter</v>
      </c>
      <c r="AZ286" s="97">
        <f>IF(OR(AY286="SÁB",AY286="DOM"),0,IFERROR(8-VLOOKUP(C286,'Dados de consulta'!$A$2:$C$38,3,0),8))</f>
        <v>0</v>
      </c>
      <c r="BA286" s="97">
        <f>IF(OR(AY286="SÁB",AY286="DOM"),0,IFERROR(8-VLOOKUP(D286,'Dados de consulta'!$A$2:$C$38,3,0),8))</f>
        <v>0</v>
      </c>
      <c r="BB286" s="97">
        <f>IF(OR(AY286="SÁB",AY286="DOM"),0,IFERROR(8-VLOOKUP(E286,'Dados de consulta'!$A$2:$C$38,3,0),8))</f>
        <v>0</v>
      </c>
      <c r="BC286" s="97">
        <f>IF(OR(AY286="SÁB",AY286="DOM"),0,IFERROR(8-VLOOKUP(F286,'Dados de consulta'!$A$2:$C$38,3,0),8))</f>
        <v>0</v>
      </c>
      <c r="BD286" s="97">
        <f>IF(OR(AY286="SÁB",AY286="DOM"),0,IFERROR(8-VLOOKUP(G286,'Dados de consulta'!$A$2:$C$38,3,0),8))</f>
        <v>0</v>
      </c>
      <c r="BE286" s="97">
        <f>IF(OR(AY286="SÁB",AY286="DOM"),0,IFERROR(8-VLOOKUP(H286,'Dados de consulta'!$A$2:$C$38,3,0),8))</f>
        <v>0</v>
      </c>
      <c r="BF286" s="97">
        <f>IF(OR(AY286="SÁB",AY286="DOM"),0,IFERROR(8-VLOOKUP(I286,'Dados de consulta'!$A$2:$C$38,3,0),8))</f>
        <v>0</v>
      </c>
      <c r="BG286" s="97">
        <f>IF(OR(AY286="SÁB",AY286="DOM"),0,IFERROR(8-VLOOKUP(J286,'Dados de consulta'!$A$2:$C$38,3,0),8))</f>
        <v>0</v>
      </c>
      <c r="BH286" s="97">
        <f>IF(OR(AY286="SÁB",AY286="DOM"),0,IFERROR(8-VLOOKUP(K286,'Dados de consulta'!$A$2:$C$38,3,0),8))</f>
        <v>0</v>
      </c>
      <c r="BI286" s="97">
        <f>IF(OR(AY286="SÁB",AY286="DOM"),0,IFERROR(8-VLOOKUP(L286,'Dados de consulta'!$A$2:$C$38,3,0),8))</f>
        <v>0</v>
      </c>
      <c r="BJ286" s="97">
        <f>IF(OR(AY286="SÁB",AY286="DOM"),0,IFERROR(8-VLOOKUP(M286,'Dados de consulta'!$A$2:$C$38,3,0),8))</f>
        <v>0</v>
      </c>
      <c r="BK286" s="97">
        <f>IF(OR(AY286="SÁB",AY286="DOM"),0,IFERROR(8-VLOOKUP(N286,'Dados de consulta'!$A$2:$C$38,3,0),8))</f>
        <v>0</v>
      </c>
      <c r="BL286" s="97">
        <f>IF(OR(AY286="SÁB",AY286="DOM"),0,IFERROR(8-VLOOKUP(O286,'Dados de consulta'!$A$2:$C$38,3,0),8))</f>
        <v>0</v>
      </c>
      <c r="BM286" s="97">
        <f>IF(OR(AY286="SÁB",AY286="DOM"),0,IFERROR(8-VLOOKUP(P286,'Dados de consulta'!$A$2:$C$38,3,0),8))</f>
        <v>0</v>
      </c>
      <c r="BN286" s="97">
        <f>IF(OR(AY286="SÁB",AY286="DOM"),0,IFERROR(8-VLOOKUP(Q286,'Dados de consulta'!$A$2:$C$38,3,0),8))</f>
        <v>0</v>
      </c>
      <c r="BO286" s="97">
        <f>IF(OR(AY286="SÁB",AY286="DOM"),0,IFERROR(8-VLOOKUP(R286,'Dados de consulta'!$A$2:$C$38,3,0),8))</f>
        <v>0</v>
      </c>
      <c r="BP286" s="97">
        <f>IF(OR(AY286="SÁB",AY286="DOM"),0,IFERROR(8-VLOOKUP(S286,'Dados de consulta'!$A$2:$C$38,3,0),8))</f>
        <v>0</v>
      </c>
      <c r="BQ286" s="113">
        <f>IFERROR(6-VLOOKUP(T286,'Dados de consulta'!$A$2:$C$38,3,0)+2,6)</f>
        <v>0</v>
      </c>
      <c r="BR286" s="114">
        <f t="shared" si="128"/>
        <v>0</v>
      </c>
      <c r="BS286">
        <f t="shared" si="104"/>
        <v>142</v>
      </c>
      <c r="BU286">
        <f>IFERROR(8-VLOOKUP(U286,'Dados de consulta'!$A:$D,3,0),8)</f>
        <v>0</v>
      </c>
      <c r="BV286">
        <f>IFERROR(8-VLOOKUP(V286,'Dados de consulta'!$A:$D,3,0),8)</f>
        <v>0</v>
      </c>
      <c r="BW286">
        <f t="shared" si="129"/>
        <v>0</v>
      </c>
    </row>
    <row r="287" spans="1:75" ht="15" hidden="1" x14ac:dyDescent="0.2">
      <c r="A287" s="98">
        <v>42410</v>
      </c>
      <c r="B287" s="129" t="str">
        <f t="shared" si="105"/>
        <v>qua</v>
      </c>
      <c r="C287" s="132"/>
      <c r="D287" s="132"/>
      <c r="E287" s="132">
        <v>8</v>
      </c>
      <c r="F287" s="132"/>
      <c r="G287" s="132">
        <v>18</v>
      </c>
      <c r="H287" s="132"/>
      <c r="I287" s="132"/>
      <c r="J287" s="132"/>
      <c r="K287" s="132"/>
      <c r="L287" s="132"/>
      <c r="M287" s="132">
        <v>101</v>
      </c>
      <c r="N287" s="132"/>
      <c r="O287" s="132">
        <v>18</v>
      </c>
      <c r="P287" s="132"/>
      <c r="Q287" s="132"/>
      <c r="R287" s="132"/>
      <c r="S287" s="132"/>
      <c r="T287" s="132"/>
      <c r="U287" s="151"/>
      <c r="V287" s="151"/>
      <c r="W287" s="307" t="s">
        <v>193</v>
      </c>
      <c r="X287" s="308"/>
      <c r="Y287" s="38">
        <f t="shared" si="106"/>
        <v>8</v>
      </c>
      <c r="Z287" s="38">
        <f t="shared" si="107"/>
        <v>16</v>
      </c>
      <c r="AA287" s="38">
        <f t="shared" si="108"/>
        <v>0</v>
      </c>
      <c r="AB287" s="38">
        <f t="shared" si="116"/>
        <v>0</v>
      </c>
      <c r="AC287" s="38">
        <f t="shared" si="117"/>
        <v>0</v>
      </c>
      <c r="AD287" s="38">
        <f t="shared" si="118"/>
        <v>0</v>
      </c>
      <c r="AE287" s="38">
        <f t="shared" si="119"/>
        <v>0</v>
      </c>
      <c r="AF287" s="38">
        <f t="shared" si="120"/>
        <v>0</v>
      </c>
      <c r="AG287" s="33">
        <f t="shared" si="121"/>
        <v>8</v>
      </c>
      <c r="AH287" s="33">
        <f t="shared" si="122"/>
        <v>16</v>
      </c>
      <c r="AI287" s="33">
        <f t="shared" si="123"/>
        <v>0</v>
      </c>
      <c r="AJ287" s="33">
        <f t="shared" si="124"/>
        <v>0</v>
      </c>
      <c r="AK287" s="34">
        <f t="shared" si="125"/>
        <v>5.6338028169014086E-2</v>
      </c>
      <c r="AL287" s="35">
        <f t="shared" si="126"/>
        <v>0.11267605633802817</v>
      </c>
      <c r="AM287" s="34">
        <f t="shared" si="109"/>
        <v>0</v>
      </c>
      <c r="AN287" s="36">
        <f t="shared" si="127"/>
        <v>0</v>
      </c>
      <c r="AO287" s="6">
        <f t="shared" si="110"/>
        <v>0</v>
      </c>
      <c r="AP287">
        <f t="shared" si="111"/>
        <v>8</v>
      </c>
      <c r="AQ287" s="6">
        <f t="shared" si="112"/>
        <v>0</v>
      </c>
      <c r="AR287" s="6">
        <f t="shared" si="113"/>
        <v>0</v>
      </c>
      <c r="AS287" s="6"/>
      <c r="AX287" s="95">
        <f t="shared" si="114"/>
        <v>42410</v>
      </c>
      <c r="AY287" s="96" t="str">
        <f t="shared" si="115"/>
        <v>qua</v>
      </c>
      <c r="AZ287" s="97">
        <f>IF(OR(AY287="SÁB",AY287="DOM"),0,IFERROR(8-VLOOKUP(C287,'Dados de consulta'!$A$2:$C$38,3,0),8))</f>
        <v>8</v>
      </c>
      <c r="BA287" s="97">
        <f>IF(OR(AY287="SÁB",AY287="DOM"),0,IFERROR(8-VLOOKUP(D287,'Dados de consulta'!$A$2:$C$38,3,0),8))</f>
        <v>8</v>
      </c>
      <c r="BB287" s="97">
        <f>IF(OR(AY287="SÁB",AY287="DOM"),0,IFERROR(8-VLOOKUP(E287,'Dados de consulta'!$A$2:$C$38,3,0),8))</f>
        <v>0</v>
      </c>
      <c r="BC287" s="97">
        <f>IF(OR(AY287="SÁB",AY287="DOM"),0,IFERROR(8-VLOOKUP(F287,'Dados de consulta'!$A$2:$C$38,3,0),8))</f>
        <v>8</v>
      </c>
      <c r="BD287" s="97">
        <f>IF(OR(AY287="SÁB",AY287="DOM"),0,IFERROR(8-VLOOKUP(G287,'Dados de consulta'!$A$2:$C$38,3,0),8))</f>
        <v>0</v>
      </c>
      <c r="BE287" s="97">
        <f>IF(OR(AY287="SÁB",AY287="DOM"),0,IFERROR(8-VLOOKUP(H287,'Dados de consulta'!$A$2:$C$38,3,0),8))</f>
        <v>8</v>
      </c>
      <c r="BF287" s="97">
        <f>IF(OR(AY287="SÁB",AY287="DOM"),0,IFERROR(8-VLOOKUP(I287,'Dados de consulta'!$A$2:$C$38,3,0),8))</f>
        <v>8</v>
      </c>
      <c r="BG287" s="97">
        <f>IF(OR(AY287="SÁB",AY287="DOM"),0,IFERROR(8-VLOOKUP(J287,'Dados de consulta'!$A$2:$C$38,3,0),8))</f>
        <v>8</v>
      </c>
      <c r="BH287" s="97">
        <f>IF(OR(AY287="SÁB",AY287="DOM"),0,IFERROR(8-VLOOKUP(K287,'Dados de consulta'!$A$2:$C$38,3,0),8))</f>
        <v>8</v>
      </c>
      <c r="BI287" s="97">
        <f>IF(OR(AY287="SÁB",AY287="DOM"),0,IFERROR(8-VLOOKUP(L287,'Dados de consulta'!$A$2:$C$38,3,0),8))</f>
        <v>8</v>
      </c>
      <c r="BJ287" s="97">
        <f>IF(OR(AY287="SÁB",AY287="DOM"),0,IFERROR(8-VLOOKUP(M287,'Dados de consulta'!$A$2:$C$38,3,0),8))</f>
        <v>0</v>
      </c>
      <c r="BK287" s="97">
        <f>IF(OR(AY287="SÁB",AY287="DOM"),0,IFERROR(8-VLOOKUP(N287,'Dados de consulta'!$A$2:$C$38,3,0),8))</f>
        <v>8</v>
      </c>
      <c r="BL287" s="97">
        <f>IF(OR(AY287="SÁB",AY287="DOM"),0,IFERROR(8-VLOOKUP(O287,'Dados de consulta'!$A$2:$C$38,3,0),8))</f>
        <v>0</v>
      </c>
      <c r="BM287" s="97">
        <f>IF(OR(AY287="SÁB",AY287="DOM"),0,IFERROR(8-VLOOKUP(P287,'Dados de consulta'!$A$2:$C$38,3,0),8))</f>
        <v>8</v>
      </c>
      <c r="BN287" s="97">
        <f>IF(OR(AY287="SÁB",AY287="DOM"),0,IFERROR(8-VLOOKUP(Q287,'Dados de consulta'!$A$2:$C$38,3,0),8))</f>
        <v>8</v>
      </c>
      <c r="BO287" s="97">
        <f>IF(OR(AY287="SÁB",AY287="DOM"),0,IFERROR(8-VLOOKUP(R287,'Dados de consulta'!$A$2:$C$38,3,0),8))</f>
        <v>8</v>
      </c>
      <c r="BP287" s="97">
        <f>IF(OR(AY287="SÁB",AY287="DOM"),0,IFERROR(8-VLOOKUP(S287,'Dados de consulta'!$A$2:$C$38,3,0),8))</f>
        <v>8</v>
      </c>
      <c r="BQ287" s="113">
        <f>IFERROR(6-VLOOKUP(T287,'Dados de consulta'!$A$2:$C$38,3,0)+2,6)</f>
        <v>6</v>
      </c>
      <c r="BR287" s="114">
        <f t="shared" si="128"/>
        <v>110</v>
      </c>
      <c r="BS287">
        <f t="shared" si="104"/>
        <v>134</v>
      </c>
      <c r="BU287">
        <f>IFERROR(8-VLOOKUP(U287,'Dados de consulta'!$A:$D,3,0),8)</f>
        <v>8</v>
      </c>
      <c r="BV287">
        <f>IFERROR(8-VLOOKUP(V287,'Dados de consulta'!$A:$D,3,0),8)</f>
        <v>8</v>
      </c>
      <c r="BW287">
        <f t="shared" si="129"/>
        <v>16</v>
      </c>
    </row>
    <row r="288" spans="1:75" ht="15" hidden="1" x14ac:dyDescent="0.2">
      <c r="A288" s="98">
        <v>42411</v>
      </c>
      <c r="B288" s="129" t="str">
        <f t="shared" si="105"/>
        <v>qui</v>
      </c>
      <c r="C288" s="132"/>
      <c r="D288" s="132"/>
      <c r="E288" s="132">
        <v>8</v>
      </c>
      <c r="F288" s="132"/>
      <c r="G288" s="132">
        <v>18</v>
      </c>
      <c r="H288" s="132"/>
      <c r="I288" s="132"/>
      <c r="J288" s="132"/>
      <c r="K288" s="132"/>
      <c r="L288" s="132"/>
      <c r="M288" s="132">
        <v>101</v>
      </c>
      <c r="N288" s="132"/>
      <c r="O288" s="132">
        <v>18</v>
      </c>
      <c r="P288" s="132"/>
      <c r="Q288" s="132"/>
      <c r="R288" s="132"/>
      <c r="S288" s="132"/>
      <c r="T288" s="132"/>
      <c r="U288" s="151"/>
      <c r="V288" s="151"/>
      <c r="W288" s="307" t="s">
        <v>193</v>
      </c>
      <c r="X288" s="308"/>
      <c r="Y288" s="38">
        <f t="shared" si="106"/>
        <v>8</v>
      </c>
      <c r="Z288" s="38">
        <f t="shared" si="107"/>
        <v>16</v>
      </c>
      <c r="AA288" s="38">
        <f t="shared" si="108"/>
        <v>0</v>
      </c>
      <c r="AB288" s="38">
        <f t="shared" si="116"/>
        <v>0</v>
      </c>
      <c r="AC288" s="38">
        <f t="shared" si="117"/>
        <v>0</v>
      </c>
      <c r="AD288" s="38">
        <f t="shared" si="118"/>
        <v>0</v>
      </c>
      <c r="AE288" s="38">
        <f t="shared" si="119"/>
        <v>0</v>
      </c>
      <c r="AF288" s="38">
        <f t="shared" si="120"/>
        <v>0</v>
      </c>
      <c r="AG288" s="33">
        <f t="shared" si="121"/>
        <v>8</v>
      </c>
      <c r="AH288" s="33">
        <f t="shared" si="122"/>
        <v>16</v>
      </c>
      <c r="AI288" s="33">
        <f t="shared" si="123"/>
        <v>0</v>
      </c>
      <c r="AJ288" s="33">
        <f t="shared" si="124"/>
        <v>0</v>
      </c>
      <c r="AK288" s="34">
        <f t="shared" si="125"/>
        <v>5.6338028169014086E-2</v>
      </c>
      <c r="AL288" s="35">
        <f t="shared" si="126"/>
        <v>0.11267605633802817</v>
      </c>
      <c r="AM288" s="34">
        <f t="shared" si="109"/>
        <v>0</v>
      </c>
      <c r="AN288" s="36">
        <f t="shared" si="127"/>
        <v>0</v>
      </c>
      <c r="AO288" s="6">
        <f t="shared" si="110"/>
        <v>0</v>
      </c>
      <c r="AP288">
        <f t="shared" si="111"/>
        <v>8</v>
      </c>
      <c r="AQ288" s="6">
        <f t="shared" si="112"/>
        <v>0</v>
      </c>
      <c r="AR288" s="6">
        <f t="shared" si="113"/>
        <v>0</v>
      </c>
      <c r="AS288" s="6"/>
      <c r="AX288" s="95">
        <f t="shared" si="114"/>
        <v>42411</v>
      </c>
      <c r="AY288" s="96" t="str">
        <f t="shared" si="115"/>
        <v>qui</v>
      </c>
      <c r="AZ288" s="97">
        <f>IF(OR(AY288="SÁB",AY288="DOM"),0,IFERROR(8-VLOOKUP(C288,'Dados de consulta'!$A$2:$C$38,3,0),8))</f>
        <v>8</v>
      </c>
      <c r="BA288" s="97">
        <f>IF(OR(AY288="SÁB",AY288="DOM"),0,IFERROR(8-VLOOKUP(D288,'Dados de consulta'!$A$2:$C$38,3,0),8))</f>
        <v>8</v>
      </c>
      <c r="BB288" s="97">
        <f>IF(OR(AY288="SÁB",AY288="DOM"),0,IFERROR(8-VLOOKUP(E288,'Dados de consulta'!$A$2:$C$38,3,0),8))</f>
        <v>0</v>
      </c>
      <c r="BC288" s="97">
        <f>IF(OR(AY288="SÁB",AY288="DOM"),0,IFERROR(8-VLOOKUP(F288,'Dados de consulta'!$A$2:$C$38,3,0),8))</f>
        <v>8</v>
      </c>
      <c r="BD288" s="97">
        <f>IF(OR(AY288="SÁB",AY288="DOM"),0,IFERROR(8-VLOOKUP(G288,'Dados de consulta'!$A$2:$C$38,3,0),8))</f>
        <v>0</v>
      </c>
      <c r="BE288" s="97">
        <f>IF(OR(AY288="SÁB",AY288="DOM"),0,IFERROR(8-VLOOKUP(H288,'Dados de consulta'!$A$2:$C$38,3,0),8))</f>
        <v>8</v>
      </c>
      <c r="BF288" s="97">
        <f>IF(OR(AY288="SÁB",AY288="DOM"),0,IFERROR(8-VLOOKUP(I288,'Dados de consulta'!$A$2:$C$38,3,0),8))</f>
        <v>8</v>
      </c>
      <c r="BG288" s="97">
        <f>IF(OR(AY288="SÁB",AY288="DOM"),0,IFERROR(8-VLOOKUP(J288,'Dados de consulta'!$A$2:$C$38,3,0),8))</f>
        <v>8</v>
      </c>
      <c r="BH288" s="97">
        <f>IF(OR(AY288="SÁB",AY288="DOM"),0,IFERROR(8-VLOOKUP(K288,'Dados de consulta'!$A$2:$C$38,3,0),8))</f>
        <v>8</v>
      </c>
      <c r="BI288" s="97">
        <f>IF(OR(AY288="SÁB",AY288="DOM"),0,IFERROR(8-VLOOKUP(L288,'Dados de consulta'!$A$2:$C$38,3,0),8))</f>
        <v>8</v>
      </c>
      <c r="BJ288" s="97">
        <f>IF(OR(AY288="SÁB",AY288="DOM"),0,IFERROR(8-VLOOKUP(M288,'Dados de consulta'!$A$2:$C$38,3,0),8))</f>
        <v>0</v>
      </c>
      <c r="BK288" s="97">
        <f>IF(OR(AY288="SÁB",AY288="DOM"),0,IFERROR(8-VLOOKUP(N288,'Dados de consulta'!$A$2:$C$38,3,0),8))</f>
        <v>8</v>
      </c>
      <c r="BL288" s="97">
        <f>IF(OR(AY288="SÁB",AY288="DOM"),0,IFERROR(8-VLOOKUP(O288,'Dados de consulta'!$A$2:$C$38,3,0),8))</f>
        <v>0</v>
      </c>
      <c r="BM288" s="97">
        <f>IF(OR(AY288="SÁB",AY288="DOM"),0,IFERROR(8-VLOOKUP(P288,'Dados de consulta'!$A$2:$C$38,3,0),8))</f>
        <v>8</v>
      </c>
      <c r="BN288" s="97">
        <f>IF(OR(AY288="SÁB",AY288="DOM"),0,IFERROR(8-VLOOKUP(Q288,'Dados de consulta'!$A$2:$C$38,3,0),8))</f>
        <v>8</v>
      </c>
      <c r="BO288" s="97">
        <f>IF(OR(AY288="SÁB",AY288="DOM"),0,IFERROR(8-VLOOKUP(R288,'Dados de consulta'!$A$2:$C$38,3,0),8))</f>
        <v>8</v>
      </c>
      <c r="BP288" s="97">
        <f>IF(OR(AY288="SÁB",AY288="DOM"),0,IFERROR(8-VLOOKUP(S288,'Dados de consulta'!$A$2:$C$38,3,0),8))</f>
        <v>8</v>
      </c>
      <c r="BQ288" s="113">
        <f>IFERROR(6-VLOOKUP(T288,'Dados de consulta'!$A$2:$C$38,3,0)+2,6)</f>
        <v>6</v>
      </c>
      <c r="BR288" s="114">
        <f t="shared" si="128"/>
        <v>110</v>
      </c>
      <c r="BS288">
        <f t="shared" si="104"/>
        <v>134</v>
      </c>
      <c r="BU288">
        <f>IFERROR(8-VLOOKUP(U288,'Dados de consulta'!$A:$D,3,0),8)</f>
        <v>8</v>
      </c>
      <c r="BV288">
        <f>IFERROR(8-VLOOKUP(V288,'Dados de consulta'!$A:$D,3,0),8)</f>
        <v>8</v>
      </c>
      <c r="BW288">
        <f t="shared" si="129"/>
        <v>16</v>
      </c>
    </row>
    <row r="289" spans="1:75" ht="15" hidden="1" x14ac:dyDescent="0.2">
      <c r="A289" s="98">
        <v>42412</v>
      </c>
      <c r="B289" s="129" t="str">
        <f t="shared" si="105"/>
        <v>sex</v>
      </c>
      <c r="C289" s="132"/>
      <c r="D289" s="132"/>
      <c r="E289" s="132">
        <v>8</v>
      </c>
      <c r="F289" s="132"/>
      <c r="G289" s="132">
        <v>18</v>
      </c>
      <c r="H289" s="132"/>
      <c r="I289" s="132"/>
      <c r="J289" s="132"/>
      <c r="K289" s="132"/>
      <c r="L289" s="132"/>
      <c r="M289" s="132">
        <v>101</v>
      </c>
      <c r="N289" s="132"/>
      <c r="O289" s="132">
        <v>18</v>
      </c>
      <c r="P289" s="132">
        <v>8</v>
      </c>
      <c r="Q289" s="132"/>
      <c r="R289" s="132"/>
      <c r="S289" s="132"/>
      <c r="T289" s="132"/>
      <c r="U289" s="151"/>
      <c r="V289" s="151"/>
      <c r="W289" s="307" t="s">
        <v>193</v>
      </c>
      <c r="X289" s="308"/>
      <c r="Y289" s="38">
        <f t="shared" si="106"/>
        <v>16</v>
      </c>
      <c r="Z289" s="38">
        <f t="shared" si="107"/>
        <v>16</v>
      </c>
      <c r="AA289" s="38">
        <f t="shared" si="108"/>
        <v>0</v>
      </c>
      <c r="AB289" s="38">
        <f t="shared" si="116"/>
        <v>0</v>
      </c>
      <c r="AC289" s="38">
        <f t="shared" si="117"/>
        <v>0</v>
      </c>
      <c r="AD289" s="38">
        <f t="shared" si="118"/>
        <v>0</v>
      </c>
      <c r="AE289" s="38">
        <f t="shared" si="119"/>
        <v>0</v>
      </c>
      <c r="AF289" s="38">
        <f t="shared" si="120"/>
        <v>0</v>
      </c>
      <c r="AG289" s="33">
        <f t="shared" si="121"/>
        <v>16</v>
      </c>
      <c r="AH289" s="33">
        <f t="shared" si="122"/>
        <v>16</v>
      </c>
      <c r="AI289" s="33">
        <f t="shared" si="123"/>
        <v>0</v>
      </c>
      <c r="AJ289" s="33">
        <f t="shared" si="124"/>
        <v>0</v>
      </c>
      <c r="AK289" s="34">
        <f t="shared" si="125"/>
        <v>0.11267605633802817</v>
      </c>
      <c r="AL289" s="35">
        <f t="shared" si="126"/>
        <v>0.11267605633802817</v>
      </c>
      <c r="AM289" s="34">
        <f t="shared" si="109"/>
        <v>0</v>
      </c>
      <c r="AN289" s="36">
        <f t="shared" si="127"/>
        <v>0</v>
      </c>
      <c r="AO289" s="6">
        <f t="shared" si="110"/>
        <v>0</v>
      </c>
      <c r="AP289">
        <f t="shared" si="111"/>
        <v>8</v>
      </c>
      <c r="AQ289" s="6">
        <f t="shared" si="112"/>
        <v>0</v>
      </c>
      <c r="AR289" s="6">
        <f t="shared" si="113"/>
        <v>0</v>
      </c>
      <c r="AS289" s="6"/>
      <c r="AX289" s="95">
        <f t="shared" si="114"/>
        <v>42412</v>
      </c>
      <c r="AY289" s="96" t="str">
        <f t="shared" si="115"/>
        <v>sex</v>
      </c>
      <c r="AZ289" s="97">
        <f>IF(OR(AY289="SÁB",AY289="DOM"),0,IFERROR(8-VLOOKUP(C289,'Dados de consulta'!$A$2:$C$38,3,0),8))</f>
        <v>8</v>
      </c>
      <c r="BA289" s="97">
        <f>IF(OR(AY289="SÁB",AY289="DOM"),0,IFERROR(8-VLOOKUP(D289,'Dados de consulta'!$A$2:$C$38,3,0),8))</f>
        <v>8</v>
      </c>
      <c r="BB289" s="97">
        <f>IF(OR(AY289="SÁB",AY289="DOM"),0,IFERROR(8-VLOOKUP(E289,'Dados de consulta'!$A$2:$C$38,3,0),8))</f>
        <v>0</v>
      </c>
      <c r="BC289" s="97">
        <f>IF(OR(AY289="SÁB",AY289="DOM"),0,IFERROR(8-VLOOKUP(F289,'Dados de consulta'!$A$2:$C$38,3,0),8))</f>
        <v>8</v>
      </c>
      <c r="BD289" s="97">
        <f>IF(OR(AY289="SÁB",AY289="DOM"),0,IFERROR(8-VLOOKUP(G289,'Dados de consulta'!$A$2:$C$38,3,0),8))</f>
        <v>0</v>
      </c>
      <c r="BE289" s="97">
        <f>IF(OR(AY289="SÁB",AY289="DOM"),0,IFERROR(8-VLOOKUP(H289,'Dados de consulta'!$A$2:$C$38,3,0),8))</f>
        <v>8</v>
      </c>
      <c r="BF289" s="97">
        <f>IF(OR(AY289="SÁB",AY289="DOM"),0,IFERROR(8-VLOOKUP(I289,'Dados de consulta'!$A$2:$C$38,3,0),8))</f>
        <v>8</v>
      </c>
      <c r="BG289" s="97">
        <f>IF(OR(AY289="SÁB",AY289="DOM"),0,IFERROR(8-VLOOKUP(J289,'Dados de consulta'!$A$2:$C$38,3,0),8))</f>
        <v>8</v>
      </c>
      <c r="BH289" s="97">
        <f>IF(OR(AY289="SÁB",AY289="DOM"),0,IFERROR(8-VLOOKUP(K289,'Dados de consulta'!$A$2:$C$38,3,0),8))</f>
        <v>8</v>
      </c>
      <c r="BI289" s="97">
        <f>IF(OR(AY289="SÁB",AY289="DOM"),0,IFERROR(8-VLOOKUP(L289,'Dados de consulta'!$A$2:$C$38,3,0),8))</f>
        <v>8</v>
      </c>
      <c r="BJ289" s="97">
        <f>IF(OR(AY289="SÁB",AY289="DOM"),0,IFERROR(8-VLOOKUP(M289,'Dados de consulta'!$A$2:$C$38,3,0),8))</f>
        <v>0</v>
      </c>
      <c r="BK289" s="97">
        <f>IF(OR(AY289="SÁB",AY289="DOM"),0,IFERROR(8-VLOOKUP(N289,'Dados de consulta'!$A$2:$C$38,3,0),8))</f>
        <v>8</v>
      </c>
      <c r="BL289" s="97">
        <f>IF(OR(AY289="SÁB",AY289="DOM"),0,IFERROR(8-VLOOKUP(O289,'Dados de consulta'!$A$2:$C$38,3,0),8))</f>
        <v>0</v>
      </c>
      <c r="BM289" s="97">
        <f>IF(OR(AY289="SÁB",AY289="DOM"),0,IFERROR(8-VLOOKUP(P289,'Dados de consulta'!$A$2:$C$38,3,0),8))</f>
        <v>0</v>
      </c>
      <c r="BN289" s="97">
        <f>IF(OR(AY289="SÁB",AY289="DOM"),0,IFERROR(8-VLOOKUP(Q289,'Dados de consulta'!$A$2:$C$38,3,0),8))</f>
        <v>8</v>
      </c>
      <c r="BO289" s="97">
        <f>IF(OR(AY289="SÁB",AY289="DOM"),0,IFERROR(8-VLOOKUP(R289,'Dados de consulta'!$A$2:$C$38,3,0),8))</f>
        <v>8</v>
      </c>
      <c r="BP289" s="97">
        <f>IF(OR(AY289="SÁB",AY289="DOM"),0,IFERROR(8-VLOOKUP(S289,'Dados de consulta'!$A$2:$C$38,3,0),8))</f>
        <v>8</v>
      </c>
      <c r="BQ289" s="113">
        <f>IFERROR(6-VLOOKUP(T289,'Dados de consulta'!$A$2:$C$38,3,0)+2,6)</f>
        <v>6</v>
      </c>
      <c r="BR289" s="114">
        <f t="shared" si="128"/>
        <v>102</v>
      </c>
      <c r="BS289">
        <f t="shared" si="104"/>
        <v>134</v>
      </c>
      <c r="BU289">
        <f>IFERROR(8-VLOOKUP(U289,'Dados de consulta'!$A:$D,3,0),8)</f>
        <v>8</v>
      </c>
      <c r="BV289">
        <f>IFERROR(8-VLOOKUP(V289,'Dados de consulta'!$A:$D,3,0),8)</f>
        <v>8</v>
      </c>
      <c r="BW289">
        <f t="shared" si="129"/>
        <v>16</v>
      </c>
    </row>
    <row r="290" spans="1:75" ht="15" hidden="1" x14ac:dyDescent="0.2">
      <c r="A290" s="98">
        <v>42413</v>
      </c>
      <c r="B290" s="129" t="str">
        <f t="shared" si="105"/>
        <v>sáb</v>
      </c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>
        <v>101</v>
      </c>
      <c r="N290" s="132"/>
      <c r="O290" s="132">
        <v>18</v>
      </c>
      <c r="P290" s="132"/>
      <c r="Q290" s="132"/>
      <c r="R290" s="132"/>
      <c r="S290" s="132"/>
      <c r="T290" s="132"/>
      <c r="U290" s="151"/>
      <c r="V290" s="151"/>
      <c r="W290" s="307" t="s">
        <v>193</v>
      </c>
      <c r="X290" s="308"/>
      <c r="Y290" s="38">
        <f t="shared" si="106"/>
        <v>0</v>
      </c>
      <c r="Z290" s="38">
        <f t="shared" si="107"/>
        <v>8</v>
      </c>
      <c r="AA290" s="38">
        <f t="shared" si="108"/>
        <v>0</v>
      </c>
      <c r="AB290" s="38">
        <f t="shared" si="116"/>
        <v>0</v>
      </c>
      <c r="AC290" s="38">
        <f t="shared" si="117"/>
        <v>0</v>
      </c>
      <c r="AD290" s="38">
        <f t="shared" si="118"/>
        <v>0</v>
      </c>
      <c r="AE290" s="38">
        <f t="shared" si="119"/>
        <v>0</v>
      </c>
      <c r="AF290" s="38">
        <f t="shared" si="120"/>
        <v>0</v>
      </c>
      <c r="AG290" s="33">
        <f t="shared" si="121"/>
        <v>0</v>
      </c>
      <c r="AH290" s="33">
        <f t="shared" si="122"/>
        <v>0</v>
      </c>
      <c r="AI290" s="33">
        <f t="shared" si="123"/>
        <v>0</v>
      </c>
      <c r="AJ290" s="33">
        <f t="shared" si="124"/>
        <v>0</v>
      </c>
      <c r="AK290" s="34">
        <f t="shared" si="125"/>
        <v>0</v>
      </c>
      <c r="AL290" s="35">
        <f t="shared" si="126"/>
        <v>0</v>
      </c>
      <c r="AM290" s="34">
        <f t="shared" si="109"/>
        <v>0</v>
      </c>
      <c r="AN290" s="36">
        <f t="shared" si="127"/>
        <v>0</v>
      </c>
      <c r="AO290" s="6">
        <f t="shared" si="110"/>
        <v>0</v>
      </c>
      <c r="AP290">
        <f t="shared" si="111"/>
        <v>8</v>
      </c>
      <c r="AQ290" s="6">
        <f t="shared" si="112"/>
        <v>0</v>
      </c>
      <c r="AR290" s="6">
        <f t="shared" si="113"/>
        <v>0</v>
      </c>
      <c r="AS290" s="6"/>
      <c r="AX290" s="95">
        <f t="shared" si="114"/>
        <v>42413</v>
      </c>
      <c r="AY290" s="96" t="str">
        <f t="shared" si="115"/>
        <v>sáb</v>
      </c>
      <c r="AZ290" s="97">
        <f>IF(OR(AY290="SÁB",AY290="DOM"),0,IFERROR(8-VLOOKUP(C290,'Dados de consulta'!$A$2:$C$38,3,0),8))</f>
        <v>0</v>
      </c>
      <c r="BA290" s="97">
        <f>IF(OR(AY290="SÁB",AY290="DOM"),0,IFERROR(8-VLOOKUP(D290,'Dados de consulta'!$A$2:$C$38,3,0),8))</f>
        <v>0</v>
      </c>
      <c r="BB290" s="97">
        <f>IF(OR(AY290="SÁB",AY290="DOM"),0,IFERROR(8-VLOOKUP(E290,'Dados de consulta'!$A$2:$C$38,3,0),8))</f>
        <v>0</v>
      </c>
      <c r="BC290" s="97">
        <f>IF(OR(AY290="SÁB",AY290="DOM"),0,IFERROR(8-VLOOKUP(F290,'Dados de consulta'!$A$2:$C$38,3,0),8))</f>
        <v>0</v>
      </c>
      <c r="BD290" s="97">
        <f>IF(OR(AY290="SÁB",AY290="DOM"),0,IFERROR(8-VLOOKUP(G290,'Dados de consulta'!$A$2:$C$38,3,0),8))</f>
        <v>0</v>
      </c>
      <c r="BE290" s="97">
        <f>IF(OR(AY290="SÁB",AY290="DOM"),0,IFERROR(8-VLOOKUP(H290,'Dados de consulta'!$A$2:$C$38,3,0),8))</f>
        <v>0</v>
      </c>
      <c r="BF290" s="97">
        <f>IF(OR(AY290="SÁB",AY290="DOM"),0,IFERROR(8-VLOOKUP(I290,'Dados de consulta'!$A$2:$C$38,3,0),8))</f>
        <v>0</v>
      </c>
      <c r="BG290" s="97">
        <f>IF(OR(AY290="SÁB",AY290="DOM"),0,IFERROR(8-VLOOKUP(J290,'Dados de consulta'!$A$2:$C$38,3,0),8))</f>
        <v>0</v>
      </c>
      <c r="BH290" s="97">
        <f>IF(OR(AY290="SÁB",AY290="DOM"),0,IFERROR(8-VLOOKUP(K290,'Dados de consulta'!$A$2:$C$38,3,0),8))</f>
        <v>0</v>
      </c>
      <c r="BI290" s="97">
        <f>IF(OR(AY290="SÁB",AY290="DOM"),0,IFERROR(8-VLOOKUP(L290,'Dados de consulta'!$A$2:$C$38,3,0),8))</f>
        <v>0</v>
      </c>
      <c r="BJ290" s="97">
        <f>IF(OR(AY290="SÁB",AY290="DOM"),0,IFERROR(8-VLOOKUP(M290,'Dados de consulta'!$A$2:$C$38,3,0),8))</f>
        <v>0</v>
      </c>
      <c r="BK290" s="97">
        <f>IF(OR(AY290="SÁB",AY290="DOM"),0,IFERROR(8-VLOOKUP(N290,'Dados de consulta'!$A$2:$C$38,3,0),8))</f>
        <v>0</v>
      </c>
      <c r="BL290" s="97">
        <f>IF(OR(AY290="SÁB",AY290="DOM"),0,IFERROR(8-VLOOKUP(O290,'Dados de consulta'!$A$2:$C$38,3,0),8))</f>
        <v>0</v>
      </c>
      <c r="BM290" s="97">
        <f>IF(OR(AY290="SÁB",AY290="DOM"),0,IFERROR(8-VLOOKUP(P290,'Dados de consulta'!$A$2:$C$38,3,0),8))</f>
        <v>0</v>
      </c>
      <c r="BN290" s="97">
        <f>IF(OR(AY290="SÁB",AY290="DOM"),0,IFERROR(8-VLOOKUP(Q290,'Dados de consulta'!$A$2:$C$38,3,0),8))</f>
        <v>0</v>
      </c>
      <c r="BO290" s="97">
        <f>IF(OR(AY290="SÁB",AY290="DOM"),0,IFERROR(8-VLOOKUP(R290,'Dados de consulta'!$A$2:$C$38,3,0),8))</f>
        <v>0</v>
      </c>
      <c r="BP290" s="97">
        <f>IF(OR(AY290="SÁB",AY290="DOM"),0,IFERROR(8-VLOOKUP(S290,'Dados de consulta'!$A$2:$C$38,3,0),8))</f>
        <v>0</v>
      </c>
      <c r="BQ290" s="113">
        <f>IFERROR(6-VLOOKUP(T290,'Dados de consulta'!$A$2:$C$38,3,0)+2,6)</f>
        <v>6</v>
      </c>
      <c r="BR290" s="114">
        <f t="shared" si="128"/>
        <v>0</v>
      </c>
      <c r="BS290">
        <f t="shared" si="104"/>
        <v>0</v>
      </c>
      <c r="BU290">
        <f>IFERROR(8-VLOOKUP(U290,'Dados de consulta'!$A:$D,3,0),8)</f>
        <v>8</v>
      </c>
      <c r="BV290">
        <f>IFERROR(8-VLOOKUP(V290,'Dados de consulta'!$A:$D,3,0),8)</f>
        <v>8</v>
      </c>
      <c r="BW290">
        <f t="shared" si="129"/>
        <v>16</v>
      </c>
    </row>
    <row r="291" spans="1:75" ht="15" hidden="1" x14ac:dyDescent="0.2">
      <c r="A291" s="98">
        <v>42414</v>
      </c>
      <c r="B291" s="129" t="str">
        <f t="shared" si="105"/>
        <v>dom</v>
      </c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>
        <v>101</v>
      </c>
      <c r="N291" s="132"/>
      <c r="O291" s="132">
        <v>18</v>
      </c>
      <c r="P291" s="132"/>
      <c r="Q291" s="132"/>
      <c r="R291" s="132"/>
      <c r="S291" s="132"/>
      <c r="T291" s="132"/>
      <c r="U291" s="151"/>
      <c r="V291" s="151"/>
      <c r="W291" s="307" t="s">
        <v>193</v>
      </c>
      <c r="X291" s="308"/>
      <c r="Y291" s="38">
        <f t="shared" si="106"/>
        <v>0</v>
      </c>
      <c r="Z291" s="38">
        <f t="shared" si="107"/>
        <v>8</v>
      </c>
      <c r="AA291" s="38">
        <f t="shared" si="108"/>
        <v>0</v>
      </c>
      <c r="AB291" s="38">
        <f t="shared" si="116"/>
        <v>0</v>
      </c>
      <c r="AC291" s="38">
        <f t="shared" si="117"/>
        <v>0</v>
      </c>
      <c r="AD291" s="38">
        <f t="shared" si="118"/>
        <v>0</v>
      </c>
      <c r="AE291" s="38">
        <f t="shared" si="119"/>
        <v>0</v>
      </c>
      <c r="AF291" s="38">
        <f t="shared" si="120"/>
        <v>0</v>
      </c>
      <c r="AG291" s="33">
        <f t="shared" si="121"/>
        <v>0</v>
      </c>
      <c r="AH291" s="33">
        <f t="shared" si="122"/>
        <v>0</v>
      </c>
      <c r="AI291" s="33">
        <f t="shared" si="123"/>
        <v>0</v>
      </c>
      <c r="AJ291" s="33">
        <f t="shared" si="124"/>
        <v>0</v>
      </c>
      <c r="AK291" s="34">
        <f t="shared" si="125"/>
        <v>0</v>
      </c>
      <c r="AL291" s="35">
        <f t="shared" si="126"/>
        <v>0</v>
      </c>
      <c r="AM291" s="34">
        <f t="shared" si="109"/>
        <v>0</v>
      </c>
      <c r="AN291" s="36">
        <f t="shared" si="127"/>
        <v>0</v>
      </c>
      <c r="AO291" s="6">
        <f t="shared" si="110"/>
        <v>0</v>
      </c>
      <c r="AP291">
        <f t="shared" si="111"/>
        <v>8</v>
      </c>
      <c r="AQ291" s="6">
        <f t="shared" si="112"/>
        <v>0</v>
      </c>
      <c r="AR291" s="6">
        <f t="shared" si="113"/>
        <v>0</v>
      </c>
      <c r="AS291" s="6"/>
      <c r="AX291" s="95">
        <f t="shared" si="114"/>
        <v>42414</v>
      </c>
      <c r="AY291" s="96" t="str">
        <f t="shared" si="115"/>
        <v>dom</v>
      </c>
      <c r="AZ291" s="97">
        <f>IF(OR(AY291="SÁB",AY291="DOM"),0,IFERROR(8-VLOOKUP(C291,'Dados de consulta'!$A$2:$C$38,3,0),8))</f>
        <v>0</v>
      </c>
      <c r="BA291" s="97">
        <f>IF(OR(AY291="SÁB",AY291="DOM"),0,IFERROR(8-VLOOKUP(D291,'Dados de consulta'!$A$2:$C$38,3,0),8))</f>
        <v>0</v>
      </c>
      <c r="BB291" s="97">
        <f>IF(OR(AY291="SÁB",AY291="DOM"),0,IFERROR(8-VLOOKUP(E291,'Dados de consulta'!$A$2:$C$38,3,0),8))</f>
        <v>0</v>
      </c>
      <c r="BC291" s="97">
        <f>IF(OR(AY291="SÁB",AY291="DOM"),0,IFERROR(8-VLOOKUP(F291,'Dados de consulta'!$A$2:$C$38,3,0),8))</f>
        <v>0</v>
      </c>
      <c r="BD291" s="97">
        <f>IF(OR(AY291="SÁB",AY291="DOM"),0,IFERROR(8-VLOOKUP(G291,'Dados de consulta'!$A$2:$C$38,3,0),8))</f>
        <v>0</v>
      </c>
      <c r="BE291" s="97">
        <f>IF(OR(AY291="SÁB",AY291="DOM"),0,IFERROR(8-VLOOKUP(H291,'Dados de consulta'!$A$2:$C$38,3,0),8))</f>
        <v>0</v>
      </c>
      <c r="BF291" s="97">
        <f>IF(OR(AY291="SÁB",AY291="DOM"),0,IFERROR(8-VLOOKUP(I291,'Dados de consulta'!$A$2:$C$38,3,0),8))</f>
        <v>0</v>
      </c>
      <c r="BG291" s="97">
        <f>IF(OR(AY291="SÁB",AY291="DOM"),0,IFERROR(8-VLOOKUP(J291,'Dados de consulta'!$A$2:$C$38,3,0),8))</f>
        <v>0</v>
      </c>
      <c r="BH291" s="97">
        <f>IF(OR(AY291="SÁB",AY291="DOM"),0,IFERROR(8-VLOOKUP(K291,'Dados de consulta'!$A$2:$C$38,3,0),8))</f>
        <v>0</v>
      </c>
      <c r="BI291" s="97">
        <f>IF(OR(AY291="SÁB",AY291="DOM"),0,IFERROR(8-VLOOKUP(L291,'Dados de consulta'!$A$2:$C$38,3,0),8))</f>
        <v>0</v>
      </c>
      <c r="BJ291" s="97">
        <f>IF(OR(AY291="SÁB",AY291="DOM"),0,IFERROR(8-VLOOKUP(M291,'Dados de consulta'!$A$2:$C$38,3,0),8))</f>
        <v>0</v>
      </c>
      <c r="BK291" s="97">
        <f>IF(OR(AY291="SÁB",AY291="DOM"),0,IFERROR(8-VLOOKUP(N291,'Dados de consulta'!$A$2:$C$38,3,0),8))</f>
        <v>0</v>
      </c>
      <c r="BL291" s="97">
        <f>IF(OR(AY291="SÁB",AY291="DOM"),0,IFERROR(8-VLOOKUP(O291,'Dados de consulta'!$A$2:$C$38,3,0),8))</f>
        <v>0</v>
      </c>
      <c r="BM291" s="97">
        <f>IF(OR(AY291="SÁB",AY291="DOM"),0,IFERROR(8-VLOOKUP(P291,'Dados de consulta'!$A$2:$C$38,3,0),8))</f>
        <v>0</v>
      </c>
      <c r="BN291" s="97">
        <f>IF(OR(AY291="SÁB",AY291="DOM"),0,IFERROR(8-VLOOKUP(Q291,'Dados de consulta'!$A$2:$C$38,3,0),8))</f>
        <v>0</v>
      </c>
      <c r="BO291" s="97">
        <f>IF(OR(AY291="SÁB",AY291="DOM"),0,IFERROR(8-VLOOKUP(R291,'Dados de consulta'!$A$2:$C$38,3,0),8))</f>
        <v>0</v>
      </c>
      <c r="BP291" s="97">
        <f>IF(OR(AY291="SÁB",AY291="DOM"),0,IFERROR(8-VLOOKUP(S291,'Dados de consulta'!$A$2:$C$38,3,0),8))</f>
        <v>0</v>
      </c>
      <c r="BQ291" s="113">
        <f>IFERROR(6-VLOOKUP(T291,'Dados de consulta'!$A$2:$C$38,3,0)+2,6)</f>
        <v>6</v>
      </c>
      <c r="BR291" s="114">
        <f t="shared" si="128"/>
        <v>0</v>
      </c>
      <c r="BS291">
        <f t="shared" si="104"/>
        <v>0</v>
      </c>
      <c r="BU291">
        <f>IFERROR(8-VLOOKUP(U291,'Dados de consulta'!$A:$D,3,0),8)</f>
        <v>8</v>
      </c>
      <c r="BV291">
        <f>IFERROR(8-VLOOKUP(V291,'Dados de consulta'!$A:$D,3,0),8)</f>
        <v>8</v>
      </c>
      <c r="BW291">
        <f t="shared" si="129"/>
        <v>16</v>
      </c>
    </row>
    <row r="292" spans="1:75" ht="15" hidden="1" x14ac:dyDescent="0.2">
      <c r="A292" s="98">
        <v>42415</v>
      </c>
      <c r="B292" s="129" t="str">
        <f t="shared" si="105"/>
        <v>seg</v>
      </c>
      <c r="C292" s="132"/>
      <c r="D292" s="132"/>
      <c r="E292" s="132">
        <v>8</v>
      </c>
      <c r="F292" s="132"/>
      <c r="G292" s="132">
        <v>18</v>
      </c>
      <c r="H292" s="132"/>
      <c r="I292" s="132"/>
      <c r="J292" s="132"/>
      <c r="K292" s="132"/>
      <c r="L292" s="132"/>
      <c r="M292" s="132">
        <v>101</v>
      </c>
      <c r="N292" s="132">
        <v>8</v>
      </c>
      <c r="O292" s="132">
        <v>18</v>
      </c>
      <c r="P292" s="132"/>
      <c r="Q292" s="132"/>
      <c r="R292" s="132" t="s">
        <v>194</v>
      </c>
      <c r="S292" s="132"/>
      <c r="T292" s="132"/>
      <c r="U292" s="151"/>
      <c r="V292" s="151"/>
      <c r="W292" s="307" t="s">
        <v>193</v>
      </c>
      <c r="X292" s="308"/>
      <c r="Y292" s="38">
        <f t="shared" si="106"/>
        <v>20</v>
      </c>
      <c r="Z292" s="38">
        <f t="shared" si="107"/>
        <v>16</v>
      </c>
      <c r="AA292" s="38">
        <f t="shared" si="108"/>
        <v>0</v>
      </c>
      <c r="AB292" s="38">
        <f t="shared" si="116"/>
        <v>0</v>
      </c>
      <c r="AC292" s="38">
        <f t="shared" si="117"/>
        <v>0</v>
      </c>
      <c r="AD292" s="38">
        <f t="shared" si="118"/>
        <v>0</v>
      </c>
      <c r="AE292" s="38">
        <f t="shared" si="119"/>
        <v>0</v>
      </c>
      <c r="AF292" s="38">
        <f t="shared" si="120"/>
        <v>0</v>
      </c>
      <c r="AG292" s="33">
        <f t="shared" si="121"/>
        <v>20</v>
      </c>
      <c r="AH292" s="33">
        <f t="shared" si="122"/>
        <v>16</v>
      </c>
      <c r="AI292" s="33">
        <f t="shared" si="123"/>
        <v>0</v>
      </c>
      <c r="AJ292" s="33">
        <f t="shared" si="124"/>
        <v>0</v>
      </c>
      <c r="AK292" s="34">
        <f t="shared" si="125"/>
        <v>0.14084507042253522</v>
      </c>
      <c r="AL292" s="35">
        <f t="shared" si="126"/>
        <v>0.11267605633802817</v>
      </c>
      <c r="AM292" s="34">
        <f t="shared" si="109"/>
        <v>0</v>
      </c>
      <c r="AN292" s="36">
        <f t="shared" si="127"/>
        <v>0</v>
      </c>
      <c r="AO292" s="6">
        <f t="shared" si="110"/>
        <v>0</v>
      </c>
      <c r="AP292">
        <f t="shared" si="111"/>
        <v>8</v>
      </c>
      <c r="AQ292" s="6">
        <f t="shared" si="112"/>
        <v>0</v>
      </c>
      <c r="AR292" s="6">
        <f t="shared" si="113"/>
        <v>0</v>
      </c>
      <c r="AS292" s="6"/>
      <c r="AX292" s="95">
        <f t="shared" si="114"/>
        <v>42415</v>
      </c>
      <c r="AY292" s="96" t="str">
        <f t="shared" si="115"/>
        <v>seg</v>
      </c>
      <c r="AZ292" s="97">
        <f>IF(OR(AY292="SÁB",AY292="DOM"),0,IFERROR(8-VLOOKUP(C292,'Dados de consulta'!$A$2:$C$38,3,0),8))</f>
        <v>8</v>
      </c>
      <c r="BA292" s="97">
        <f>IF(OR(AY292="SÁB",AY292="DOM"),0,IFERROR(8-VLOOKUP(D292,'Dados de consulta'!$A$2:$C$38,3,0),8))</f>
        <v>8</v>
      </c>
      <c r="BB292" s="97">
        <f>IF(OR(AY292="SÁB",AY292="DOM"),0,IFERROR(8-VLOOKUP(E292,'Dados de consulta'!$A$2:$C$38,3,0),8))</f>
        <v>0</v>
      </c>
      <c r="BC292" s="97">
        <f>IF(OR(AY292="SÁB",AY292="DOM"),0,IFERROR(8-VLOOKUP(F292,'Dados de consulta'!$A$2:$C$38,3,0),8))</f>
        <v>8</v>
      </c>
      <c r="BD292" s="97">
        <f>IF(OR(AY292="SÁB",AY292="DOM"),0,IFERROR(8-VLOOKUP(G292,'Dados de consulta'!$A$2:$C$38,3,0),8))</f>
        <v>0</v>
      </c>
      <c r="BE292" s="97">
        <f>IF(OR(AY292="SÁB",AY292="DOM"),0,IFERROR(8-VLOOKUP(H292,'Dados de consulta'!$A$2:$C$38,3,0),8))</f>
        <v>8</v>
      </c>
      <c r="BF292" s="97">
        <f>IF(OR(AY292="SÁB",AY292="DOM"),0,IFERROR(8-VLOOKUP(I292,'Dados de consulta'!$A$2:$C$38,3,0),8))</f>
        <v>8</v>
      </c>
      <c r="BG292" s="97">
        <f>IF(OR(AY292="SÁB",AY292="DOM"),0,IFERROR(8-VLOOKUP(J292,'Dados de consulta'!$A$2:$C$38,3,0),8))</f>
        <v>8</v>
      </c>
      <c r="BH292" s="97">
        <f>IF(OR(AY292="SÁB",AY292="DOM"),0,IFERROR(8-VLOOKUP(K292,'Dados de consulta'!$A$2:$C$38,3,0),8))</f>
        <v>8</v>
      </c>
      <c r="BI292" s="97">
        <f>IF(OR(AY292="SÁB",AY292="DOM"),0,IFERROR(8-VLOOKUP(L292,'Dados de consulta'!$A$2:$C$38,3,0),8))</f>
        <v>8</v>
      </c>
      <c r="BJ292" s="97">
        <f>IF(OR(AY292="SÁB",AY292="DOM"),0,IFERROR(8-VLOOKUP(M292,'Dados de consulta'!$A$2:$C$38,3,0),8))</f>
        <v>0</v>
      </c>
      <c r="BK292" s="97">
        <f>IF(OR(AY292="SÁB",AY292="DOM"),0,IFERROR(8-VLOOKUP(N292,'Dados de consulta'!$A$2:$C$38,3,0),8))</f>
        <v>0</v>
      </c>
      <c r="BL292" s="97">
        <f>IF(OR(AY292="SÁB",AY292="DOM"),0,IFERROR(8-VLOOKUP(O292,'Dados de consulta'!$A$2:$C$38,3,0),8))</f>
        <v>0</v>
      </c>
      <c r="BM292" s="97">
        <f>IF(OR(AY292="SÁB",AY292="DOM"),0,IFERROR(8-VLOOKUP(P292,'Dados de consulta'!$A$2:$C$38,3,0),8))</f>
        <v>8</v>
      </c>
      <c r="BN292" s="97">
        <f>IF(OR(AY292="SÁB",AY292="DOM"),0,IFERROR(8-VLOOKUP(Q292,'Dados de consulta'!$A$2:$C$38,3,0),8))</f>
        <v>8</v>
      </c>
      <c r="BO292" s="97">
        <f>IF(OR(AY292="SÁB",AY292="DOM"),0,IFERROR(8-VLOOKUP(R292,'Dados de consulta'!$A$2:$C$38,3,0),8))</f>
        <v>4</v>
      </c>
      <c r="BP292" s="97">
        <f>IF(OR(AY292="SÁB",AY292="DOM"),0,IFERROR(8-VLOOKUP(S292,'Dados de consulta'!$A$2:$C$38,3,0),8))</f>
        <v>8</v>
      </c>
      <c r="BQ292" s="113">
        <f>IFERROR(6-VLOOKUP(T292,'Dados de consulta'!$A$2:$C$38,3,0)+2,6)</f>
        <v>6</v>
      </c>
      <c r="BR292" s="114">
        <f t="shared" si="128"/>
        <v>98</v>
      </c>
      <c r="BS292">
        <f t="shared" si="104"/>
        <v>134</v>
      </c>
      <c r="BU292">
        <f>IFERROR(8-VLOOKUP(U292,'Dados de consulta'!$A:$D,3,0),8)</f>
        <v>8</v>
      </c>
      <c r="BV292">
        <f>IFERROR(8-VLOOKUP(V292,'Dados de consulta'!$A:$D,3,0),8)</f>
        <v>8</v>
      </c>
      <c r="BW292">
        <f t="shared" si="129"/>
        <v>16</v>
      </c>
    </row>
    <row r="293" spans="1:75" ht="15" hidden="1" x14ac:dyDescent="0.2">
      <c r="A293" s="98">
        <v>42416</v>
      </c>
      <c r="B293" s="129" t="str">
        <f t="shared" si="105"/>
        <v>ter</v>
      </c>
      <c r="C293" s="132"/>
      <c r="D293" s="132"/>
      <c r="E293" s="132">
        <v>8</v>
      </c>
      <c r="F293" s="132"/>
      <c r="G293" s="132">
        <v>18</v>
      </c>
      <c r="H293" s="132"/>
      <c r="I293" s="132"/>
      <c r="J293" s="132"/>
      <c r="K293" s="132"/>
      <c r="L293" s="132"/>
      <c r="M293" s="132">
        <v>101</v>
      </c>
      <c r="N293" s="132">
        <v>8</v>
      </c>
      <c r="O293" s="132">
        <v>18</v>
      </c>
      <c r="P293" s="132"/>
      <c r="Q293" s="132"/>
      <c r="R293" s="132"/>
      <c r="S293" s="132"/>
      <c r="T293" s="132"/>
      <c r="U293" s="151"/>
      <c r="V293" s="151"/>
      <c r="W293" s="307" t="s">
        <v>193</v>
      </c>
      <c r="X293" s="308"/>
      <c r="Y293" s="38">
        <f t="shared" si="106"/>
        <v>16</v>
      </c>
      <c r="Z293" s="38">
        <f t="shared" si="107"/>
        <v>16</v>
      </c>
      <c r="AA293" s="38">
        <f t="shared" si="108"/>
        <v>0</v>
      </c>
      <c r="AB293" s="38">
        <f t="shared" si="116"/>
        <v>0</v>
      </c>
      <c r="AC293" s="38">
        <f t="shared" si="117"/>
        <v>0</v>
      </c>
      <c r="AD293" s="38">
        <f t="shared" si="118"/>
        <v>0</v>
      </c>
      <c r="AE293" s="38">
        <f t="shared" si="119"/>
        <v>0</v>
      </c>
      <c r="AF293" s="38">
        <f t="shared" si="120"/>
        <v>0</v>
      </c>
      <c r="AG293" s="33">
        <f t="shared" si="121"/>
        <v>16</v>
      </c>
      <c r="AH293" s="33">
        <f t="shared" si="122"/>
        <v>16</v>
      </c>
      <c r="AI293" s="33">
        <f t="shared" si="123"/>
        <v>0</v>
      </c>
      <c r="AJ293" s="33">
        <f t="shared" si="124"/>
        <v>0</v>
      </c>
      <c r="AK293" s="34">
        <f t="shared" si="125"/>
        <v>0.11267605633802817</v>
      </c>
      <c r="AL293" s="35">
        <f t="shared" si="126"/>
        <v>0.11267605633802817</v>
      </c>
      <c r="AM293" s="34">
        <f t="shared" si="109"/>
        <v>0</v>
      </c>
      <c r="AN293" s="36">
        <f t="shared" si="127"/>
        <v>0</v>
      </c>
      <c r="AO293" s="6">
        <f t="shared" si="110"/>
        <v>0</v>
      </c>
      <c r="AP293">
        <f t="shared" si="111"/>
        <v>8</v>
      </c>
      <c r="AQ293" s="6">
        <f t="shared" si="112"/>
        <v>0</v>
      </c>
      <c r="AR293" s="6">
        <f t="shared" si="113"/>
        <v>0</v>
      </c>
      <c r="AS293" s="6"/>
      <c r="AX293" s="95">
        <f t="shared" si="114"/>
        <v>42416</v>
      </c>
      <c r="AY293" s="96" t="str">
        <f t="shared" si="115"/>
        <v>ter</v>
      </c>
      <c r="AZ293" s="97">
        <f>IF(OR(AY293="SÁB",AY293="DOM"),0,IFERROR(8-VLOOKUP(C293,'Dados de consulta'!$A$2:$C$38,3,0),8))</f>
        <v>8</v>
      </c>
      <c r="BA293" s="97">
        <f>IF(OR(AY293="SÁB",AY293="DOM"),0,IFERROR(8-VLOOKUP(D293,'Dados de consulta'!$A$2:$C$38,3,0),8))</f>
        <v>8</v>
      </c>
      <c r="BB293" s="97">
        <f>IF(OR(AY293="SÁB",AY293="DOM"),0,IFERROR(8-VLOOKUP(E293,'Dados de consulta'!$A$2:$C$38,3,0),8))</f>
        <v>0</v>
      </c>
      <c r="BC293" s="97">
        <f>IF(OR(AY293="SÁB",AY293="DOM"),0,IFERROR(8-VLOOKUP(F293,'Dados de consulta'!$A$2:$C$38,3,0),8))</f>
        <v>8</v>
      </c>
      <c r="BD293" s="97">
        <f>IF(OR(AY293="SÁB",AY293="DOM"),0,IFERROR(8-VLOOKUP(G293,'Dados de consulta'!$A$2:$C$38,3,0),8))</f>
        <v>0</v>
      </c>
      <c r="BE293" s="97">
        <f>IF(OR(AY293="SÁB",AY293="DOM"),0,IFERROR(8-VLOOKUP(H293,'Dados de consulta'!$A$2:$C$38,3,0),8))</f>
        <v>8</v>
      </c>
      <c r="BF293" s="97">
        <f>IF(OR(AY293="SÁB",AY293="DOM"),0,IFERROR(8-VLOOKUP(I293,'Dados de consulta'!$A$2:$C$38,3,0),8))</f>
        <v>8</v>
      </c>
      <c r="BG293" s="97">
        <f>IF(OR(AY293="SÁB",AY293="DOM"),0,IFERROR(8-VLOOKUP(J293,'Dados de consulta'!$A$2:$C$38,3,0),8))</f>
        <v>8</v>
      </c>
      <c r="BH293" s="97">
        <f>IF(OR(AY293="SÁB",AY293="DOM"),0,IFERROR(8-VLOOKUP(K293,'Dados de consulta'!$A$2:$C$38,3,0),8))</f>
        <v>8</v>
      </c>
      <c r="BI293" s="97">
        <f>IF(OR(AY293="SÁB",AY293="DOM"),0,IFERROR(8-VLOOKUP(L293,'Dados de consulta'!$A$2:$C$38,3,0),8))</f>
        <v>8</v>
      </c>
      <c r="BJ293" s="97">
        <f>IF(OR(AY293="SÁB",AY293="DOM"),0,IFERROR(8-VLOOKUP(M293,'Dados de consulta'!$A$2:$C$38,3,0),8))</f>
        <v>0</v>
      </c>
      <c r="BK293" s="97">
        <f>IF(OR(AY293="SÁB",AY293="DOM"),0,IFERROR(8-VLOOKUP(N293,'Dados de consulta'!$A$2:$C$38,3,0),8))</f>
        <v>0</v>
      </c>
      <c r="BL293" s="97">
        <f>IF(OR(AY293="SÁB",AY293="DOM"),0,IFERROR(8-VLOOKUP(O293,'Dados de consulta'!$A$2:$C$38,3,0),8))</f>
        <v>0</v>
      </c>
      <c r="BM293" s="97">
        <f>IF(OR(AY293="SÁB",AY293="DOM"),0,IFERROR(8-VLOOKUP(P293,'Dados de consulta'!$A$2:$C$38,3,0),8))</f>
        <v>8</v>
      </c>
      <c r="BN293" s="97">
        <f>IF(OR(AY293="SÁB",AY293="DOM"),0,IFERROR(8-VLOOKUP(Q293,'Dados de consulta'!$A$2:$C$38,3,0),8))</f>
        <v>8</v>
      </c>
      <c r="BO293" s="97">
        <f>IF(OR(AY293="SÁB",AY293="DOM"),0,IFERROR(8-VLOOKUP(R293,'Dados de consulta'!$A$2:$C$38,3,0),8))</f>
        <v>8</v>
      </c>
      <c r="BP293" s="97">
        <f>IF(OR(AY293="SÁB",AY293="DOM"),0,IFERROR(8-VLOOKUP(S293,'Dados de consulta'!$A$2:$C$38,3,0),8))</f>
        <v>8</v>
      </c>
      <c r="BQ293" s="113">
        <f>IFERROR(6-VLOOKUP(T293,'Dados de consulta'!$A$2:$C$38,3,0)+2,6)</f>
        <v>6</v>
      </c>
      <c r="BR293" s="114">
        <f t="shared" si="128"/>
        <v>102</v>
      </c>
      <c r="BS293">
        <f t="shared" si="104"/>
        <v>134</v>
      </c>
      <c r="BU293">
        <f>IFERROR(8-VLOOKUP(U293,'Dados de consulta'!$A:$D,3,0),8)</f>
        <v>8</v>
      </c>
      <c r="BV293">
        <f>IFERROR(8-VLOOKUP(V293,'Dados de consulta'!$A:$D,3,0),8)</f>
        <v>8</v>
      </c>
      <c r="BW293">
        <f t="shared" si="129"/>
        <v>16</v>
      </c>
    </row>
    <row r="294" spans="1:75" ht="15" hidden="1" x14ac:dyDescent="0.2">
      <c r="A294" s="98">
        <v>42417</v>
      </c>
      <c r="B294" s="129" t="str">
        <f t="shared" si="105"/>
        <v>qua</v>
      </c>
      <c r="C294" s="132"/>
      <c r="D294" s="132"/>
      <c r="E294" s="132">
        <v>8</v>
      </c>
      <c r="F294" s="132"/>
      <c r="G294" s="132">
        <v>18</v>
      </c>
      <c r="H294" s="132"/>
      <c r="I294" s="132"/>
      <c r="J294" s="132"/>
      <c r="K294" s="132"/>
      <c r="L294" s="132"/>
      <c r="M294" s="132">
        <v>101</v>
      </c>
      <c r="N294" s="132">
        <v>8</v>
      </c>
      <c r="O294" s="132">
        <v>18</v>
      </c>
      <c r="P294" s="132"/>
      <c r="Q294" s="132"/>
      <c r="R294" s="132"/>
      <c r="S294" s="132"/>
      <c r="T294" s="132"/>
      <c r="U294" s="151"/>
      <c r="V294" s="151"/>
      <c r="W294" s="307" t="s">
        <v>193</v>
      </c>
      <c r="X294" s="308"/>
      <c r="Y294" s="38">
        <f t="shared" si="106"/>
        <v>16</v>
      </c>
      <c r="Z294" s="38">
        <f t="shared" si="107"/>
        <v>16</v>
      </c>
      <c r="AA294" s="38">
        <f t="shared" si="108"/>
        <v>0</v>
      </c>
      <c r="AB294" s="38">
        <f t="shared" si="116"/>
        <v>0</v>
      </c>
      <c r="AC294" s="38">
        <f t="shared" si="117"/>
        <v>0</v>
      </c>
      <c r="AD294" s="38">
        <f t="shared" si="118"/>
        <v>0</v>
      </c>
      <c r="AE294" s="38">
        <f t="shared" si="119"/>
        <v>0</v>
      </c>
      <c r="AF294" s="38">
        <f t="shared" si="120"/>
        <v>0</v>
      </c>
      <c r="AG294" s="33">
        <f t="shared" si="121"/>
        <v>16</v>
      </c>
      <c r="AH294" s="33">
        <f t="shared" si="122"/>
        <v>16</v>
      </c>
      <c r="AI294" s="33">
        <f t="shared" si="123"/>
        <v>0</v>
      </c>
      <c r="AJ294" s="33">
        <f t="shared" si="124"/>
        <v>0</v>
      </c>
      <c r="AK294" s="34">
        <f t="shared" si="125"/>
        <v>0.11267605633802817</v>
      </c>
      <c r="AL294" s="35">
        <f t="shared" si="126"/>
        <v>0.11267605633802817</v>
      </c>
      <c r="AM294" s="34">
        <f t="shared" si="109"/>
        <v>0</v>
      </c>
      <c r="AN294" s="36">
        <f t="shared" si="127"/>
        <v>0</v>
      </c>
      <c r="AO294" s="6">
        <f t="shared" si="110"/>
        <v>0</v>
      </c>
      <c r="AP294">
        <f t="shared" si="111"/>
        <v>8</v>
      </c>
      <c r="AQ294" s="6">
        <f t="shared" si="112"/>
        <v>0</v>
      </c>
      <c r="AR294" s="6">
        <f t="shared" si="113"/>
        <v>0</v>
      </c>
      <c r="AS294" s="6"/>
      <c r="AX294" s="95">
        <f t="shared" si="114"/>
        <v>42417</v>
      </c>
      <c r="AY294" s="96" t="str">
        <f t="shared" si="115"/>
        <v>qua</v>
      </c>
      <c r="AZ294" s="97">
        <f>IF(OR(AY294="SÁB",AY294="DOM"),0,IFERROR(8-VLOOKUP(C294,'Dados de consulta'!$A$2:$C$38,3,0),8))</f>
        <v>8</v>
      </c>
      <c r="BA294" s="97">
        <f>IF(OR(AY294="SÁB",AY294="DOM"),0,IFERROR(8-VLOOKUP(D294,'Dados de consulta'!$A$2:$C$38,3,0),8))</f>
        <v>8</v>
      </c>
      <c r="BB294" s="97">
        <f>IF(OR(AY294="SÁB",AY294="DOM"),0,IFERROR(8-VLOOKUP(E294,'Dados de consulta'!$A$2:$C$38,3,0),8))</f>
        <v>0</v>
      </c>
      <c r="BC294" s="97">
        <f>IF(OR(AY294="SÁB",AY294="DOM"),0,IFERROR(8-VLOOKUP(F294,'Dados de consulta'!$A$2:$C$38,3,0),8))</f>
        <v>8</v>
      </c>
      <c r="BD294" s="97">
        <f>IF(OR(AY294="SÁB",AY294="DOM"),0,IFERROR(8-VLOOKUP(G294,'Dados de consulta'!$A$2:$C$38,3,0),8))</f>
        <v>0</v>
      </c>
      <c r="BE294" s="97">
        <f>IF(OR(AY294="SÁB",AY294="DOM"),0,IFERROR(8-VLOOKUP(H294,'Dados de consulta'!$A$2:$C$38,3,0),8))</f>
        <v>8</v>
      </c>
      <c r="BF294" s="97">
        <f>IF(OR(AY294="SÁB",AY294="DOM"),0,IFERROR(8-VLOOKUP(I294,'Dados de consulta'!$A$2:$C$38,3,0),8))</f>
        <v>8</v>
      </c>
      <c r="BG294" s="97">
        <f>IF(OR(AY294="SÁB",AY294="DOM"),0,IFERROR(8-VLOOKUP(J294,'Dados de consulta'!$A$2:$C$38,3,0),8))</f>
        <v>8</v>
      </c>
      <c r="BH294" s="97">
        <f>IF(OR(AY294="SÁB",AY294="DOM"),0,IFERROR(8-VLOOKUP(K294,'Dados de consulta'!$A$2:$C$38,3,0),8))</f>
        <v>8</v>
      </c>
      <c r="BI294" s="97">
        <f>IF(OR(AY294="SÁB",AY294="DOM"),0,IFERROR(8-VLOOKUP(L294,'Dados de consulta'!$A$2:$C$38,3,0),8))</f>
        <v>8</v>
      </c>
      <c r="BJ294" s="97">
        <f>IF(OR(AY294="SÁB",AY294="DOM"),0,IFERROR(8-VLOOKUP(M294,'Dados de consulta'!$A$2:$C$38,3,0),8))</f>
        <v>0</v>
      </c>
      <c r="BK294" s="97">
        <f>IF(OR(AY294="SÁB",AY294="DOM"),0,IFERROR(8-VLOOKUP(N294,'Dados de consulta'!$A$2:$C$38,3,0),8))</f>
        <v>0</v>
      </c>
      <c r="BL294" s="97">
        <f>IF(OR(AY294="SÁB",AY294="DOM"),0,IFERROR(8-VLOOKUP(O294,'Dados de consulta'!$A$2:$C$38,3,0),8))</f>
        <v>0</v>
      </c>
      <c r="BM294" s="97">
        <f>IF(OR(AY294="SÁB",AY294="DOM"),0,IFERROR(8-VLOOKUP(P294,'Dados de consulta'!$A$2:$C$38,3,0),8))</f>
        <v>8</v>
      </c>
      <c r="BN294" s="97">
        <f>IF(OR(AY294="SÁB",AY294="DOM"),0,IFERROR(8-VLOOKUP(Q294,'Dados de consulta'!$A$2:$C$38,3,0),8))</f>
        <v>8</v>
      </c>
      <c r="BO294" s="97">
        <f>IF(OR(AY294="SÁB",AY294="DOM"),0,IFERROR(8-VLOOKUP(R294,'Dados de consulta'!$A$2:$C$38,3,0),8))</f>
        <v>8</v>
      </c>
      <c r="BP294" s="97">
        <f>IF(OR(AY294="SÁB",AY294="DOM"),0,IFERROR(8-VLOOKUP(S294,'Dados de consulta'!$A$2:$C$38,3,0),8))</f>
        <v>8</v>
      </c>
      <c r="BQ294" s="113">
        <f>IFERROR(6-VLOOKUP(T294,'Dados de consulta'!$A$2:$C$38,3,0)+2,6)</f>
        <v>6</v>
      </c>
      <c r="BR294" s="114">
        <f t="shared" si="128"/>
        <v>102</v>
      </c>
      <c r="BS294">
        <f t="shared" si="104"/>
        <v>134</v>
      </c>
      <c r="BU294">
        <f>IFERROR(8-VLOOKUP(U294,'Dados de consulta'!$A:$D,3,0),8)</f>
        <v>8</v>
      </c>
      <c r="BV294">
        <f>IFERROR(8-VLOOKUP(V294,'Dados de consulta'!$A:$D,3,0),8)</f>
        <v>8</v>
      </c>
      <c r="BW294">
        <f t="shared" si="129"/>
        <v>16</v>
      </c>
    </row>
    <row r="295" spans="1:75" ht="15" hidden="1" x14ac:dyDescent="0.2">
      <c r="A295" s="98">
        <v>42418</v>
      </c>
      <c r="B295" s="129" t="str">
        <f t="shared" si="105"/>
        <v>qui</v>
      </c>
      <c r="C295" s="132"/>
      <c r="D295" s="132"/>
      <c r="E295" s="132">
        <v>8</v>
      </c>
      <c r="F295" s="132"/>
      <c r="G295" s="132">
        <v>18</v>
      </c>
      <c r="H295" s="132"/>
      <c r="I295" s="132"/>
      <c r="J295" s="132"/>
      <c r="K295" s="132"/>
      <c r="L295" s="132"/>
      <c r="M295" s="132">
        <v>101</v>
      </c>
      <c r="N295" s="132">
        <v>8</v>
      </c>
      <c r="O295" s="132">
        <v>18</v>
      </c>
      <c r="P295" s="132"/>
      <c r="Q295" s="132"/>
      <c r="R295" s="132"/>
      <c r="S295" s="132"/>
      <c r="T295" s="132"/>
      <c r="U295" s="151"/>
      <c r="V295" s="151"/>
      <c r="W295" s="307" t="s">
        <v>193</v>
      </c>
      <c r="X295" s="308"/>
      <c r="Y295" s="38">
        <f t="shared" si="106"/>
        <v>16</v>
      </c>
      <c r="Z295" s="38">
        <f t="shared" si="107"/>
        <v>16</v>
      </c>
      <c r="AA295" s="38">
        <f t="shared" si="108"/>
        <v>0</v>
      </c>
      <c r="AB295" s="38">
        <f t="shared" si="116"/>
        <v>0</v>
      </c>
      <c r="AC295" s="38">
        <f t="shared" si="117"/>
        <v>0</v>
      </c>
      <c r="AD295" s="38">
        <f t="shared" si="118"/>
        <v>0</v>
      </c>
      <c r="AE295" s="38">
        <f t="shared" si="119"/>
        <v>0</v>
      </c>
      <c r="AF295" s="38">
        <f t="shared" si="120"/>
        <v>0</v>
      </c>
      <c r="AG295" s="33">
        <f t="shared" si="121"/>
        <v>16</v>
      </c>
      <c r="AH295" s="33">
        <f t="shared" si="122"/>
        <v>16</v>
      </c>
      <c r="AI295" s="33">
        <f t="shared" si="123"/>
        <v>0</v>
      </c>
      <c r="AJ295" s="33">
        <f t="shared" si="124"/>
        <v>0</v>
      </c>
      <c r="AK295" s="34">
        <f t="shared" si="125"/>
        <v>0.11267605633802817</v>
      </c>
      <c r="AL295" s="35">
        <f t="shared" si="126"/>
        <v>0.11267605633802817</v>
      </c>
      <c r="AM295" s="34">
        <f t="shared" si="109"/>
        <v>0</v>
      </c>
      <c r="AN295" s="36">
        <f t="shared" si="127"/>
        <v>0</v>
      </c>
      <c r="AO295" s="6">
        <f t="shared" si="110"/>
        <v>0</v>
      </c>
      <c r="AP295">
        <f t="shared" si="111"/>
        <v>8</v>
      </c>
      <c r="AQ295" s="6">
        <f t="shared" si="112"/>
        <v>0</v>
      </c>
      <c r="AR295" s="6">
        <f t="shared" si="113"/>
        <v>0</v>
      </c>
      <c r="AS295" s="6"/>
      <c r="AX295" s="95">
        <f t="shared" si="114"/>
        <v>42418</v>
      </c>
      <c r="AY295" s="96" t="str">
        <f t="shared" si="115"/>
        <v>qui</v>
      </c>
      <c r="AZ295" s="97">
        <f>IF(OR(AY295="SÁB",AY295="DOM"),0,IFERROR(8-VLOOKUP(C295,'Dados de consulta'!$A$2:$C$38,3,0),8))</f>
        <v>8</v>
      </c>
      <c r="BA295" s="97">
        <f>IF(OR(AY295="SÁB",AY295="DOM"),0,IFERROR(8-VLOOKUP(D295,'Dados de consulta'!$A$2:$C$38,3,0),8))</f>
        <v>8</v>
      </c>
      <c r="BB295" s="97">
        <f>IF(OR(AY295="SÁB",AY295="DOM"),0,IFERROR(8-VLOOKUP(E295,'Dados de consulta'!$A$2:$C$38,3,0),8))</f>
        <v>0</v>
      </c>
      <c r="BC295" s="97">
        <f>IF(OR(AY295="SÁB",AY295="DOM"),0,IFERROR(8-VLOOKUP(F295,'Dados de consulta'!$A$2:$C$38,3,0),8))</f>
        <v>8</v>
      </c>
      <c r="BD295" s="97">
        <f>IF(OR(AY295="SÁB",AY295="DOM"),0,IFERROR(8-VLOOKUP(G295,'Dados de consulta'!$A$2:$C$38,3,0),8))</f>
        <v>0</v>
      </c>
      <c r="BE295" s="97">
        <f>IF(OR(AY295="SÁB",AY295="DOM"),0,IFERROR(8-VLOOKUP(H295,'Dados de consulta'!$A$2:$C$38,3,0),8))</f>
        <v>8</v>
      </c>
      <c r="BF295" s="97">
        <f>IF(OR(AY295="SÁB",AY295="DOM"),0,IFERROR(8-VLOOKUP(I295,'Dados de consulta'!$A$2:$C$38,3,0),8))</f>
        <v>8</v>
      </c>
      <c r="BG295" s="97">
        <f>IF(OR(AY295="SÁB",AY295="DOM"),0,IFERROR(8-VLOOKUP(J295,'Dados de consulta'!$A$2:$C$38,3,0),8))</f>
        <v>8</v>
      </c>
      <c r="BH295" s="97">
        <f>IF(OR(AY295="SÁB",AY295="DOM"),0,IFERROR(8-VLOOKUP(K295,'Dados de consulta'!$A$2:$C$38,3,0),8))</f>
        <v>8</v>
      </c>
      <c r="BI295" s="97">
        <f>IF(OR(AY295="SÁB",AY295="DOM"),0,IFERROR(8-VLOOKUP(L295,'Dados de consulta'!$A$2:$C$38,3,0),8))</f>
        <v>8</v>
      </c>
      <c r="BJ295" s="97">
        <f>IF(OR(AY295="SÁB",AY295="DOM"),0,IFERROR(8-VLOOKUP(M295,'Dados de consulta'!$A$2:$C$38,3,0),8))</f>
        <v>0</v>
      </c>
      <c r="BK295" s="97">
        <f>IF(OR(AY295="SÁB",AY295="DOM"),0,IFERROR(8-VLOOKUP(N295,'Dados de consulta'!$A$2:$C$38,3,0),8))</f>
        <v>0</v>
      </c>
      <c r="BL295" s="97">
        <f>IF(OR(AY295="SÁB",AY295="DOM"),0,IFERROR(8-VLOOKUP(O295,'Dados de consulta'!$A$2:$C$38,3,0),8))</f>
        <v>0</v>
      </c>
      <c r="BM295" s="97">
        <f>IF(OR(AY295="SÁB",AY295="DOM"),0,IFERROR(8-VLOOKUP(P295,'Dados de consulta'!$A$2:$C$38,3,0),8))</f>
        <v>8</v>
      </c>
      <c r="BN295" s="97">
        <f>IF(OR(AY295="SÁB",AY295="DOM"),0,IFERROR(8-VLOOKUP(Q295,'Dados de consulta'!$A$2:$C$38,3,0),8))</f>
        <v>8</v>
      </c>
      <c r="BO295" s="97">
        <f>IF(OR(AY295="SÁB",AY295="DOM"),0,IFERROR(8-VLOOKUP(R295,'Dados de consulta'!$A$2:$C$38,3,0),8))</f>
        <v>8</v>
      </c>
      <c r="BP295" s="97">
        <f>IF(OR(AY295="SÁB",AY295="DOM"),0,IFERROR(8-VLOOKUP(S295,'Dados de consulta'!$A$2:$C$38,3,0),8))</f>
        <v>8</v>
      </c>
      <c r="BQ295" s="113">
        <f>IFERROR(6-VLOOKUP(T295,'Dados de consulta'!$A$2:$C$38,3,0)+2,6)</f>
        <v>6</v>
      </c>
      <c r="BR295" s="114">
        <f t="shared" si="128"/>
        <v>102</v>
      </c>
      <c r="BS295">
        <f t="shared" si="104"/>
        <v>134</v>
      </c>
      <c r="BU295">
        <f>IFERROR(8-VLOOKUP(U295,'Dados de consulta'!$A:$D,3,0),8)</f>
        <v>8</v>
      </c>
      <c r="BV295">
        <f>IFERROR(8-VLOOKUP(V295,'Dados de consulta'!$A:$D,3,0),8)</f>
        <v>8</v>
      </c>
      <c r="BW295">
        <f t="shared" si="129"/>
        <v>16</v>
      </c>
    </row>
    <row r="296" spans="1:75" ht="15" hidden="1" x14ac:dyDescent="0.2">
      <c r="A296" s="98">
        <v>42419</v>
      </c>
      <c r="B296" s="129" t="str">
        <f t="shared" si="105"/>
        <v>sex</v>
      </c>
      <c r="C296" s="132"/>
      <c r="D296" s="132"/>
      <c r="E296" s="132">
        <v>8</v>
      </c>
      <c r="F296" s="132"/>
      <c r="G296" s="132">
        <v>18</v>
      </c>
      <c r="H296" s="132"/>
      <c r="I296" s="132"/>
      <c r="J296" s="132"/>
      <c r="K296" s="132"/>
      <c r="L296" s="132"/>
      <c r="M296" s="132">
        <v>101</v>
      </c>
      <c r="N296" s="132">
        <v>8</v>
      </c>
      <c r="O296" s="132">
        <v>18</v>
      </c>
      <c r="P296" s="132">
        <v>8</v>
      </c>
      <c r="Q296" s="132"/>
      <c r="R296" s="132"/>
      <c r="S296" s="132">
        <v>1</v>
      </c>
      <c r="T296" s="132"/>
      <c r="U296" s="151"/>
      <c r="V296" s="151"/>
      <c r="W296" s="307" t="s">
        <v>193</v>
      </c>
      <c r="X296" s="308"/>
      <c r="Y296" s="38">
        <f t="shared" si="106"/>
        <v>24</v>
      </c>
      <c r="Z296" s="38">
        <f t="shared" si="107"/>
        <v>24</v>
      </c>
      <c r="AA296" s="38">
        <f t="shared" si="108"/>
        <v>0</v>
      </c>
      <c r="AB296" s="38">
        <f t="shared" si="116"/>
        <v>0</v>
      </c>
      <c r="AC296" s="38">
        <f t="shared" si="117"/>
        <v>0</v>
      </c>
      <c r="AD296" s="38">
        <f t="shared" si="118"/>
        <v>0</v>
      </c>
      <c r="AE296" s="38">
        <f t="shared" si="119"/>
        <v>0</v>
      </c>
      <c r="AF296" s="38">
        <f t="shared" si="120"/>
        <v>0</v>
      </c>
      <c r="AG296" s="33">
        <f t="shared" si="121"/>
        <v>24</v>
      </c>
      <c r="AH296" s="33">
        <f t="shared" si="122"/>
        <v>24</v>
      </c>
      <c r="AI296" s="33">
        <f t="shared" si="123"/>
        <v>0</v>
      </c>
      <c r="AJ296" s="33">
        <f t="shared" si="124"/>
        <v>0</v>
      </c>
      <c r="AK296" s="34">
        <f t="shared" si="125"/>
        <v>0.16901408450704225</v>
      </c>
      <c r="AL296" s="35">
        <f t="shared" si="126"/>
        <v>0.16901408450704225</v>
      </c>
      <c r="AM296" s="34">
        <f t="shared" si="109"/>
        <v>0</v>
      </c>
      <c r="AN296" s="36">
        <f t="shared" si="127"/>
        <v>0</v>
      </c>
      <c r="AO296" s="6">
        <f t="shared" si="110"/>
        <v>0</v>
      </c>
      <c r="AP296">
        <f t="shared" si="111"/>
        <v>8</v>
      </c>
      <c r="AQ296" s="6">
        <f t="shared" si="112"/>
        <v>0</v>
      </c>
      <c r="AR296" s="6">
        <f t="shared" si="113"/>
        <v>0</v>
      </c>
      <c r="AS296" s="6"/>
      <c r="AX296" s="95">
        <f t="shared" si="114"/>
        <v>42419</v>
      </c>
      <c r="AY296" s="96" t="str">
        <f t="shared" si="115"/>
        <v>sex</v>
      </c>
      <c r="AZ296" s="97">
        <f>IF(OR(AY296="SÁB",AY296="DOM"),0,IFERROR(8-VLOOKUP(C296,'Dados de consulta'!$A$2:$C$38,3,0),8))</f>
        <v>8</v>
      </c>
      <c r="BA296" s="97">
        <f>IF(OR(AY296="SÁB",AY296="DOM"),0,IFERROR(8-VLOOKUP(D296,'Dados de consulta'!$A$2:$C$38,3,0),8))</f>
        <v>8</v>
      </c>
      <c r="BB296" s="97">
        <f>IF(OR(AY296="SÁB",AY296="DOM"),0,IFERROR(8-VLOOKUP(E296,'Dados de consulta'!$A$2:$C$38,3,0),8))</f>
        <v>0</v>
      </c>
      <c r="BC296" s="97">
        <f>IF(OR(AY296="SÁB",AY296="DOM"),0,IFERROR(8-VLOOKUP(F296,'Dados de consulta'!$A$2:$C$38,3,0),8))</f>
        <v>8</v>
      </c>
      <c r="BD296" s="97">
        <f>IF(OR(AY296="SÁB",AY296="DOM"),0,IFERROR(8-VLOOKUP(G296,'Dados de consulta'!$A$2:$C$38,3,0),8))</f>
        <v>0</v>
      </c>
      <c r="BE296" s="97">
        <f>IF(OR(AY296="SÁB",AY296="DOM"),0,IFERROR(8-VLOOKUP(H296,'Dados de consulta'!$A$2:$C$38,3,0),8))</f>
        <v>8</v>
      </c>
      <c r="BF296" s="97">
        <f>IF(OR(AY296="SÁB",AY296="DOM"),0,IFERROR(8-VLOOKUP(I296,'Dados de consulta'!$A$2:$C$38,3,0),8))</f>
        <v>8</v>
      </c>
      <c r="BG296" s="97">
        <f>IF(OR(AY296="SÁB",AY296="DOM"),0,IFERROR(8-VLOOKUP(J296,'Dados de consulta'!$A$2:$C$38,3,0),8))</f>
        <v>8</v>
      </c>
      <c r="BH296" s="97">
        <f>IF(OR(AY296="SÁB",AY296="DOM"),0,IFERROR(8-VLOOKUP(K296,'Dados de consulta'!$A$2:$C$38,3,0),8))</f>
        <v>8</v>
      </c>
      <c r="BI296" s="97">
        <f>IF(OR(AY296="SÁB",AY296="DOM"),0,IFERROR(8-VLOOKUP(L296,'Dados de consulta'!$A$2:$C$38,3,0),8))</f>
        <v>8</v>
      </c>
      <c r="BJ296" s="97">
        <f>IF(OR(AY296="SÁB",AY296="DOM"),0,IFERROR(8-VLOOKUP(M296,'Dados de consulta'!$A$2:$C$38,3,0),8))</f>
        <v>0</v>
      </c>
      <c r="BK296" s="97">
        <f>IF(OR(AY296="SÁB",AY296="DOM"),0,IFERROR(8-VLOOKUP(N296,'Dados de consulta'!$A$2:$C$38,3,0),8))</f>
        <v>0</v>
      </c>
      <c r="BL296" s="97">
        <f>IF(OR(AY296="SÁB",AY296="DOM"),0,IFERROR(8-VLOOKUP(O296,'Dados de consulta'!$A$2:$C$38,3,0),8))</f>
        <v>0</v>
      </c>
      <c r="BM296" s="97">
        <f>IF(OR(AY296="SÁB",AY296="DOM"),0,IFERROR(8-VLOOKUP(P296,'Dados de consulta'!$A$2:$C$38,3,0),8))</f>
        <v>0</v>
      </c>
      <c r="BN296" s="97">
        <f>IF(OR(AY296="SÁB",AY296="DOM"),0,IFERROR(8-VLOOKUP(Q296,'Dados de consulta'!$A$2:$C$38,3,0),8))</f>
        <v>8</v>
      </c>
      <c r="BO296" s="97">
        <f>IF(OR(AY296="SÁB",AY296="DOM"),0,IFERROR(8-VLOOKUP(R296,'Dados de consulta'!$A$2:$C$38,3,0),8))</f>
        <v>8</v>
      </c>
      <c r="BP296" s="97">
        <f>IF(OR(AY296="SÁB",AY296="DOM"),0,IFERROR(8-VLOOKUP(S296,'Dados de consulta'!$A$2:$C$38,3,0),8))</f>
        <v>0</v>
      </c>
      <c r="BQ296" s="113">
        <f>IFERROR(6-VLOOKUP(T296,'Dados de consulta'!$A$2:$C$38,3,0)+2,6)</f>
        <v>6</v>
      </c>
      <c r="BR296" s="114">
        <f t="shared" si="128"/>
        <v>86</v>
      </c>
      <c r="BS296">
        <f t="shared" si="104"/>
        <v>134</v>
      </c>
      <c r="BU296">
        <f>IFERROR(8-VLOOKUP(U296,'Dados de consulta'!$A:$D,3,0),8)</f>
        <v>8</v>
      </c>
      <c r="BV296">
        <f>IFERROR(8-VLOOKUP(V296,'Dados de consulta'!$A:$D,3,0),8)</f>
        <v>8</v>
      </c>
      <c r="BW296">
        <f t="shared" si="129"/>
        <v>16</v>
      </c>
    </row>
    <row r="297" spans="1:75" ht="15" hidden="1" x14ac:dyDescent="0.2">
      <c r="A297" s="98">
        <v>42420</v>
      </c>
      <c r="B297" s="129" t="str">
        <f t="shared" si="105"/>
        <v>sáb</v>
      </c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>
        <v>101</v>
      </c>
      <c r="N297" s="132"/>
      <c r="O297" s="132">
        <v>18</v>
      </c>
      <c r="P297" s="132"/>
      <c r="Q297" s="132"/>
      <c r="R297" s="132"/>
      <c r="S297" s="132"/>
      <c r="T297" s="132"/>
      <c r="U297" s="151"/>
      <c r="V297" s="151"/>
      <c r="W297" s="307" t="s">
        <v>193</v>
      </c>
      <c r="X297" s="308"/>
      <c r="Y297" s="38">
        <f t="shared" si="106"/>
        <v>0</v>
      </c>
      <c r="Z297" s="38">
        <f t="shared" si="107"/>
        <v>8</v>
      </c>
      <c r="AA297" s="38">
        <f t="shared" si="108"/>
        <v>0</v>
      </c>
      <c r="AB297" s="38">
        <f t="shared" si="116"/>
        <v>0</v>
      </c>
      <c r="AC297" s="38">
        <f t="shared" si="117"/>
        <v>0</v>
      </c>
      <c r="AD297" s="38">
        <f t="shared" si="118"/>
        <v>0</v>
      </c>
      <c r="AE297" s="38">
        <f t="shared" si="119"/>
        <v>0</v>
      </c>
      <c r="AF297" s="38">
        <f t="shared" si="120"/>
        <v>0</v>
      </c>
      <c r="AG297" s="33">
        <f t="shared" si="121"/>
        <v>0</v>
      </c>
      <c r="AH297" s="33">
        <f t="shared" si="122"/>
        <v>0</v>
      </c>
      <c r="AI297" s="33">
        <f t="shared" si="123"/>
        <v>0</v>
      </c>
      <c r="AJ297" s="33">
        <f t="shared" si="124"/>
        <v>0</v>
      </c>
      <c r="AK297" s="34">
        <f t="shared" si="125"/>
        <v>0</v>
      </c>
      <c r="AL297" s="35">
        <f t="shared" si="126"/>
        <v>0</v>
      </c>
      <c r="AM297" s="34">
        <f t="shared" si="109"/>
        <v>0</v>
      </c>
      <c r="AN297" s="36">
        <f t="shared" si="127"/>
        <v>0</v>
      </c>
      <c r="AO297" s="6">
        <f t="shared" si="110"/>
        <v>0</v>
      </c>
      <c r="AP297">
        <f t="shared" si="111"/>
        <v>8</v>
      </c>
      <c r="AQ297" s="6">
        <f t="shared" si="112"/>
        <v>0</v>
      </c>
      <c r="AR297" s="6">
        <f t="shared" si="113"/>
        <v>0</v>
      </c>
      <c r="AS297" s="6"/>
      <c r="AX297" s="95">
        <f t="shared" si="114"/>
        <v>42420</v>
      </c>
      <c r="AY297" s="96" t="str">
        <f t="shared" si="115"/>
        <v>sáb</v>
      </c>
      <c r="AZ297" s="97">
        <f>IF(OR(AY297="SÁB",AY297="DOM"),0,IFERROR(8-VLOOKUP(C297,'Dados de consulta'!$A$2:$C$38,3,0),8))</f>
        <v>0</v>
      </c>
      <c r="BA297" s="97">
        <f>IF(OR(AY297="SÁB",AY297="DOM"),0,IFERROR(8-VLOOKUP(D297,'Dados de consulta'!$A$2:$C$38,3,0),8))</f>
        <v>0</v>
      </c>
      <c r="BB297" s="97">
        <f>IF(OR(AY297="SÁB",AY297="DOM"),0,IFERROR(8-VLOOKUP(E297,'Dados de consulta'!$A$2:$C$38,3,0),8))</f>
        <v>0</v>
      </c>
      <c r="BC297" s="97">
        <f>IF(OR(AY297="SÁB",AY297="DOM"),0,IFERROR(8-VLOOKUP(F297,'Dados de consulta'!$A$2:$C$38,3,0),8))</f>
        <v>0</v>
      </c>
      <c r="BD297" s="97">
        <f>IF(OR(AY297="SÁB",AY297="DOM"),0,IFERROR(8-VLOOKUP(G297,'Dados de consulta'!$A$2:$C$38,3,0),8))</f>
        <v>0</v>
      </c>
      <c r="BE297" s="97">
        <f>IF(OR(AY297="SÁB",AY297="DOM"),0,IFERROR(8-VLOOKUP(H297,'Dados de consulta'!$A$2:$C$38,3,0),8))</f>
        <v>0</v>
      </c>
      <c r="BF297" s="97">
        <f>IF(OR(AY297="SÁB",AY297="DOM"),0,IFERROR(8-VLOOKUP(I297,'Dados de consulta'!$A$2:$C$38,3,0),8))</f>
        <v>0</v>
      </c>
      <c r="BG297" s="97">
        <f>IF(OR(AY297="SÁB",AY297="DOM"),0,IFERROR(8-VLOOKUP(J297,'Dados de consulta'!$A$2:$C$38,3,0),8))</f>
        <v>0</v>
      </c>
      <c r="BH297" s="97">
        <f>IF(OR(AY297="SÁB",AY297="DOM"),0,IFERROR(8-VLOOKUP(K297,'Dados de consulta'!$A$2:$C$38,3,0),8))</f>
        <v>0</v>
      </c>
      <c r="BI297" s="97">
        <f>IF(OR(AY297="SÁB",AY297="DOM"),0,IFERROR(8-VLOOKUP(L297,'Dados de consulta'!$A$2:$C$38,3,0),8))</f>
        <v>0</v>
      </c>
      <c r="BJ297" s="97">
        <f>IF(OR(AY297="SÁB",AY297="DOM"),0,IFERROR(8-VLOOKUP(M297,'Dados de consulta'!$A$2:$C$38,3,0),8))</f>
        <v>0</v>
      </c>
      <c r="BK297" s="97">
        <f>IF(OR(AY297="SÁB",AY297="DOM"),0,IFERROR(8-VLOOKUP(N297,'Dados de consulta'!$A$2:$C$38,3,0),8))</f>
        <v>0</v>
      </c>
      <c r="BL297" s="97">
        <f>IF(OR(AY297="SÁB",AY297="DOM"),0,IFERROR(8-VLOOKUP(O297,'Dados de consulta'!$A$2:$C$38,3,0),8))</f>
        <v>0</v>
      </c>
      <c r="BM297" s="97">
        <f>IF(OR(AY297="SÁB",AY297="DOM"),0,IFERROR(8-VLOOKUP(P297,'Dados de consulta'!$A$2:$C$38,3,0),8))</f>
        <v>0</v>
      </c>
      <c r="BN297" s="97">
        <f>IF(OR(AY297="SÁB",AY297="DOM"),0,IFERROR(8-VLOOKUP(Q297,'Dados de consulta'!$A$2:$C$38,3,0),8))</f>
        <v>0</v>
      </c>
      <c r="BO297" s="97">
        <f>IF(OR(AY297="SÁB",AY297="DOM"),0,IFERROR(8-VLOOKUP(R297,'Dados de consulta'!$A$2:$C$38,3,0),8))</f>
        <v>0</v>
      </c>
      <c r="BP297" s="97">
        <f>IF(OR(AY297="SÁB",AY297="DOM"),0,IFERROR(8-VLOOKUP(S297,'Dados de consulta'!$A$2:$C$38,3,0),8))</f>
        <v>0</v>
      </c>
      <c r="BQ297" s="113">
        <f>IFERROR(6-VLOOKUP(T297,'Dados de consulta'!$A$2:$C$38,3,0)+2,6)</f>
        <v>6</v>
      </c>
      <c r="BR297" s="114">
        <f t="shared" si="128"/>
        <v>0</v>
      </c>
      <c r="BS297">
        <f t="shared" si="104"/>
        <v>0</v>
      </c>
      <c r="BU297">
        <f>IFERROR(8-VLOOKUP(U297,'Dados de consulta'!$A:$D,3,0),8)</f>
        <v>8</v>
      </c>
      <c r="BV297">
        <f>IFERROR(8-VLOOKUP(V297,'Dados de consulta'!$A:$D,3,0),8)</f>
        <v>8</v>
      </c>
      <c r="BW297">
        <f t="shared" si="129"/>
        <v>16</v>
      </c>
    </row>
    <row r="298" spans="1:75" ht="15" hidden="1" x14ac:dyDescent="0.2">
      <c r="A298" s="98">
        <v>42421</v>
      </c>
      <c r="B298" s="129" t="str">
        <f t="shared" si="105"/>
        <v>dom</v>
      </c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>
        <v>101</v>
      </c>
      <c r="N298" s="132"/>
      <c r="O298" s="132">
        <v>18</v>
      </c>
      <c r="P298" s="132"/>
      <c r="Q298" s="132"/>
      <c r="R298" s="132"/>
      <c r="S298" s="132"/>
      <c r="T298" s="132"/>
      <c r="U298" s="151"/>
      <c r="V298" s="151"/>
      <c r="W298" s="307" t="s">
        <v>193</v>
      </c>
      <c r="X298" s="308"/>
      <c r="Y298" s="38">
        <f t="shared" si="106"/>
        <v>0</v>
      </c>
      <c r="Z298" s="38">
        <f t="shared" si="107"/>
        <v>8</v>
      </c>
      <c r="AA298" s="38">
        <f t="shared" si="108"/>
        <v>0</v>
      </c>
      <c r="AB298" s="38">
        <f t="shared" si="116"/>
        <v>0</v>
      </c>
      <c r="AC298" s="38">
        <f t="shared" si="117"/>
        <v>0</v>
      </c>
      <c r="AD298" s="38">
        <f t="shared" si="118"/>
        <v>0</v>
      </c>
      <c r="AE298" s="38">
        <f t="shared" si="119"/>
        <v>0</v>
      </c>
      <c r="AF298" s="38">
        <f t="shared" si="120"/>
        <v>0</v>
      </c>
      <c r="AG298" s="33">
        <f t="shared" si="121"/>
        <v>0</v>
      </c>
      <c r="AH298" s="33">
        <f t="shared" si="122"/>
        <v>0</v>
      </c>
      <c r="AI298" s="33">
        <f t="shared" si="123"/>
        <v>0</v>
      </c>
      <c r="AJ298" s="33">
        <f t="shared" si="124"/>
        <v>0</v>
      </c>
      <c r="AK298" s="34">
        <f t="shared" si="125"/>
        <v>0</v>
      </c>
      <c r="AL298" s="35">
        <f t="shared" si="126"/>
        <v>0</v>
      </c>
      <c r="AM298" s="34">
        <f t="shared" si="109"/>
        <v>0</v>
      </c>
      <c r="AN298" s="36">
        <f t="shared" si="127"/>
        <v>0</v>
      </c>
      <c r="AO298" s="6">
        <f t="shared" si="110"/>
        <v>0</v>
      </c>
      <c r="AP298">
        <f t="shared" si="111"/>
        <v>8</v>
      </c>
      <c r="AQ298" s="6">
        <f t="shared" si="112"/>
        <v>0</v>
      </c>
      <c r="AR298" s="6">
        <f t="shared" si="113"/>
        <v>0</v>
      </c>
      <c r="AS298" s="6"/>
      <c r="AX298" s="95">
        <f t="shared" si="114"/>
        <v>42421</v>
      </c>
      <c r="AY298" s="96" t="str">
        <f t="shared" si="115"/>
        <v>dom</v>
      </c>
      <c r="AZ298" s="97">
        <f>IF(OR(AY298="SÁB",AY298="DOM"),0,IFERROR(8-VLOOKUP(C298,'Dados de consulta'!$A$2:$C$38,3,0),8))</f>
        <v>0</v>
      </c>
      <c r="BA298" s="97">
        <f>IF(OR(AY298="SÁB",AY298="DOM"),0,IFERROR(8-VLOOKUP(D298,'Dados de consulta'!$A$2:$C$38,3,0),8))</f>
        <v>0</v>
      </c>
      <c r="BB298" s="97">
        <f>IF(OR(AY298="SÁB",AY298="DOM"),0,IFERROR(8-VLOOKUP(E298,'Dados de consulta'!$A$2:$C$38,3,0),8))</f>
        <v>0</v>
      </c>
      <c r="BC298" s="97">
        <f>IF(OR(AY298="SÁB",AY298="DOM"),0,IFERROR(8-VLOOKUP(F298,'Dados de consulta'!$A$2:$C$38,3,0),8))</f>
        <v>0</v>
      </c>
      <c r="BD298" s="97">
        <f>IF(OR(AY298="SÁB",AY298="DOM"),0,IFERROR(8-VLOOKUP(G298,'Dados de consulta'!$A$2:$C$38,3,0),8))</f>
        <v>0</v>
      </c>
      <c r="BE298" s="97">
        <f>IF(OR(AY298="SÁB",AY298="DOM"),0,IFERROR(8-VLOOKUP(H298,'Dados de consulta'!$A$2:$C$38,3,0),8))</f>
        <v>0</v>
      </c>
      <c r="BF298" s="97">
        <f>IF(OR(AY298="SÁB",AY298="DOM"),0,IFERROR(8-VLOOKUP(I298,'Dados de consulta'!$A$2:$C$38,3,0),8))</f>
        <v>0</v>
      </c>
      <c r="BG298" s="97">
        <f>IF(OR(AY298="SÁB",AY298="DOM"),0,IFERROR(8-VLOOKUP(J298,'Dados de consulta'!$A$2:$C$38,3,0),8))</f>
        <v>0</v>
      </c>
      <c r="BH298" s="97">
        <f>IF(OR(AY298="SÁB",AY298="DOM"),0,IFERROR(8-VLOOKUP(K298,'Dados de consulta'!$A$2:$C$38,3,0),8))</f>
        <v>0</v>
      </c>
      <c r="BI298" s="97">
        <f>IF(OR(AY298="SÁB",AY298="DOM"),0,IFERROR(8-VLOOKUP(L298,'Dados de consulta'!$A$2:$C$38,3,0),8))</f>
        <v>0</v>
      </c>
      <c r="BJ298" s="97">
        <f>IF(OR(AY298="SÁB",AY298="DOM"),0,IFERROR(8-VLOOKUP(M298,'Dados de consulta'!$A$2:$C$38,3,0),8))</f>
        <v>0</v>
      </c>
      <c r="BK298" s="97">
        <f>IF(OR(AY298="SÁB",AY298="DOM"),0,IFERROR(8-VLOOKUP(N298,'Dados de consulta'!$A$2:$C$38,3,0),8))</f>
        <v>0</v>
      </c>
      <c r="BL298" s="97">
        <f>IF(OR(AY298="SÁB",AY298="DOM"),0,IFERROR(8-VLOOKUP(O298,'Dados de consulta'!$A$2:$C$38,3,0),8))</f>
        <v>0</v>
      </c>
      <c r="BM298" s="97">
        <f>IF(OR(AY298="SÁB",AY298="DOM"),0,IFERROR(8-VLOOKUP(P298,'Dados de consulta'!$A$2:$C$38,3,0),8))</f>
        <v>0</v>
      </c>
      <c r="BN298" s="97">
        <f>IF(OR(AY298="SÁB",AY298="DOM"),0,IFERROR(8-VLOOKUP(Q298,'Dados de consulta'!$A$2:$C$38,3,0),8))</f>
        <v>0</v>
      </c>
      <c r="BO298" s="97">
        <f>IF(OR(AY298="SÁB",AY298="DOM"),0,IFERROR(8-VLOOKUP(R298,'Dados de consulta'!$A$2:$C$38,3,0),8))</f>
        <v>0</v>
      </c>
      <c r="BP298" s="97">
        <f>IF(OR(AY298="SÁB",AY298="DOM"),0,IFERROR(8-VLOOKUP(S298,'Dados de consulta'!$A$2:$C$38,3,0),8))</f>
        <v>0</v>
      </c>
      <c r="BQ298" s="113">
        <f>IFERROR(6-VLOOKUP(T298,'Dados de consulta'!$A$2:$C$38,3,0)+2,6)</f>
        <v>6</v>
      </c>
      <c r="BR298" s="114">
        <f t="shared" si="128"/>
        <v>0</v>
      </c>
      <c r="BS298">
        <f t="shared" si="104"/>
        <v>0</v>
      </c>
      <c r="BU298">
        <f>IFERROR(8-VLOOKUP(U298,'Dados de consulta'!$A:$D,3,0),8)</f>
        <v>8</v>
      </c>
      <c r="BV298">
        <f>IFERROR(8-VLOOKUP(V298,'Dados de consulta'!$A:$D,3,0),8)</f>
        <v>8</v>
      </c>
      <c r="BW298">
        <f t="shared" si="129"/>
        <v>16</v>
      </c>
    </row>
    <row r="299" spans="1:75" ht="15" hidden="1" x14ac:dyDescent="0.2">
      <c r="A299" s="98">
        <v>42422</v>
      </c>
      <c r="B299" s="129" t="str">
        <f t="shared" si="105"/>
        <v>seg</v>
      </c>
      <c r="C299" s="132"/>
      <c r="D299" s="132"/>
      <c r="E299" s="132">
        <v>8</v>
      </c>
      <c r="F299" s="132"/>
      <c r="G299" s="132">
        <v>18</v>
      </c>
      <c r="H299" s="132"/>
      <c r="I299" s="132"/>
      <c r="J299" s="132"/>
      <c r="K299" s="132"/>
      <c r="L299" s="132"/>
      <c r="M299" s="132">
        <v>101</v>
      </c>
      <c r="N299" s="132"/>
      <c r="O299" s="132">
        <v>18</v>
      </c>
      <c r="P299" s="132"/>
      <c r="Q299" s="132"/>
      <c r="R299" s="132"/>
      <c r="S299" s="132"/>
      <c r="T299" s="132"/>
      <c r="U299" s="151"/>
      <c r="V299" s="151"/>
      <c r="W299" s="307" t="s">
        <v>193</v>
      </c>
      <c r="X299" s="308"/>
      <c r="Y299" s="38">
        <f t="shared" si="106"/>
        <v>8</v>
      </c>
      <c r="Z299" s="38">
        <f t="shared" si="107"/>
        <v>16</v>
      </c>
      <c r="AA299" s="38">
        <f t="shared" si="108"/>
        <v>0</v>
      </c>
      <c r="AB299" s="38">
        <f t="shared" si="116"/>
        <v>0</v>
      </c>
      <c r="AC299" s="38">
        <f t="shared" si="117"/>
        <v>0</v>
      </c>
      <c r="AD299" s="38">
        <f t="shared" si="118"/>
        <v>0</v>
      </c>
      <c r="AE299" s="38">
        <f t="shared" si="119"/>
        <v>0</v>
      </c>
      <c r="AF299" s="38">
        <f t="shared" si="120"/>
        <v>0</v>
      </c>
      <c r="AG299" s="33">
        <f t="shared" si="121"/>
        <v>8</v>
      </c>
      <c r="AH299" s="33">
        <f t="shared" si="122"/>
        <v>16</v>
      </c>
      <c r="AI299" s="33">
        <f t="shared" si="123"/>
        <v>0</v>
      </c>
      <c r="AJ299" s="33">
        <f t="shared" si="124"/>
        <v>0</v>
      </c>
      <c r="AK299" s="34">
        <f t="shared" si="125"/>
        <v>5.6338028169014086E-2</v>
      </c>
      <c r="AL299" s="35">
        <f t="shared" si="126"/>
        <v>0.11267605633802817</v>
      </c>
      <c r="AM299" s="34">
        <f t="shared" si="109"/>
        <v>0</v>
      </c>
      <c r="AN299" s="36">
        <f t="shared" si="127"/>
        <v>0</v>
      </c>
      <c r="AO299" s="6">
        <f t="shared" si="110"/>
        <v>0</v>
      </c>
      <c r="AP299">
        <f t="shared" si="111"/>
        <v>8</v>
      </c>
      <c r="AQ299" s="6">
        <f t="shared" si="112"/>
        <v>0</v>
      </c>
      <c r="AR299" s="6">
        <f t="shared" si="113"/>
        <v>0</v>
      </c>
      <c r="AS299" s="6"/>
      <c r="AX299" s="95">
        <f t="shared" si="114"/>
        <v>42422</v>
      </c>
      <c r="AY299" s="96" t="str">
        <f t="shared" si="115"/>
        <v>seg</v>
      </c>
      <c r="AZ299" s="97">
        <f>IF(OR(AY299="SÁB",AY299="DOM"),0,IFERROR(8-VLOOKUP(C299,'Dados de consulta'!$A$2:$C$38,3,0),8))</f>
        <v>8</v>
      </c>
      <c r="BA299" s="97">
        <f>IF(OR(AY299="SÁB",AY299="DOM"),0,IFERROR(8-VLOOKUP(D299,'Dados de consulta'!$A$2:$C$38,3,0),8))</f>
        <v>8</v>
      </c>
      <c r="BB299" s="97">
        <f>IF(OR(AY299="SÁB",AY299="DOM"),0,IFERROR(8-VLOOKUP(E299,'Dados de consulta'!$A$2:$C$38,3,0),8))</f>
        <v>0</v>
      </c>
      <c r="BC299" s="97">
        <f>IF(OR(AY299="SÁB",AY299="DOM"),0,IFERROR(8-VLOOKUP(F299,'Dados de consulta'!$A$2:$C$38,3,0),8))</f>
        <v>8</v>
      </c>
      <c r="BD299" s="97">
        <f>IF(OR(AY299="SÁB",AY299="DOM"),0,IFERROR(8-VLOOKUP(G299,'Dados de consulta'!$A$2:$C$38,3,0),8))</f>
        <v>0</v>
      </c>
      <c r="BE299" s="97">
        <f>IF(OR(AY299="SÁB",AY299="DOM"),0,IFERROR(8-VLOOKUP(H299,'Dados de consulta'!$A$2:$C$38,3,0),8))</f>
        <v>8</v>
      </c>
      <c r="BF299" s="97">
        <f>IF(OR(AY299="SÁB",AY299="DOM"),0,IFERROR(8-VLOOKUP(I299,'Dados de consulta'!$A$2:$C$38,3,0),8))</f>
        <v>8</v>
      </c>
      <c r="BG299" s="97">
        <f>IF(OR(AY299="SÁB",AY299="DOM"),0,IFERROR(8-VLOOKUP(J299,'Dados de consulta'!$A$2:$C$38,3,0),8))</f>
        <v>8</v>
      </c>
      <c r="BH299" s="97">
        <f>IF(OR(AY299="SÁB",AY299="DOM"),0,IFERROR(8-VLOOKUP(K299,'Dados de consulta'!$A$2:$C$38,3,0),8))</f>
        <v>8</v>
      </c>
      <c r="BI299" s="97">
        <f>IF(OR(AY299="SÁB",AY299="DOM"),0,IFERROR(8-VLOOKUP(L299,'Dados de consulta'!$A$2:$C$38,3,0),8))</f>
        <v>8</v>
      </c>
      <c r="BJ299" s="97">
        <f>IF(OR(AY299="SÁB",AY299="DOM"),0,IFERROR(8-VLOOKUP(M299,'Dados de consulta'!$A$2:$C$38,3,0),8))</f>
        <v>0</v>
      </c>
      <c r="BK299" s="97">
        <f>IF(OR(AY299="SÁB",AY299="DOM"),0,IFERROR(8-VLOOKUP(N299,'Dados de consulta'!$A$2:$C$38,3,0),8))</f>
        <v>8</v>
      </c>
      <c r="BL299" s="97">
        <f>IF(OR(AY299="SÁB",AY299="DOM"),0,IFERROR(8-VLOOKUP(O299,'Dados de consulta'!$A$2:$C$38,3,0),8))</f>
        <v>0</v>
      </c>
      <c r="BM299" s="97">
        <f>IF(OR(AY299="SÁB",AY299="DOM"),0,IFERROR(8-VLOOKUP(P299,'Dados de consulta'!$A$2:$C$38,3,0),8))</f>
        <v>8</v>
      </c>
      <c r="BN299" s="97">
        <f>IF(OR(AY299="SÁB",AY299="DOM"),0,IFERROR(8-VLOOKUP(Q299,'Dados de consulta'!$A$2:$C$38,3,0),8))</f>
        <v>8</v>
      </c>
      <c r="BO299" s="97">
        <f>IF(OR(AY299="SÁB",AY299="DOM"),0,IFERROR(8-VLOOKUP(R299,'Dados de consulta'!$A$2:$C$38,3,0),8))</f>
        <v>8</v>
      </c>
      <c r="BP299" s="97">
        <f>IF(OR(AY299="SÁB",AY299="DOM"),0,IFERROR(8-VLOOKUP(S299,'Dados de consulta'!$A$2:$C$38,3,0),8))</f>
        <v>8</v>
      </c>
      <c r="BQ299" s="113">
        <f>IFERROR(6-VLOOKUP(T299,'Dados de consulta'!$A$2:$C$38,3,0)+2,6)</f>
        <v>6</v>
      </c>
      <c r="BR299" s="114">
        <f t="shared" si="128"/>
        <v>110</v>
      </c>
      <c r="BS299">
        <f t="shared" si="104"/>
        <v>134</v>
      </c>
      <c r="BU299">
        <f>IFERROR(8-VLOOKUP(U299,'Dados de consulta'!$A:$D,3,0),8)</f>
        <v>8</v>
      </c>
      <c r="BV299">
        <f>IFERROR(8-VLOOKUP(V299,'Dados de consulta'!$A:$D,3,0),8)</f>
        <v>8</v>
      </c>
      <c r="BW299">
        <f t="shared" si="129"/>
        <v>16</v>
      </c>
    </row>
    <row r="300" spans="1:75" ht="15" hidden="1" x14ac:dyDescent="0.2">
      <c r="A300" s="98">
        <v>42423</v>
      </c>
      <c r="B300" s="129" t="str">
        <f t="shared" si="105"/>
        <v>ter</v>
      </c>
      <c r="C300" s="132"/>
      <c r="D300" s="132"/>
      <c r="E300" s="132">
        <v>8</v>
      </c>
      <c r="F300" s="132"/>
      <c r="G300" s="132">
        <v>18</v>
      </c>
      <c r="H300" s="132"/>
      <c r="I300" s="132"/>
      <c r="J300" s="132"/>
      <c r="K300" s="132"/>
      <c r="L300" s="132"/>
      <c r="M300" s="132">
        <v>101</v>
      </c>
      <c r="N300" s="132"/>
      <c r="O300" s="132">
        <v>18</v>
      </c>
      <c r="P300" s="132"/>
      <c r="Q300" s="132"/>
      <c r="R300" s="132"/>
      <c r="S300" s="132"/>
      <c r="T300" s="132"/>
      <c r="U300" s="151"/>
      <c r="V300" s="151"/>
      <c r="W300" s="307" t="s">
        <v>193</v>
      </c>
      <c r="X300" s="308"/>
      <c r="Y300" s="38">
        <f t="shared" si="106"/>
        <v>8</v>
      </c>
      <c r="Z300" s="38">
        <f t="shared" si="107"/>
        <v>16</v>
      </c>
      <c r="AA300" s="38">
        <f t="shared" si="108"/>
        <v>0</v>
      </c>
      <c r="AB300" s="38">
        <f t="shared" si="116"/>
        <v>0</v>
      </c>
      <c r="AC300" s="38">
        <f t="shared" si="117"/>
        <v>0</v>
      </c>
      <c r="AD300" s="38">
        <f t="shared" si="118"/>
        <v>0</v>
      </c>
      <c r="AE300" s="38">
        <f t="shared" si="119"/>
        <v>0</v>
      </c>
      <c r="AF300" s="38">
        <f t="shared" si="120"/>
        <v>0</v>
      </c>
      <c r="AG300" s="33">
        <f t="shared" si="121"/>
        <v>8</v>
      </c>
      <c r="AH300" s="33">
        <f t="shared" si="122"/>
        <v>16</v>
      </c>
      <c r="AI300" s="33">
        <f t="shared" si="123"/>
        <v>0</v>
      </c>
      <c r="AJ300" s="33">
        <f t="shared" si="124"/>
        <v>0</v>
      </c>
      <c r="AK300" s="34">
        <f t="shared" si="125"/>
        <v>5.6338028169014086E-2</v>
      </c>
      <c r="AL300" s="35">
        <f t="shared" si="126"/>
        <v>0.11267605633802817</v>
      </c>
      <c r="AM300" s="34">
        <f t="shared" si="109"/>
        <v>0</v>
      </c>
      <c r="AN300" s="36">
        <f t="shared" si="127"/>
        <v>0</v>
      </c>
      <c r="AO300" s="6">
        <f t="shared" si="110"/>
        <v>0</v>
      </c>
      <c r="AP300">
        <f t="shared" si="111"/>
        <v>8</v>
      </c>
      <c r="AQ300" s="6">
        <f t="shared" si="112"/>
        <v>0</v>
      </c>
      <c r="AR300" s="6">
        <f t="shared" si="113"/>
        <v>0</v>
      </c>
      <c r="AS300" s="6"/>
      <c r="AX300" s="95">
        <f t="shared" si="114"/>
        <v>42423</v>
      </c>
      <c r="AY300" s="96" t="str">
        <f t="shared" si="115"/>
        <v>ter</v>
      </c>
      <c r="AZ300" s="97">
        <f>IF(OR(AY300="SÁB",AY300="DOM"),0,IFERROR(8-VLOOKUP(C300,'Dados de consulta'!$A$2:$C$38,3,0),8))</f>
        <v>8</v>
      </c>
      <c r="BA300" s="97">
        <f>IF(OR(AY300="SÁB",AY300="DOM"),0,IFERROR(8-VLOOKUP(D300,'Dados de consulta'!$A$2:$C$38,3,0),8))</f>
        <v>8</v>
      </c>
      <c r="BB300" s="97">
        <f>IF(OR(AY300="SÁB",AY300="DOM"),0,IFERROR(8-VLOOKUP(E300,'Dados de consulta'!$A$2:$C$38,3,0),8))</f>
        <v>0</v>
      </c>
      <c r="BC300" s="97">
        <f>IF(OR(AY300="SÁB",AY300="DOM"),0,IFERROR(8-VLOOKUP(F300,'Dados de consulta'!$A$2:$C$38,3,0),8))</f>
        <v>8</v>
      </c>
      <c r="BD300" s="97">
        <f>IF(OR(AY300="SÁB",AY300="DOM"),0,IFERROR(8-VLOOKUP(G300,'Dados de consulta'!$A$2:$C$38,3,0),8))</f>
        <v>0</v>
      </c>
      <c r="BE300" s="97">
        <f>IF(OR(AY300="SÁB",AY300="DOM"),0,IFERROR(8-VLOOKUP(H300,'Dados de consulta'!$A$2:$C$38,3,0),8))</f>
        <v>8</v>
      </c>
      <c r="BF300" s="97">
        <f>IF(OR(AY300="SÁB",AY300="DOM"),0,IFERROR(8-VLOOKUP(I300,'Dados de consulta'!$A$2:$C$38,3,0),8))</f>
        <v>8</v>
      </c>
      <c r="BG300" s="97">
        <f>IF(OR(AY300="SÁB",AY300="DOM"),0,IFERROR(8-VLOOKUP(J300,'Dados de consulta'!$A$2:$C$38,3,0),8))</f>
        <v>8</v>
      </c>
      <c r="BH300" s="97">
        <f>IF(OR(AY300="SÁB",AY300="DOM"),0,IFERROR(8-VLOOKUP(K300,'Dados de consulta'!$A$2:$C$38,3,0),8))</f>
        <v>8</v>
      </c>
      <c r="BI300" s="97">
        <f>IF(OR(AY300="SÁB",AY300="DOM"),0,IFERROR(8-VLOOKUP(L300,'Dados de consulta'!$A$2:$C$38,3,0),8))</f>
        <v>8</v>
      </c>
      <c r="BJ300" s="97">
        <f>IF(OR(AY300="SÁB",AY300="DOM"),0,IFERROR(8-VLOOKUP(M300,'Dados de consulta'!$A$2:$C$38,3,0),8))</f>
        <v>0</v>
      </c>
      <c r="BK300" s="97">
        <f>IF(OR(AY300="SÁB",AY300="DOM"),0,IFERROR(8-VLOOKUP(N300,'Dados de consulta'!$A$2:$C$38,3,0),8))</f>
        <v>8</v>
      </c>
      <c r="BL300" s="97">
        <f>IF(OR(AY300="SÁB",AY300="DOM"),0,IFERROR(8-VLOOKUP(O300,'Dados de consulta'!$A$2:$C$38,3,0),8))</f>
        <v>0</v>
      </c>
      <c r="BM300" s="97">
        <f>IF(OR(AY300="SÁB",AY300="DOM"),0,IFERROR(8-VLOOKUP(P300,'Dados de consulta'!$A$2:$C$38,3,0),8))</f>
        <v>8</v>
      </c>
      <c r="BN300" s="97">
        <f>IF(OR(AY300="SÁB",AY300="DOM"),0,IFERROR(8-VLOOKUP(Q300,'Dados de consulta'!$A$2:$C$38,3,0),8))</f>
        <v>8</v>
      </c>
      <c r="BO300" s="97">
        <f>IF(OR(AY300="SÁB",AY300="DOM"),0,IFERROR(8-VLOOKUP(R300,'Dados de consulta'!$A$2:$C$38,3,0),8))</f>
        <v>8</v>
      </c>
      <c r="BP300" s="97">
        <f>IF(OR(AY300="SÁB",AY300="DOM"),0,IFERROR(8-VLOOKUP(S300,'Dados de consulta'!$A$2:$C$38,3,0),8))</f>
        <v>8</v>
      </c>
      <c r="BQ300" s="113">
        <f>IFERROR(6-VLOOKUP(T300,'Dados de consulta'!$A$2:$C$38,3,0)+2,6)</f>
        <v>6</v>
      </c>
      <c r="BR300" s="114">
        <f t="shared" si="128"/>
        <v>110</v>
      </c>
      <c r="BS300">
        <f t="shared" si="104"/>
        <v>134</v>
      </c>
      <c r="BU300">
        <f>IFERROR(8-VLOOKUP(U300,'Dados de consulta'!$A:$D,3,0),8)</f>
        <v>8</v>
      </c>
      <c r="BV300">
        <f>IFERROR(8-VLOOKUP(V300,'Dados de consulta'!$A:$D,3,0),8)</f>
        <v>8</v>
      </c>
      <c r="BW300">
        <f t="shared" si="129"/>
        <v>16</v>
      </c>
    </row>
    <row r="301" spans="1:75" ht="15" hidden="1" x14ac:dyDescent="0.2">
      <c r="A301" s="98">
        <v>42424</v>
      </c>
      <c r="B301" s="129" t="str">
        <f t="shared" si="105"/>
        <v>qua</v>
      </c>
      <c r="C301" s="132"/>
      <c r="D301" s="132">
        <v>1</v>
      </c>
      <c r="E301" s="132">
        <v>8</v>
      </c>
      <c r="F301" s="132"/>
      <c r="G301" s="132">
        <v>18</v>
      </c>
      <c r="H301" s="132"/>
      <c r="I301" s="132"/>
      <c r="J301" s="132"/>
      <c r="K301" s="132"/>
      <c r="L301" s="132"/>
      <c r="M301" s="132">
        <v>101</v>
      </c>
      <c r="N301" s="132"/>
      <c r="O301" s="132">
        <v>18</v>
      </c>
      <c r="P301" s="132"/>
      <c r="Q301" s="132"/>
      <c r="R301" s="132"/>
      <c r="S301" s="132"/>
      <c r="T301" s="132"/>
      <c r="U301" s="151"/>
      <c r="V301" s="151"/>
      <c r="W301" s="307" t="s">
        <v>193</v>
      </c>
      <c r="X301" s="308"/>
      <c r="Y301" s="38">
        <f t="shared" si="106"/>
        <v>8</v>
      </c>
      <c r="Z301" s="38">
        <f t="shared" si="107"/>
        <v>24</v>
      </c>
      <c r="AA301" s="38">
        <f t="shared" si="108"/>
        <v>0</v>
      </c>
      <c r="AB301" s="38">
        <f t="shared" si="116"/>
        <v>0</v>
      </c>
      <c r="AC301" s="38">
        <f t="shared" si="117"/>
        <v>0</v>
      </c>
      <c r="AD301" s="38">
        <f t="shared" si="118"/>
        <v>0</v>
      </c>
      <c r="AE301" s="38">
        <f t="shared" si="119"/>
        <v>0</v>
      </c>
      <c r="AF301" s="38">
        <f t="shared" si="120"/>
        <v>0</v>
      </c>
      <c r="AG301" s="33">
        <f t="shared" si="121"/>
        <v>8</v>
      </c>
      <c r="AH301" s="33">
        <f t="shared" si="122"/>
        <v>24</v>
      </c>
      <c r="AI301" s="33">
        <f t="shared" si="123"/>
        <v>0</v>
      </c>
      <c r="AJ301" s="33">
        <f t="shared" si="124"/>
        <v>0</v>
      </c>
      <c r="AK301" s="34">
        <f t="shared" si="125"/>
        <v>5.6338028169014086E-2</v>
      </c>
      <c r="AL301" s="35">
        <f t="shared" si="126"/>
        <v>0.16901408450704225</v>
      </c>
      <c r="AM301" s="34">
        <f t="shared" si="109"/>
        <v>0</v>
      </c>
      <c r="AN301" s="36">
        <f t="shared" si="127"/>
        <v>0</v>
      </c>
      <c r="AO301" s="6">
        <f t="shared" si="110"/>
        <v>0</v>
      </c>
      <c r="AP301">
        <f t="shared" si="111"/>
        <v>8</v>
      </c>
      <c r="AQ301" s="6">
        <f t="shared" si="112"/>
        <v>0</v>
      </c>
      <c r="AR301" s="6">
        <f t="shared" si="113"/>
        <v>0</v>
      </c>
      <c r="AS301" s="6"/>
      <c r="AX301" s="95">
        <f t="shared" si="114"/>
        <v>42424</v>
      </c>
      <c r="AY301" s="96" t="str">
        <f t="shared" si="115"/>
        <v>qua</v>
      </c>
      <c r="AZ301" s="97">
        <f>IF(OR(AY301="SÁB",AY301="DOM"),0,IFERROR(8-VLOOKUP(C301,'Dados de consulta'!$A$2:$C$38,3,0),8))</f>
        <v>8</v>
      </c>
      <c r="BA301" s="97">
        <f>IF(OR(AY301="SÁB",AY301="DOM"),0,IFERROR(8-VLOOKUP(D301,'Dados de consulta'!$A$2:$C$38,3,0),8))</f>
        <v>0</v>
      </c>
      <c r="BB301" s="97">
        <f>IF(OR(AY301="SÁB",AY301="DOM"),0,IFERROR(8-VLOOKUP(E301,'Dados de consulta'!$A$2:$C$38,3,0),8))</f>
        <v>0</v>
      </c>
      <c r="BC301" s="97">
        <f>IF(OR(AY301="SÁB",AY301="DOM"),0,IFERROR(8-VLOOKUP(F301,'Dados de consulta'!$A$2:$C$38,3,0),8))</f>
        <v>8</v>
      </c>
      <c r="BD301" s="97">
        <f>IF(OR(AY301="SÁB",AY301="DOM"),0,IFERROR(8-VLOOKUP(G301,'Dados de consulta'!$A$2:$C$38,3,0),8))</f>
        <v>0</v>
      </c>
      <c r="BE301" s="97">
        <f>IF(OR(AY301="SÁB",AY301="DOM"),0,IFERROR(8-VLOOKUP(H301,'Dados de consulta'!$A$2:$C$38,3,0),8))</f>
        <v>8</v>
      </c>
      <c r="BF301" s="97">
        <f>IF(OR(AY301="SÁB",AY301="DOM"),0,IFERROR(8-VLOOKUP(I301,'Dados de consulta'!$A$2:$C$38,3,0),8))</f>
        <v>8</v>
      </c>
      <c r="BG301" s="97">
        <f>IF(OR(AY301="SÁB",AY301="DOM"),0,IFERROR(8-VLOOKUP(J301,'Dados de consulta'!$A$2:$C$38,3,0),8))</f>
        <v>8</v>
      </c>
      <c r="BH301" s="97">
        <f>IF(OR(AY301="SÁB",AY301="DOM"),0,IFERROR(8-VLOOKUP(K301,'Dados de consulta'!$A$2:$C$38,3,0),8))</f>
        <v>8</v>
      </c>
      <c r="BI301" s="97">
        <f>IF(OR(AY301="SÁB",AY301="DOM"),0,IFERROR(8-VLOOKUP(L301,'Dados de consulta'!$A$2:$C$38,3,0),8))</f>
        <v>8</v>
      </c>
      <c r="BJ301" s="97">
        <f>IF(OR(AY301="SÁB",AY301="DOM"),0,IFERROR(8-VLOOKUP(M301,'Dados de consulta'!$A$2:$C$38,3,0),8))</f>
        <v>0</v>
      </c>
      <c r="BK301" s="97">
        <f>IF(OR(AY301="SÁB",AY301="DOM"),0,IFERROR(8-VLOOKUP(N301,'Dados de consulta'!$A$2:$C$38,3,0),8))</f>
        <v>8</v>
      </c>
      <c r="BL301" s="97">
        <f>IF(OR(AY301="SÁB",AY301="DOM"),0,IFERROR(8-VLOOKUP(O301,'Dados de consulta'!$A$2:$C$38,3,0),8))</f>
        <v>0</v>
      </c>
      <c r="BM301" s="97">
        <f>IF(OR(AY301="SÁB",AY301="DOM"),0,IFERROR(8-VLOOKUP(P301,'Dados de consulta'!$A$2:$C$38,3,0),8))</f>
        <v>8</v>
      </c>
      <c r="BN301" s="97">
        <f>IF(OR(AY301="SÁB",AY301="DOM"),0,IFERROR(8-VLOOKUP(Q301,'Dados de consulta'!$A$2:$C$38,3,0),8))</f>
        <v>8</v>
      </c>
      <c r="BO301" s="97">
        <f>IF(OR(AY301="SÁB",AY301="DOM"),0,IFERROR(8-VLOOKUP(R301,'Dados de consulta'!$A$2:$C$38,3,0),8))</f>
        <v>8</v>
      </c>
      <c r="BP301" s="97">
        <f>IF(OR(AY301="SÁB",AY301="DOM"),0,IFERROR(8-VLOOKUP(S301,'Dados de consulta'!$A$2:$C$38,3,0),8))</f>
        <v>8</v>
      </c>
      <c r="BQ301" s="113">
        <f>IFERROR(6-VLOOKUP(T301,'Dados de consulta'!$A$2:$C$38,3,0)+2,6)</f>
        <v>6</v>
      </c>
      <c r="BR301" s="114">
        <f t="shared" si="128"/>
        <v>102</v>
      </c>
      <c r="BS301">
        <f t="shared" si="104"/>
        <v>134</v>
      </c>
      <c r="BU301">
        <f>IFERROR(8-VLOOKUP(U301,'Dados de consulta'!$A:$D,3,0),8)</f>
        <v>8</v>
      </c>
      <c r="BV301">
        <f>IFERROR(8-VLOOKUP(V301,'Dados de consulta'!$A:$D,3,0),8)</f>
        <v>8</v>
      </c>
      <c r="BW301">
        <f t="shared" si="129"/>
        <v>16</v>
      </c>
    </row>
    <row r="302" spans="1:75" ht="15" hidden="1" x14ac:dyDescent="0.2">
      <c r="A302" s="98">
        <v>42425</v>
      </c>
      <c r="B302" s="129" t="str">
        <f t="shared" si="105"/>
        <v>qui</v>
      </c>
      <c r="C302" s="132"/>
      <c r="D302" s="132"/>
      <c r="E302" s="132">
        <v>8</v>
      </c>
      <c r="F302" s="132"/>
      <c r="G302" s="132">
        <v>18</v>
      </c>
      <c r="H302" s="132"/>
      <c r="I302" s="132"/>
      <c r="J302" s="132"/>
      <c r="K302" s="132"/>
      <c r="L302" s="132"/>
      <c r="M302" s="132">
        <v>101</v>
      </c>
      <c r="N302" s="132"/>
      <c r="O302" s="132">
        <v>18</v>
      </c>
      <c r="P302" s="132"/>
      <c r="Q302" s="132"/>
      <c r="R302" s="132"/>
      <c r="S302" s="132"/>
      <c r="T302" s="132"/>
      <c r="U302" s="151"/>
      <c r="V302" s="151"/>
      <c r="W302" s="307" t="s">
        <v>193</v>
      </c>
      <c r="X302" s="308"/>
      <c r="Y302" s="38">
        <f t="shared" si="106"/>
        <v>8</v>
      </c>
      <c r="Z302" s="38">
        <f t="shared" si="107"/>
        <v>16</v>
      </c>
      <c r="AA302" s="38">
        <f t="shared" si="108"/>
        <v>0</v>
      </c>
      <c r="AB302" s="38">
        <f t="shared" si="116"/>
        <v>0</v>
      </c>
      <c r="AC302" s="38">
        <f t="shared" si="117"/>
        <v>0</v>
      </c>
      <c r="AD302" s="38">
        <f t="shared" si="118"/>
        <v>0</v>
      </c>
      <c r="AE302" s="38">
        <f t="shared" si="119"/>
        <v>0</v>
      </c>
      <c r="AF302" s="38">
        <f t="shared" si="120"/>
        <v>0</v>
      </c>
      <c r="AG302" s="33">
        <f t="shared" si="121"/>
        <v>8</v>
      </c>
      <c r="AH302" s="33">
        <f t="shared" si="122"/>
        <v>16</v>
      </c>
      <c r="AI302" s="33">
        <f t="shared" si="123"/>
        <v>0</v>
      </c>
      <c r="AJ302" s="33">
        <f t="shared" si="124"/>
        <v>0</v>
      </c>
      <c r="AK302" s="34">
        <f t="shared" si="125"/>
        <v>5.6338028169014086E-2</v>
      </c>
      <c r="AL302" s="35">
        <f t="shared" si="126"/>
        <v>0.11267605633802817</v>
      </c>
      <c r="AM302" s="34">
        <f t="shared" si="109"/>
        <v>0</v>
      </c>
      <c r="AN302" s="36">
        <f t="shared" si="127"/>
        <v>0</v>
      </c>
      <c r="AO302" s="6">
        <f t="shared" si="110"/>
        <v>0</v>
      </c>
      <c r="AP302">
        <f t="shared" si="111"/>
        <v>8</v>
      </c>
      <c r="AQ302" s="6">
        <f t="shared" si="112"/>
        <v>0</v>
      </c>
      <c r="AR302" s="6">
        <f t="shared" si="113"/>
        <v>0</v>
      </c>
      <c r="AS302" s="6"/>
      <c r="AX302" s="95">
        <f t="shared" si="114"/>
        <v>42425</v>
      </c>
      <c r="AY302" s="96" t="str">
        <f t="shared" si="115"/>
        <v>qui</v>
      </c>
      <c r="AZ302" s="97">
        <f>IF(OR(AY302="SÁB",AY302="DOM"),0,IFERROR(8-VLOOKUP(C302,'Dados de consulta'!$A$2:$C$38,3,0),8))</f>
        <v>8</v>
      </c>
      <c r="BA302" s="97">
        <f>IF(OR(AY302="SÁB",AY302="DOM"),0,IFERROR(8-VLOOKUP(D302,'Dados de consulta'!$A$2:$C$38,3,0),8))</f>
        <v>8</v>
      </c>
      <c r="BB302" s="97">
        <f>IF(OR(AY302="SÁB",AY302="DOM"),0,IFERROR(8-VLOOKUP(E302,'Dados de consulta'!$A$2:$C$38,3,0),8))</f>
        <v>0</v>
      </c>
      <c r="BC302" s="97">
        <f>IF(OR(AY302="SÁB",AY302="DOM"),0,IFERROR(8-VLOOKUP(F302,'Dados de consulta'!$A$2:$C$38,3,0),8))</f>
        <v>8</v>
      </c>
      <c r="BD302" s="97">
        <f>IF(OR(AY302="SÁB",AY302="DOM"),0,IFERROR(8-VLOOKUP(G302,'Dados de consulta'!$A$2:$C$38,3,0),8))</f>
        <v>0</v>
      </c>
      <c r="BE302" s="97">
        <f>IF(OR(AY302="SÁB",AY302="DOM"),0,IFERROR(8-VLOOKUP(H302,'Dados de consulta'!$A$2:$C$38,3,0),8))</f>
        <v>8</v>
      </c>
      <c r="BF302" s="97">
        <f>IF(OR(AY302="SÁB",AY302="DOM"),0,IFERROR(8-VLOOKUP(I302,'Dados de consulta'!$A$2:$C$38,3,0),8))</f>
        <v>8</v>
      </c>
      <c r="BG302" s="97">
        <f>IF(OR(AY302="SÁB",AY302="DOM"),0,IFERROR(8-VLOOKUP(J302,'Dados de consulta'!$A$2:$C$38,3,0),8))</f>
        <v>8</v>
      </c>
      <c r="BH302" s="97">
        <f>IF(OR(AY302="SÁB",AY302="DOM"),0,IFERROR(8-VLOOKUP(K302,'Dados de consulta'!$A$2:$C$38,3,0),8))</f>
        <v>8</v>
      </c>
      <c r="BI302" s="97">
        <f>IF(OR(AY302="SÁB",AY302="DOM"),0,IFERROR(8-VLOOKUP(L302,'Dados de consulta'!$A$2:$C$38,3,0),8))</f>
        <v>8</v>
      </c>
      <c r="BJ302" s="97">
        <f>IF(OR(AY302="SÁB",AY302="DOM"),0,IFERROR(8-VLOOKUP(M302,'Dados de consulta'!$A$2:$C$38,3,0),8))</f>
        <v>0</v>
      </c>
      <c r="BK302" s="97">
        <f>IF(OR(AY302="SÁB",AY302="DOM"),0,IFERROR(8-VLOOKUP(N302,'Dados de consulta'!$A$2:$C$38,3,0),8))</f>
        <v>8</v>
      </c>
      <c r="BL302" s="97">
        <f>IF(OR(AY302="SÁB",AY302="DOM"),0,IFERROR(8-VLOOKUP(O302,'Dados de consulta'!$A$2:$C$38,3,0),8))</f>
        <v>0</v>
      </c>
      <c r="BM302" s="97">
        <f>IF(OR(AY302="SÁB",AY302="DOM"),0,IFERROR(8-VLOOKUP(P302,'Dados de consulta'!$A$2:$C$38,3,0),8))</f>
        <v>8</v>
      </c>
      <c r="BN302" s="97">
        <f>IF(OR(AY302="SÁB",AY302="DOM"),0,IFERROR(8-VLOOKUP(Q302,'Dados de consulta'!$A$2:$C$38,3,0),8))</f>
        <v>8</v>
      </c>
      <c r="BO302" s="97">
        <f>IF(OR(AY302="SÁB",AY302="DOM"),0,IFERROR(8-VLOOKUP(R302,'Dados de consulta'!$A$2:$C$38,3,0),8))</f>
        <v>8</v>
      </c>
      <c r="BP302" s="97">
        <f>IF(OR(AY302="SÁB",AY302="DOM"),0,IFERROR(8-VLOOKUP(S302,'Dados de consulta'!$A$2:$C$38,3,0),8))</f>
        <v>8</v>
      </c>
      <c r="BQ302" s="113">
        <f>IFERROR(6-VLOOKUP(T302,'Dados de consulta'!$A$2:$C$38,3,0)+2,6)</f>
        <v>6</v>
      </c>
      <c r="BR302" s="114">
        <f t="shared" si="128"/>
        <v>110</v>
      </c>
      <c r="BS302">
        <f t="shared" si="104"/>
        <v>134</v>
      </c>
      <c r="BU302">
        <f>IFERROR(8-VLOOKUP(U302,'Dados de consulta'!$A:$D,3,0),8)</f>
        <v>8</v>
      </c>
      <c r="BV302">
        <f>IFERROR(8-VLOOKUP(V302,'Dados de consulta'!$A:$D,3,0),8)</f>
        <v>8</v>
      </c>
      <c r="BW302">
        <f t="shared" si="129"/>
        <v>16</v>
      </c>
    </row>
    <row r="303" spans="1:75" ht="15" hidden="1" x14ac:dyDescent="0.2">
      <c r="A303" s="98">
        <v>42426</v>
      </c>
      <c r="B303" s="129" t="str">
        <f t="shared" si="105"/>
        <v>sex</v>
      </c>
      <c r="C303" s="132"/>
      <c r="D303" s="132"/>
      <c r="E303" s="132">
        <v>8</v>
      </c>
      <c r="F303" s="132"/>
      <c r="G303" s="132">
        <v>18</v>
      </c>
      <c r="H303" s="132"/>
      <c r="I303" s="132"/>
      <c r="J303" s="132"/>
      <c r="K303" s="132"/>
      <c r="L303" s="132"/>
      <c r="M303" s="132">
        <v>101</v>
      </c>
      <c r="N303" s="132">
        <v>1</v>
      </c>
      <c r="O303" s="132">
        <v>18</v>
      </c>
      <c r="P303" s="132">
        <v>8</v>
      </c>
      <c r="Q303" s="132"/>
      <c r="R303" s="132"/>
      <c r="S303" s="132"/>
      <c r="T303" s="132"/>
      <c r="U303" s="151"/>
      <c r="V303" s="151"/>
      <c r="W303" s="307" t="s">
        <v>193</v>
      </c>
      <c r="X303" s="308"/>
      <c r="Y303" s="38">
        <f t="shared" si="106"/>
        <v>16</v>
      </c>
      <c r="Z303" s="38">
        <f t="shared" si="107"/>
        <v>24</v>
      </c>
      <c r="AA303" s="38">
        <f t="shared" si="108"/>
        <v>0</v>
      </c>
      <c r="AB303" s="38">
        <f t="shared" si="116"/>
        <v>0</v>
      </c>
      <c r="AC303" s="38">
        <f t="shared" si="117"/>
        <v>0</v>
      </c>
      <c r="AD303" s="38">
        <f t="shared" si="118"/>
        <v>0</v>
      </c>
      <c r="AE303" s="38">
        <f t="shared" si="119"/>
        <v>0</v>
      </c>
      <c r="AF303" s="38">
        <f t="shared" si="120"/>
        <v>0</v>
      </c>
      <c r="AG303" s="33">
        <f t="shared" si="121"/>
        <v>16</v>
      </c>
      <c r="AH303" s="33">
        <f t="shared" si="122"/>
        <v>24</v>
      </c>
      <c r="AI303" s="33">
        <f t="shared" si="123"/>
        <v>0</v>
      </c>
      <c r="AJ303" s="33">
        <f t="shared" si="124"/>
        <v>0</v>
      </c>
      <c r="AK303" s="34">
        <f t="shared" si="125"/>
        <v>0.11267605633802817</v>
      </c>
      <c r="AL303" s="35">
        <f t="shared" si="126"/>
        <v>0.16901408450704225</v>
      </c>
      <c r="AM303" s="34">
        <f t="shared" si="109"/>
        <v>0</v>
      </c>
      <c r="AN303" s="36">
        <f t="shared" si="127"/>
        <v>0</v>
      </c>
      <c r="AO303" s="6">
        <f t="shared" si="110"/>
        <v>0</v>
      </c>
      <c r="AP303">
        <f t="shared" si="111"/>
        <v>8</v>
      </c>
      <c r="AQ303" s="6">
        <f t="shared" si="112"/>
        <v>0</v>
      </c>
      <c r="AR303" s="6">
        <f t="shared" si="113"/>
        <v>0</v>
      </c>
      <c r="AS303" s="6"/>
      <c r="AX303" s="95">
        <f t="shared" si="114"/>
        <v>42426</v>
      </c>
      <c r="AY303" s="96" t="str">
        <f t="shared" si="115"/>
        <v>sex</v>
      </c>
      <c r="AZ303" s="97">
        <f>IF(OR(AY303="SÁB",AY303="DOM"),0,IFERROR(8-VLOOKUP(C303,'Dados de consulta'!$A$2:$C$38,3,0),8))</f>
        <v>8</v>
      </c>
      <c r="BA303" s="97">
        <f>IF(OR(AY303="SÁB",AY303="DOM"),0,IFERROR(8-VLOOKUP(D303,'Dados de consulta'!$A$2:$C$38,3,0),8))</f>
        <v>8</v>
      </c>
      <c r="BB303" s="97">
        <f>IF(OR(AY303="SÁB",AY303="DOM"),0,IFERROR(8-VLOOKUP(E303,'Dados de consulta'!$A$2:$C$38,3,0),8))</f>
        <v>0</v>
      </c>
      <c r="BC303" s="97">
        <f>IF(OR(AY303="SÁB",AY303="DOM"),0,IFERROR(8-VLOOKUP(F303,'Dados de consulta'!$A$2:$C$38,3,0),8))</f>
        <v>8</v>
      </c>
      <c r="BD303" s="97">
        <f>IF(OR(AY303="SÁB",AY303="DOM"),0,IFERROR(8-VLOOKUP(G303,'Dados de consulta'!$A$2:$C$38,3,0),8))</f>
        <v>0</v>
      </c>
      <c r="BE303" s="97">
        <f>IF(OR(AY303="SÁB",AY303="DOM"),0,IFERROR(8-VLOOKUP(H303,'Dados de consulta'!$A$2:$C$38,3,0),8))</f>
        <v>8</v>
      </c>
      <c r="BF303" s="97">
        <f>IF(OR(AY303="SÁB",AY303="DOM"),0,IFERROR(8-VLOOKUP(I303,'Dados de consulta'!$A$2:$C$38,3,0),8))</f>
        <v>8</v>
      </c>
      <c r="BG303" s="97">
        <f>IF(OR(AY303="SÁB",AY303="DOM"),0,IFERROR(8-VLOOKUP(J303,'Dados de consulta'!$A$2:$C$38,3,0),8))</f>
        <v>8</v>
      </c>
      <c r="BH303" s="97">
        <f>IF(OR(AY303="SÁB",AY303="DOM"),0,IFERROR(8-VLOOKUP(K303,'Dados de consulta'!$A$2:$C$38,3,0),8))</f>
        <v>8</v>
      </c>
      <c r="BI303" s="97">
        <f>IF(OR(AY303="SÁB",AY303="DOM"),0,IFERROR(8-VLOOKUP(L303,'Dados de consulta'!$A$2:$C$38,3,0),8))</f>
        <v>8</v>
      </c>
      <c r="BJ303" s="97">
        <f>IF(OR(AY303="SÁB",AY303="DOM"),0,IFERROR(8-VLOOKUP(M303,'Dados de consulta'!$A$2:$C$38,3,0),8))</f>
        <v>0</v>
      </c>
      <c r="BK303" s="97">
        <f>IF(OR(AY303="SÁB",AY303="DOM"),0,IFERROR(8-VLOOKUP(N303,'Dados de consulta'!$A$2:$C$38,3,0),8))</f>
        <v>0</v>
      </c>
      <c r="BL303" s="97">
        <f>IF(OR(AY303="SÁB",AY303="DOM"),0,IFERROR(8-VLOOKUP(O303,'Dados de consulta'!$A$2:$C$38,3,0),8))</f>
        <v>0</v>
      </c>
      <c r="BM303" s="97">
        <f>IF(OR(AY303="SÁB",AY303="DOM"),0,IFERROR(8-VLOOKUP(P303,'Dados de consulta'!$A$2:$C$38,3,0),8))</f>
        <v>0</v>
      </c>
      <c r="BN303" s="97">
        <f>IF(OR(AY303="SÁB",AY303="DOM"),0,IFERROR(8-VLOOKUP(Q303,'Dados de consulta'!$A$2:$C$38,3,0),8))</f>
        <v>8</v>
      </c>
      <c r="BO303" s="97">
        <f>IF(OR(AY303="SÁB",AY303="DOM"),0,IFERROR(8-VLOOKUP(R303,'Dados de consulta'!$A$2:$C$38,3,0),8))</f>
        <v>8</v>
      </c>
      <c r="BP303" s="97">
        <f>IF(OR(AY303="SÁB",AY303="DOM"),0,IFERROR(8-VLOOKUP(S303,'Dados de consulta'!$A$2:$C$38,3,0),8))</f>
        <v>8</v>
      </c>
      <c r="BQ303" s="113">
        <f>IFERROR(6-VLOOKUP(T303,'Dados de consulta'!$A$2:$C$38,3,0)+2,6)</f>
        <v>6</v>
      </c>
      <c r="BR303" s="114">
        <f t="shared" si="128"/>
        <v>94</v>
      </c>
      <c r="BS303">
        <f t="shared" si="104"/>
        <v>134</v>
      </c>
      <c r="BU303">
        <f>IFERROR(8-VLOOKUP(U303,'Dados de consulta'!$A:$D,3,0),8)</f>
        <v>8</v>
      </c>
      <c r="BV303">
        <f>IFERROR(8-VLOOKUP(V303,'Dados de consulta'!$A:$D,3,0),8)</f>
        <v>8</v>
      </c>
      <c r="BW303">
        <f t="shared" si="129"/>
        <v>16</v>
      </c>
    </row>
    <row r="304" spans="1:75" ht="15" hidden="1" x14ac:dyDescent="0.2">
      <c r="A304" s="98">
        <v>42427</v>
      </c>
      <c r="B304" s="129" t="str">
        <f t="shared" si="105"/>
        <v>sáb</v>
      </c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>
        <v>101</v>
      </c>
      <c r="N304" s="132"/>
      <c r="O304" s="132">
        <v>18</v>
      </c>
      <c r="P304" s="132"/>
      <c r="Q304" s="132"/>
      <c r="R304" s="132"/>
      <c r="S304" s="132"/>
      <c r="T304" s="132"/>
      <c r="U304" s="151"/>
      <c r="V304" s="151"/>
      <c r="W304" s="307" t="s">
        <v>193</v>
      </c>
      <c r="X304" s="308"/>
      <c r="Y304" s="38">
        <f t="shared" si="106"/>
        <v>0</v>
      </c>
      <c r="Z304" s="38">
        <f t="shared" si="107"/>
        <v>8</v>
      </c>
      <c r="AA304" s="38">
        <f t="shared" si="108"/>
        <v>0</v>
      </c>
      <c r="AB304" s="38">
        <f t="shared" si="116"/>
        <v>0</v>
      </c>
      <c r="AC304" s="38">
        <f t="shared" si="117"/>
        <v>0</v>
      </c>
      <c r="AD304" s="38">
        <f t="shared" si="118"/>
        <v>0</v>
      </c>
      <c r="AE304" s="38">
        <f t="shared" si="119"/>
        <v>0</v>
      </c>
      <c r="AF304" s="38">
        <f t="shared" si="120"/>
        <v>0</v>
      </c>
      <c r="AG304" s="33">
        <f t="shared" si="121"/>
        <v>0</v>
      </c>
      <c r="AH304" s="33">
        <f t="shared" si="122"/>
        <v>0</v>
      </c>
      <c r="AI304" s="33">
        <f t="shared" si="123"/>
        <v>0</v>
      </c>
      <c r="AJ304" s="33">
        <f t="shared" si="124"/>
        <v>0</v>
      </c>
      <c r="AK304" s="34">
        <f t="shared" si="125"/>
        <v>0</v>
      </c>
      <c r="AL304" s="35">
        <f t="shared" si="126"/>
        <v>0</v>
      </c>
      <c r="AM304" s="34">
        <f t="shared" si="109"/>
        <v>0</v>
      </c>
      <c r="AN304" s="36">
        <f t="shared" si="127"/>
        <v>0</v>
      </c>
      <c r="AO304" s="6">
        <f t="shared" si="110"/>
        <v>0</v>
      </c>
      <c r="AP304">
        <f t="shared" si="111"/>
        <v>8</v>
      </c>
      <c r="AQ304" s="6">
        <f t="shared" si="112"/>
        <v>0</v>
      </c>
      <c r="AR304" s="6">
        <f t="shared" si="113"/>
        <v>0</v>
      </c>
      <c r="AS304" s="6"/>
      <c r="AX304" s="95">
        <f t="shared" si="114"/>
        <v>42427</v>
      </c>
      <c r="AY304" s="96" t="str">
        <f t="shared" si="115"/>
        <v>sáb</v>
      </c>
      <c r="AZ304" s="97">
        <f>IF(OR(AY304="SÁB",AY304="DOM"),0,IFERROR(8-VLOOKUP(C304,'Dados de consulta'!$A$2:$C$38,3,0),8))</f>
        <v>0</v>
      </c>
      <c r="BA304" s="97">
        <f>IF(OR(AY304="SÁB",AY304="DOM"),0,IFERROR(8-VLOOKUP(D304,'Dados de consulta'!$A$2:$C$38,3,0),8))</f>
        <v>0</v>
      </c>
      <c r="BB304" s="97">
        <f>IF(OR(AY304="SÁB",AY304="DOM"),0,IFERROR(8-VLOOKUP(E304,'Dados de consulta'!$A$2:$C$38,3,0),8))</f>
        <v>0</v>
      </c>
      <c r="BC304" s="97">
        <f>IF(OR(AY304="SÁB",AY304="DOM"),0,IFERROR(8-VLOOKUP(F304,'Dados de consulta'!$A$2:$C$38,3,0),8))</f>
        <v>0</v>
      </c>
      <c r="BD304" s="97">
        <f>IF(OR(AY304="SÁB",AY304="DOM"),0,IFERROR(8-VLOOKUP(G304,'Dados de consulta'!$A$2:$C$38,3,0),8))</f>
        <v>0</v>
      </c>
      <c r="BE304" s="97">
        <f>IF(OR(AY304="SÁB",AY304="DOM"),0,IFERROR(8-VLOOKUP(H304,'Dados de consulta'!$A$2:$C$38,3,0),8))</f>
        <v>0</v>
      </c>
      <c r="BF304" s="97">
        <f>IF(OR(AY304="SÁB",AY304="DOM"),0,IFERROR(8-VLOOKUP(I304,'Dados de consulta'!$A$2:$C$38,3,0),8))</f>
        <v>0</v>
      </c>
      <c r="BG304" s="97">
        <f>IF(OR(AY304="SÁB",AY304="DOM"),0,IFERROR(8-VLOOKUP(J304,'Dados de consulta'!$A$2:$C$38,3,0),8))</f>
        <v>0</v>
      </c>
      <c r="BH304" s="97">
        <f>IF(OR(AY304="SÁB",AY304="DOM"),0,IFERROR(8-VLOOKUP(K304,'Dados de consulta'!$A$2:$C$38,3,0),8))</f>
        <v>0</v>
      </c>
      <c r="BI304" s="97">
        <f>IF(OR(AY304="SÁB",AY304="DOM"),0,IFERROR(8-VLOOKUP(L304,'Dados de consulta'!$A$2:$C$38,3,0),8))</f>
        <v>0</v>
      </c>
      <c r="BJ304" s="97">
        <f>IF(OR(AY304="SÁB",AY304="DOM"),0,IFERROR(8-VLOOKUP(M304,'Dados de consulta'!$A$2:$C$38,3,0),8))</f>
        <v>0</v>
      </c>
      <c r="BK304" s="97">
        <f>IF(OR(AY304="SÁB",AY304="DOM"),0,IFERROR(8-VLOOKUP(N304,'Dados de consulta'!$A$2:$C$38,3,0),8))</f>
        <v>0</v>
      </c>
      <c r="BL304" s="97">
        <f>IF(OR(AY304="SÁB",AY304="DOM"),0,IFERROR(8-VLOOKUP(O304,'Dados de consulta'!$A$2:$C$38,3,0),8))</f>
        <v>0</v>
      </c>
      <c r="BM304" s="97">
        <f>IF(OR(AY304="SÁB",AY304="DOM"),0,IFERROR(8-VLOOKUP(P304,'Dados de consulta'!$A$2:$C$38,3,0),8))</f>
        <v>0</v>
      </c>
      <c r="BN304" s="97">
        <f>IF(OR(AY304="SÁB",AY304="DOM"),0,IFERROR(8-VLOOKUP(Q304,'Dados de consulta'!$A$2:$C$38,3,0),8))</f>
        <v>0</v>
      </c>
      <c r="BO304" s="97">
        <f>IF(OR(AY304="SÁB",AY304="DOM"),0,IFERROR(8-VLOOKUP(R304,'Dados de consulta'!$A$2:$C$38,3,0),8))</f>
        <v>0</v>
      </c>
      <c r="BP304" s="97">
        <f>IF(OR(AY304="SÁB",AY304="DOM"),0,IFERROR(8-VLOOKUP(S304,'Dados de consulta'!$A$2:$C$38,3,0),8))</f>
        <v>0</v>
      </c>
      <c r="BQ304" s="113">
        <f>IFERROR(6-VLOOKUP(T304,'Dados de consulta'!$A$2:$C$38,3,0)+2,6)</f>
        <v>6</v>
      </c>
      <c r="BR304" s="114">
        <f t="shared" si="128"/>
        <v>0</v>
      </c>
      <c r="BS304">
        <f t="shared" si="104"/>
        <v>0</v>
      </c>
      <c r="BU304">
        <f>IFERROR(8-VLOOKUP(U304,'Dados de consulta'!$A:$D,3,0),8)</f>
        <v>8</v>
      </c>
      <c r="BV304">
        <f>IFERROR(8-VLOOKUP(V304,'Dados de consulta'!$A:$D,3,0),8)</f>
        <v>8</v>
      </c>
      <c r="BW304">
        <f t="shared" si="129"/>
        <v>16</v>
      </c>
    </row>
    <row r="305" spans="1:75" ht="15" hidden="1" x14ac:dyDescent="0.2">
      <c r="A305" s="98">
        <v>42428</v>
      </c>
      <c r="B305" s="129" t="str">
        <f t="shared" si="105"/>
        <v>dom</v>
      </c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>
        <v>101</v>
      </c>
      <c r="N305" s="132"/>
      <c r="O305" s="132">
        <v>18</v>
      </c>
      <c r="P305" s="132"/>
      <c r="Q305" s="132"/>
      <c r="R305" s="132"/>
      <c r="S305" s="132"/>
      <c r="T305" s="132"/>
      <c r="U305" s="151"/>
      <c r="V305" s="151"/>
      <c r="W305" s="307" t="s">
        <v>193</v>
      </c>
      <c r="X305" s="308"/>
      <c r="Y305" s="38">
        <f t="shared" si="106"/>
        <v>0</v>
      </c>
      <c r="Z305" s="38">
        <f t="shared" si="107"/>
        <v>8</v>
      </c>
      <c r="AA305" s="38">
        <f t="shared" si="108"/>
        <v>0</v>
      </c>
      <c r="AB305" s="38">
        <f t="shared" si="116"/>
        <v>0</v>
      </c>
      <c r="AC305" s="38">
        <f t="shared" si="117"/>
        <v>0</v>
      </c>
      <c r="AD305" s="38">
        <f t="shared" si="118"/>
        <v>0</v>
      </c>
      <c r="AE305" s="38">
        <f t="shared" si="119"/>
        <v>0</v>
      </c>
      <c r="AF305" s="38">
        <f t="shared" si="120"/>
        <v>0</v>
      </c>
      <c r="AG305" s="33">
        <f t="shared" si="121"/>
        <v>0</v>
      </c>
      <c r="AH305" s="33">
        <f t="shared" si="122"/>
        <v>0</v>
      </c>
      <c r="AI305" s="33">
        <f t="shared" si="123"/>
        <v>0</v>
      </c>
      <c r="AJ305" s="33">
        <f t="shared" si="124"/>
        <v>0</v>
      </c>
      <c r="AK305" s="34">
        <f t="shared" si="125"/>
        <v>0</v>
      </c>
      <c r="AL305" s="35">
        <f t="shared" si="126"/>
        <v>0</v>
      </c>
      <c r="AM305" s="34">
        <f t="shared" si="109"/>
        <v>0</v>
      </c>
      <c r="AN305" s="36">
        <f t="shared" si="127"/>
        <v>0</v>
      </c>
      <c r="AO305" s="6">
        <f t="shared" si="110"/>
        <v>0</v>
      </c>
      <c r="AP305">
        <f t="shared" si="111"/>
        <v>8</v>
      </c>
      <c r="AQ305" s="6">
        <f t="shared" si="112"/>
        <v>0</v>
      </c>
      <c r="AR305" s="6">
        <f t="shared" si="113"/>
        <v>0</v>
      </c>
      <c r="AS305" s="6"/>
      <c r="AX305" s="95">
        <f t="shared" si="114"/>
        <v>42428</v>
      </c>
      <c r="AY305" s="96" t="str">
        <f t="shared" si="115"/>
        <v>dom</v>
      </c>
      <c r="AZ305" s="97">
        <f>IF(OR(AY305="SÁB",AY305="DOM"),0,IFERROR(8-VLOOKUP(C305,'Dados de consulta'!$A$2:$C$38,3,0),8))</f>
        <v>0</v>
      </c>
      <c r="BA305" s="97">
        <f>IF(OR(AY305="SÁB",AY305="DOM"),0,IFERROR(8-VLOOKUP(D305,'Dados de consulta'!$A$2:$C$38,3,0),8))</f>
        <v>0</v>
      </c>
      <c r="BB305" s="97">
        <f>IF(OR(AY305="SÁB",AY305="DOM"),0,IFERROR(8-VLOOKUP(E305,'Dados de consulta'!$A$2:$C$38,3,0),8))</f>
        <v>0</v>
      </c>
      <c r="BC305" s="97">
        <f>IF(OR(AY305="SÁB",AY305="DOM"),0,IFERROR(8-VLOOKUP(F305,'Dados de consulta'!$A$2:$C$38,3,0),8))</f>
        <v>0</v>
      </c>
      <c r="BD305" s="97">
        <f>IF(OR(AY305="SÁB",AY305="DOM"),0,IFERROR(8-VLOOKUP(G305,'Dados de consulta'!$A$2:$C$38,3,0),8))</f>
        <v>0</v>
      </c>
      <c r="BE305" s="97">
        <f>IF(OR(AY305="SÁB",AY305="DOM"),0,IFERROR(8-VLOOKUP(H305,'Dados de consulta'!$A$2:$C$38,3,0),8))</f>
        <v>0</v>
      </c>
      <c r="BF305" s="97">
        <f>IF(OR(AY305="SÁB",AY305="DOM"),0,IFERROR(8-VLOOKUP(I305,'Dados de consulta'!$A$2:$C$38,3,0),8))</f>
        <v>0</v>
      </c>
      <c r="BG305" s="97">
        <f>IF(OR(AY305="SÁB",AY305="DOM"),0,IFERROR(8-VLOOKUP(J305,'Dados de consulta'!$A$2:$C$38,3,0),8))</f>
        <v>0</v>
      </c>
      <c r="BH305" s="97">
        <f>IF(OR(AY305="SÁB",AY305="DOM"),0,IFERROR(8-VLOOKUP(K305,'Dados de consulta'!$A$2:$C$38,3,0),8))</f>
        <v>0</v>
      </c>
      <c r="BI305" s="97">
        <f>IF(OR(AY305="SÁB",AY305="DOM"),0,IFERROR(8-VLOOKUP(L305,'Dados de consulta'!$A$2:$C$38,3,0),8))</f>
        <v>0</v>
      </c>
      <c r="BJ305" s="97">
        <f>IF(OR(AY305="SÁB",AY305="DOM"),0,IFERROR(8-VLOOKUP(M305,'Dados de consulta'!$A$2:$C$38,3,0),8))</f>
        <v>0</v>
      </c>
      <c r="BK305" s="97">
        <f>IF(OR(AY305="SÁB",AY305="DOM"),0,IFERROR(8-VLOOKUP(N305,'Dados de consulta'!$A$2:$C$38,3,0),8))</f>
        <v>0</v>
      </c>
      <c r="BL305" s="97">
        <f>IF(OR(AY305="SÁB",AY305="DOM"),0,IFERROR(8-VLOOKUP(O305,'Dados de consulta'!$A$2:$C$38,3,0),8))</f>
        <v>0</v>
      </c>
      <c r="BM305" s="97">
        <f>IF(OR(AY305="SÁB",AY305="DOM"),0,IFERROR(8-VLOOKUP(P305,'Dados de consulta'!$A$2:$C$38,3,0),8))</f>
        <v>0</v>
      </c>
      <c r="BN305" s="97">
        <f>IF(OR(AY305="SÁB",AY305="DOM"),0,IFERROR(8-VLOOKUP(Q305,'Dados de consulta'!$A$2:$C$38,3,0),8))</f>
        <v>0</v>
      </c>
      <c r="BO305" s="97">
        <f>IF(OR(AY305="SÁB",AY305="DOM"),0,IFERROR(8-VLOOKUP(R305,'Dados de consulta'!$A$2:$C$38,3,0),8))</f>
        <v>0</v>
      </c>
      <c r="BP305" s="97">
        <f>IF(OR(AY305="SÁB",AY305="DOM"),0,IFERROR(8-VLOOKUP(S305,'Dados de consulta'!$A$2:$C$38,3,0),8))</f>
        <v>0</v>
      </c>
      <c r="BQ305" s="113">
        <f>IFERROR(6-VLOOKUP(T305,'Dados de consulta'!$A$2:$C$38,3,0)+2,6)</f>
        <v>6</v>
      </c>
      <c r="BR305" s="114">
        <f t="shared" si="128"/>
        <v>0</v>
      </c>
      <c r="BS305">
        <f t="shared" si="104"/>
        <v>0</v>
      </c>
      <c r="BU305">
        <f>IFERROR(8-VLOOKUP(U305,'Dados de consulta'!$A:$D,3,0),8)</f>
        <v>8</v>
      </c>
      <c r="BV305">
        <f>IFERROR(8-VLOOKUP(V305,'Dados de consulta'!$A:$D,3,0),8)</f>
        <v>8</v>
      </c>
      <c r="BW305">
        <f t="shared" si="129"/>
        <v>16</v>
      </c>
    </row>
    <row r="306" spans="1:75" ht="15" hidden="1" x14ac:dyDescent="0.2">
      <c r="A306" s="98">
        <v>42429</v>
      </c>
      <c r="B306" s="129" t="str">
        <f t="shared" si="105"/>
        <v>seg</v>
      </c>
      <c r="C306" s="132"/>
      <c r="D306" s="132"/>
      <c r="E306" s="132">
        <v>8</v>
      </c>
      <c r="F306" s="132"/>
      <c r="G306" s="132">
        <v>18</v>
      </c>
      <c r="H306" s="132"/>
      <c r="I306" s="132"/>
      <c r="J306" s="132"/>
      <c r="K306" s="132"/>
      <c r="L306" s="132"/>
      <c r="M306" s="132">
        <v>101</v>
      </c>
      <c r="N306" s="132"/>
      <c r="O306" s="132">
        <v>18</v>
      </c>
      <c r="P306" s="132"/>
      <c r="Q306" s="132"/>
      <c r="R306" s="132"/>
      <c r="S306" s="132"/>
      <c r="T306" s="132"/>
      <c r="U306" s="151"/>
      <c r="V306" s="151"/>
      <c r="W306" s="307" t="s">
        <v>193</v>
      </c>
      <c r="X306" s="308"/>
      <c r="Y306" s="38">
        <f t="shared" si="106"/>
        <v>8</v>
      </c>
      <c r="Z306" s="38">
        <f t="shared" si="107"/>
        <v>16</v>
      </c>
      <c r="AA306" s="38">
        <f t="shared" si="108"/>
        <v>0</v>
      </c>
      <c r="AB306" s="38">
        <f t="shared" si="116"/>
        <v>0</v>
      </c>
      <c r="AC306" s="38">
        <f t="shared" si="117"/>
        <v>0</v>
      </c>
      <c r="AD306" s="38">
        <f t="shared" si="118"/>
        <v>0</v>
      </c>
      <c r="AE306" s="38">
        <f t="shared" si="119"/>
        <v>0</v>
      </c>
      <c r="AF306" s="38">
        <f t="shared" si="120"/>
        <v>0</v>
      </c>
      <c r="AG306" s="33">
        <f t="shared" si="121"/>
        <v>8</v>
      </c>
      <c r="AH306" s="33">
        <f t="shared" si="122"/>
        <v>16</v>
      </c>
      <c r="AI306" s="33">
        <f t="shared" si="123"/>
        <v>0</v>
      </c>
      <c r="AJ306" s="33">
        <f t="shared" si="124"/>
        <v>0</v>
      </c>
      <c r="AK306" s="34">
        <f t="shared" si="125"/>
        <v>5.6338028169014086E-2</v>
      </c>
      <c r="AL306" s="35">
        <f t="shared" si="126"/>
        <v>0.11267605633802817</v>
      </c>
      <c r="AM306" s="34">
        <f t="shared" si="109"/>
        <v>0</v>
      </c>
      <c r="AN306" s="36">
        <f t="shared" si="127"/>
        <v>0</v>
      </c>
      <c r="AO306" s="6">
        <f t="shared" si="110"/>
        <v>0</v>
      </c>
      <c r="AP306">
        <f t="shared" si="111"/>
        <v>8</v>
      </c>
      <c r="AQ306" s="6">
        <f t="shared" si="112"/>
        <v>0</v>
      </c>
      <c r="AR306" s="6">
        <f t="shared" si="113"/>
        <v>0</v>
      </c>
      <c r="AS306" s="6"/>
      <c r="AX306" s="95">
        <f t="shared" si="114"/>
        <v>42429</v>
      </c>
      <c r="AY306" s="96" t="str">
        <f t="shared" si="115"/>
        <v>seg</v>
      </c>
      <c r="AZ306" s="97">
        <f>IF(OR(AY306="SÁB",AY306="DOM"),0,IFERROR(8-VLOOKUP(C306,'Dados de consulta'!$A$2:$C$38,3,0),8))</f>
        <v>8</v>
      </c>
      <c r="BA306" s="97">
        <f>IF(OR(AY306="SÁB",AY306="DOM"),0,IFERROR(8-VLOOKUP(D306,'Dados de consulta'!$A$2:$C$38,3,0),8))</f>
        <v>8</v>
      </c>
      <c r="BB306" s="97">
        <f>IF(OR(AY306="SÁB",AY306="DOM"),0,IFERROR(8-VLOOKUP(E306,'Dados de consulta'!$A$2:$C$38,3,0),8))</f>
        <v>0</v>
      </c>
      <c r="BC306" s="97">
        <f>IF(OR(AY306="SÁB",AY306="DOM"),0,IFERROR(8-VLOOKUP(F306,'Dados de consulta'!$A$2:$C$38,3,0),8))</f>
        <v>8</v>
      </c>
      <c r="BD306" s="97">
        <f>IF(OR(AY306="SÁB",AY306="DOM"),0,IFERROR(8-VLOOKUP(G306,'Dados de consulta'!$A$2:$C$38,3,0),8))</f>
        <v>0</v>
      </c>
      <c r="BE306" s="97">
        <f>IF(OR(AY306="SÁB",AY306="DOM"),0,IFERROR(8-VLOOKUP(H306,'Dados de consulta'!$A$2:$C$38,3,0),8))</f>
        <v>8</v>
      </c>
      <c r="BF306" s="97">
        <f>IF(OR(AY306="SÁB",AY306="DOM"),0,IFERROR(8-VLOOKUP(I306,'Dados de consulta'!$A$2:$C$38,3,0),8))</f>
        <v>8</v>
      </c>
      <c r="BG306" s="97">
        <f>IF(OR(AY306="SÁB",AY306="DOM"),0,IFERROR(8-VLOOKUP(J306,'Dados de consulta'!$A$2:$C$38,3,0),8))</f>
        <v>8</v>
      </c>
      <c r="BH306" s="97">
        <f>IF(OR(AY306="SÁB",AY306="DOM"),0,IFERROR(8-VLOOKUP(K306,'Dados de consulta'!$A$2:$C$38,3,0),8))</f>
        <v>8</v>
      </c>
      <c r="BI306" s="97">
        <f>IF(OR(AY306="SÁB",AY306="DOM"),0,IFERROR(8-VLOOKUP(L306,'Dados de consulta'!$A$2:$C$38,3,0),8))</f>
        <v>8</v>
      </c>
      <c r="BJ306" s="97">
        <f>IF(OR(AY306="SÁB",AY306="DOM"),0,IFERROR(8-VLOOKUP(M306,'Dados de consulta'!$A$2:$C$38,3,0),8))</f>
        <v>0</v>
      </c>
      <c r="BK306" s="97">
        <f>IF(OR(AY306="SÁB",AY306="DOM"),0,IFERROR(8-VLOOKUP(N306,'Dados de consulta'!$A$2:$C$38,3,0),8))</f>
        <v>8</v>
      </c>
      <c r="BL306" s="97">
        <f>IF(OR(AY306="SÁB",AY306="DOM"),0,IFERROR(8-VLOOKUP(O306,'Dados de consulta'!$A$2:$C$38,3,0),8))</f>
        <v>0</v>
      </c>
      <c r="BM306" s="97">
        <f>IF(OR(AY306="SÁB",AY306="DOM"),0,IFERROR(8-VLOOKUP(P306,'Dados de consulta'!$A$2:$C$38,3,0),8))</f>
        <v>8</v>
      </c>
      <c r="BN306" s="97">
        <f>IF(OR(AY306="SÁB",AY306="DOM"),0,IFERROR(8-VLOOKUP(Q306,'Dados de consulta'!$A$2:$C$38,3,0),8))</f>
        <v>8</v>
      </c>
      <c r="BO306" s="97">
        <f>IF(OR(AY306="SÁB",AY306="DOM"),0,IFERROR(8-VLOOKUP(R306,'Dados de consulta'!$A$2:$C$38,3,0),8))</f>
        <v>8</v>
      </c>
      <c r="BP306" s="97">
        <f>IF(OR(AY306="SÁB",AY306="DOM"),0,IFERROR(8-VLOOKUP(S306,'Dados de consulta'!$A$2:$C$38,3,0),8))</f>
        <v>8</v>
      </c>
      <c r="BQ306" s="113">
        <f>IFERROR(6-VLOOKUP(T306,'Dados de consulta'!$A$2:$C$38,3,0)+2,6)</f>
        <v>6</v>
      </c>
      <c r="BR306" s="114">
        <f t="shared" si="128"/>
        <v>110</v>
      </c>
      <c r="BS306">
        <f t="shared" si="104"/>
        <v>134</v>
      </c>
      <c r="BU306">
        <f>IFERROR(8-VLOOKUP(U306,'Dados de consulta'!$A:$D,3,0),8)</f>
        <v>8</v>
      </c>
      <c r="BV306">
        <f>IFERROR(8-VLOOKUP(V306,'Dados de consulta'!$A:$D,3,0),8)</f>
        <v>8</v>
      </c>
      <c r="BW306">
        <f t="shared" si="129"/>
        <v>16</v>
      </c>
    </row>
    <row r="307" spans="1:75" ht="15" hidden="1" x14ac:dyDescent="0.2">
      <c r="A307" s="98">
        <v>42430</v>
      </c>
      <c r="B307" s="129" t="str">
        <f t="shared" si="105"/>
        <v>ter</v>
      </c>
      <c r="C307" s="132"/>
      <c r="D307" s="132"/>
      <c r="E307" s="132">
        <v>8</v>
      </c>
      <c r="F307" s="132"/>
      <c r="G307" s="132"/>
      <c r="H307" s="132"/>
      <c r="I307" s="132"/>
      <c r="J307" s="132"/>
      <c r="K307" s="132"/>
      <c r="L307" s="132"/>
      <c r="M307" s="132">
        <v>101</v>
      </c>
      <c r="N307" s="132"/>
      <c r="O307" s="132">
        <v>18</v>
      </c>
      <c r="P307" s="132"/>
      <c r="Q307" s="132"/>
      <c r="R307" s="132"/>
      <c r="S307" s="132"/>
      <c r="T307" s="132"/>
      <c r="U307" s="151"/>
      <c r="V307" s="151"/>
      <c r="W307" s="307" t="s">
        <v>193</v>
      </c>
      <c r="X307" s="308"/>
      <c r="Y307" s="38">
        <f t="shared" si="106"/>
        <v>8</v>
      </c>
      <c r="Z307" s="38">
        <f t="shared" si="107"/>
        <v>8</v>
      </c>
      <c r="AA307" s="38">
        <f t="shared" si="108"/>
        <v>0</v>
      </c>
      <c r="AB307" s="38">
        <f t="shared" si="116"/>
        <v>0</v>
      </c>
      <c r="AC307" s="38">
        <f t="shared" si="117"/>
        <v>0</v>
      </c>
      <c r="AD307" s="38">
        <f t="shared" si="118"/>
        <v>0</v>
      </c>
      <c r="AE307" s="38">
        <f t="shared" si="119"/>
        <v>0</v>
      </c>
      <c r="AF307" s="38">
        <f t="shared" si="120"/>
        <v>0</v>
      </c>
      <c r="AG307" s="33">
        <f t="shared" si="121"/>
        <v>8</v>
      </c>
      <c r="AH307" s="33">
        <f t="shared" si="122"/>
        <v>8</v>
      </c>
      <c r="AI307" s="33">
        <f t="shared" si="123"/>
        <v>0</v>
      </c>
      <c r="AJ307" s="33">
        <f t="shared" si="124"/>
        <v>0</v>
      </c>
      <c r="AK307" s="34">
        <f t="shared" si="125"/>
        <v>5.6338028169014086E-2</v>
      </c>
      <c r="AL307" s="35">
        <f t="shared" si="126"/>
        <v>5.6338028169014086E-2</v>
      </c>
      <c r="AM307" s="34">
        <f t="shared" si="109"/>
        <v>0</v>
      </c>
      <c r="AN307" s="36">
        <f t="shared" si="127"/>
        <v>0</v>
      </c>
      <c r="AO307" s="6">
        <f t="shared" si="110"/>
        <v>0</v>
      </c>
      <c r="AP307">
        <f t="shared" si="111"/>
        <v>8</v>
      </c>
      <c r="AQ307" s="6">
        <f t="shared" si="112"/>
        <v>0</v>
      </c>
      <c r="AR307" s="6">
        <f t="shared" si="113"/>
        <v>0</v>
      </c>
      <c r="AS307" s="6"/>
      <c r="AX307" s="95">
        <f t="shared" si="114"/>
        <v>42430</v>
      </c>
      <c r="AY307" s="96" t="str">
        <f t="shared" si="115"/>
        <v>ter</v>
      </c>
      <c r="AZ307" s="97">
        <f>IF(OR(AY307="SÁB",AY307="DOM"),0,IFERROR(8-VLOOKUP(C307,'Dados de consulta'!$A$2:$C$38,3,0),8))</f>
        <v>8</v>
      </c>
      <c r="BA307" s="97">
        <f>IF(OR(AY307="SÁB",AY307="DOM"),0,IFERROR(8-VLOOKUP(D307,'Dados de consulta'!$A$2:$C$38,3,0),8))</f>
        <v>8</v>
      </c>
      <c r="BB307" s="97">
        <f>IF(OR(AY307="SÁB",AY307="DOM"),0,IFERROR(8-VLOOKUP(E307,'Dados de consulta'!$A$2:$C$38,3,0),8))</f>
        <v>0</v>
      </c>
      <c r="BC307" s="97">
        <f>IF(OR(AY307="SÁB",AY307="DOM"),0,IFERROR(8-VLOOKUP(F307,'Dados de consulta'!$A$2:$C$38,3,0),8))</f>
        <v>8</v>
      </c>
      <c r="BD307" s="97">
        <f>IF(OR(AY307="SÁB",AY307="DOM"),0,IFERROR(8-VLOOKUP(G307,'Dados de consulta'!$A$2:$C$38,3,0),8))</f>
        <v>8</v>
      </c>
      <c r="BE307" s="97">
        <f>IF(OR(AY307="SÁB",AY307="DOM"),0,IFERROR(8-VLOOKUP(H307,'Dados de consulta'!$A$2:$C$38,3,0),8))</f>
        <v>8</v>
      </c>
      <c r="BF307" s="97">
        <f>IF(OR(AY307="SÁB",AY307="DOM"),0,IFERROR(8-VLOOKUP(I307,'Dados de consulta'!$A$2:$C$38,3,0),8))</f>
        <v>8</v>
      </c>
      <c r="BG307" s="97">
        <f>IF(OR(AY307="SÁB",AY307="DOM"),0,IFERROR(8-VLOOKUP(J307,'Dados de consulta'!$A$2:$C$38,3,0),8))</f>
        <v>8</v>
      </c>
      <c r="BH307" s="97">
        <f>IF(OR(AY307="SÁB",AY307="DOM"),0,IFERROR(8-VLOOKUP(K307,'Dados de consulta'!$A$2:$C$38,3,0),8))</f>
        <v>8</v>
      </c>
      <c r="BI307" s="97">
        <f>IF(OR(AY307="SÁB",AY307="DOM"),0,IFERROR(8-VLOOKUP(L307,'Dados de consulta'!$A$2:$C$38,3,0),8))</f>
        <v>8</v>
      </c>
      <c r="BJ307" s="97">
        <f>IF(OR(AY307="SÁB",AY307="DOM"),0,IFERROR(8-VLOOKUP(M307,'Dados de consulta'!$A$2:$C$38,3,0),8))</f>
        <v>0</v>
      </c>
      <c r="BK307" s="97">
        <f>IF(OR(AY307="SÁB",AY307="DOM"),0,IFERROR(8-VLOOKUP(N307,'Dados de consulta'!$A$2:$C$38,3,0),8))</f>
        <v>8</v>
      </c>
      <c r="BL307" s="97">
        <f>IF(OR(AY307="SÁB",AY307="DOM"),0,IFERROR(8-VLOOKUP(O307,'Dados de consulta'!$A$2:$C$38,3,0),8))</f>
        <v>0</v>
      </c>
      <c r="BM307" s="97">
        <f>IF(OR(AY307="SÁB",AY307="DOM"),0,IFERROR(8-VLOOKUP(P307,'Dados de consulta'!$A$2:$C$38,3,0),8))</f>
        <v>8</v>
      </c>
      <c r="BN307" s="97">
        <f>IF(OR(AY307="SÁB",AY307="DOM"),0,IFERROR(8-VLOOKUP(Q307,'Dados de consulta'!$A$2:$C$38,3,0),8))</f>
        <v>8</v>
      </c>
      <c r="BO307" s="97">
        <f>IF(OR(AY307="SÁB",AY307="DOM"),0,IFERROR(8-VLOOKUP(R307,'Dados de consulta'!$A$2:$C$38,3,0),8))</f>
        <v>8</v>
      </c>
      <c r="BP307" s="97">
        <f>IF(OR(AY307="SÁB",AY307="DOM"),0,IFERROR(8-VLOOKUP(S307,'Dados de consulta'!$A$2:$C$38,3,0),8))</f>
        <v>8</v>
      </c>
      <c r="BQ307" s="113">
        <f>IFERROR(6-VLOOKUP(T307,'Dados de consulta'!$A$2:$C$38,3,0)+2,6)</f>
        <v>6</v>
      </c>
      <c r="BR307" s="114">
        <f t="shared" si="128"/>
        <v>118</v>
      </c>
      <c r="BS307">
        <f t="shared" si="104"/>
        <v>134</v>
      </c>
      <c r="BU307">
        <f>IFERROR(8-VLOOKUP(U307,'Dados de consulta'!$A:$D,3,0),8)</f>
        <v>8</v>
      </c>
      <c r="BV307">
        <f>IFERROR(8-VLOOKUP(V307,'Dados de consulta'!$A:$D,3,0),8)</f>
        <v>8</v>
      </c>
      <c r="BW307">
        <f t="shared" si="129"/>
        <v>16</v>
      </c>
    </row>
    <row r="308" spans="1:75" ht="15" hidden="1" x14ac:dyDescent="0.2">
      <c r="A308" s="98">
        <v>42431</v>
      </c>
      <c r="B308" s="129" t="str">
        <f t="shared" si="105"/>
        <v>qua</v>
      </c>
      <c r="C308" s="132"/>
      <c r="D308" s="132"/>
      <c r="E308" s="132">
        <v>8</v>
      </c>
      <c r="F308" s="132"/>
      <c r="G308" s="132"/>
      <c r="H308" s="132"/>
      <c r="I308" s="132"/>
      <c r="J308" s="132"/>
      <c r="K308" s="132"/>
      <c r="L308" s="132"/>
      <c r="M308" s="132">
        <v>101</v>
      </c>
      <c r="N308" s="132"/>
      <c r="O308" s="132">
        <v>18</v>
      </c>
      <c r="P308" s="132"/>
      <c r="Q308" s="132"/>
      <c r="R308" s="132"/>
      <c r="S308" s="132"/>
      <c r="T308" s="132"/>
      <c r="U308" s="151"/>
      <c r="V308" s="151"/>
      <c r="W308" s="307" t="s">
        <v>193</v>
      </c>
      <c r="X308" s="308"/>
      <c r="Y308" s="38">
        <f t="shared" si="106"/>
        <v>8</v>
      </c>
      <c r="Z308" s="38">
        <f t="shared" si="107"/>
        <v>8</v>
      </c>
      <c r="AA308" s="38">
        <f t="shared" si="108"/>
        <v>0</v>
      </c>
      <c r="AB308" s="38">
        <f t="shared" si="116"/>
        <v>0</v>
      </c>
      <c r="AC308" s="38">
        <f t="shared" si="117"/>
        <v>0</v>
      </c>
      <c r="AD308" s="38">
        <f t="shared" si="118"/>
        <v>0</v>
      </c>
      <c r="AE308" s="38">
        <f t="shared" si="119"/>
        <v>0</v>
      </c>
      <c r="AF308" s="38">
        <f t="shared" si="120"/>
        <v>0</v>
      </c>
      <c r="AG308" s="33">
        <f t="shared" si="121"/>
        <v>8</v>
      </c>
      <c r="AH308" s="33">
        <f t="shared" si="122"/>
        <v>8</v>
      </c>
      <c r="AI308" s="33">
        <f t="shared" si="123"/>
        <v>0</v>
      </c>
      <c r="AJ308" s="33">
        <f t="shared" si="124"/>
        <v>0</v>
      </c>
      <c r="AK308" s="34">
        <f t="shared" si="125"/>
        <v>5.6338028169014086E-2</v>
      </c>
      <c r="AL308" s="35">
        <f t="shared" si="126"/>
        <v>5.6338028169014086E-2</v>
      </c>
      <c r="AM308" s="34">
        <f t="shared" si="109"/>
        <v>0</v>
      </c>
      <c r="AN308" s="36">
        <f t="shared" si="127"/>
        <v>0</v>
      </c>
      <c r="AO308" s="6">
        <f t="shared" si="110"/>
        <v>0</v>
      </c>
      <c r="AP308">
        <f t="shared" si="111"/>
        <v>8</v>
      </c>
      <c r="AQ308" s="6">
        <f t="shared" si="112"/>
        <v>0</v>
      </c>
      <c r="AR308" s="6">
        <f t="shared" si="113"/>
        <v>0</v>
      </c>
      <c r="AS308" s="6"/>
      <c r="AX308" s="95">
        <f t="shared" si="114"/>
        <v>42431</v>
      </c>
      <c r="AY308" s="96" t="str">
        <f t="shared" si="115"/>
        <v>qua</v>
      </c>
      <c r="AZ308" s="97">
        <f>IF(OR(AY308="SÁB",AY308="DOM"),0,IFERROR(8-VLOOKUP(C308,'Dados de consulta'!$A$2:$C$38,3,0),8))</f>
        <v>8</v>
      </c>
      <c r="BA308" s="97">
        <f>IF(OR(AY308="SÁB",AY308="DOM"),0,IFERROR(8-VLOOKUP(D308,'Dados de consulta'!$A$2:$C$38,3,0),8))</f>
        <v>8</v>
      </c>
      <c r="BB308" s="97">
        <f>IF(OR(AY308="SÁB",AY308="DOM"),0,IFERROR(8-VLOOKUP(E308,'Dados de consulta'!$A$2:$C$38,3,0),8))</f>
        <v>0</v>
      </c>
      <c r="BC308" s="97">
        <f>IF(OR(AY308="SÁB",AY308="DOM"),0,IFERROR(8-VLOOKUP(F308,'Dados de consulta'!$A$2:$C$38,3,0),8))</f>
        <v>8</v>
      </c>
      <c r="BD308" s="97">
        <f>IF(OR(AY308="SÁB",AY308="DOM"),0,IFERROR(8-VLOOKUP(G308,'Dados de consulta'!$A$2:$C$38,3,0),8))</f>
        <v>8</v>
      </c>
      <c r="BE308" s="97">
        <f>IF(OR(AY308="SÁB",AY308="DOM"),0,IFERROR(8-VLOOKUP(H308,'Dados de consulta'!$A$2:$C$38,3,0),8))</f>
        <v>8</v>
      </c>
      <c r="BF308" s="97">
        <f>IF(OR(AY308="SÁB",AY308="DOM"),0,IFERROR(8-VLOOKUP(I308,'Dados de consulta'!$A$2:$C$38,3,0),8))</f>
        <v>8</v>
      </c>
      <c r="BG308" s="97">
        <f>IF(OR(AY308="SÁB",AY308="DOM"),0,IFERROR(8-VLOOKUP(J308,'Dados de consulta'!$A$2:$C$38,3,0),8))</f>
        <v>8</v>
      </c>
      <c r="BH308" s="97">
        <f>IF(OR(AY308="SÁB",AY308="DOM"),0,IFERROR(8-VLOOKUP(K308,'Dados de consulta'!$A$2:$C$38,3,0),8))</f>
        <v>8</v>
      </c>
      <c r="BI308" s="97">
        <f>IF(OR(AY308="SÁB",AY308="DOM"),0,IFERROR(8-VLOOKUP(L308,'Dados de consulta'!$A$2:$C$38,3,0),8))</f>
        <v>8</v>
      </c>
      <c r="BJ308" s="97">
        <f>IF(OR(AY308="SÁB",AY308="DOM"),0,IFERROR(8-VLOOKUP(M308,'Dados de consulta'!$A$2:$C$38,3,0),8))</f>
        <v>0</v>
      </c>
      <c r="BK308" s="97">
        <f>IF(OR(AY308="SÁB",AY308="DOM"),0,IFERROR(8-VLOOKUP(N308,'Dados de consulta'!$A$2:$C$38,3,0),8))</f>
        <v>8</v>
      </c>
      <c r="BL308" s="97">
        <f>IF(OR(AY308="SÁB",AY308="DOM"),0,IFERROR(8-VLOOKUP(O308,'Dados de consulta'!$A$2:$C$38,3,0),8))</f>
        <v>0</v>
      </c>
      <c r="BM308" s="97">
        <f>IF(OR(AY308="SÁB",AY308="DOM"),0,IFERROR(8-VLOOKUP(P308,'Dados de consulta'!$A$2:$C$38,3,0),8))</f>
        <v>8</v>
      </c>
      <c r="BN308" s="97">
        <f>IF(OR(AY308="SÁB",AY308="DOM"),0,IFERROR(8-VLOOKUP(Q308,'Dados de consulta'!$A$2:$C$38,3,0),8))</f>
        <v>8</v>
      </c>
      <c r="BO308" s="97">
        <f>IF(OR(AY308="SÁB",AY308="DOM"),0,IFERROR(8-VLOOKUP(R308,'Dados de consulta'!$A$2:$C$38,3,0),8))</f>
        <v>8</v>
      </c>
      <c r="BP308" s="97">
        <f>IF(OR(AY308="SÁB",AY308="DOM"),0,IFERROR(8-VLOOKUP(S308,'Dados de consulta'!$A$2:$C$38,3,0),8))</f>
        <v>8</v>
      </c>
      <c r="BQ308" s="113">
        <f>IFERROR(6-VLOOKUP(T308,'Dados de consulta'!$A$2:$C$38,3,0)+2,6)</f>
        <v>6</v>
      </c>
      <c r="BR308" s="114">
        <f t="shared" si="128"/>
        <v>118</v>
      </c>
      <c r="BS308">
        <f t="shared" si="104"/>
        <v>134</v>
      </c>
      <c r="BU308">
        <f>IFERROR(8-VLOOKUP(U308,'Dados de consulta'!$A:$D,3,0),8)</f>
        <v>8</v>
      </c>
      <c r="BV308">
        <f>IFERROR(8-VLOOKUP(V308,'Dados de consulta'!$A:$D,3,0),8)</f>
        <v>8</v>
      </c>
      <c r="BW308">
        <f t="shared" si="129"/>
        <v>16</v>
      </c>
    </row>
    <row r="309" spans="1:75" ht="15" hidden="1" x14ac:dyDescent="0.2">
      <c r="A309" s="98">
        <v>42432</v>
      </c>
      <c r="B309" s="129" t="str">
        <f t="shared" si="105"/>
        <v>qui</v>
      </c>
      <c r="C309" s="132"/>
      <c r="D309" s="132"/>
      <c r="E309" s="132">
        <v>8</v>
      </c>
      <c r="F309" s="132" t="s">
        <v>195</v>
      </c>
      <c r="G309" s="132" t="s">
        <v>195</v>
      </c>
      <c r="H309" s="132"/>
      <c r="I309" s="132"/>
      <c r="J309" s="132" t="s">
        <v>195</v>
      </c>
      <c r="K309" s="132" t="s">
        <v>195</v>
      </c>
      <c r="L309" s="132" t="s">
        <v>195</v>
      </c>
      <c r="M309" s="132">
        <v>101</v>
      </c>
      <c r="N309" s="132"/>
      <c r="O309" s="132">
        <v>18</v>
      </c>
      <c r="P309" s="132">
        <v>8</v>
      </c>
      <c r="Q309" s="132" t="s">
        <v>198</v>
      </c>
      <c r="R309" s="132" t="s">
        <v>198</v>
      </c>
      <c r="S309" s="132" t="s">
        <v>195</v>
      </c>
      <c r="T309" s="132"/>
      <c r="U309" s="151" t="s">
        <v>195</v>
      </c>
      <c r="V309" s="151"/>
      <c r="W309" s="307" t="s">
        <v>193</v>
      </c>
      <c r="X309" s="308"/>
      <c r="Y309" s="38">
        <f t="shared" si="106"/>
        <v>24</v>
      </c>
      <c r="Z309" s="38">
        <f t="shared" si="107"/>
        <v>8</v>
      </c>
      <c r="AA309" s="38">
        <f t="shared" si="108"/>
        <v>0</v>
      </c>
      <c r="AB309" s="38">
        <f t="shared" si="116"/>
        <v>24</v>
      </c>
      <c r="AC309" s="38">
        <f t="shared" si="117"/>
        <v>0</v>
      </c>
      <c r="AD309" s="38">
        <f t="shared" si="118"/>
        <v>0</v>
      </c>
      <c r="AE309" s="38">
        <f t="shared" si="119"/>
        <v>0</v>
      </c>
      <c r="AF309" s="38">
        <f t="shared" si="120"/>
        <v>0</v>
      </c>
      <c r="AG309" s="33">
        <f t="shared" si="121"/>
        <v>24</v>
      </c>
      <c r="AH309" s="33">
        <f t="shared" si="122"/>
        <v>8</v>
      </c>
      <c r="AI309" s="33">
        <f t="shared" si="123"/>
        <v>0</v>
      </c>
      <c r="AJ309" s="33">
        <f t="shared" si="124"/>
        <v>24</v>
      </c>
      <c r="AK309" s="34">
        <f t="shared" si="125"/>
        <v>0.16901408450704225</v>
      </c>
      <c r="AL309" s="35">
        <f t="shared" si="126"/>
        <v>5.6338028169014086E-2</v>
      </c>
      <c r="AM309" s="34">
        <f t="shared" si="109"/>
        <v>0</v>
      </c>
      <c r="AN309" s="36">
        <f t="shared" si="127"/>
        <v>0.16901408450704225</v>
      </c>
      <c r="AO309" s="6">
        <f t="shared" si="110"/>
        <v>0</v>
      </c>
      <c r="AP309">
        <f t="shared" si="111"/>
        <v>8</v>
      </c>
      <c r="AQ309" s="6">
        <f t="shared" si="112"/>
        <v>0</v>
      </c>
      <c r="AR309" s="6">
        <f t="shared" si="113"/>
        <v>0</v>
      </c>
      <c r="AS309" s="6"/>
      <c r="AX309" s="95">
        <f t="shared" si="114"/>
        <v>42432</v>
      </c>
      <c r="AY309" s="96" t="str">
        <f t="shared" si="115"/>
        <v>qui</v>
      </c>
      <c r="AZ309" s="97">
        <f>IF(OR(AY309="SÁB",AY309="DOM"),0,IFERROR(8-VLOOKUP(C309,'Dados de consulta'!$A$2:$C$38,3,0),8))</f>
        <v>8</v>
      </c>
      <c r="BA309" s="97">
        <f>IF(OR(AY309="SÁB",AY309="DOM"),0,IFERROR(8-VLOOKUP(D309,'Dados de consulta'!$A$2:$C$38,3,0),8))</f>
        <v>8</v>
      </c>
      <c r="BB309" s="97">
        <f>IF(OR(AY309="SÁB",AY309="DOM"),0,IFERROR(8-VLOOKUP(E309,'Dados de consulta'!$A$2:$C$38,3,0),8))</f>
        <v>0</v>
      </c>
      <c r="BC309" s="97">
        <f>IF(OR(AY309="SÁB",AY309="DOM"),0,IFERROR(8-VLOOKUP(F309,'Dados de consulta'!$A$2:$C$38,3,0),8))</f>
        <v>4</v>
      </c>
      <c r="BD309" s="97">
        <f>IF(OR(AY309="SÁB",AY309="DOM"),0,IFERROR(8-VLOOKUP(G309,'Dados de consulta'!$A$2:$C$38,3,0),8))</f>
        <v>4</v>
      </c>
      <c r="BE309" s="97">
        <f>IF(OR(AY309="SÁB",AY309="DOM"),0,IFERROR(8-VLOOKUP(H309,'Dados de consulta'!$A$2:$C$38,3,0),8))</f>
        <v>8</v>
      </c>
      <c r="BF309" s="97">
        <f>IF(OR(AY309="SÁB",AY309="DOM"),0,IFERROR(8-VLOOKUP(I309,'Dados de consulta'!$A$2:$C$38,3,0),8))</f>
        <v>8</v>
      </c>
      <c r="BG309" s="97">
        <f>IF(OR(AY309="SÁB",AY309="DOM"),0,IFERROR(8-VLOOKUP(J309,'Dados de consulta'!$A$2:$C$38,3,0),8))</f>
        <v>4</v>
      </c>
      <c r="BH309" s="97">
        <f>IF(OR(AY309="SÁB",AY309="DOM"),0,IFERROR(8-VLOOKUP(K309,'Dados de consulta'!$A$2:$C$38,3,0),8))</f>
        <v>4</v>
      </c>
      <c r="BI309" s="97">
        <f>IF(OR(AY309="SÁB",AY309="DOM"),0,IFERROR(8-VLOOKUP(L309,'Dados de consulta'!$A$2:$C$38,3,0),8))</f>
        <v>4</v>
      </c>
      <c r="BJ309" s="97">
        <f>IF(OR(AY309="SÁB",AY309="DOM"),0,IFERROR(8-VLOOKUP(M309,'Dados de consulta'!$A$2:$C$38,3,0),8))</f>
        <v>0</v>
      </c>
      <c r="BK309" s="97">
        <f>IF(OR(AY309="SÁB",AY309="DOM"),0,IFERROR(8-VLOOKUP(N309,'Dados de consulta'!$A$2:$C$38,3,0),8))</f>
        <v>8</v>
      </c>
      <c r="BL309" s="97">
        <f>IF(OR(AY309="SÁB",AY309="DOM"),0,IFERROR(8-VLOOKUP(O309,'Dados de consulta'!$A$2:$C$38,3,0),8))</f>
        <v>0</v>
      </c>
      <c r="BM309" s="97">
        <f>IF(OR(AY309="SÁB",AY309="DOM"),0,IFERROR(8-VLOOKUP(P309,'Dados de consulta'!$A$2:$C$38,3,0),8))</f>
        <v>0</v>
      </c>
      <c r="BN309" s="97">
        <f>IF(OR(AY309="SÁB",AY309="DOM"),0,IFERROR(8-VLOOKUP(Q309,'Dados de consulta'!$A$2:$C$38,3,0),8))</f>
        <v>4</v>
      </c>
      <c r="BO309" s="97">
        <f>IF(OR(AY309="SÁB",AY309="DOM"),0,IFERROR(8-VLOOKUP(R309,'Dados de consulta'!$A$2:$C$38,3,0),8))</f>
        <v>4</v>
      </c>
      <c r="BP309" s="97">
        <f>IF(OR(AY309="SÁB",AY309="DOM"),0,IFERROR(8-VLOOKUP(S309,'Dados de consulta'!$A$2:$C$38,3,0),8))</f>
        <v>4</v>
      </c>
      <c r="BQ309" s="113">
        <f>IFERROR(6-VLOOKUP(T309,'Dados de consulta'!$A$2:$C$38,3,0)+2,6)</f>
        <v>6</v>
      </c>
      <c r="BR309" s="114">
        <f t="shared" si="128"/>
        <v>78</v>
      </c>
      <c r="BS309">
        <f t="shared" si="104"/>
        <v>134</v>
      </c>
      <c r="BU309">
        <f>IFERROR(8-VLOOKUP(U309,'Dados de consulta'!$A:$D,3,0),8)</f>
        <v>4</v>
      </c>
      <c r="BV309">
        <f>IFERROR(8-VLOOKUP(V309,'Dados de consulta'!$A:$D,3,0),8)</f>
        <v>8</v>
      </c>
      <c r="BW309">
        <f t="shared" si="129"/>
        <v>12</v>
      </c>
    </row>
    <row r="310" spans="1:75" ht="15" hidden="1" x14ac:dyDescent="0.2">
      <c r="A310" s="98">
        <v>42433</v>
      </c>
      <c r="B310" s="129" t="str">
        <f t="shared" si="105"/>
        <v>sex</v>
      </c>
      <c r="C310" s="132"/>
      <c r="D310" s="132"/>
      <c r="E310" s="132">
        <v>8</v>
      </c>
      <c r="F310" s="132"/>
      <c r="G310" s="132"/>
      <c r="H310" s="132"/>
      <c r="I310" s="132"/>
      <c r="J310" s="132"/>
      <c r="K310" s="132"/>
      <c r="L310" s="132"/>
      <c r="M310" s="132">
        <v>101</v>
      </c>
      <c r="N310" s="132"/>
      <c r="O310" s="132">
        <v>18</v>
      </c>
      <c r="P310" s="132">
        <v>8</v>
      </c>
      <c r="Q310" s="132"/>
      <c r="R310" s="132"/>
      <c r="S310" s="132"/>
      <c r="T310" s="132"/>
      <c r="U310" s="151"/>
      <c r="V310" s="151"/>
      <c r="W310" s="307" t="s">
        <v>193</v>
      </c>
      <c r="X310" s="308"/>
      <c r="Y310" s="38">
        <f t="shared" si="106"/>
        <v>16</v>
      </c>
      <c r="Z310" s="38">
        <f t="shared" si="107"/>
        <v>8</v>
      </c>
      <c r="AA310" s="38">
        <f t="shared" si="108"/>
        <v>0</v>
      </c>
      <c r="AB310" s="38">
        <f t="shared" si="116"/>
        <v>0</v>
      </c>
      <c r="AC310" s="38">
        <f t="shared" si="117"/>
        <v>0</v>
      </c>
      <c r="AD310" s="38">
        <f t="shared" si="118"/>
        <v>0</v>
      </c>
      <c r="AE310" s="38">
        <f t="shared" si="119"/>
        <v>0</v>
      </c>
      <c r="AF310" s="38">
        <f t="shared" si="120"/>
        <v>0</v>
      </c>
      <c r="AG310" s="33">
        <f t="shared" si="121"/>
        <v>16</v>
      </c>
      <c r="AH310" s="33">
        <f t="shared" si="122"/>
        <v>8</v>
      </c>
      <c r="AI310" s="33">
        <f t="shared" si="123"/>
        <v>0</v>
      </c>
      <c r="AJ310" s="33">
        <f t="shared" si="124"/>
        <v>0</v>
      </c>
      <c r="AK310" s="34">
        <f t="shared" si="125"/>
        <v>0.11267605633802817</v>
      </c>
      <c r="AL310" s="35">
        <f t="shared" si="126"/>
        <v>5.6338028169014086E-2</v>
      </c>
      <c r="AM310" s="34">
        <f t="shared" si="109"/>
        <v>0</v>
      </c>
      <c r="AN310" s="36">
        <f t="shared" si="127"/>
        <v>0</v>
      </c>
      <c r="AO310" s="6">
        <f t="shared" si="110"/>
        <v>0</v>
      </c>
      <c r="AP310">
        <f t="shared" si="111"/>
        <v>8</v>
      </c>
      <c r="AQ310" s="6">
        <f t="shared" si="112"/>
        <v>0</v>
      </c>
      <c r="AR310" s="6">
        <f t="shared" si="113"/>
        <v>0</v>
      </c>
      <c r="AS310" s="6"/>
      <c r="AX310" s="95">
        <f t="shared" si="114"/>
        <v>42433</v>
      </c>
      <c r="AY310" s="96" t="str">
        <f t="shared" si="115"/>
        <v>sex</v>
      </c>
      <c r="AZ310" s="97">
        <f>IF(OR(AY310="SÁB",AY310="DOM"),0,IFERROR(8-VLOOKUP(C310,'Dados de consulta'!$A$2:$C$38,3,0),8))</f>
        <v>8</v>
      </c>
      <c r="BA310" s="97">
        <f>IF(OR(AY310="SÁB",AY310="DOM"),0,IFERROR(8-VLOOKUP(D310,'Dados de consulta'!$A$2:$C$38,3,0),8))</f>
        <v>8</v>
      </c>
      <c r="BB310" s="97">
        <f>IF(OR(AY310="SÁB",AY310="DOM"),0,IFERROR(8-VLOOKUP(E310,'Dados de consulta'!$A$2:$C$38,3,0),8))</f>
        <v>0</v>
      </c>
      <c r="BC310" s="97">
        <f>IF(OR(AY310="SÁB",AY310="DOM"),0,IFERROR(8-VLOOKUP(F310,'Dados de consulta'!$A$2:$C$38,3,0),8))</f>
        <v>8</v>
      </c>
      <c r="BD310" s="97">
        <f>IF(OR(AY310="SÁB",AY310="DOM"),0,IFERROR(8-VLOOKUP(G310,'Dados de consulta'!$A$2:$C$38,3,0),8))</f>
        <v>8</v>
      </c>
      <c r="BE310" s="97">
        <f>IF(OR(AY310="SÁB",AY310="DOM"),0,IFERROR(8-VLOOKUP(H310,'Dados de consulta'!$A$2:$C$38,3,0),8))</f>
        <v>8</v>
      </c>
      <c r="BF310" s="97">
        <f>IF(OR(AY310="SÁB",AY310="DOM"),0,IFERROR(8-VLOOKUP(I310,'Dados de consulta'!$A$2:$C$38,3,0),8))</f>
        <v>8</v>
      </c>
      <c r="BG310" s="97">
        <f>IF(OR(AY310="SÁB",AY310="DOM"),0,IFERROR(8-VLOOKUP(J310,'Dados de consulta'!$A$2:$C$38,3,0),8))</f>
        <v>8</v>
      </c>
      <c r="BH310" s="97">
        <f>IF(OR(AY310="SÁB",AY310="DOM"),0,IFERROR(8-VLOOKUP(K310,'Dados de consulta'!$A$2:$C$38,3,0),8))</f>
        <v>8</v>
      </c>
      <c r="BI310" s="97">
        <f>IF(OR(AY310="SÁB",AY310="DOM"),0,IFERROR(8-VLOOKUP(L310,'Dados de consulta'!$A$2:$C$38,3,0),8))</f>
        <v>8</v>
      </c>
      <c r="BJ310" s="97">
        <f>IF(OR(AY310="SÁB",AY310="DOM"),0,IFERROR(8-VLOOKUP(M310,'Dados de consulta'!$A$2:$C$38,3,0),8))</f>
        <v>0</v>
      </c>
      <c r="BK310" s="97">
        <f>IF(OR(AY310="SÁB",AY310="DOM"),0,IFERROR(8-VLOOKUP(N310,'Dados de consulta'!$A$2:$C$38,3,0),8))</f>
        <v>8</v>
      </c>
      <c r="BL310" s="97">
        <f>IF(OR(AY310="SÁB",AY310="DOM"),0,IFERROR(8-VLOOKUP(O310,'Dados de consulta'!$A$2:$C$38,3,0),8))</f>
        <v>0</v>
      </c>
      <c r="BM310" s="97">
        <f>IF(OR(AY310="SÁB",AY310="DOM"),0,IFERROR(8-VLOOKUP(P310,'Dados de consulta'!$A$2:$C$38,3,0),8))</f>
        <v>0</v>
      </c>
      <c r="BN310" s="97">
        <f>IF(OR(AY310="SÁB",AY310="DOM"),0,IFERROR(8-VLOOKUP(Q310,'Dados de consulta'!$A$2:$C$38,3,0),8))</f>
        <v>8</v>
      </c>
      <c r="BO310" s="97">
        <f>IF(OR(AY310="SÁB",AY310="DOM"),0,IFERROR(8-VLOOKUP(R310,'Dados de consulta'!$A$2:$C$38,3,0),8))</f>
        <v>8</v>
      </c>
      <c r="BP310" s="97">
        <f>IF(OR(AY310="SÁB",AY310="DOM"),0,IFERROR(8-VLOOKUP(S310,'Dados de consulta'!$A$2:$C$38,3,0),8))</f>
        <v>8</v>
      </c>
      <c r="BQ310" s="113">
        <f>IFERROR(6-VLOOKUP(T310,'Dados de consulta'!$A$2:$C$38,3,0)+2,6)</f>
        <v>6</v>
      </c>
      <c r="BR310" s="114">
        <f t="shared" si="128"/>
        <v>110</v>
      </c>
      <c r="BS310">
        <f t="shared" si="104"/>
        <v>134</v>
      </c>
      <c r="BU310">
        <f>IFERROR(8-VLOOKUP(U310,'Dados de consulta'!$A:$D,3,0),8)</f>
        <v>8</v>
      </c>
      <c r="BV310">
        <f>IFERROR(8-VLOOKUP(V310,'Dados de consulta'!$A:$D,3,0),8)</f>
        <v>8</v>
      </c>
      <c r="BW310">
        <f t="shared" si="129"/>
        <v>16</v>
      </c>
    </row>
    <row r="311" spans="1:75" ht="15" hidden="1" x14ac:dyDescent="0.2">
      <c r="A311" s="98">
        <v>42434</v>
      </c>
      <c r="B311" s="129" t="str">
        <f t="shared" si="105"/>
        <v>sáb</v>
      </c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>
        <v>101</v>
      </c>
      <c r="N311" s="132"/>
      <c r="O311" s="132">
        <v>18</v>
      </c>
      <c r="P311" s="132"/>
      <c r="Q311" s="132"/>
      <c r="R311" s="132"/>
      <c r="S311" s="132"/>
      <c r="T311" s="132"/>
      <c r="U311" s="151"/>
      <c r="V311" s="151"/>
      <c r="W311" s="307" t="s">
        <v>193</v>
      </c>
      <c r="X311" s="308"/>
      <c r="Y311" s="38">
        <f t="shared" si="106"/>
        <v>0</v>
      </c>
      <c r="Z311" s="38">
        <f t="shared" si="107"/>
        <v>8</v>
      </c>
      <c r="AA311" s="38">
        <f t="shared" si="108"/>
        <v>0</v>
      </c>
      <c r="AB311" s="38">
        <f t="shared" si="116"/>
        <v>0</v>
      </c>
      <c r="AC311" s="38">
        <f t="shared" si="117"/>
        <v>0</v>
      </c>
      <c r="AD311" s="38">
        <f t="shared" si="118"/>
        <v>0</v>
      </c>
      <c r="AE311" s="38">
        <f t="shared" si="119"/>
        <v>0</v>
      </c>
      <c r="AF311" s="38">
        <f t="shared" si="120"/>
        <v>0</v>
      </c>
      <c r="AG311" s="33">
        <f t="shared" si="121"/>
        <v>0</v>
      </c>
      <c r="AH311" s="33">
        <f t="shared" si="122"/>
        <v>0</v>
      </c>
      <c r="AI311" s="33">
        <f t="shared" si="123"/>
        <v>0</v>
      </c>
      <c r="AJ311" s="33">
        <f t="shared" si="124"/>
        <v>0</v>
      </c>
      <c r="AK311" s="34">
        <f t="shared" si="125"/>
        <v>0</v>
      </c>
      <c r="AL311" s="35">
        <f t="shared" si="126"/>
        <v>0</v>
      </c>
      <c r="AM311" s="34">
        <f t="shared" si="109"/>
        <v>0</v>
      </c>
      <c r="AN311" s="36">
        <f t="shared" si="127"/>
        <v>0</v>
      </c>
      <c r="AO311" s="6">
        <f t="shared" si="110"/>
        <v>0</v>
      </c>
      <c r="AP311">
        <f t="shared" si="111"/>
        <v>8</v>
      </c>
      <c r="AQ311" s="6">
        <f t="shared" si="112"/>
        <v>0</v>
      </c>
      <c r="AR311" s="6">
        <f t="shared" si="113"/>
        <v>0</v>
      </c>
      <c r="AS311" s="6"/>
      <c r="AX311" s="95">
        <f t="shared" si="114"/>
        <v>42434</v>
      </c>
      <c r="AY311" s="96" t="str">
        <f t="shared" si="115"/>
        <v>sáb</v>
      </c>
      <c r="AZ311" s="97">
        <f>IF(OR(AY311="SÁB",AY311="DOM"),0,IFERROR(8-VLOOKUP(C311,'Dados de consulta'!$A$2:$C$38,3,0),8))</f>
        <v>0</v>
      </c>
      <c r="BA311" s="97">
        <f>IF(OR(AY311="SÁB",AY311="DOM"),0,IFERROR(8-VLOOKUP(D311,'Dados de consulta'!$A$2:$C$38,3,0),8))</f>
        <v>0</v>
      </c>
      <c r="BB311" s="97">
        <f>IF(OR(AY311="SÁB",AY311="DOM"),0,IFERROR(8-VLOOKUP(E311,'Dados de consulta'!$A$2:$C$38,3,0),8))</f>
        <v>0</v>
      </c>
      <c r="BC311" s="97">
        <f>IF(OR(AY311="SÁB",AY311="DOM"),0,IFERROR(8-VLOOKUP(F311,'Dados de consulta'!$A$2:$C$38,3,0),8))</f>
        <v>0</v>
      </c>
      <c r="BD311" s="97">
        <f>IF(OR(AY311="SÁB",AY311="DOM"),0,IFERROR(8-VLOOKUP(G311,'Dados de consulta'!$A$2:$C$38,3,0),8))</f>
        <v>0</v>
      </c>
      <c r="BE311" s="97">
        <f>IF(OR(AY311="SÁB",AY311="DOM"),0,IFERROR(8-VLOOKUP(H311,'Dados de consulta'!$A$2:$C$38,3,0),8))</f>
        <v>0</v>
      </c>
      <c r="BF311" s="97">
        <f>IF(OR(AY311="SÁB",AY311="DOM"),0,IFERROR(8-VLOOKUP(I311,'Dados de consulta'!$A$2:$C$38,3,0),8))</f>
        <v>0</v>
      </c>
      <c r="BG311" s="97">
        <f>IF(OR(AY311="SÁB",AY311="DOM"),0,IFERROR(8-VLOOKUP(J311,'Dados de consulta'!$A$2:$C$38,3,0),8))</f>
        <v>0</v>
      </c>
      <c r="BH311" s="97">
        <f>IF(OR(AY311="SÁB",AY311="DOM"),0,IFERROR(8-VLOOKUP(K311,'Dados de consulta'!$A$2:$C$38,3,0),8))</f>
        <v>0</v>
      </c>
      <c r="BI311" s="97">
        <f>IF(OR(AY311="SÁB",AY311="DOM"),0,IFERROR(8-VLOOKUP(L311,'Dados de consulta'!$A$2:$C$38,3,0),8))</f>
        <v>0</v>
      </c>
      <c r="BJ311" s="97">
        <f>IF(OR(AY311="SÁB",AY311="DOM"),0,IFERROR(8-VLOOKUP(M311,'Dados de consulta'!$A$2:$C$38,3,0),8))</f>
        <v>0</v>
      </c>
      <c r="BK311" s="97">
        <f>IF(OR(AY311="SÁB",AY311="DOM"),0,IFERROR(8-VLOOKUP(N311,'Dados de consulta'!$A$2:$C$38,3,0),8))</f>
        <v>0</v>
      </c>
      <c r="BL311" s="97">
        <f>IF(OR(AY311="SÁB",AY311="DOM"),0,IFERROR(8-VLOOKUP(O311,'Dados de consulta'!$A$2:$C$38,3,0),8))</f>
        <v>0</v>
      </c>
      <c r="BM311" s="97">
        <f>IF(OR(AY311="SÁB",AY311="DOM"),0,IFERROR(8-VLOOKUP(P311,'Dados de consulta'!$A$2:$C$38,3,0),8))</f>
        <v>0</v>
      </c>
      <c r="BN311" s="97">
        <f>IF(OR(AY311="SÁB",AY311="DOM"),0,IFERROR(8-VLOOKUP(Q311,'Dados de consulta'!$A$2:$C$38,3,0),8))</f>
        <v>0</v>
      </c>
      <c r="BO311" s="97">
        <f>IF(OR(AY311="SÁB",AY311="DOM"),0,IFERROR(8-VLOOKUP(R311,'Dados de consulta'!$A$2:$C$38,3,0),8))</f>
        <v>0</v>
      </c>
      <c r="BP311" s="97">
        <f>IF(OR(AY311="SÁB",AY311="DOM"),0,IFERROR(8-VLOOKUP(S311,'Dados de consulta'!$A$2:$C$38,3,0),8))</f>
        <v>0</v>
      </c>
      <c r="BQ311" s="113">
        <f>IFERROR(6-VLOOKUP(T311,'Dados de consulta'!$A$2:$C$38,3,0)+2,6)</f>
        <v>6</v>
      </c>
      <c r="BR311" s="114">
        <f t="shared" si="128"/>
        <v>0</v>
      </c>
      <c r="BS311">
        <f t="shared" si="104"/>
        <v>0</v>
      </c>
      <c r="BU311">
        <f>IFERROR(8-VLOOKUP(U311,'Dados de consulta'!$A:$D,3,0),8)</f>
        <v>8</v>
      </c>
      <c r="BV311">
        <f>IFERROR(8-VLOOKUP(V311,'Dados de consulta'!$A:$D,3,0),8)</f>
        <v>8</v>
      </c>
      <c r="BW311">
        <f t="shared" si="129"/>
        <v>16</v>
      </c>
    </row>
    <row r="312" spans="1:75" ht="15" hidden="1" x14ac:dyDescent="0.2">
      <c r="A312" s="98">
        <v>42435</v>
      </c>
      <c r="B312" s="129" t="str">
        <f t="shared" si="105"/>
        <v>dom</v>
      </c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>
        <v>101</v>
      </c>
      <c r="N312" s="132"/>
      <c r="O312" s="132">
        <v>18</v>
      </c>
      <c r="P312" s="132"/>
      <c r="Q312" s="132"/>
      <c r="R312" s="132"/>
      <c r="S312" s="132"/>
      <c r="T312" s="132"/>
      <c r="U312" s="151"/>
      <c r="V312" s="151"/>
      <c r="W312" s="307" t="s">
        <v>193</v>
      </c>
      <c r="X312" s="308"/>
      <c r="Y312" s="38">
        <f t="shared" si="106"/>
        <v>0</v>
      </c>
      <c r="Z312" s="38">
        <f t="shared" si="107"/>
        <v>8</v>
      </c>
      <c r="AA312" s="38">
        <f t="shared" si="108"/>
        <v>0</v>
      </c>
      <c r="AB312" s="38">
        <f t="shared" si="116"/>
        <v>0</v>
      </c>
      <c r="AC312" s="38">
        <f t="shared" si="117"/>
        <v>0</v>
      </c>
      <c r="AD312" s="38">
        <f t="shared" si="118"/>
        <v>0</v>
      </c>
      <c r="AE312" s="38">
        <f t="shared" si="119"/>
        <v>0</v>
      </c>
      <c r="AF312" s="38">
        <f t="shared" si="120"/>
        <v>0</v>
      </c>
      <c r="AG312" s="33">
        <f t="shared" si="121"/>
        <v>0</v>
      </c>
      <c r="AH312" s="33">
        <f t="shared" si="122"/>
        <v>0</v>
      </c>
      <c r="AI312" s="33">
        <f t="shared" si="123"/>
        <v>0</v>
      </c>
      <c r="AJ312" s="33">
        <f t="shared" si="124"/>
        <v>0</v>
      </c>
      <c r="AK312" s="34">
        <f t="shared" si="125"/>
        <v>0</v>
      </c>
      <c r="AL312" s="35">
        <f t="shared" si="126"/>
        <v>0</v>
      </c>
      <c r="AM312" s="34">
        <f t="shared" si="109"/>
        <v>0</v>
      </c>
      <c r="AN312" s="36">
        <f t="shared" si="127"/>
        <v>0</v>
      </c>
      <c r="AO312" s="6">
        <f t="shared" si="110"/>
        <v>0</v>
      </c>
      <c r="AP312">
        <f t="shared" si="111"/>
        <v>8</v>
      </c>
      <c r="AQ312" s="6">
        <f t="shared" si="112"/>
        <v>0</v>
      </c>
      <c r="AR312" s="6">
        <f t="shared" si="113"/>
        <v>0</v>
      </c>
      <c r="AS312" s="6"/>
      <c r="AX312" s="95">
        <f t="shared" si="114"/>
        <v>42435</v>
      </c>
      <c r="AY312" s="96" t="str">
        <f t="shared" si="115"/>
        <v>dom</v>
      </c>
      <c r="AZ312" s="97">
        <f>IF(OR(AY312="SÁB",AY312="DOM"),0,IFERROR(8-VLOOKUP(C312,'Dados de consulta'!$A$2:$C$38,3,0),8))</f>
        <v>0</v>
      </c>
      <c r="BA312" s="97">
        <f>IF(OR(AY312="SÁB",AY312="DOM"),0,IFERROR(8-VLOOKUP(D312,'Dados de consulta'!$A$2:$C$38,3,0),8))</f>
        <v>0</v>
      </c>
      <c r="BB312" s="97">
        <f>IF(OR(AY312="SÁB",AY312="DOM"),0,IFERROR(8-VLOOKUP(E312,'Dados de consulta'!$A$2:$C$38,3,0),8))</f>
        <v>0</v>
      </c>
      <c r="BC312" s="97">
        <f>IF(OR(AY312="SÁB",AY312="DOM"),0,IFERROR(8-VLOOKUP(F312,'Dados de consulta'!$A$2:$C$38,3,0),8))</f>
        <v>0</v>
      </c>
      <c r="BD312" s="97">
        <f>IF(OR(AY312="SÁB",AY312="DOM"),0,IFERROR(8-VLOOKUP(G312,'Dados de consulta'!$A$2:$C$38,3,0),8))</f>
        <v>0</v>
      </c>
      <c r="BE312" s="97">
        <f>IF(OR(AY312="SÁB",AY312="DOM"),0,IFERROR(8-VLOOKUP(H312,'Dados de consulta'!$A$2:$C$38,3,0),8))</f>
        <v>0</v>
      </c>
      <c r="BF312" s="97">
        <f>IF(OR(AY312="SÁB",AY312="DOM"),0,IFERROR(8-VLOOKUP(I312,'Dados de consulta'!$A$2:$C$38,3,0),8))</f>
        <v>0</v>
      </c>
      <c r="BG312" s="97">
        <f>IF(OR(AY312="SÁB",AY312="DOM"),0,IFERROR(8-VLOOKUP(J312,'Dados de consulta'!$A$2:$C$38,3,0),8))</f>
        <v>0</v>
      </c>
      <c r="BH312" s="97">
        <f>IF(OR(AY312="SÁB",AY312="DOM"),0,IFERROR(8-VLOOKUP(K312,'Dados de consulta'!$A$2:$C$38,3,0),8))</f>
        <v>0</v>
      </c>
      <c r="BI312" s="97">
        <f>IF(OR(AY312="SÁB",AY312="DOM"),0,IFERROR(8-VLOOKUP(L312,'Dados de consulta'!$A$2:$C$38,3,0),8))</f>
        <v>0</v>
      </c>
      <c r="BJ312" s="97">
        <f>IF(OR(AY312="SÁB",AY312="DOM"),0,IFERROR(8-VLOOKUP(M312,'Dados de consulta'!$A$2:$C$38,3,0),8))</f>
        <v>0</v>
      </c>
      <c r="BK312" s="97">
        <f>IF(OR(AY312="SÁB",AY312="DOM"),0,IFERROR(8-VLOOKUP(N312,'Dados de consulta'!$A$2:$C$38,3,0),8))</f>
        <v>0</v>
      </c>
      <c r="BL312" s="97">
        <f>IF(OR(AY312="SÁB",AY312="DOM"),0,IFERROR(8-VLOOKUP(O312,'Dados de consulta'!$A$2:$C$38,3,0),8))</f>
        <v>0</v>
      </c>
      <c r="BM312" s="97">
        <f>IF(OR(AY312="SÁB",AY312="DOM"),0,IFERROR(8-VLOOKUP(P312,'Dados de consulta'!$A$2:$C$38,3,0),8))</f>
        <v>0</v>
      </c>
      <c r="BN312" s="97">
        <f>IF(OR(AY312="SÁB",AY312="DOM"),0,IFERROR(8-VLOOKUP(Q312,'Dados de consulta'!$A$2:$C$38,3,0),8))</f>
        <v>0</v>
      </c>
      <c r="BO312" s="97">
        <f>IF(OR(AY312="SÁB",AY312="DOM"),0,IFERROR(8-VLOOKUP(R312,'Dados de consulta'!$A$2:$C$38,3,0),8))</f>
        <v>0</v>
      </c>
      <c r="BP312" s="97">
        <f>IF(OR(AY312="SÁB",AY312="DOM"),0,IFERROR(8-VLOOKUP(S312,'Dados de consulta'!$A$2:$C$38,3,0),8))</f>
        <v>0</v>
      </c>
      <c r="BQ312" s="113">
        <f>IFERROR(6-VLOOKUP(T312,'Dados de consulta'!$A$2:$C$38,3,0)+2,6)</f>
        <v>6</v>
      </c>
      <c r="BR312" s="114">
        <f t="shared" si="128"/>
        <v>0</v>
      </c>
      <c r="BS312">
        <f t="shared" si="104"/>
        <v>0</v>
      </c>
      <c r="BU312">
        <f>IFERROR(8-VLOOKUP(U312,'Dados de consulta'!$A:$D,3,0),8)</f>
        <v>8</v>
      </c>
      <c r="BV312">
        <f>IFERROR(8-VLOOKUP(V312,'Dados de consulta'!$A:$D,3,0),8)</f>
        <v>8</v>
      </c>
      <c r="BW312">
        <f t="shared" si="129"/>
        <v>16</v>
      </c>
    </row>
    <row r="313" spans="1:75" ht="15" hidden="1" x14ac:dyDescent="0.2">
      <c r="A313" s="98">
        <v>42436</v>
      </c>
      <c r="B313" s="129" t="str">
        <f t="shared" si="105"/>
        <v>seg</v>
      </c>
      <c r="C313" s="132"/>
      <c r="D313" s="132"/>
      <c r="E313" s="132">
        <v>8</v>
      </c>
      <c r="F313" s="132"/>
      <c r="G313" s="132"/>
      <c r="H313" s="132"/>
      <c r="I313" s="132"/>
      <c r="J313" s="132"/>
      <c r="K313" s="132"/>
      <c r="L313" s="132"/>
      <c r="M313" s="132">
        <v>101</v>
      </c>
      <c r="N313" s="132"/>
      <c r="O313" s="132">
        <v>18</v>
      </c>
      <c r="P313" s="132"/>
      <c r="Q313" s="132"/>
      <c r="R313" s="132"/>
      <c r="S313" s="132"/>
      <c r="T313" s="132"/>
      <c r="U313" s="151">
        <v>2</v>
      </c>
      <c r="V313" s="151"/>
      <c r="W313" s="307" t="s">
        <v>193</v>
      </c>
      <c r="X313" s="308"/>
      <c r="Y313" s="38">
        <f t="shared" si="106"/>
        <v>8</v>
      </c>
      <c r="Z313" s="38">
        <f t="shared" si="107"/>
        <v>8</v>
      </c>
      <c r="AA313" s="38">
        <f t="shared" si="108"/>
        <v>0</v>
      </c>
      <c r="AB313" s="38">
        <f t="shared" si="116"/>
        <v>0</v>
      </c>
      <c r="AC313" s="38">
        <f t="shared" si="117"/>
        <v>0</v>
      </c>
      <c r="AD313" s="38">
        <f t="shared" si="118"/>
        <v>0</v>
      </c>
      <c r="AE313" s="38">
        <f t="shared" si="119"/>
        <v>0</v>
      </c>
      <c r="AF313" s="38">
        <f t="shared" si="120"/>
        <v>0</v>
      </c>
      <c r="AG313" s="33">
        <f t="shared" si="121"/>
        <v>8</v>
      </c>
      <c r="AH313" s="33">
        <f t="shared" si="122"/>
        <v>8</v>
      </c>
      <c r="AI313" s="33">
        <f t="shared" si="123"/>
        <v>0</v>
      </c>
      <c r="AJ313" s="33">
        <f t="shared" si="124"/>
        <v>0</v>
      </c>
      <c r="AK313" s="34">
        <f t="shared" si="125"/>
        <v>5.6338028169014086E-2</v>
      </c>
      <c r="AL313" s="35">
        <f t="shared" si="126"/>
        <v>5.6338028169014086E-2</v>
      </c>
      <c r="AM313" s="34">
        <f t="shared" si="109"/>
        <v>0</v>
      </c>
      <c r="AN313" s="36">
        <f t="shared" si="127"/>
        <v>0</v>
      </c>
      <c r="AO313" s="6">
        <f t="shared" si="110"/>
        <v>0</v>
      </c>
      <c r="AP313">
        <f t="shared" si="111"/>
        <v>8</v>
      </c>
      <c r="AQ313" s="6">
        <f t="shared" si="112"/>
        <v>0</v>
      </c>
      <c r="AR313" s="6">
        <f t="shared" si="113"/>
        <v>0</v>
      </c>
      <c r="AS313" s="6"/>
      <c r="AX313" s="95">
        <f t="shared" si="114"/>
        <v>42436</v>
      </c>
      <c r="AY313" s="96" t="str">
        <f t="shared" si="115"/>
        <v>seg</v>
      </c>
      <c r="AZ313" s="97">
        <f>IF(OR(AY313="SÁB",AY313="DOM"),0,IFERROR(8-VLOOKUP(C313,'Dados de consulta'!$A$2:$C$38,3,0),8))</f>
        <v>8</v>
      </c>
      <c r="BA313" s="97">
        <f>IF(OR(AY313="SÁB",AY313="DOM"),0,IFERROR(8-VLOOKUP(D313,'Dados de consulta'!$A$2:$C$38,3,0),8))</f>
        <v>8</v>
      </c>
      <c r="BB313" s="97">
        <f>IF(OR(AY313="SÁB",AY313="DOM"),0,IFERROR(8-VLOOKUP(E313,'Dados de consulta'!$A$2:$C$38,3,0),8))</f>
        <v>0</v>
      </c>
      <c r="BC313" s="97">
        <f>IF(OR(AY313="SÁB",AY313="DOM"),0,IFERROR(8-VLOOKUP(F313,'Dados de consulta'!$A$2:$C$38,3,0),8))</f>
        <v>8</v>
      </c>
      <c r="BD313" s="97">
        <f>IF(OR(AY313="SÁB",AY313="DOM"),0,IFERROR(8-VLOOKUP(G313,'Dados de consulta'!$A$2:$C$38,3,0),8))</f>
        <v>8</v>
      </c>
      <c r="BE313" s="97">
        <f>IF(OR(AY313="SÁB",AY313="DOM"),0,IFERROR(8-VLOOKUP(H313,'Dados de consulta'!$A$2:$C$38,3,0),8))</f>
        <v>8</v>
      </c>
      <c r="BF313" s="97">
        <f>IF(OR(AY313="SÁB",AY313="DOM"),0,IFERROR(8-VLOOKUP(I313,'Dados de consulta'!$A$2:$C$38,3,0),8))</f>
        <v>8</v>
      </c>
      <c r="BG313" s="97">
        <f>IF(OR(AY313="SÁB",AY313="DOM"),0,IFERROR(8-VLOOKUP(J313,'Dados de consulta'!$A$2:$C$38,3,0),8))</f>
        <v>8</v>
      </c>
      <c r="BH313" s="97">
        <f>IF(OR(AY313="SÁB",AY313="DOM"),0,IFERROR(8-VLOOKUP(K313,'Dados de consulta'!$A$2:$C$38,3,0),8))</f>
        <v>8</v>
      </c>
      <c r="BI313" s="97">
        <f>IF(OR(AY313="SÁB",AY313="DOM"),0,IFERROR(8-VLOOKUP(L313,'Dados de consulta'!$A$2:$C$38,3,0),8))</f>
        <v>8</v>
      </c>
      <c r="BJ313" s="97">
        <f>IF(OR(AY313="SÁB",AY313="DOM"),0,IFERROR(8-VLOOKUP(M313,'Dados de consulta'!$A$2:$C$38,3,0),8))</f>
        <v>0</v>
      </c>
      <c r="BK313" s="97">
        <f>IF(OR(AY313="SÁB",AY313="DOM"),0,IFERROR(8-VLOOKUP(N313,'Dados de consulta'!$A$2:$C$38,3,0),8))</f>
        <v>8</v>
      </c>
      <c r="BL313" s="97">
        <f>IF(OR(AY313="SÁB",AY313="DOM"),0,IFERROR(8-VLOOKUP(O313,'Dados de consulta'!$A$2:$C$38,3,0),8))</f>
        <v>0</v>
      </c>
      <c r="BM313" s="97">
        <f>IF(OR(AY313="SÁB",AY313="DOM"),0,IFERROR(8-VLOOKUP(P313,'Dados de consulta'!$A$2:$C$38,3,0),8))</f>
        <v>8</v>
      </c>
      <c r="BN313" s="97">
        <f>IF(OR(AY313="SÁB",AY313="DOM"),0,IFERROR(8-VLOOKUP(Q313,'Dados de consulta'!$A$2:$C$38,3,0),8))</f>
        <v>8</v>
      </c>
      <c r="BO313" s="97">
        <f>IF(OR(AY313="SÁB",AY313="DOM"),0,IFERROR(8-VLOOKUP(R313,'Dados de consulta'!$A$2:$C$38,3,0),8))</f>
        <v>8</v>
      </c>
      <c r="BP313" s="97">
        <f>IF(OR(AY313="SÁB",AY313="DOM"),0,IFERROR(8-VLOOKUP(S313,'Dados de consulta'!$A$2:$C$38,3,0),8))</f>
        <v>8</v>
      </c>
      <c r="BQ313" s="113">
        <f>IFERROR(6-VLOOKUP(T313,'Dados de consulta'!$A$2:$C$38,3,0)+2,6)</f>
        <v>6</v>
      </c>
      <c r="BR313" s="114">
        <f t="shared" si="128"/>
        <v>118</v>
      </c>
      <c r="BS313">
        <f t="shared" si="104"/>
        <v>134</v>
      </c>
      <c r="BU313">
        <f>IFERROR(8-VLOOKUP(U313,'Dados de consulta'!$A:$D,3,0),8)</f>
        <v>0</v>
      </c>
      <c r="BV313">
        <f>IFERROR(8-VLOOKUP(V313,'Dados de consulta'!$A:$D,3,0),8)</f>
        <v>8</v>
      </c>
      <c r="BW313">
        <f t="shared" si="129"/>
        <v>8</v>
      </c>
    </row>
    <row r="314" spans="1:75" ht="15" hidden="1" x14ac:dyDescent="0.2">
      <c r="A314" s="98">
        <v>42437</v>
      </c>
      <c r="B314" s="129" t="str">
        <f t="shared" si="105"/>
        <v>ter</v>
      </c>
      <c r="C314" s="132"/>
      <c r="D314" s="132"/>
      <c r="E314" s="132">
        <v>8</v>
      </c>
      <c r="F314" s="132"/>
      <c r="G314" s="132"/>
      <c r="H314" s="132"/>
      <c r="I314" s="132"/>
      <c r="J314" s="132"/>
      <c r="K314" s="132"/>
      <c r="L314" s="132"/>
      <c r="M314" s="132">
        <v>101</v>
      </c>
      <c r="N314" s="132"/>
      <c r="O314" s="132">
        <v>18</v>
      </c>
      <c r="P314" s="132"/>
      <c r="Q314" s="132"/>
      <c r="R314" s="132"/>
      <c r="S314" s="132"/>
      <c r="T314" s="132"/>
      <c r="U314" s="151"/>
      <c r="V314" s="151"/>
      <c r="W314" s="307" t="s">
        <v>193</v>
      </c>
      <c r="X314" s="308"/>
      <c r="Y314" s="38">
        <f t="shared" si="106"/>
        <v>8</v>
      </c>
      <c r="Z314" s="38">
        <f t="shared" si="107"/>
        <v>8</v>
      </c>
      <c r="AA314" s="38">
        <f t="shared" si="108"/>
        <v>0</v>
      </c>
      <c r="AB314" s="38">
        <f t="shared" si="116"/>
        <v>0</v>
      </c>
      <c r="AC314" s="38">
        <f t="shared" si="117"/>
        <v>0</v>
      </c>
      <c r="AD314" s="38">
        <f t="shared" si="118"/>
        <v>0</v>
      </c>
      <c r="AE314" s="38">
        <f t="shared" si="119"/>
        <v>0</v>
      </c>
      <c r="AF314" s="38">
        <f t="shared" si="120"/>
        <v>0</v>
      </c>
      <c r="AG314" s="33">
        <f t="shared" si="121"/>
        <v>8</v>
      </c>
      <c r="AH314" s="33">
        <f t="shared" si="122"/>
        <v>8</v>
      </c>
      <c r="AI314" s="33">
        <f t="shared" si="123"/>
        <v>0</v>
      </c>
      <c r="AJ314" s="33">
        <f t="shared" si="124"/>
        <v>0</v>
      </c>
      <c r="AK314" s="34">
        <f t="shared" si="125"/>
        <v>5.6338028169014086E-2</v>
      </c>
      <c r="AL314" s="35">
        <f t="shared" si="126"/>
        <v>5.6338028169014086E-2</v>
      </c>
      <c r="AM314" s="34">
        <f t="shared" si="109"/>
        <v>0</v>
      </c>
      <c r="AN314" s="36">
        <f t="shared" si="127"/>
        <v>0</v>
      </c>
      <c r="AO314" s="6">
        <f t="shared" si="110"/>
        <v>0</v>
      </c>
      <c r="AP314">
        <f t="shared" si="111"/>
        <v>8</v>
      </c>
      <c r="AQ314" s="6">
        <f t="shared" si="112"/>
        <v>0</v>
      </c>
      <c r="AR314" s="6">
        <f t="shared" si="113"/>
        <v>0</v>
      </c>
      <c r="AS314" s="6"/>
      <c r="AX314" s="95">
        <f t="shared" si="114"/>
        <v>42437</v>
      </c>
      <c r="AY314" s="96" t="str">
        <f t="shared" si="115"/>
        <v>ter</v>
      </c>
      <c r="AZ314" s="97">
        <f>IF(OR(AY314="SÁB",AY314="DOM"),0,IFERROR(8-VLOOKUP(C314,'Dados de consulta'!$A$2:$C$38,3,0),8))</f>
        <v>8</v>
      </c>
      <c r="BA314" s="97">
        <f>IF(OR(AY314="SÁB",AY314="DOM"),0,IFERROR(8-VLOOKUP(D314,'Dados de consulta'!$A$2:$C$38,3,0),8))</f>
        <v>8</v>
      </c>
      <c r="BB314" s="97">
        <f>IF(OR(AY314="SÁB",AY314="DOM"),0,IFERROR(8-VLOOKUP(E314,'Dados de consulta'!$A$2:$C$38,3,0),8))</f>
        <v>0</v>
      </c>
      <c r="BC314" s="97">
        <f>IF(OR(AY314="SÁB",AY314="DOM"),0,IFERROR(8-VLOOKUP(F314,'Dados de consulta'!$A$2:$C$38,3,0),8))</f>
        <v>8</v>
      </c>
      <c r="BD314" s="97">
        <f>IF(OR(AY314="SÁB",AY314="DOM"),0,IFERROR(8-VLOOKUP(G314,'Dados de consulta'!$A$2:$C$38,3,0),8))</f>
        <v>8</v>
      </c>
      <c r="BE314" s="97">
        <f>IF(OR(AY314="SÁB",AY314="DOM"),0,IFERROR(8-VLOOKUP(H314,'Dados de consulta'!$A$2:$C$38,3,0),8))</f>
        <v>8</v>
      </c>
      <c r="BF314" s="97">
        <f>IF(OR(AY314="SÁB",AY314="DOM"),0,IFERROR(8-VLOOKUP(I314,'Dados de consulta'!$A$2:$C$38,3,0),8))</f>
        <v>8</v>
      </c>
      <c r="BG314" s="97">
        <f>IF(OR(AY314="SÁB",AY314="DOM"),0,IFERROR(8-VLOOKUP(J314,'Dados de consulta'!$A$2:$C$38,3,0),8))</f>
        <v>8</v>
      </c>
      <c r="BH314" s="97">
        <f>IF(OR(AY314="SÁB",AY314="DOM"),0,IFERROR(8-VLOOKUP(K314,'Dados de consulta'!$A$2:$C$38,3,0),8))</f>
        <v>8</v>
      </c>
      <c r="BI314" s="97">
        <f>IF(OR(AY314="SÁB",AY314="DOM"),0,IFERROR(8-VLOOKUP(L314,'Dados de consulta'!$A$2:$C$38,3,0),8))</f>
        <v>8</v>
      </c>
      <c r="BJ314" s="97">
        <f>IF(OR(AY314="SÁB",AY314="DOM"),0,IFERROR(8-VLOOKUP(M314,'Dados de consulta'!$A$2:$C$38,3,0),8))</f>
        <v>0</v>
      </c>
      <c r="BK314" s="97">
        <f>IF(OR(AY314="SÁB",AY314="DOM"),0,IFERROR(8-VLOOKUP(N314,'Dados de consulta'!$A$2:$C$38,3,0),8))</f>
        <v>8</v>
      </c>
      <c r="BL314" s="97">
        <f>IF(OR(AY314="SÁB",AY314="DOM"),0,IFERROR(8-VLOOKUP(O314,'Dados de consulta'!$A$2:$C$38,3,0),8))</f>
        <v>0</v>
      </c>
      <c r="BM314" s="97">
        <f>IF(OR(AY314="SÁB",AY314="DOM"),0,IFERROR(8-VLOOKUP(P314,'Dados de consulta'!$A$2:$C$38,3,0),8))</f>
        <v>8</v>
      </c>
      <c r="BN314" s="97">
        <f>IF(OR(AY314="SÁB",AY314="DOM"),0,IFERROR(8-VLOOKUP(Q314,'Dados de consulta'!$A$2:$C$38,3,0),8))</f>
        <v>8</v>
      </c>
      <c r="BO314" s="97">
        <f>IF(OR(AY314="SÁB",AY314="DOM"),0,IFERROR(8-VLOOKUP(R314,'Dados de consulta'!$A$2:$C$38,3,0),8))</f>
        <v>8</v>
      </c>
      <c r="BP314" s="97">
        <f>IF(OR(AY314="SÁB",AY314="DOM"),0,IFERROR(8-VLOOKUP(S314,'Dados de consulta'!$A$2:$C$38,3,0),8))</f>
        <v>8</v>
      </c>
      <c r="BQ314" s="113">
        <f>IFERROR(6-VLOOKUP(T314,'Dados de consulta'!$A$2:$C$38,3,0)+2,6)</f>
        <v>6</v>
      </c>
      <c r="BR314" s="114">
        <f t="shared" si="128"/>
        <v>118</v>
      </c>
      <c r="BS314">
        <f t="shared" si="104"/>
        <v>134</v>
      </c>
      <c r="BU314">
        <f>IFERROR(8-VLOOKUP(U314,'Dados de consulta'!$A:$D,3,0),8)</f>
        <v>8</v>
      </c>
      <c r="BV314">
        <f>IFERROR(8-VLOOKUP(V314,'Dados de consulta'!$A:$D,3,0),8)</f>
        <v>8</v>
      </c>
      <c r="BW314">
        <f t="shared" si="129"/>
        <v>16</v>
      </c>
    </row>
    <row r="315" spans="1:75" ht="15" hidden="1" x14ac:dyDescent="0.2">
      <c r="A315" s="98">
        <v>42438</v>
      </c>
      <c r="B315" s="129" t="str">
        <f t="shared" si="105"/>
        <v>qua</v>
      </c>
      <c r="C315" s="132"/>
      <c r="D315" s="132"/>
      <c r="E315" s="132">
        <v>8</v>
      </c>
      <c r="F315" s="132"/>
      <c r="G315" s="132"/>
      <c r="H315" s="132"/>
      <c r="I315" s="132"/>
      <c r="J315" s="132"/>
      <c r="K315" s="132"/>
      <c r="L315" s="132"/>
      <c r="M315" s="132">
        <v>101</v>
      </c>
      <c r="N315" s="132"/>
      <c r="O315" s="132">
        <v>18</v>
      </c>
      <c r="P315" s="132"/>
      <c r="Q315" s="132"/>
      <c r="R315" s="132"/>
      <c r="S315" s="132"/>
      <c r="T315" s="132"/>
      <c r="U315" s="151"/>
      <c r="V315" s="151"/>
      <c r="W315" s="307" t="s">
        <v>193</v>
      </c>
      <c r="X315" s="308"/>
      <c r="Y315" s="38">
        <f t="shared" si="106"/>
        <v>8</v>
      </c>
      <c r="Z315" s="38">
        <f t="shared" si="107"/>
        <v>8</v>
      </c>
      <c r="AA315" s="38">
        <f t="shared" si="108"/>
        <v>0</v>
      </c>
      <c r="AB315" s="38">
        <f t="shared" si="116"/>
        <v>0</v>
      </c>
      <c r="AC315" s="38">
        <f t="shared" si="117"/>
        <v>0</v>
      </c>
      <c r="AD315" s="38">
        <f t="shared" si="118"/>
        <v>0</v>
      </c>
      <c r="AE315" s="38">
        <f t="shared" si="119"/>
        <v>0</v>
      </c>
      <c r="AF315" s="38">
        <f t="shared" si="120"/>
        <v>0</v>
      </c>
      <c r="AG315" s="33">
        <f t="shared" si="121"/>
        <v>8</v>
      </c>
      <c r="AH315" s="33">
        <f t="shared" si="122"/>
        <v>8</v>
      </c>
      <c r="AI315" s="33">
        <f t="shared" si="123"/>
        <v>0</v>
      </c>
      <c r="AJ315" s="33">
        <f t="shared" si="124"/>
        <v>0</v>
      </c>
      <c r="AK315" s="34">
        <f t="shared" si="125"/>
        <v>5.6338028169014086E-2</v>
      </c>
      <c r="AL315" s="35">
        <f t="shared" si="126"/>
        <v>5.6338028169014086E-2</v>
      </c>
      <c r="AM315" s="34">
        <f t="shared" si="109"/>
        <v>0</v>
      </c>
      <c r="AN315" s="36">
        <f t="shared" si="127"/>
        <v>0</v>
      </c>
      <c r="AO315" s="6">
        <f t="shared" si="110"/>
        <v>0</v>
      </c>
      <c r="AP315">
        <f t="shared" si="111"/>
        <v>8</v>
      </c>
      <c r="AQ315" s="6">
        <f t="shared" si="112"/>
        <v>0</v>
      </c>
      <c r="AR315" s="6">
        <f t="shared" si="113"/>
        <v>0</v>
      </c>
      <c r="AS315" s="6"/>
      <c r="AX315" s="95">
        <f t="shared" si="114"/>
        <v>42438</v>
      </c>
      <c r="AY315" s="96" t="str">
        <f t="shared" si="115"/>
        <v>qua</v>
      </c>
      <c r="AZ315" s="97">
        <f>IF(OR(AY315="SÁB",AY315="DOM"),0,IFERROR(8-VLOOKUP(C315,'Dados de consulta'!$A$2:$C$38,3,0),8))</f>
        <v>8</v>
      </c>
      <c r="BA315" s="97">
        <f>IF(OR(AY315="SÁB",AY315="DOM"),0,IFERROR(8-VLOOKUP(D315,'Dados de consulta'!$A$2:$C$38,3,0),8))</f>
        <v>8</v>
      </c>
      <c r="BB315" s="97">
        <f>IF(OR(AY315="SÁB",AY315="DOM"),0,IFERROR(8-VLOOKUP(E315,'Dados de consulta'!$A$2:$C$38,3,0),8))</f>
        <v>0</v>
      </c>
      <c r="BC315" s="97">
        <f>IF(OR(AY315="SÁB",AY315="DOM"),0,IFERROR(8-VLOOKUP(F315,'Dados de consulta'!$A$2:$C$38,3,0),8))</f>
        <v>8</v>
      </c>
      <c r="BD315" s="97">
        <f>IF(OR(AY315="SÁB",AY315="DOM"),0,IFERROR(8-VLOOKUP(G315,'Dados de consulta'!$A$2:$C$38,3,0),8))</f>
        <v>8</v>
      </c>
      <c r="BE315" s="97">
        <f>IF(OR(AY315="SÁB",AY315="DOM"),0,IFERROR(8-VLOOKUP(H315,'Dados de consulta'!$A$2:$C$38,3,0),8))</f>
        <v>8</v>
      </c>
      <c r="BF315" s="97">
        <f>IF(OR(AY315="SÁB",AY315="DOM"),0,IFERROR(8-VLOOKUP(I315,'Dados de consulta'!$A$2:$C$38,3,0),8))</f>
        <v>8</v>
      </c>
      <c r="BG315" s="97">
        <f>IF(OR(AY315="SÁB",AY315="DOM"),0,IFERROR(8-VLOOKUP(J315,'Dados de consulta'!$A$2:$C$38,3,0),8))</f>
        <v>8</v>
      </c>
      <c r="BH315" s="97">
        <f>IF(OR(AY315="SÁB",AY315="DOM"),0,IFERROR(8-VLOOKUP(K315,'Dados de consulta'!$A$2:$C$38,3,0),8))</f>
        <v>8</v>
      </c>
      <c r="BI315" s="97">
        <f>IF(OR(AY315="SÁB",AY315="DOM"),0,IFERROR(8-VLOOKUP(L315,'Dados de consulta'!$A$2:$C$38,3,0),8))</f>
        <v>8</v>
      </c>
      <c r="BJ315" s="97">
        <f>IF(OR(AY315="SÁB",AY315="DOM"),0,IFERROR(8-VLOOKUP(M315,'Dados de consulta'!$A$2:$C$38,3,0),8))</f>
        <v>0</v>
      </c>
      <c r="BK315" s="97">
        <f>IF(OR(AY315="SÁB",AY315="DOM"),0,IFERROR(8-VLOOKUP(N315,'Dados de consulta'!$A$2:$C$38,3,0),8))</f>
        <v>8</v>
      </c>
      <c r="BL315" s="97">
        <f>IF(OR(AY315="SÁB",AY315="DOM"),0,IFERROR(8-VLOOKUP(O315,'Dados de consulta'!$A$2:$C$38,3,0),8))</f>
        <v>0</v>
      </c>
      <c r="BM315" s="97">
        <f>IF(OR(AY315="SÁB",AY315="DOM"),0,IFERROR(8-VLOOKUP(P315,'Dados de consulta'!$A$2:$C$38,3,0),8))</f>
        <v>8</v>
      </c>
      <c r="BN315" s="97">
        <f>IF(OR(AY315="SÁB",AY315="DOM"),0,IFERROR(8-VLOOKUP(Q315,'Dados de consulta'!$A$2:$C$38,3,0),8))</f>
        <v>8</v>
      </c>
      <c r="BO315" s="97">
        <f>IF(OR(AY315="SÁB",AY315="DOM"),0,IFERROR(8-VLOOKUP(R315,'Dados de consulta'!$A$2:$C$38,3,0),8))</f>
        <v>8</v>
      </c>
      <c r="BP315" s="97">
        <f>IF(OR(AY315="SÁB",AY315="DOM"),0,IFERROR(8-VLOOKUP(S315,'Dados de consulta'!$A$2:$C$38,3,0),8))</f>
        <v>8</v>
      </c>
      <c r="BQ315" s="113">
        <f>IFERROR(6-VLOOKUP(T315,'Dados de consulta'!$A$2:$C$38,3,0)+2,6)</f>
        <v>6</v>
      </c>
      <c r="BR315" s="114">
        <f t="shared" si="128"/>
        <v>118</v>
      </c>
      <c r="BS315">
        <f t="shared" si="104"/>
        <v>134</v>
      </c>
      <c r="BU315">
        <f>IFERROR(8-VLOOKUP(U315,'Dados de consulta'!$A:$D,3,0),8)</f>
        <v>8</v>
      </c>
      <c r="BV315">
        <f>IFERROR(8-VLOOKUP(V315,'Dados de consulta'!$A:$D,3,0),8)</f>
        <v>8</v>
      </c>
      <c r="BW315">
        <f t="shared" si="129"/>
        <v>16</v>
      </c>
    </row>
    <row r="316" spans="1:75" ht="15" hidden="1" x14ac:dyDescent="0.2">
      <c r="A316" s="98">
        <v>42439</v>
      </c>
      <c r="B316" s="129" t="str">
        <f t="shared" si="105"/>
        <v>qui</v>
      </c>
      <c r="C316" s="132"/>
      <c r="D316" s="132"/>
      <c r="E316" s="132">
        <v>8</v>
      </c>
      <c r="F316" s="132"/>
      <c r="G316" s="132"/>
      <c r="H316" s="132"/>
      <c r="I316" s="132"/>
      <c r="J316" s="132"/>
      <c r="K316" s="132"/>
      <c r="L316" s="132"/>
      <c r="M316" s="132">
        <v>101</v>
      </c>
      <c r="N316" s="132"/>
      <c r="O316" s="132">
        <v>18</v>
      </c>
      <c r="P316" s="132"/>
      <c r="Q316" s="132"/>
      <c r="R316" s="132">
        <v>23</v>
      </c>
      <c r="S316" s="132"/>
      <c r="T316" s="132"/>
      <c r="U316" s="151"/>
      <c r="V316" s="151"/>
      <c r="W316" s="307" t="s">
        <v>193</v>
      </c>
      <c r="X316" s="308"/>
      <c r="Y316" s="38">
        <f t="shared" si="106"/>
        <v>8</v>
      </c>
      <c r="Z316" s="38">
        <f t="shared" si="107"/>
        <v>16</v>
      </c>
      <c r="AA316" s="38">
        <f t="shared" si="108"/>
        <v>0</v>
      </c>
      <c r="AB316" s="38">
        <f t="shared" si="116"/>
        <v>0</v>
      </c>
      <c r="AC316" s="38">
        <f t="shared" si="117"/>
        <v>0</v>
      </c>
      <c r="AD316" s="38">
        <f t="shared" si="118"/>
        <v>0</v>
      </c>
      <c r="AE316" s="38">
        <f t="shared" si="119"/>
        <v>0</v>
      </c>
      <c r="AF316" s="38">
        <f t="shared" si="120"/>
        <v>0</v>
      </c>
      <c r="AG316" s="33">
        <f t="shared" si="121"/>
        <v>8</v>
      </c>
      <c r="AH316" s="33">
        <f t="shared" si="122"/>
        <v>16</v>
      </c>
      <c r="AI316" s="33">
        <f t="shared" si="123"/>
        <v>0</v>
      </c>
      <c r="AJ316" s="33">
        <f t="shared" si="124"/>
        <v>0</v>
      </c>
      <c r="AK316" s="34">
        <f t="shared" si="125"/>
        <v>5.6338028169014086E-2</v>
      </c>
      <c r="AL316" s="35">
        <f t="shared" si="126"/>
        <v>0.11267605633802817</v>
      </c>
      <c r="AM316" s="34">
        <f t="shared" si="109"/>
        <v>0</v>
      </c>
      <c r="AN316" s="36">
        <f t="shared" si="127"/>
        <v>0</v>
      </c>
      <c r="AO316" s="6">
        <f t="shared" si="110"/>
        <v>0</v>
      </c>
      <c r="AP316">
        <f t="shared" si="111"/>
        <v>8</v>
      </c>
      <c r="AQ316" s="6">
        <f t="shared" si="112"/>
        <v>0</v>
      </c>
      <c r="AR316" s="6">
        <f t="shared" si="113"/>
        <v>0</v>
      </c>
      <c r="AS316" s="6"/>
      <c r="AX316" s="95">
        <f t="shared" si="114"/>
        <v>42439</v>
      </c>
      <c r="AY316" s="96" t="str">
        <f t="shared" si="115"/>
        <v>qui</v>
      </c>
      <c r="AZ316" s="97">
        <f>IF(OR(AY316="SÁB",AY316="DOM"),0,IFERROR(8-VLOOKUP(C316,'Dados de consulta'!$A$2:$C$38,3,0),8))</f>
        <v>8</v>
      </c>
      <c r="BA316" s="97">
        <f>IF(OR(AY316="SÁB",AY316="DOM"),0,IFERROR(8-VLOOKUP(D316,'Dados de consulta'!$A$2:$C$38,3,0),8))</f>
        <v>8</v>
      </c>
      <c r="BB316" s="97">
        <f>IF(OR(AY316="SÁB",AY316="DOM"),0,IFERROR(8-VLOOKUP(E316,'Dados de consulta'!$A$2:$C$38,3,0),8))</f>
        <v>0</v>
      </c>
      <c r="BC316" s="97">
        <f>IF(OR(AY316="SÁB",AY316="DOM"),0,IFERROR(8-VLOOKUP(F316,'Dados de consulta'!$A$2:$C$38,3,0),8))</f>
        <v>8</v>
      </c>
      <c r="BD316" s="97">
        <f>IF(OR(AY316="SÁB",AY316="DOM"),0,IFERROR(8-VLOOKUP(G316,'Dados de consulta'!$A$2:$C$38,3,0),8))</f>
        <v>8</v>
      </c>
      <c r="BE316" s="97">
        <f>IF(OR(AY316="SÁB",AY316="DOM"),0,IFERROR(8-VLOOKUP(H316,'Dados de consulta'!$A$2:$C$38,3,0),8))</f>
        <v>8</v>
      </c>
      <c r="BF316" s="97">
        <f>IF(OR(AY316="SÁB",AY316="DOM"),0,IFERROR(8-VLOOKUP(I316,'Dados de consulta'!$A$2:$C$38,3,0),8))</f>
        <v>8</v>
      </c>
      <c r="BG316" s="97">
        <f>IF(OR(AY316="SÁB",AY316="DOM"),0,IFERROR(8-VLOOKUP(J316,'Dados de consulta'!$A$2:$C$38,3,0),8))</f>
        <v>8</v>
      </c>
      <c r="BH316" s="97">
        <f>IF(OR(AY316="SÁB",AY316="DOM"),0,IFERROR(8-VLOOKUP(K316,'Dados de consulta'!$A$2:$C$38,3,0),8))</f>
        <v>8</v>
      </c>
      <c r="BI316" s="97">
        <f>IF(OR(AY316="SÁB",AY316="DOM"),0,IFERROR(8-VLOOKUP(L316,'Dados de consulta'!$A$2:$C$38,3,0),8))</f>
        <v>8</v>
      </c>
      <c r="BJ316" s="97">
        <f>IF(OR(AY316="SÁB",AY316="DOM"),0,IFERROR(8-VLOOKUP(M316,'Dados de consulta'!$A$2:$C$38,3,0),8))</f>
        <v>0</v>
      </c>
      <c r="BK316" s="97">
        <f>IF(OR(AY316="SÁB",AY316="DOM"),0,IFERROR(8-VLOOKUP(N316,'Dados de consulta'!$A$2:$C$38,3,0),8))</f>
        <v>8</v>
      </c>
      <c r="BL316" s="97">
        <f>IF(OR(AY316="SÁB",AY316="DOM"),0,IFERROR(8-VLOOKUP(O316,'Dados de consulta'!$A$2:$C$38,3,0),8))</f>
        <v>0</v>
      </c>
      <c r="BM316" s="97">
        <f>IF(OR(AY316="SÁB",AY316="DOM"),0,IFERROR(8-VLOOKUP(P316,'Dados de consulta'!$A$2:$C$38,3,0),8))</f>
        <v>8</v>
      </c>
      <c r="BN316" s="97">
        <f>IF(OR(AY316="SÁB",AY316="DOM"),0,IFERROR(8-VLOOKUP(Q316,'Dados de consulta'!$A$2:$C$38,3,0),8))</f>
        <v>8</v>
      </c>
      <c r="BO316" s="97">
        <f>IF(OR(AY316="SÁB",AY316="DOM"),0,IFERROR(8-VLOOKUP(R316,'Dados de consulta'!$A$2:$C$38,3,0),8))</f>
        <v>0</v>
      </c>
      <c r="BP316" s="97">
        <f>IF(OR(AY316="SÁB",AY316="DOM"),0,IFERROR(8-VLOOKUP(S316,'Dados de consulta'!$A$2:$C$38,3,0),8))</f>
        <v>8</v>
      </c>
      <c r="BQ316" s="113">
        <f>IFERROR(6-VLOOKUP(T316,'Dados de consulta'!$A$2:$C$38,3,0)+2,6)</f>
        <v>6</v>
      </c>
      <c r="BR316" s="114">
        <f t="shared" si="128"/>
        <v>110</v>
      </c>
      <c r="BS316">
        <f t="shared" si="104"/>
        <v>134</v>
      </c>
      <c r="BU316">
        <f>IFERROR(8-VLOOKUP(U316,'Dados de consulta'!$A:$D,3,0),8)</f>
        <v>8</v>
      </c>
      <c r="BV316">
        <f>IFERROR(8-VLOOKUP(V316,'Dados de consulta'!$A:$D,3,0),8)</f>
        <v>8</v>
      </c>
      <c r="BW316">
        <f t="shared" si="129"/>
        <v>16</v>
      </c>
    </row>
    <row r="317" spans="1:75" ht="15" hidden="1" x14ac:dyDescent="0.2">
      <c r="A317" s="98">
        <v>42440</v>
      </c>
      <c r="B317" s="129" t="str">
        <f t="shared" si="105"/>
        <v>sex</v>
      </c>
      <c r="C317" s="132"/>
      <c r="D317" s="132"/>
      <c r="E317" s="132">
        <v>8</v>
      </c>
      <c r="F317" s="132"/>
      <c r="G317" s="132"/>
      <c r="H317" s="132"/>
      <c r="I317" s="132"/>
      <c r="J317" s="132"/>
      <c r="K317" s="132"/>
      <c r="L317" s="132"/>
      <c r="M317" s="132">
        <v>101</v>
      </c>
      <c r="N317" s="132"/>
      <c r="O317" s="132"/>
      <c r="P317" s="132">
        <v>8</v>
      </c>
      <c r="Q317" s="132"/>
      <c r="R317" s="132">
        <v>23</v>
      </c>
      <c r="S317" s="132"/>
      <c r="T317" s="132"/>
      <c r="U317" s="151"/>
      <c r="V317" s="151"/>
      <c r="W317" s="307" t="s">
        <v>193</v>
      </c>
      <c r="X317" s="308"/>
      <c r="Y317" s="38">
        <f t="shared" si="106"/>
        <v>16</v>
      </c>
      <c r="Z317" s="38">
        <f t="shared" si="107"/>
        <v>8</v>
      </c>
      <c r="AA317" s="38">
        <f t="shared" si="108"/>
        <v>0</v>
      </c>
      <c r="AB317" s="38">
        <f t="shared" si="116"/>
        <v>0</v>
      </c>
      <c r="AC317" s="38">
        <f t="shared" si="117"/>
        <v>0</v>
      </c>
      <c r="AD317" s="38">
        <f t="shared" si="118"/>
        <v>0</v>
      </c>
      <c r="AE317" s="38">
        <f t="shared" si="119"/>
        <v>0</v>
      </c>
      <c r="AF317" s="38">
        <f t="shared" si="120"/>
        <v>0</v>
      </c>
      <c r="AG317" s="33">
        <f t="shared" si="121"/>
        <v>16</v>
      </c>
      <c r="AH317" s="33">
        <f t="shared" si="122"/>
        <v>8</v>
      </c>
      <c r="AI317" s="33">
        <f t="shared" si="123"/>
        <v>0</v>
      </c>
      <c r="AJ317" s="33">
        <f t="shared" si="124"/>
        <v>0</v>
      </c>
      <c r="AK317" s="34">
        <f t="shared" si="125"/>
        <v>0.11267605633802817</v>
      </c>
      <c r="AL317" s="35">
        <f t="shared" si="126"/>
        <v>5.6338028169014086E-2</v>
      </c>
      <c r="AM317" s="34">
        <f t="shared" si="109"/>
        <v>0</v>
      </c>
      <c r="AN317" s="36">
        <f t="shared" si="127"/>
        <v>0</v>
      </c>
      <c r="AO317" s="6">
        <f t="shared" si="110"/>
        <v>0</v>
      </c>
      <c r="AP317">
        <f t="shared" si="111"/>
        <v>8</v>
      </c>
      <c r="AQ317" s="6">
        <f t="shared" si="112"/>
        <v>0</v>
      </c>
      <c r="AR317" s="6">
        <f t="shared" si="113"/>
        <v>0</v>
      </c>
      <c r="AS317" s="6"/>
      <c r="AX317" s="95">
        <f t="shared" si="114"/>
        <v>42440</v>
      </c>
      <c r="AY317" s="96" t="str">
        <f t="shared" si="115"/>
        <v>sex</v>
      </c>
      <c r="AZ317" s="97">
        <f>IF(OR(AY317="SÁB",AY317="DOM"),0,IFERROR(8-VLOOKUP(C317,'Dados de consulta'!$A$2:$C$38,3,0),8))</f>
        <v>8</v>
      </c>
      <c r="BA317" s="97">
        <f>IF(OR(AY317="SÁB",AY317="DOM"),0,IFERROR(8-VLOOKUP(D317,'Dados de consulta'!$A$2:$C$38,3,0),8))</f>
        <v>8</v>
      </c>
      <c r="BB317" s="97">
        <f>IF(OR(AY317="SÁB",AY317="DOM"),0,IFERROR(8-VLOOKUP(E317,'Dados de consulta'!$A$2:$C$38,3,0),8))</f>
        <v>0</v>
      </c>
      <c r="BC317" s="97">
        <f>IF(OR(AY317="SÁB",AY317="DOM"),0,IFERROR(8-VLOOKUP(F317,'Dados de consulta'!$A$2:$C$38,3,0),8))</f>
        <v>8</v>
      </c>
      <c r="BD317" s="97">
        <f>IF(OR(AY317="SÁB",AY317="DOM"),0,IFERROR(8-VLOOKUP(G317,'Dados de consulta'!$A$2:$C$38,3,0),8))</f>
        <v>8</v>
      </c>
      <c r="BE317" s="97">
        <f>IF(OR(AY317="SÁB",AY317="DOM"),0,IFERROR(8-VLOOKUP(H317,'Dados de consulta'!$A$2:$C$38,3,0),8))</f>
        <v>8</v>
      </c>
      <c r="BF317" s="97">
        <f>IF(OR(AY317="SÁB",AY317="DOM"),0,IFERROR(8-VLOOKUP(I317,'Dados de consulta'!$A$2:$C$38,3,0),8))</f>
        <v>8</v>
      </c>
      <c r="BG317" s="97">
        <f>IF(OR(AY317="SÁB",AY317="DOM"),0,IFERROR(8-VLOOKUP(J317,'Dados de consulta'!$A$2:$C$38,3,0),8))</f>
        <v>8</v>
      </c>
      <c r="BH317" s="97">
        <f>IF(OR(AY317="SÁB",AY317="DOM"),0,IFERROR(8-VLOOKUP(K317,'Dados de consulta'!$A$2:$C$38,3,0),8))</f>
        <v>8</v>
      </c>
      <c r="BI317" s="97">
        <f>IF(OR(AY317="SÁB",AY317="DOM"),0,IFERROR(8-VLOOKUP(L317,'Dados de consulta'!$A$2:$C$38,3,0),8))</f>
        <v>8</v>
      </c>
      <c r="BJ317" s="97">
        <f>IF(OR(AY317="SÁB",AY317="DOM"),0,IFERROR(8-VLOOKUP(M317,'Dados de consulta'!$A$2:$C$38,3,0),8))</f>
        <v>0</v>
      </c>
      <c r="BK317" s="97">
        <f>IF(OR(AY317="SÁB",AY317="DOM"),0,IFERROR(8-VLOOKUP(N317,'Dados de consulta'!$A$2:$C$38,3,0),8))</f>
        <v>8</v>
      </c>
      <c r="BL317" s="97">
        <f>IF(OR(AY317="SÁB",AY317="DOM"),0,IFERROR(8-VLOOKUP(O317,'Dados de consulta'!$A$2:$C$38,3,0),8))</f>
        <v>8</v>
      </c>
      <c r="BM317" s="97">
        <f>IF(OR(AY317="SÁB",AY317="DOM"),0,IFERROR(8-VLOOKUP(P317,'Dados de consulta'!$A$2:$C$38,3,0),8))</f>
        <v>0</v>
      </c>
      <c r="BN317" s="97">
        <f>IF(OR(AY317="SÁB",AY317="DOM"),0,IFERROR(8-VLOOKUP(Q317,'Dados de consulta'!$A$2:$C$38,3,0),8))</f>
        <v>8</v>
      </c>
      <c r="BO317" s="97">
        <f>IF(OR(AY317="SÁB",AY317="DOM"),0,IFERROR(8-VLOOKUP(R317,'Dados de consulta'!$A$2:$C$38,3,0),8))</f>
        <v>0</v>
      </c>
      <c r="BP317" s="97">
        <f>IF(OR(AY317="SÁB",AY317="DOM"),0,IFERROR(8-VLOOKUP(S317,'Dados de consulta'!$A$2:$C$38,3,0),8))</f>
        <v>8</v>
      </c>
      <c r="BQ317" s="113">
        <f>IFERROR(6-VLOOKUP(T317,'Dados de consulta'!$A$2:$C$38,3,0)+2,6)</f>
        <v>6</v>
      </c>
      <c r="BR317" s="114">
        <f t="shared" si="128"/>
        <v>110</v>
      </c>
      <c r="BS317">
        <f t="shared" si="104"/>
        <v>134</v>
      </c>
      <c r="BU317">
        <f>IFERROR(8-VLOOKUP(U317,'Dados de consulta'!$A:$D,3,0),8)</f>
        <v>8</v>
      </c>
      <c r="BV317">
        <f>IFERROR(8-VLOOKUP(V317,'Dados de consulta'!$A:$D,3,0),8)</f>
        <v>8</v>
      </c>
      <c r="BW317">
        <f t="shared" si="129"/>
        <v>16</v>
      </c>
    </row>
    <row r="318" spans="1:75" ht="15" hidden="1" x14ac:dyDescent="0.2">
      <c r="A318" s="98">
        <v>42441</v>
      </c>
      <c r="B318" s="129" t="str">
        <f t="shared" si="105"/>
        <v>sáb</v>
      </c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>
        <v>101</v>
      </c>
      <c r="N318" s="132"/>
      <c r="O318" s="132"/>
      <c r="P318" s="132"/>
      <c r="Q318" s="132"/>
      <c r="R318" s="132"/>
      <c r="S318" s="132"/>
      <c r="T318" s="132"/>
      <c r="U318" s="151"/>
      <c r="V318" s="151"/>
      <c r="W318" s="307" t="s">
        <v>193</v>
      </c>
      <c r="X318" s="308"/>
      <c r="Y318" s="38">
        <f t="shared" si="106"/>
        <v>0</v>
      </c>
      <c r="Z318" s="38">
        <f t="shared" si="107"/>
        <v>0</v>
      </c>
      <c r="AA318" s="38">
        <f t="shared" si="108"/>
        <v>0</v>
      </c>
      <c r="AB318" s="38">
        <f t="shared" si="116"/>
        <v>0</v>
      </c>
      <c r="AC318" s="38">
        <f t="shared" si="117"/>
        <v>0</v>
      </c>
      <c r="AD318" s="38">
        <f t="shared" si="118"/>
        <v>0</v>
      </c>
      <c r="AE318" s="38">
        <f t="shared" si="119"/>
        <v>0</v>
      </c>
      <c r="AF318" s="38">
        <f t="shared" si="120"/>
        <v>0</v>
      </c>
      <c r="AG318" s="33">
        <f t="shared" si="121"/>
        <v>0</v>
      </c>
      <c r="AH318" s="33">
        <f t="shared" si="122"/>
        <v>0</v>
      </c>
      <c r="AI318" s="33">
        <f t="shared" si="123"/>
        <v>0</v>
      </c>
      <c r="AJ318" s="33">
        <f t="shared" si="124"/>
        <v>0</v>
      </c>
      <c r="AK318" s="34">
        <f t="shared" si="125"/>
        <v>0</v>
      </c>
      <c r="AL318" s="35">
        <f t="shared" si="126"/>
        <v>0</v>
      </c>
      <c r="AM318" s="34">
        <f t="shared" si="109"/>
        <v>0</v>
      </c>
      <c r="AN318" s="36">
        <f t="shared" si="127"/>
        <v>0</v>
      </c>
      <c r="AO318" s="6">
        <f t="shared" si="110"/>
        <v>0</v>
      </c>
      <c r="AP318">
        <f t="shared" si="111"/>
        <v>8</v>
      </c>
      <c r="AQ318" s="6">
        <f t="shared" si="112"/>
        <v>0</v>
      </c>
      <c r="AR318" s="6">
        <f t="shared" si="113"/>
        <v>0</v>
      </c>
      <c r="AS318" s="6"/>
      <c r="AX318" s="95">
        <f t="shared" si="114"/>
        <v>42441</v>
      </c>
      <c r="AY318" s="96" t="str">
        <f t="shared" si="115"/>
        <v>sáb</v>
      </c>
      <c r="AZ318" s="97">
        <f>IF(OR(AY318="SÁB",AY318="DOM"),0,IFERROR(8-VLOOKUP(C318,'Dados de consulta'!$A$2:$C$38,3,0),8))</f>
        <v>0</v>
      </c>
      <c r="BA318" s="97">
        <f>IF(OR(AY318="SÁB",AY318="DOM"),0,IFERROR(8-VLOOKUP(D318,'Dados de consulta'!$A$2:$C$38,3,0),8))</f>
        <v>0</v>
      </c>
      <c r="BB318" s="97">
        <f>IF(OR(AY318="SÁB",AY318="DOM"),0,IFERROR(8-VLOOKUP(E318,'Dados de consulta'!$A$2:$C$38,3,0),8))</f>
        <v>0</v>
      </c>
      <c r="BC318" s="97">
        <f>IF(OR(AY318="SÁB",AY318="DOM"),0,IFERROR(8-VLOOKUP(F318,'Dados de consulta'!$A$2:$C$38,3,0),8))</f>
        <v>0</v>
      </c>
      <c r="BD318" s="97">
        <f>IF(OR(AY318="SÁB",AY318="DOM"),0,IFERROR(8-VLOOKUP(G318,'Dados de consulta'!$A$2:$C$38,3,0),8))</f>
        <v>0</v>
      </c>
      <c r="BE318" s="97">
        <f>IF(OR(AY318="SÁB",AY318="DOM"),0,IFERROR(8-VLOOKUP(H318,'Dados de consulta'!$A$2:$C$38,3,0),8))</f>
        <v>0</v>
      </c>
      <c r="BF318" s="97">
        <f>IF(OR(AY318="SÁB",AY318="DOM"),0,IFERROR(8-VLOOKUP(I318,'Dados de consulta'!$A$2:$C$38,3,0),8))</f>
        <v>0</v>
      </c>
      <c r="BG318" s="97">
        <f>IF(OR(AY318="SÁB",AY318="DOM"),0,IFERROR(8-VLOOKUP(J318,'Dados de consulta'!$A$2:$C$38,3,0),8))</f>
        <v>0</v>
      </c>
      <c r="BH318" s="97">
        <f>IF(OR(AY318="SÁB",AY318="DOM"),0,IFERROR(8-VLOOKUP(K318,'Dados de consulta'!$A$2:$C$38,3,0),8))</f>
        <v>0</v>
      </c>
      <c r="BI318" s="97">
        <f>IF(OR(AY318="SÁB",AY318="DOM"),0,IFERROR(8-VLOOKUP(L318,'Dados de consulta'!$A$2:$C$38,3,0),8))</f>
        <v>0</v>
      </c>
      <c r="BJ318" s="97">
        <f>IF(OR(AY318="SÁB",AY318="DOM"),0,IFERROR(8-VLOOKUP(M318,'Dados de consulta'!$A$2:$C$38,3,0),8))</f>
        <v>0</v>
      </c>
      <c r="BK318" s="97">
        <f>IF(OR(AY318="SÁB",AY318="DOM"),0,IFERROR(8-VLOOKUP(N318,'Dados de consulta'!$A$2:$C$38,3,0),8))</f>
        <v>0</v>
      </c>
      <c r="BL318" s="97">
        <f>IF(OR(AY318="SÁB",AY318="DOM"),0,IFERROR(8-VLOOKUP(O318,'Dados de consulta'!$A$2:$C$38,3,0),8))</f>
        <v>0</v>
      </c>
      <c r="BM318" s="97">
        <f>IF(OR(AY318="SÁB",AY318="DOM"),0,IFERROR(8-VLOOKUP(P318,'Dados de consulta'!$A$2:$C$38,3,0),8))</f>
        <v>0</v>
      </c>
      <c r="BN318" s="97">
        <f>IF(OR(AY318="SÁB",AY318="DOM"),0,IFERROR(8-VLOOKUP(Q318,'Dados de consulta'!$A$2:$C$38,3,0),8))</f>
        <v>0</v>
      </c>
      <c r="BO318" s="97">
        <f>IF(OR(AY318="SÁB",AY318="DOM"),0,IFERROR(8-VLOOKUP(R318,'Dados de consulta'!$A$2:$C$38,3,0),8))</f>
        <v>0</v>
      </c>
      <c r="BP318" s="97">
        <f>IF(OR(AY318="SÁB",AY318="DOM"),0,IFERROR(8-VLOOKUP(S318,'Dados de consulta'!$A$2:$C$38,3,0),8))</f>
        <v>0</v>
      </c>
      <c r="BQ318" s="113">
        <f>IFERROR(6-VLOOKUP(T318,'Dados de consulta'!$A$2:$C$38,3,0)+2,6)</f>
        <v>6</v>
      </c>
      <c r="BR318" s="114">
        <f t="shared" si="128"/>
        <v>0</v>
      </c>
      <c r="BS318">
        <f t="shared" ref="BS318:BS381" si="130">IF(R319=17,0,IF(OR(AY318="SÁB",AY318="DOM"),0,((COUNT(AZ318:BQ318)-1)*8+6)-SUM(AO318:AR318)))</f>
        <v>0</v>
      </c>
      <c r="BU318">
        <f>IFERROR(8-VLOOKUP(U318,'Dados de consulta'!$A:$D,3,0),8)</f>
        <v>8</v>
      </c>
      <c r="BV318">
        <f>IFERROR(8-VLOOKUP(V318,'Dados de consulta'!$A:$D,3,0),8)</f>
        <v>8</v>
      </c>
      <c r="BW318">
        <f t="shared" si="129"/>
        <v>16</v>
      </c>
    </row>
    <row r="319" spans="1:75" ht="15" hidden="1" x14ac:dyDescent="0.2">
      <c r="A319" s="98">
        <v>42442</v>
      </c>
      <c r="B319" s="129" t="str">
        <f t="shared" si="105"/>
        <v>dom</v>
      </c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>
        <v>101</v>
      </c>
      <c r="N319" s="132"/>
      <c r="O319" s="132"/>
      <c r="P319" s="132"/>
      <c r="Q319" s="132"/>
      <c r="R319" s="132"/>
      <c r="S319" s="132"/>
      <c r="T319" s="132"/>
      <c r="U319" s="151"/>
      <c r="V319" s="151"/>
      <c r="W319" s="307" t="s">
        <v>193</v>
      </c>
      <c r="X319" s="308"/>
      <c r="Y319" s="38">
        <f t="shared" si="106"/>
        <v>0</v>
      </c>
      <c r="Z319" s="38">
        <f t="shared" si="107"/>
        <v>0</v>
      </c>
      <c r="AA319" s="38">
        <f t="shared" si="108"/>
        <v>0</v>
      </c>
      <c r="AB319" s="38">
        <f t="shared" si="116"/>
        <v>0</v>
      </c>
      <c r="AC319" s="38">
        <f t="shared" si="117"/>
        <v>0</v>
      </c>
      <c r="AD319" s="38">
        <f t="shared" si="118"/>
        <v>0</v>
      </c>
      <c r="AE319" s="38">
        <f t="shared" si="119"/>
        <v>0</v>
      </c>
      <c r="AF319" s="38">
        <f t="shared" si="120"/>
        <v>0</v>
      </c>
      <c r="AG319" s="33">
        <f t="shared" si="121"/>
        <v>0</v>
      </c>
      <c r="AH319" s="33">
        <f t="shared" si="122"/>
        <v>0</v>
      </c>
      <c r="AI319" s="33">
        <f t="shared" si="123"/>
        <v>0</v>
      </c>
      <c r="AJ319" s="33">
        <f t="shared" si="124"/>
        <v>0</v>
      </c>
      <c r="AK319" s="34">
        <f t="shared" si="125"/>
        <v>0</v>
      </c>
      <c r="AL319" s="35">
        <f t="shared" si="126"/>
        <v>0</v>
      </c>
      <c r="AM319" s="34">
        <f t="shared" si="109"/>
        <v>0</v>
      </c>
      <c r="AN319" s="36">
        <f t="shared" si="127"/>
        <v>0</v>
      </c>
      <c r="AO319" s="6">
        <f t="shared" si="110"/>
        <v>0</v>
      </c>
      <c r="AP319">
        <f t="shared" si="111"/>
        <v>8</v>
      </c>
      <c r="AQ319" s="6">
        <f t="shared" si="112"/>
        <v>0</v>
      </c>
      <c r="AR319" s="6">
        <f t="shared" si="113"/>
        <v>0</v>
      </c>
      <c r="AS319" s="6"/>
      <c r="AX319" s="95">
        <f t="shared" si="114"/>
        <v>42442</v>
      </c>
      <c r="AY319" s="96" t="str">
        <f t="shared" si="115"/>
        <v>dom</v>
      </c>
      <c r="AZ319" s="97">
        <f>IF(OR(AY319="SÁB",AY319="DOM"),0,IFERROR(8-VLOOKUP(C319,'Dados de consulta'!$A$2:$C$38,3,0),8))</f>
        <v>0</v>
      </c>
      <c r="BA319" s="97">
        <f>IF(OR(AY319="SÁB",AY319="DOM"),0,IFERROR(8-VLOOKUP(D319,'Dados de consulta'!$A$2:$C$38,3,0),8))</f>
        <v>0</v>
      </c>
      <c r="BB319" s="97">
        <f>IF(OR(AY319="SÁB",AY319="DOM"),0,IFERROR(8-VLOOKUP(E319,'Dados de consulta'!$A$2:$C$38,3,0),8))</f>
        <v>0</v>
      </c>
      <c r="BC319" s="97">
        <f>IF(OR(AY319="SÁB",AY319="DOM"),0,IFERROR(8-VLOOKUP(F319,'Dados de consulta'!$A$2:$C$38,3,0),8))</f>
        <v>0</v>
      </c>
      <c r="BD319" s="97">
        <f>IF(OR(AY319="SÁB",AY319="DOM"),0,IFERROR(8-VLOOKUP(G319,'Dados de consulta'!$A$2:$C$38,3,0),8))</f>
        <v>0</v>
      </c>
      <c r="BE319" s="97">
        <f>IF(OR(AY319="SÁB",AY319="DOM"),0,IFERROR(8-VLOOKUP(H319,'Dados de consulta'!$A$2:$C$38,3,0),8))</f>
        <v>0</v>
      </c>
      <c r="BF319" s="97">
        <f>IF(OR(AY319="SÁB",AY319="DOM"),0,IFERROR(8-VLOOKUP(I319,'Dados de consulta'!$A$2:$C$38,3,0),8))</f>
        <v>0</v>
      </c>
      <c r="BG319" s="97">
        <f>IF(OR(AY319="SÁB",AY319="DOM"),0,IFERROR(8-VLOOKUP(J319,'Dados de consulta'!$A$2:$C$38,3,0),8))</f>
        <v>0</v>
      </c>
      <c r="BH319" s="97">
        <f>IF(OR(AY319="SÁB",AY319="DOM"),0,IFERROR(8-VLOOKUP(K319,'Dados de consulta'!$A$2:$C$38,3,0),8))</f>
        <v>0</v>
      </c>
      <c r="BI319" s="97">
        <f>IF(OR(AY319="SÁB",AY319="DOM"),0,IFERROR(8-VLOOKUP(L319,'Dados de consulta'!$A$2:$C$38,3,0),8))</f>
        <v>0</v>
      </c>
      <c r="BJ319" s="97">
        <f>IF(OR(AY319="SÁB",AY319="DOM"),0,IFERROR(8-VLOOKUP(M319,'Dados de consulta'!$A$2:$C$38,3,0),8))</f>
        <v>0</v>
      </c>
      <c r="BK319" s="97">
        <f>IF(OR(AY319="SÁB",AY319="DOM"),0,IFERROR(8-VLOOKUP(N319,'Dados de consulta'!$A$2:$C$38,3,0),8))</f>
        <v>0</v>
      </c>
      <c r="BL319" s="97">
        <f>IF(OR(AY319="SÁB",AY319="DOM"),0,IFERROR(8-VLOOKUP(O319,'Dados de consulta'!$A$2:$C$38,3,0),8))</f>
        <v>0</v>
      </c>
      <c r="BM319" s="97">
        <f>IF(OR(AY319="SÁB",AY319="DOM"),0,IFERROR(8-VLOOKUP(P319,'Dados de consulta'!$A$2:$C$38,3,0),8))</f>
        <v>0</v>
      </c>
      <c r="BN319" s="97">
        <f>IF(OR(AY319="SÁB",AY319="DOM"),0,IFERROR(8-VLOOKUP(Q319,'Dados de consulta'!$A$2:$C$38,3,0),8))</f>
        <v>0</v>
      </c>
      <c r="BO319" s="97">
        <f>IF(OR(AY319="SÁB",AY319="DOM"),0,IFERROR(8-VLOOKUP(R319,'Dados de consulta'!$A$2:$C$38,3,0),8))</f>
        <v>0</v>
      </c>
      <c r="BP319" s="97">
        <f>IF(OR(AY319="SÁB",AY319="DOM"),0,IFERROR(8-VLOOKUP(S319,'Dados de consulta'!$A$2:$C$38,3,0),8))</f>
        <v>0</v>
      </c>
      <c r="BQ319" s="113">
        <f>IFERROR(6-VLOOKUP(T319,'Dados de consulta'!$A$2:$C$38,3,0)+2,6)</f>
        <v>6</v>
      </c>
      <c r="BR319" s="114">
        <f t="shared" si="128"/>
        <v>0</v>
      </c>
      <c r="BS319">
        <f t="shared" si="130"/>
        <v>0</v>
      </c>
      <c r="BU319">
        <f>IFERROR(8-VLOOKUP(U319,'Dados de consulta'!$A:$D,3,0),8)</f>
        <v>8</v>
      </c>
      <c r="BV319">
        <f>IFERROR(8-VLOOKUP(V319,'Dados de consulta'!$A:$D,3,0),8)</f>
        <v>8</v>
      </c>
      <c r="BW319">
        <f t="shared" si="129"/>
        <v>16</v>
      </c>
    </row>
    <row r="320" spans="1:75" ht="15" hidden="1" x14ac:dyDescent="0.2">
      <c r="A320" s="98">
        <v>42443</v>
      </c>
      <c r="B320" s="129" t="str">
        <f t="shared" si="105"/>
        <v>seg</v>
      </c>
      <c r="C320" s="132"/>
      <c r="D320" s="132"/>
      <c r="E320" s="132">
        <v>8</v>
      </c>
      <c r="F320" s="132">
        <v>18</v>
      </c>
      <c r="G320" s="132"/>
      <c r="H320" s="132"/>
      <c r="I320" s="132"/>
      <c r="J320" s="132"/>
      <c r="K320" s="132"/>
      <c r="L320" s="132"/>
      <c r="M320" s="132">
        <v>101</v>
      </c>
      <c r="N320" s="132"/>
      <c r="O320" s="132"/>
      <c r="P320" s="132">
        <v>8</v>
      </c>
      <c r="Q320" s="132" t="s">
        <v>196</v>
      </c>
      <c r="R320" s="132">
        <v>23</v>
      </c>
      <c r="S320" s="132"/>
      <c r="T320" s="132"/>
      <c r="U320" s="151"/>
      <c r="V320" s="151"/>
      <c r="W320" s="307" t="s">
        <v>193</v>
      </c>
      <c r="X320" s="308"/>
      <c r="Y320" s="38">
        <f t="shared" si="106"/>
        <v>16</v>
      </c>
      <c r="Z320" s="38">
        <f t="shared" si="107"/>
        <v>16</v>
      </c>
      <c r="AA320" s="38">
        <f>(COUNTIF(C320:S320,28)+COUNTIF(C320:S320,"28P")/2+COUNTIF(C320:S320,29))*8</f>
        <v>4</v>
      </c>
      <c r="AB320" s="38">
        <f t="shared" si="116"/>
        <v>0</v>
      </c>
      <c r="AC320" s="38">
        <f t="shared" si="117"/>
        <v>0</v>
      </c>
      <c r="AD320" s="38">
        <f t="shared" si="118"/>
        <v>0</v>
      </c>
      <c r="AE320" s="38">
        <f t="shared" si="119"/>
        <v>0</v>
      </c>
      <c r="AF320" s="38">
        <f t="shared" si="120"/>
        <v>0</v>
      </c>
      <c r="AG320" s="33">
        <f t="shared" si="121"/>
        <v>16</v>
      </c>
      <c r="AH320" s="33">
        <f t="shared" si="122"/>
        <v>16</v>
      </c>
      <c r="AI320" s="33">
        <f t="shared" si="123"/>
        <v>4</v>
      </c>
      <c r="AJ320" s="33">
        <f t="shared" si="124"/>
        <v>0</v>
      </c>
      <c r="AK320" s="34">
        <f t="shared" si="125"/>
        <v>0.11267605633802817</v>
      </c>
      <c r="AL320" s="35">
        <f t="shared" si="126"/>
        <v>0.11267605633802817</v>
      </c>
      <c r="AM320" s="34">
        <f t="shared" si="109"/>
        <v>2.8169014084507043E-2</v>
      </c>
      <c r="AN320" s="36">
        <f t="shared" si="127"/>
        <v>0</v>
      </c>
      <c r="AO320" s="6">
        <f t="shared" si="110"/>
        <v>0</v>
      </c>
      <c r="AP320">
        <f t="shared" si="111"/>
        <v>8</v>
      </c>
      <c r="AQ320" s="6">
        <f t="shared" si="112"/>
        <v>0</v>
      </c>
      <c r="AR320" s="6">
        <f t="shared" si="113"/>
        <v>0</v>
      </c>
      <c r="AS320" s="6"/>
      <c r="AX320" s="95">
        <f t="shared" si="114"/>
        <v>42443</v>
      </c>
      <c r="AY320" s="96" t="str">
        <f t="shared" si="115"/>
        <v>seg</v>
      </c>
      <c r="AZ320" s="97">
        <f>IF(OR(AY320="SÁB",AY320="DOM"),0,IFERROR(8-VLOOKUP(C320,'Dados de consulta'!$A$2:$C$38,3,0),8))</f>
        <v>8</v>
      </c>
      <c r="BA320" s="97">
        <f>IF(OR(AY320="SÁB",AY320="DOM"),0,IFERROR(8-VLOOKUP(D320,'Dados de consulta'!$A$2:$C$38,3,0),8))</f>
        <v>8</v>
      </c>
      <c r="BB320" s="97">
        <f>IF(OR(AY320="SÁB",AY320="DOM"),0,IFERROR(8-VLOOKUP(E320,'Dados de consulta'!$A$2:$C$38,3,0),8))</f>
        <v>0</v>
      </c>
      <c r="BC320" s="97">
        <f>IF(OR(AY320="SÁB",AY320="DOM"),0,IFERROR(8-VLOOKUP(F320,'Dados de consulta'!$A$2:$C$38,3,0),8))</f>
        <v>0</v>
      </c>
      <c r="BD320" s="97">
        <f>IF(OR(AY320="SÁB",AY320="DOM"),0,IFERROR(8-VLOOKUP(G320,'Dados de consulta'!$A$2:$C$38,3,0),8))</f>
        <v>8</v>
      </c>
      <c r="BE320" s="97">
        <f>IF(OR(AY320="SÁB",AY320="DOM"),0,IFERROR(8-VLOOKUP(H320,'Dados de consulta'!$A$2:$C$38,3,0),8))</f>
        <v>8</v>
      </c>
      <c r="BF320" s="97">
        <f>IF(OR(AY320="SÁB",AY320="DOM"),0,IFERROR(8-VLOOKUP(I320,'Dados de consulta'!$A$2:$C$38,3,0),8))</f>
        <v>8</v>
      </c>
      <c r="BG320" s="97">
        <f>IF(OR(AY320="SÁB",AY320="DOM"),0,IFERROR(8-VLOOKUP(J320,'Dados de consulta'!$A$2:$C$38,3,0),8))</f>
        <v>8</v>
      </c>
      <c r="BH320" s="97">
        <f>IF(OR(AY320="SÁB",AY320="DOM"),0,IFERROR(8-VLOOKUP(K320,'Dados de consulta'!$A$2:$C$38,3,0),8))</f>
        <v>8</v>
      </c>
      <c r="BI320" s="97">
        <f>IF(OR(AY320="SÁB",AY320="DOM"),0,IFERROR(8-VLOOKUP(L320,'Dados de consulta'!$A$2:$C$38,3,0),8))</f>
        <v>8</v>
      </c>
      <c r="BJ320" s="97">
        <f>IF(OR(AY320="SÁB",AY320="DOM"),0,IFERROR(8-VLOOKUP(M320,'Dados de consulta'!$A$2:$C$38,3,0),8))</f>
        <v>0</v>
      </c>
      <c r="BK320" s="97">
        <f>IF(OR(AY320="SÁB",AY320="DOM"),0,IFERROR(8-VLOOKUP(N320,'Dados de consulta'!$A$2:$C$38,3,0),8))</f>
        <v>8</v>
      </c>
      <c r="BL320" s="97">
        <f>IF(OR(AY320="SÁB",AY320="DOM"),0,IFERROR(8-VLOOKUP(O320,'Dados de consulta'!$A$2:$C$38,3,0),8))</f>
        <v>8</v>
      </c>
      <c r="BM320" s="97">
        <f>IF(OR(AY320="SÁB",AY320="DOM"),0,IFERROR(8-VLOOKUP(P320,'Dados de consulta'!$A$2:$C$38,3,0),8))</f>
        <v>0</v>
      </c>
      <c r="BN320" s="97">
        <f>IF(OR(AY320="SÁB",AY320="DOM"),0,IFERROR(8-VLOOKUP(Q320,'Dados de consulta'!$A$2:$C$38,3,0),8))</f>
        <v>4</v>
      </c>
      <c r="BO320" s="97">
        <f>IF(OR(AY320="SÁB",AY320="DOM"),0,IFERROR(8-VLOOKUP(R320,'Dados de consulta'!$A$2:$C$38,3,0),8))</f>
        <v>0</v>
      </c>
      <c r="BP320" s="97">
        <f>IF(OR(AY320="SÁB",AY320="DOM"),0,IFERROR(8-VLOOKUP(S320,'Dados de consulta'!$A$2:$C$38,3,0),8))</f>
        <v>8</v>
      </c>
      <c r="BQ320" s="113">
        <f>IFERROR(6-VLOOKUP(T320,'Dados de consulta'!$A$2:$C$38,3,0)+2,6)</f>
        <v>6</v>
      </c>
      <c r="BR320" s="114">
        <f t="shared" si="128"/>
        <v>98</v>
      </c>
      <c r="BS320">
        <f t="shared" si="130"/>
        <v>134</v>
      </c>
      <c r="BU320">
        <f>IFERROR(8-VLOOKUP(U320,'Dados de consulta'!$A:$D,3,0),8)</f>
        <v>8</v>
      </c>
      <c r="BV320">
        <f>IFERROR(8-VLOOKUP(V320,'Dados de consulta'!$A:$D,3,0),8)</f>
        <v>8</v>
      </c>
      <c r="BW320">
        <f t="shared" si="129"/>
        <v>16</v>
      </c>
    </row>
    <row r="321" spans="1:75" ht="15" hidden="1" x14ac:dyDescent="0.2">
      <c r="A321" s="98">
        <v>42444</v>
      </c>
      <c r="B321" s="129" t="str">
        <f t="shared" si="105"/>
        <v>ter</v>
      </c>
      <c r="C321" s="132"/>
      <c r="D321" s="132"/>
      <c r="E321" s="132">
        <v>8</v>
      </c>
      <c r="F321" s="132">
        <v>18</v>
      </c>
      <c r="G321" s="132"/>
      <c r="H321" s="132"/>
      <c r="I321" s="132"/>
      <c r="J321" s="132"/>
      <c r="K321" s="132"/>
      <c r="L321" s="132"/>
      <c r="M321" s="132">
        <v>101</v>
      </c>
      <c r="N321" s="132"/>
      <c r="O321" s="132"/>
      <c r="P321" s="132">
        <v>8</v>
      </c>
      <c r="Q321" s="132" t="s">
        <v>196</v>
      </c>
      <c r="R321" s="132">
        <v>23</v>
      </c>
      <c r="S321" s="132"/>
      <c r="T321" s="132"/>
      <c r="U321" s="151"/>
      <c r="V321" s="151"/>
      <c r="W321" s="307" t="s">
        <v>193</v>
      </c>
      <c r="X321" s="308"/>
      <c r="Y321" s="38">
        <f t="shared" si="106"/>
        <v>16</v>
      </c>
      <c r="Z321" s="38">
        <f t="shared" si="107"/>
        <v>16</v>
      </c>
      <c r="AA321" s="38">
        <f t="shared" ref="AA321:AA384" si="131">(COUNTIF(C321:S321,28)+COUNTIF(C321:S321,"28P")/2+COUNTIF(C321:S321,29))*8</f>
        <v>4</v>
      </c>
      <c r="AB321" s="38">
        <f t="shared" si="116"/>
        <v>0</v>
      </c>
      <c r="AC321" s="38">
        <f t="shared" si="117"/>
        <v>0</v>
      </c>
      <c r="AD321" s="38">
        <f t="shared" si="118"/>
        <v>0</v>
      </c>
      <c r="AE321" s="38">
        <f t="shared" si="119"/>
        <v>0</v>
      </c>
      <c r="AF321" s="38">
        <f t="shared" si="120"/>
        <v>0</v>
      </c>
      <c r="AG321" s="33">
        <f t="shared" si="121"/>
        <v>16</v>
      </c>
      <c r="AH321" s="33">
        <f t="shared" si="122"/>
        <v>16</v>
      </c>
      <c r="AI321" s="33">
        <f t="shared" si="123"/>
        <v>4</v>
      </c>
      <c r="AJ321" s="33">
        <f t="shared" si="124"/>
        <v>0</v>
      </c>
      <c r="AK321" s="34">
        <f t="shared" si="125"/>
        <v>0.11267605633802817</v>
      </c>
      <c r="AL321" s="35">
        <f t="shared" si="126"/>
        <v>0.11267605633802817</v>
      </c>
      <c r="AM321" s="34">
        <f t="shared" si="109"/>
        <v>2.8169014084507043E-2</v>
      </c>
      <c r="AN321" s="36">
        <f t="shared" si="127"/>
        <v>0</v>
      </c>
      <c r="AO321" s="6">
        <f t="shared" si="110"/>
        <v>0</v>
      </c>
      <c r="AP321">
        <f t="shared" si="111"/>
        <v>8</v>
      </c>
      <c r="AQ321" s="6">
        <f t="shared" si="112"/>
        <v>0</v>
      </c>
      <c r="AR321" s="6">
        <f t="shared" si="113"/>
        <v>0</v>
      </c>
      <c r="AS321" s="6"/>
      <c r="AX321" s="95">
        <f t="shared" si="114"/>
        <v>42444</v>
      </c>
      <c r="AY321" s="96" t="str">
        <f t="shared" si="115"/>
        <v>ter</v>
      </c>
      <c r="AZ321" s="97">
        <f>IF(OR(AY321="SÁB",AY321="DOM"),0,IFERROR(8-VLOOKUP(C321,'Dados de consulta'!$A$2:$C$38,3,0),8))</f>
        <v>8</v>
      </c>
      <c r="BA321" s="97">
        <f>IF(OR(AY321="SÁB",AY321="DOM"),0,IFERROR(8-VLOOKUP(D321,'Dados de consulta'!$A$2:$C$38,3,0),8))</f>
        <v>8</v>
      </c>
      <c r="BB321" s="97">
        <f>IF(OR(AY321="SÁB",AY321="DOM"),0,IFERROR(8-VLOOKUP(E321,'Dados de consulta'!$A$2:$C$38,3,0),8))</f>
        <v>0</v>
      </c>
      <c r="BC321" s="97">
        <f>IF(OR(AY321="SÁB",AY321="DOM"),0,IFERROR(8-VLOOKUP(F321,'Dados de consulta'!$A$2:$C$38,3,0),8))</f>
        <v>0</v>
      </c>
      <c r="BD321" s="97">
        <f>IF(OR(AY321="SÁB",AY321="DOM"),0,IFERROR(8-VLOOKUP(G321,'Dados de consulta'!$A$2:$C$38,3,0),8))</f>
        <v>8</v>
      </c>
      <c r="BE321" s="97">
        <f>IF(OR(AY321="SÁB",AY321="DOM"),0,IFERROR(8-VLOOKUP(H321,'Dados de consulta'!$A$2:$C$38,3,0),8))</f>
        <v>8</v>
      </c>
      <c r="BF321" s="97">
        <f>IF(OR(AY321="SÁB",AY321="DOM"),0,IFERROR(8-VLOOKUP(I321,'Dados de consulta'!$A$2:$C$38,3,0),8))</f>
        <v>8</v>
      </c>
      <c r="BG321" s="97">
        <f>IF(OR(AY321="SÁB",AY321="DOM"),0,IFERROR(8-VLOOKUP(J321,'Dados de consulta'!$A$2:$C$38,3,0),8))</f>
        <v>8</v>
      </c>
      <c r="BH321" s="97">
        <f>IF(OR(AY321="SÁB",AY321="DOM"),0,IFERROR(8-VLOOKUP(K321,'Dados de consulta'!$A$2:$C$38,3,0),8))</f>
        <v>8</v>
      </c>
      <c r="BI321" s="97">
        <f>IF(OR(AY321="SÁB",AY321="DOM"),0,IFERROR(8-VLOOKUP(L321,'Dados de consulta'!$A$2:$C$38,3,0),8))</f>
        <v>8</v>
      </c>
      <c r="BJ321" s="97">
        <f>IF(OR(AY321="SÁB",AY321="DOM"),0,IFERROR(8-VLOOKUP(M321,'Dados de consulta'!$A$2:$C$38,3,0),8))</f>
        <v>0</v>
      </c>
      <c r="BK321" s="97">
        <f>IF(OR(AY321="SÁB",AY321="DOM"),0,IFERROR(8-VLOOKUP(N321,'Dados de consulta'!$A$2:$C$38,3,0),8))</f>
        <v>8</v>
      </c>
      <c r="BL321" s="97">
        <f>IF(OR(AY321="SÁB",AY321="DOM"),0,IFERROR(8-VLOOKUP(O321,'Dados de consulta'!$A$2:$C$38,3,0),8))</f>
        <v>8</v>
      </c>
      <c r="BM321" s="97">
        <f>IF(OR(AY321="SÁB",AY321="DOM"),0,IFERROR(8-VLOOKUP(P321,'Dados de consulta'!$A$2:$C$38,3,0),8))</f>
        <v>0</v>
      </c>
      <c r="BN321" s="97">
        <f>IF(OR(AY321="SÁB",AY321="DOM"),0,IFERROR(8-VLOOKUP(Q321,'Dados de consulta'!$A$2:$C$38,3,0),8))</f>
        <v>4</v>
      </c>
      <c r="BO321" s="97">
        <f>IF(OR(AY321="SÁB",AY321="DOM"),0,IFERROR(8-VLOOKUP(R321,'Dados de consulta'!$A$2:$C$38,3,0),8))</f>
        <v>0</v>
      </c>
      <c r="BP321" s="97">
        <f>IF(OR(AY321="SÁB",AY321="DOM"),0,IFERROR(8-VLOOKUP(S321,'Dados de consulta'!$A$2:$C$38,3,0),8))</f>
        <v>8</v>
      </c>
      <c r="BQ321" s="113">
        <f>IFERROR(6-VLOOKUP(T321,'Dados de consulta'!$A$2:$C$38,3,0)+2,6)</f>
        <v>6</v>
      </c>
      <c r="BR321" s="114">
        <f t="shared" si="128"/>
        <v>98</v>
      </c>
      <c r="BS321">
        <f t="shared" si="130"/>
        <v>134</v>
      </c>
      <c r="BU321">
        <f>IFERROR(8-VLOOKUP(U321,'Dados de consulta'!$A:$D,3,0),8)</f>
        <v>8</v>
      </c>
      <c r="BV321">
        <f>IFERROR(8-VLOOKUP(V321,'Dados de consulta'!$A:$D,3,0),8)</f>
        <v>8</v>
      </c>
      <c r="BW321">
        <f t="shared" si="129"/>
        <v>16</v>
      </c>
    </row>
    <row r="322" spans="1:75" ht="15" hidden="1" x14ac:dyDescent="0.2">
      <c r="A322" s="98">
        <v>42445</v>
      </c>
      <c r="B322" s="129" t="str">
        <f t="shared" ref="B322:B385" si="132">TEXT(A322,"ddd")</f>
        <v>qua</v>
      </c>
      <c r="C322" s="132"/>
      <c r="D322" s="132"/>
      <c r="E322" s="132">
        <v>8</v>
      </c>
      <c r="F322" s="132">
        <v>18</v>
      </c>
      <c r="G322" s="132"/>
      <c r="H322" s="132"/>
      <c r="I322" s="132"/>
      <c r="J322" s="132"/>
      <c r="K322" s="132"/>
      <c r="L322" s="132"/>
      <c r="M322" s="132">
        <v>101</v>
      </c>
      <c r="N322" s="132"/>
      <c r="O322" s="132"/>
      <c r="P322" s="132"/>
      <c r="Q322" s="132" t="s">
        <v>196</v>
      </c>
      <c r="R322" s="132">
        <v>23</v>
      </c>
      <c r="S322" s="132"/>
      <c r="T322" s="132"/>
      <c r="U322" s="151"/>
      <c r="V322" s="151"/>
      <c r="W322" s="307" t="s">
        <v>193</v>
      </c>
      <c r="X322" s="308"/>
      <c r="Y322" s="38">
        <f t="shared" ref="Y322:Y385" si="133">(COUNTIF(C322:S322,4)+COUNTIF(C322:S322,8)+COUNTIF(C322:S322,"8P")/2+COUNTIF(C322:S322,9)+COUNTIF(C322:S322,"9P")/2+COUNTIF(C322:S322,14))*8</f>
        <v>8</v>
      </c>
      <c r="Z322" s="38">
        <f t="shared" ref="Z322:Z385" si="134">(COUNTIF(C322:S322,1)+COUNTIF(C322:S322,2)+COUNTIF(C322:S322,3)+COUNTIF(C322:S322,5)+COUNTIF(C322:S322,10)+COUNTIF(C322:S322,13)+COUNTIF(C322:S322,"13P")/2+COUNTIF(C322:S322,15)+COUNTIF(C322:S322,18)+COUNTIF(C322:S322,20)+COUNTIF(C322:S322,22)+COUNTIF(C322:S322,23)+COUNTIF(C322:S322,24)+COUNTIF(C322:S322,25)+COUNTIF(C322:S322,26)+COUNTIF(C322:S322,99))*8</f>
        <v>16</v>
      </c>
      <c r="AA322" s="38">
        <f t="shared" si="131"/>
        <v>4</v>
      </c>
      <c r="AB322" s="38">
        <f t="shared" si="116"/>
        <v>0</v>
      </c>
      <c r="AC322" s="38">
        <f t="shared" si="117"/>
        <v>0</v>
      </c>
      <c r="AD322" s="38">
        <f t="shared" si="118"/>
        <v>0</v>
      </c>
      <c r="AE322" s="38">
        <f t="shared" si="119"/>
        <v>0</v>
      </c>
      <c r="AF322" s="38">
        <f t="shared" si="120"/>
        <v>0</v>
      </c>
      <c r="AG322" s="33">
        <f t="shared" si="121"/>
        <v>8</v>
      </c>
      <c r="AH322" s="33">
        <f t="shared" si="122"/>
        <v>16</v>
      </c>
      <c r="AI322" s="33">
        <f t="shared" si="123"/>
        <v>4</v>
      </c>
      <c r="AJ322" s="33">
        <f t="shared" si="124"/>
        <v>0</v>
      </c>
      <c r="AK322" s="34">
        <f t="shared" si="125"/>
        <v>5.6338028169014086E-2</v>
      </c>
      <c r="AL322" s="35">
        <f t="shared" si="126"/>
        <v>0.11267605633802817</v>
      </c>
      <c r="AM322" s="34">
        <f t="shared" ref="AM322:AM385" si="135">(AA322+AE322)/(COUNTA($C$1:$S$1)*8+COUNTA($T$1:$T$1)*6)</f>
        <v>2.8169014084507043E-2</v>
      </c>
      <c r="AN322" s="36">
        <f t="shared" si="127"/>
        <v>0</v>
      </c>
      <c r="AO322" s="6">
        <f t="shared" ref="AO322:AO385" si="136">COUNTIF(C322:S322,100)*8</f>
        <v>0</v>
      </c>
      <c r="AP322">
        <f t="shared" ref="AP322:AP385" si="137">COUNTIF(C322:S322,101)*8</f>
        <v>8</v>
      </c>
      <c r="AQ322" s="6">
        <f t="shared" ref="AQ322:AQ385" si="138">COUNTIF(T322:T322,101)*6</f>
        <v>0</v>
      </c>
      <c r="AR322" s="6">
        <f t="shared" ref="AR322:AR385" si="139">COUNTIF(T322:T322,100)*6</f>
        <v>0</v>
      </c>
      <c r="AS322" s="6"/>
      <c r="AX322" s="95">
        <f t="shared" ref="AX322:AX385" si="140">A322</f>
        <v>42445</v>
      </c>
      <c r="AY322" s="96" t="str">
        <f t="shared" ref="AY322:AY385" si="141">B322</f>
        <v>qua</v>
      </c>
      <c r="AZ322" s="97">
        <f>IF(OR(AY322="SÁB",AY322="DOM"),0,IFERROR(8-VLOOKUP(C322,'Dados de consulta'!$A$2:$C$38,3,0),8))</f>
        <v>8</v>
      </c>
      <c r="BA322" s="97">
        <f>IF(OR(AY322="SÁB",AY322="DOM"),0,IFERROR(8-VLOOKUP(D322,'Dados de consulta'!$A$2:$C$38,3,0),8))</f>
        <v>8</v>
      </c>
      <c r="BB322" s="97">
        <f>IF(OR(AY322="SÁB",AY322="DOM"),0,IFERROR(8-VLOOKUP(E322,'Dados de consulta'!$A$2:$C$38,3,0),8))</f>
        <v>0</v>
      </c>
      <c r="BC322" s="97">
        <f>IF(OR(AY322="SÁB",AY322="DOM"),0,IFERROR(8-VLOOKUP(F322,'Dados de consulta'!$A$2:$C$38,3,0),8))</f>
        <v>0</v>
      </c>
      <c r="BD322" s="97">
        <f>IF(OR(AY322="SÁB",AY322="DOM"),0,IFERROR(8-VLOOKUP(G322,'Dados de consulta'!$A$2:$C$38,3,0),8))</f>
        <v>8</v>
      </c>
      <c r="BE322" s="97">
        <f>IF(OR(AY322="SÁB",AY322="DOM"),0,IFERROR(8-VLOOKUP(H322,'Dados de consulta'!$A$2:$C$38,3,0),8))</f>
        <v>8</v>
      </c>
      <c r="BF322" s="97">
        <f>IF(OR(AY322="SÁB",AY322="DOM"),0,IFERROR(8-VLOOKUP(I322,'Dados de consulta'!$A$2:$C$38,3,0),8))</f>
        <v>8</v>
      </c>
      <c r="BG322" s="97">
        <f>IF(OR(AY322="SÁB",AY322="DOM"),0,IFERROR(8-VLOOKUP(J322,'Dados de consulta'!$A$2:$C$38,3,0),8))</f>
        <v>8</v>
      </c>
      <c r="BH322" s="97">
        <f>IF(OR(AY322="SÁB",AY322="DOM"),0,IFERROR(8-VLOOKUP(K322,'Dados de consulta'!$A$2:$C$38,3,0),8))</f>
        <v>8</v>
      </c>
      <c r="BI322" s="97">
        <f>IF(OR(AY322="SÁB",AY322="DOM"),0,IFERROR(8-VLOOKUP(L322,'Dados de consulta'!$A$2:$C$38,3,0),8))</f>
        <v>8</v>
      </c>
      <c r="BJ322" s="97">
        <f>IF(OR(AY322="SÁB",AY322="DOM"),0,IFERROR(8-VLOOKUP(M322,'Dados de consulta'!$A$2:$C$38,3,0),8))</f>
        <v>0</v>
      </c>
      <c r="BK322" s="97">
        <f>IF(OR(AY322="SÁB",AY322="DOM"),0,IFERROR(8-VLOOKUP(N322,'Dados de consulta'!$A$2:$C$38,3,0),8))</f>
        <v>8</v>
      </c>
      <c r="BL322" s="97">
        <f>IF(OR(AY322="SÁB",AY322="DOM"),0,IFERROR(8-VLOOKUP(O322,'Dados de consulta'!$A$2:$C$38,3,0),8))</f>
        <v>8</v>
      </c>
      <c r="BM322" s="97">
        <f>IF(OR(AY322="SÁB",AY322="DOM"),0,IFERROR(8-VLOOKUP(P322,'Dados de consulta'!$A$2:$C$38,3,0),8))</f>
        <v>8</v>
      </c>
      <c r="BN322" s="97">
        <f>IF(OR(AY322="SÁB",AY322="DOM"),0,IFERROR(8-VLOOKUP(Q322,'Dados de consulta'!$A$2:$C$38,3,0),8))</f>
        <v>4</v>
      </c>
      <c r="BO322" s="97">
        <f>IF(OR(AY322="SÁB",AY322="DOM"),0,IFERROR(8-VLOOKUP(R322,'Dados de consulta'!$A$2:$C$38,3,0),8))</f>
        <v>0</v>
      </c>
      <c r="BP322" s="97">
        <f>IF(OR(AY322="SÁB",AY322="DOM"),0,IFERROR(8-VLOOKUP(S322,'Dados de consulta'!$A$2:$C$38,3,0),8))</f>
        <v>8</v>
      </c>
      <c r="BQ322" s="113">
        <f>IFERROR(6-VLOOKUP(T322,'Dados de consulta'!$A$2:$C$38,3,0)+2,6)</f>
        <v>6</v>
      </c>
      <c r="BR322" s="114">
        <f t="shared" si="128"/>
        <v>106</v>
      </c>
      <c r="BS322">
        <f t="shared" si="130"/>
        <v>134</v>
      </c>
      <c r="BU322">
        <f>IFERROR(8-VLOOKUP(U322,'Dados de consulta'!$A:$D,3,0),8)</f>
        <v>8</v>
      </c>
      <c r="BV322">
        <f>IFERROR(8-VLOOKUP(V322,'Dados de consulta'!$A:$D,3,0),8)</f>
        <v>8</v>
      </c>
      <c r="BW322">
        <f t="shared" si="129"/>
        <v>16</v>
      </c>
    </row>
    <row r="323" spans="1:75" ht="15" hidden="1" x14ac:dyDescent="0.2">
      <c r="A323" s="98">
        <v>42446</v>
      </c>
      <c r="B323" s="129" t="str">
        <f t="shared" si="132"/>
        <v>qui</v>
      </c>
      <c r="C323" s="132"/>
      <c r="D323" s="132"/>
      <c r="E323" s="132">
        <v>8</v>
      </c>
      <c r="F323" s="132">
        <v>18</v>
      </c>
      <c r="G323" s="132"/>
      <c r="H323" s="132"/>
      <c r="I323" s="132"/>
      <c r="J323" s="132"/>
      <c r="K323" s="132"/>
      <c r="L323" s="132"/>
      <c r="M323" s="132">
        <v>101</v>
      </c>
      <c r="N323" s="132"/>
      <c r="O323" s="132"/>
      <c r="P323" s="132">
        <v>8</v>
      </c>
      <c r="Q323" s="132" t="s">
        <v>196</v>
      </c>
      <c r="R323" s="132">
        <v>23</v>
      </c>
      <c r="S323" s="132"/>
      <c r="T323" s="132"/>
      <c r="U323" s="151"/>
      <c r="V323" s="151"/>
      <c r="W323" s="307" t="s">
        <v>193</v>
      </c>
      <c r="X323" s="308"/>
      <c r="Y323" s="38">
        <f t="shared" si="133"/>
        <v>16</v>
      </c>
      <c r="Z323" s="38">
        <f t="shared" si="134"/>
        <v>16</v>
      </c>
      <c r="AA323" s="38">
        <f t="shared" si="131"/>
        <v>4</v>
      </c>
      <c r="AB323" s="38">
        <f t="shared" ref="AB323:AB386" si="142">(COUNTIF(C323:S323,6)+COUNTIF(C323:S323,"6P")/2+COUNTIF(C323:S323,7)+COUNTIF(C323:S323,11)+COUNTIF(C323:S323,12)+COUNTIF(C323:S323,19))*8</f>
        <v>0</v>
      </c>
      <c r="AC323" s="38">
        <f t="shared" ref="AC323:AC386" si="143">(COUNTIF(T323,4)+COUNTIF(T323,8)+COUNTIF(T323,"8P")+COUNTIF(T323,9)+COUNTIF(T323,"9P")+COUNTIF(T323,14))*6</f>
        <v>0</v>
      </c>
      <c r="AD323" s="38">
        <f t="shared" ref="AD323:AD386" si="144">(COUNTIF(T323,1)+COUNTIF(T323,2)+COUNTIF(T323,3)+COUNTIF(T323,5)+COUNTIF(T323,10)+COUNTIF(T323,13)+COUNTIF(T323,"13P")+COUNTIF(T323,15)+COUNTIF(T323,16)+COUNTIF(T323,18)+COUNTIF(T323,20)+COUNTIF(T323,21)+COUNTIF(T323,22)+COUNTIF(T323,23)+COUNTIF(T323,24)+COUNTIF(T323,25)+COUNTIF(T323,26)+COUNTIF(T323,99))*6</f>
        <v>0</v>
      </c>
      <c r="AE323" s="38">
        <f t="shared" ref="AE323:AE386" si="145">(COUNTIF(T323,28)+COUNTIF(T323,"28P")+COUNTIF(T323,29))*6</f>
        <v>0</v>
      </c>
      <c r="AF323" s="38">
        <f t="shared" ref="AF323:AF386" si="146">(COUNTIF(T323,6)+COUNTIF(T323,"6P")+COUNTIF(T323,7)+COUNTIF(T323,11)+COUNTIF(T323,12))*6</f>
        <v>0</v>
      </c>
      <c r="AG323" s="33">
        <f t="shared" ref="AG323:AG386" si="147">IF(OR(B323="SÁB",B323="DOM"),0,Y323+AC323)</f>
        <v>16</v>
      </c>
      <c r="AH323" s="33">
        <f t="shared" ref="AH323:AH386" si="148">IF(OR(B323="SÁB",B323="DOM"),0,Z323+AD323)</f>
        <v>16</v>
      </c>
      <c r="AI323" s="33">
        <f t="shared" ref="AI323:AI386" si="149">IF(OR(B323="SÁB",B323="DOM"),0,AA323+AE323)</f>
        <v>4</v>
      </c>
      <c r="AJ323" s="33">
        <f t="shared" ref="AJ323:AJ386" si="150">IF(OR(B323="SÁB",B323="DOM"),0,AB323+AF323)</f>
        <v>0</v>
      </c>
      <c r="AK323" s="34">
        <f t="shared" ref="AK323:AK386" si="151">AG323/(COUNTA($C$1:$S$1)*8+6)</f>
        <v>0.11267605633802817</v>
      </c>
      <c r="AL323" s="35">
        <f t="shared" ref="AL323:AL386" si="152">AH323/(COUNTA($C$1:$S$1)*8+6)</f>
        <v>0.11267605633802817</v>
      </c>
      <c r="AM323" s="34">
        <f t="shared" si="135"/>
        <v>2.8169014084507043E-2</v>
      </c>
      <c r="AN323" s="36">
        <f t="shared" ref="AN323:AN386" si="153">AJ323/(COUNTA($C$1:$S$1)*8+6)</f>
        <v>0</v>
      </c>
      <c r="AO323" s="6">
        <f t="shared" si="136"/>
        <v>0</v>
      </c>
      <c r="AP323">
        <f t="shared" si="137"/>
        <v>8</v>
      </c>
      <c r="AQ323" s="6">
        <f t="shared" si="138"/>
        <v>0</v>
      </c>
      <c r="AR323" s="6">
        <f t="shared" si="139"/>
        <v>0</v>
      </c>
      <c r="AS323" s="6"/>
      <c r="AX323" s="95">
        <f t="shared" si="140"/>
        <v>42446</v>
      </c>
      <c r="AY323" s="96" t="str">
        <f t="shared" si="141"/>
        <v>qui</v>
      </c>
      <c r="AZ323" s="97">
        <f>IF(OR(AY323="SÁB",AY323="DOM"),0,IFERROR(8-VLOOKUP(C323,'Dados de consulta'!$A$2:$C$38,3,0),8))</f>
        <v>8</v>
      </c>
      <c r="BA323" s="97">
        <f>IF(OR(AY323="SÁB",AY323="DOM"),0,IFERROR(8-VLOOKUP(D323,'Dados de consulta'!$A$2:$C$38,3,0),8))</f>
        <v>8</v>
      </c>
      <c r="BB323" s="97">
        <f>IF(OR(AY323="SÁB",AY323="DOM"),0,IFERROR(8-VLOOKUP(E323,'Dados de consulta'!$A$2:$C$38,3,0),8))</f>
        <v>0</v>
      </c>
      <c r="BC323" s="97">
        <f>IF(OR(AY323="SÁB",AY323="DOM"),0,IFERROR(8-VLOOKUP(F323,'Dados de consulta'!$A$2:$C$38,3,0),8))</f>
        <v>0</v>
      </c>
      <c r="BD323" s="97">
        <f>IF(OR(AY323="SÁB",AY323="DOM"),0,IFERROR(8-VLOOKUP(G323,'Dados de consulta'!$A$2:$C$38,3,0),8))</f>
        <v>8</v>
      </c>
      <c r="BE323" s="97">
        <f>IF(OR(AY323="SÁB",AY323="DOM"),0,IFERROR(8-VLOOKUP(H323,'Dados de consulta'!$A$2:$C$38,3,0),8))</f>
        <v>8</v>
      </c>
      <c r="BF323" s="97">
        <f>IF(OR(AY323="SÁB",AY323="DOM"),0,IFERROR(8-VLOOKUP(I323,'Dados de consulta'!$A$2:$C$38,3,0),8))</f>
        <v>8</v>
      </c>
      <c r="BG323" s="97">
        <f>IF(OR(AY323="SÁB",AY323="DOM"),0,IFERROR(8-VLOOKUP(J323,'Dados de consulta'!$A$2:$C$38,3,0),8))</f>
        <v>8</v>
      </c>
      <c r="BH323" s="97">
        <f>IF(OR(AY323="SÁB",AY323="DOM"),0,IFERROR(8-VLOOKUP(K323,'Dados de consulta'!$A$2:$C$38,3,0),8))</f>
        <v>8</v>
      </c>
      <c r="BI323" s="97">
        <f>IF(OR(AY323="SÁB",AY323="DOM"),0,IFERROR(8-VLOOKUP(L323,'Dados de consulta'!$A$2:$C$38,3,0),8))</f>
        <v>8</v>
      </c>
      <c r="BJ323" s="97">
        <f>IF(OR(AY323="SÁB",AY323="DOM"),0,IFERROR(8-VLOOKUP(M323,'Dados de consulta'!$A$2:$C$38,3,0),8))</f>
        <v>0</v>
      </c>
      <c r="BK323" s="97">
        <f>IF(OR(AY323="SÁB",AY323="DOM"),0,IFERROR(8-VLOOKUP(N323,'Dados de consulta'!$A$2:$C$38,3,0),8))</f>
        <v>8</v>
      </c>
      <c r="BL323" s="97">
        <f>IF(OR(AY323="SÁB",AY323="DOM"),0,IFERROR(8-VLOOKUP(O323,'Dados de consulta'!$A$2:$C$38,3,0),8))</f>
        <v>8</v>
      </c>
      <c r="BM323" s="97">
        <f>IF(OR(AY323="SÁB",AY323="DOM"),0,IFERROR(8-VLOOKUP(P323,'Dados de consulta'!$A$2:$C$38,3,0),8))</f>
        <v>0</v>
      </c>
      <c r="BN323" s="97">
        <f>IF(OR(AY323="SÁB",AY323="DOM"),0,IFERROR(8-VLOOKUP(Q323,'Dados de consulta'!$A$2:$C$38,3,0),8))</f>
        <v>4</v>
      </c>
      <c r="BO323" s="97">
        <f>IF(OR(AY323="SÁB",AY323="DOM"),0,IFERROR(8-VLOOKUP(R323,'Dados de consulta'!$A$2:$C$38,3,0),8))</f>
        <v>0</v>
      </c>
      <c r="BP323" s="97">
        <f>IF(OR(AY323="SÁB",AY323="DOM"),0,IFERROR(8-VLOOKUP(S323,'Dados de consulta'!$A$2:$C$38,3,0),8))</f>
        <v>8</v>
      </c>
      <c r="BQ323" s="113">
        <f>IFERROR(6-VLOOKUP(T323,'Dados de consulta'!$A$2:$C$38,3,0)+2,6)</f>
        <v>6</v>
      </c>
      <c r="BR323" s="114">
        <f t="shared" ref="BR323:BR386" si="154">IF(OR(AY323="SÁB",AY323="DOM"),0,SUM(AZ323:BQ323))</f>
        <v>98</v>
      </c>
      <c r="BS323">
        <f t="shared" si="130"/>
        <v>134</v>
      </c>
      <c r="BU323">
        <f>IFERROR(8-VLOOKUP(U323,'Dados de consulta'!$A:$D,3,0),8)</f>
        <v>8</v>
      </c>
      <c r="BV323">
        <f>IFERROR(8-VLOOKUP(V323,'Dados de consulta'!$A:$D,3,0),8)</f>
        <v>8</v>
      </c>
      <c r="BW323">
        <f t="shared" ref="BW323:BW386" si="155">BU323+BV323</f>
        <v>16</v>
      </c>
    </row>
    <row r="324" spans="1:75" ht="15" hidden="1" x14ac:dyDescent="0.2">
      <c r="A324" s="98">
        <v>42447</v>
      </c>
      <c r="B324" s="129" t="str">
        <f t="shared" si="132"/>
        <v>sex</v>
      </c>
      <c r="C324" s="132"/>
      <c r="D324" s="132"/>
      <c r="E324" s="132">
        <v>8</v>
      </c>
      <c r="F324" s="132">
        <v>18</v>
      </c>
      <c r="G324" s="132"/>
      <c r="H324" s="132"/>
      <c r="I324" s="132"/>
      <c r="J324" s="132"/>
      <c r="K324" s="132"/>
      <c r="L324" s="132"/>
      <c r="M324" s="132">
        <v>101</v>
      </c>
      <c r="N324" s="132"/>
      <c r="O324" s="132"/>
      <c r="P324" s="132">
        <v>8</v>
      </c>
      <c r="Q324" s="132" t="s">
        <v>196</v>
      </c>
      <c r="R324" s="132">
        <v>23</v>
      </c>
      <c r="S324" s="132"/>
      <c r="T324" s="132"/>
      <c r="U324" s="151"/>
      <c r="V324" s="151"/>
      <c r="W324" s="307" t="s">
        <v>193</v>
      </c>
      <c r="X324" s="308"/>
      <c r="Y324" s="38">
        <f t="shared" si="133"/>
        <v>16</v>
      </c>
      <c r="Z324" s="38">
        <f t="shared" si="134"/>
        <v>16</v>
      </c>
      <c r="AA324" s="38">
        <f t="shared" si="131"/>
        <v>4</v>
      </c>
      <c r="AB324" s="38">
        <f t="shared" si="142"/>
        <v>0</v>
      </c>
      <c r="AC324" s="38">
        <f t="shared" si="143"/>
        <v>0</v>
      </c>
      <c r="AD324" s="38">
        <f t="shared" si="144"/>
        <v>0</v>
      </c>
      <c r="AE324" s="38">
        <f t="shared" si="145"/>
        <v>0</v>
      </c>
      <c r="AF324" s="38">
        <f t="shared" si="146"/>
        <v>0</v>
      </c>
      <c r="AG324" s="33">
        <f t="shared" si="147"/>
        <v>16</v>
      </c>
      <c r="AH324" s="33">
        <f t="shared" si="148"/>
        <v>16</v>
      </c>
      <c r="AI324" s="33">
        <f t="shared" si="149"/>
        <v>4</v>
      </c>
      <c r="AJ324" s="33">
        <f t="shared" si="150"/>
        <v>0</v>
      </c>
      <c r="AK324" s="34">
        <f t="shared" si="151"/>
        <v>0.11267605633802817</v>
      </c>
      <c r="AL324" s="35">
        <f t="shared" si="152"/>
        <v>0.11267605633802817</v>
      </c>
      <c r="AM324" s="34">
        <f t="shared" si="135"/>
        <v>2.8169014084507043E-2</v>
      </c>
      <c r="AN324" s="36">
        <f t="shared" si="153"/>
        <v>0</v>
      </c>
      <c r="AO324" s="6">
        <f t="shared" si="136"/>
        <v>0</v>
      </c>
      <c r="AP324">
        <f t="shared" si="137"/>
        <v>8</v>
      </c>
      <c r="AQ324" s="6">
        <f t="shared" si="138"/>
        <v>0</v>
      </c>
      <c r="AR324" s="6">
        <f t="shared" si="139"/>
        <v>0</v>
      </c>
      <c r="AS324" s="6"/>
      <c r="AX324" s="95">
        <f t="shared" si="140"/>
        <v>42447</v>
      </c>
      <c r="AY324" s="96" t="str">
        <f t="shared" si="141"/>
        <v>sex</v>
      </c>
      <c r="AZ324" s="97">
        <f>IF(OR(AY324="SÁB",AY324="DOM"),0,IFERROR(8-VLOOKUP(C324,'Dados de consulta'!$A$2:$C$38,3,0),8))</f>
        <v>8</v>
      </c>
      <c r="BA324" s="97">
        <f>IF(OR(AY324="SÁB",AY324="DOM"),0,IFERROR(8-VLOOKUP(D324,'Dados de consulta'!$A$2:$C$38,3,0),8))</f>
        <v>8</v>
      </c>
      <c r="BB324" s="97">
        <f>IF(OR(AY324="SÁB",AY324="DOM"),0,IFERROR(8-VLOOKUP(E324,'Dados de consulta'!$A$2:$C$38,3,0),8))</f>
        <v>0</v>
      </c>
      <c r="BC324" s="97">
        <f>IF(OR(AY324="SÁB",AY324="DOM"),0,IFERROR(8-VLOOKUP(F324,'Dados de consulta'!$A$2:$C$38,3,0),8))</f>
        <v>0</v>
      </c>
      <c r="BD324" s="97">
        <f>IF(OR(AY324="SÁB",AY324="DOM"),0,IFERROR(8-VLOOKUP(G324,'Dados de consulta'!$A$2:$C$38,3,0),8))</f>
        <v>8</v>
      </c>
      <c r="BE324" s="97">
        <f>IF(OR(AY324="SÁB",AY324="DOM"),0,IFERROR(8-VLOOKUP(H324,'Dados de consulta'!$A$2:$C$38,3,0),8))</f>
        <v>8</v>
      </c>
      <c r="BF324" s="97">
        <f>IF(OR(AY324="SÁB",AY324="DOM"),0,IFERROR(8-VLOOKUP(I324,'Dados de consulta'!$A$2:$C$38,3,0),8))</f>
        <v>8</v>
      </c>
      <c r="BG324" s="97">
        <f>IF(OR(AY324="SÁB",AY324="DOM"),0,IFERROR(8-VLOOKUP(J324,'Dados de consulta'!$A$2:$C$38,3,0),8))</f>
        <v>8</v>
      </c>
      <c r="BH324" s="97">
        <f>IF(OR(AY324="SÁB",AY324="DOM"),0,IFERROR(8-VLOOKUP(K324,'Dados de consulta'!$A$2:$C$38,3,0),8))</f>
        <v>8</v>
      </c>
      <c r="BI324" s="97">
        <f>IF(OR(AY324="SÁB",AY324="DOM"),0,IFERROR(8-VLOOKUP(L324,'Dados de consulta'!$A$2:$C$38,3,0),8))</f>
        <v>8</v>
      </c>
      <c r="BJ324" s="97">
        <f>IF(OR(AY324="SÁB",AY324="DOM"),0,IFERROR(8-VLOOKUP(M324,'Dados de consulta'!$A$2:$C$38,3,0),8))</f>
        <v>0</v>
      </c>
      <c r="BK324" s="97">
        <f>IF(OR(AY324="SÁB",AY324="DOM"),0,IFERROR(8-VLOOKUP(N324,'Dados de consulta'!$A$2:$C$38,3,0),8))</f>
        <v>8</v>
      </c>
      <c r="BL324" s="97">
        <f>IF(OR(AY324="SÁB",AY324="DOM"),0,IFERROR(8-VLOOKUP(O324,'Dados de consulta'!$A$2:$C$38,3,0),8))</f>
        <v>8</v>
      </c>
      <c r="BM324" s="97">
        <f>IF(OR(AY324="SÁB",AY324="DOM"),0,IFERROR(8-VLOOKUP(P324,'Dados de consulta'!$A$2:$C$38,3,0),8))</f>
        <v>0</v>
      </c>
      <c r="BN324" s="97">
        <f>IF(OR(AY324="SÁB",AY324="DOM"),0,IFERROR(8-VLOOKUP(Q324,'Dados de consulta'!$A$2:$C$38,3,0),8))</f>
        <v>4</v>
      </c>
      <c r="BO324" s="97">
        <f>IF(OR(AY324="SÁB",AY324="DOM"),0,IFERROR(8-VLOOKUP(R324,'Dados de consulta'!$A$2:$C$38,3,0),8))</f>
        <v>0</v>
      </c>
      <c r="BP324" s="97">
        <f>IF(OR(AY324="SÁB",AY324="DOM"),0,IFERROR(8-VLOOKUP(S324,'Dados de consulta'!$A$2:$C$38,3,0),8))</f>
        <v>8</v>
      </c>
      <c r="BQ324" s="113">
        <f>IFERROR(6-VLOOKUP(T324,'Dados de consulta'!$A$2:$C$38,3,0)+2,6)</f>
        <v>6</v>
      </c>
      <c r="BR324" s="114">
        <f t="shared" si="154"/>
        <v>98</v>
      </c>
      <c r="BS324">
        <f t="shared" si="130"/>
        <v>134</v>
      </c>
      <c r="BU324">
        <f>IFERROR(8-VLOOKUP(U324,'Dados de consulta'!$A:$D,3,0),8)</f>
        <v>8</v>
      </c>
      <c r="BV324">
        <f>IFERROR(8-VLOOKUP(V324,'Dados de consulta'!$A:$D,3,0),8)</f>
        <v>8</v>
      </c>
      <c r="BW324">
        <f t="shared" si="155"/>
        <v>16</v>
      </c>
    </row>
    <row r="325" spans="1:75" ht="15" hidden="1" x14ac:dyDescent="0.2">
      <c r="A325" s="98">
        <v>42448</v>
      </c>
      <c r="B325" s="129" t="str">
        <f t="shared" si="132"/>
        <v>sáb</v>
      </c>
      <c r="C325" s="132"/>
      <c r="D325" s="132"/>
      <c r="E325" s="132"/>
      <c r="F325" s="132">
        <v>18</v>
      </c>
      <c r="G325" s="132"/>
      <c r="H325" s="132"/>
      <c r="I325" s="132"/>
      <c r="J325" s="132"/>
      <c r="K325" s="132"/>
      <c r="L325" s="132"/>
      <c r="M325" s="132">
        <v>101</v>
      </c>
      <c r="N325" s="132"/>
      <c r="O325" s="132"/>
      <c r="P325" s="132"/>
      <c r="Q325" s="132"/>
      <c r="R325" s="132"/>
      <c r="S325" s="132"/>
      <c r="T325" s="132"/>
      <c r="U325" s="151"/>
      <c r="V325" s="151"/>
      <c r="W325" s="307" t="s">
        <v>193</v>
      </c>
      <c r="X325" s="308"/>
      <c r="Y325" s="38">
        <f t="shared" si="133"/>
        <v>0</v>
      </c>
      <c r="Z325" s="38">
        <f t="shared" si="134"/>
        <v>8</v>
      </c>
      <c r="AA325" s="38">
        <f t="shared" si="131"/>
        <v>0</v>
      </c>
      <c r="AB325" s="38">
        <f t="shared" si="142"/>
        <v>0</v>
      </c>
      <c r="AC325" s="38">
        <f t="shared" si="143"/>
        <v>0</v>
      </c>
      <c r="AD325" s="38">
        <f t="shared" si="144"/>
        <v>0</v>
      </c>
      <c r="AE325" s="38">
        <f t="shared" si="145"/>
        <v>0</v>
      </c>
      <c r="AF325" s="38">
        <f t="shared" si="146"/>
        <v>0</v>
      </c>
      <c r="AG325" s="33">
        <f t="shared" si="147"/>
        <v>0</v>
      </c>
      <c r="AH325" s="33">
        <f t="shared" si="148"/>
        <v>0</v>
      </c>
      <c r="AI325" s="33">
        <f t="shared" si="149"/>
        <v>0</v>
      </c>
      <c r="AJ325" s="33">
        <f t="shared" si="150"/>
        <v>0</v>
      </c>
      <c r="AK325" s="34">
        <f t="shared" si="151"/>
        <v>0</v>
      </c>
      <c r="AL325" s="35">
        <f t="shared" si="152"/>
        <v>0</v>
      </c>
      <c r="AM325" s="34">
        <f t="shared" si="135"/>
        <v>0</v>
      </c>
      <c r="AN325" s="36">
        <f t="shared" si="153"/>
        <v>0</v>
      </c>
      <c r="AO325" s="6">
        <f t="shared" si="136"/>
        <v>0</v>
      </c>
      <c r="AP325">
        <f t="shared" si="137"/>
        <v>8</v>
      </c>
      <c r="AQ325" s="6">
        <f t="shared" si="138"/>
        <v>0</v>
      </c>
      <c r="AR325" s="6">
        <f t="shared" si="139"/>
        <v>0</v>
      </c>
      <c r="AS325" s="6"/>
      <c r="AX325" s="95">
        <f t="shared" si="140"/>
        <v>42448</v>
      </c>
      <c r="AY325" s="96" t="str">
        <f t="shared" si="141"/>
        <v>sáb</v>
      </c>
      <c r="AZ325" s="97">
        <f>IF(OR(AY325="SÁB",AY325="DOM"),0,IFERROR(8-VLOOKUP(C325,'Dados de consulta'!$A$2:$C$38,3,0),8))</f>
        <v>0</v>
      </c>
      <c r="BA325" s="97">
        <f>IF(OR(AY325="SÁB",AY325="DOM"),0,IFERROR(8-VLOOKUP(D325,'Dados de consulta'!$A$2:$C$38,3,0),8))</f>
        <v>0</v>
      </c>
      <c r="BB325" s="97">
        <f>IF(OR(AY325="SÁB",AY325="DOM"),0,IFERROR(8-VLOOKUP(E325,'Dados de consulta'!$A$2:$C$38,3,0),8))</f>
        <v>0</v>
      </c>
      <c r="BC325" s="97">
        <f>IF(OR(AY325="SÁB",AY325="DOM"),0,IFERROR(8-VLOOKUP(F325,'Dados de consulta'!$A$2:$C$38,3,0),8))</f>
        <v>0</v>
      </c>
      <c r="BD325" s="97">
        <f>IF(OR(AY325="SÁB",AY325="DOM"),0,IFERROR(8-VLOOKUP(G325,'Dados de consulta'!$A$2:$C$38,3,0),8))</f>
        <v>0</v>
      </c>
      <c r="BE325" s="97">
        <f>IF(OR(AY325="SÁB",AY325="DOM"),0,IFERROR(8-VLOOKUP(H325,'Dados de consulta'!$A$2:$C$38,3,0),8))</f>
        <v>0</v>
      </c>
      <c r="BF325" s="97">
        <f>IF(OR(AY325="SÁB",AY325="DOM"),0,IFERROR(8-VLOOKUP(I325,'Dados de consulta'!$A$2:$C$38,3,0),8))</f>
        <v>0</v>
      </c>
      <c r="BG325" s="97">
        <f>IF(OR(AY325="SÁB",AY325="DOM"),0,IFERROR(8-VLOOKUP(J325,'Dados de consulta'!$A$2:$C$38,3,0),8))</f>
        <v>0</v>
      </c>
      <c r="BH325" s="97">
        <f>IF(OR(AY325="SÁB",AY325="DOM"),0,IFERROR(8-VLOOKUP(K325,'Dados de consulta'!$A$2:$C$38,3,0),8))</f>
        <v>0</v>
      </c>
      <c r="BI325" s="97">
        <f>IF(OR(AY325="SÁB",AY325="DOM"),0,IFERROR(8-VLOOKUP(L325,'Dados de consulta'!$A$2:$C$38,3,0),8))</f>
        <v>0</v>
      </c>
      <c r="BJ325" s="97">
        <f>IF(OR(AY325="SÁB",AY325="DOM"),0,IFERROR(8-VLOOKUP(M325,'Dados de consulta'!$A$2:$C$38,3,0),8))</f>
        <v>0</v>
      </c>
      <c r="BK325" s="97">
        <f>IF(OR(AY325="SÁB",AY325="DOM"),0,IFERROR(8-VLOOKUP(N325,'Dados de consulta'!$A$2:$C$38,3,0),8))</f>
        <v>0</v>
      </c>
      <c r="BL325" s="97">
        <f>IF(OR(AY325="SÁB",AY325="DOM"),0,IFERROR(8-VLOOKUP(O325,'Dados de consulta'!$A$2:$C$38,3,0),8))</f>
        <v>0</v>
      </c>
      <c r="BM325" s="97">
        <f>IF(OR(AY325="SÁB",AY325="DOM"),0,IFERROR(8-VLOOKUP(P325,'Dados de consulta'!$A$2:$C$38,3,0),8))</f>
        <v>0</v>
      </c>
      <c r="BN325" s="97">
        <f>IF(OR(AY325="SÁB",AY325="DOM"),0,IFERROR(8-VLOOKUP(Q325,'Dados de consulta'!$A$2:$C$38,3,0),8))</f>
        <v>0</v>
      </c>
      <c r="BO325" s="97">
        <f>IF(OR(AY325="SÁB",AY325="DOM"),0,IFERROR(8-VLOOKUP(R325,'Dados de consulta'!$A$2:$C$38,3,0),8))</f>
        <v>0</v>
      </c>
      <c r="BP325" s="97">
        <f>IF(OR(AY325="SÁB",AY325="DOM"),0,IFERROR(8-VLOOKUP(S325,'Dados de consulta'!$A$2:$C$38,3,0),8))</f>
        <v>0</v>
      </c>
      <c r="BQ325" s="113">
        <f>IFERROR(6-VLOOKUP(T325,'Dados de consulta'!$A$2:$C$38,3,0)+2,6)</f>
        <v>6</v>
      </c>
      <c r="BR325" s="114">
        <f t="shared" si="154"/>
        <v>0</v>
      </c>
      <c r="BS325">
        <f t="shared" si="130"/>
        <v>0</v>
      </c>
      <c r="BU325">
        <f>IFERROR(8-VLOOKUP(U325,'Dados de consulta'!$A:$D,3,0),8)</f>
        <v>8</v>
      </c>
      <c r="BV325">
        <f>IFERROR(8-VLOOKUP(V325,'Dados de consulta'!$A:$D,3,0),8)</f>
        <v>8</v>
      </c>
      <c r="BW325">
        <f t="shared" si="155"/>
        <v>16</v>
      </c>
    </row>
    <row r="326" spans="1:75" ht="15" hidden="1" x14ac:dyDescent="0.2">
      <c r="A326" s="98">
        <v>42449</v>
      </c>
      <c r="B326" s="129" t="str">
        <f t="shared" si="132"/>
        <v>dom</v>
      </c>
      <c r="C326" s="132"/>
      <c r="D326" s="132"/>
      <c r="E326" s="132"/>
      <c r="F326" s="132">
        <v>18</v>
      </c>
      <c r="G326" s="132"/>
      <c r="H326" s="132"/>
      <c r="I326" s="132"/>
      <c r="J326" s="132"/>
      <c r="K326" s="132"/>
      <c r="L326" s="132"/>
      <c r="M326" s="132">
        <v>101</v>
      </c>
      <c r="N326" s="132"/>
      <c r="O326" s="132"/>
      <c r="P326" s="132"/>
      <c r="Q326" s="132"/>
      <c r="R326" s="132"/>
      <c r="S326" s="132"/>
      <c r="T326" s="132"/>
      <c r="U326" s="151"/>
      <c r="V326" s="151"/>
      <c r="W326" s="307" t="s">
        <v>193</v>
      </c>
      <c r="X326" s="308"/>
      <c r="Y326" s="38">
        <f t="shared" si="133"/>
        <v>0</v>
      </c>
      <c r="Z326" s="38">
        <f t="shared" si="134"/>
        <v>8</v>
      </c>
      <c r="AA326" s="38">
        <f t="shared" si="131"/>
        <v>0</v>
      </c>
      <c r="AB326" s="38">
        <f t="shared" si="142"/>
        <v>0</v>
      </c>
      <c r="AC326" s="38">
        <f t="shared" si="143"/>
        <v>0</v>
      </c>
      <c r="AD326" s="38">
        <f t="shared" si="144"/>
        <v>0</v>
      </c>
      <c r="AE326" s="38">
        <f t="shared" si="145"/>
        <v>0</v>
      </c>
      <c r="AF326" s="38">
        <f t="shared" si="146"/>
        <v>0</v>
      </c>
      <c r="AG326" s="33">
        <f t="shared" si="147"/>
        <v>0</v>
      </c>
      <c r="AH326" s="33">
        <f t="shared" si="148"/>
        <v>0</v>
      </c>
      <c r="AI326" s="33">
        <f t="shared" si="149"/>
        <v>0</v>
      </c>
      <c r="AJ326" s="33">
        <f t="shared" si="150"/>
        <v>0</v>
      </c>
      <c r="AK326" s="34">
        <f t="shared" si="151"/>
        <v>0</v>
      </c>
      <c r="AL326" s="35">
        <f t="shared" si="152"/>
        <v>0</v>
      </c>
      <c r="AM326" s="34">
        <f t="shared" si="135"/>
        <v>0</v>
      </c>
      <c r="AN326" s="36">
        <f t="shared" si="153"/>
        <v>0</v>
      </c>
      <c r="AO326" s="6">
        <f t="shared" si="136"/>
        <v>0</v>
      </c>
      <c r="AP326">
        <f t="shared" si="137"/>
        <v>8</v>
      </c>
      <c r="AQ326" s="6">
        <f t="shared" si="138"/>
        <v>0</v>
      </c>
      <c r="AR326" s="6">
        <f t="shared" si="139"/>
        <v>0</v>
      </c>
      <c r="AS326" s="6"/>
      <c r="AX326" s="95">
        <f t="shared" si="140"/>
        <v>42449</v>
      </c>
      <c r="AY326" s="96" t="str">
        <f t="shared" si="141"/>
        <v>dom</v>
      </c>
      <c r="AZ326" s="97">
        <f>IF(OR(AY326="SÁB",AY326="DOM"),0,IFERROR(8-VLOOKUP(C326,'Dados de consulta'!$A$2:$C$38,3,0),8))</f>
        <v>0</v>
      </c>
      <c r="BA326" s="97">
        <f>IF(OR(AY326="SÁB",AY326="DOM"),0,IFERROR(8-VLOOKUP(D326,'Dados de consulta'!$A$2:$C$38,3,0),8))</f>
        <v>0</v>
      </c>
      <c r="BB326" s="97">
        <f>IF(OR(AY326="SÁB",AY326="DOM"),0,IFERROR(8-VLOOKUP(E326,'Dados de consulta'!$A$2:$C$38,3,0),8))</f>
        <v>0</v>
      </c>
      <c r="BC326" s="97">
        <f>IF(OR(AY326="SÁB",AY326="DOM"),0,IFERROR(8-VLOOKUP(F326,'Dados de consulta'!$A$2:$C$38,3,0),8))</f>
        <v>0</v>
      </c>
      <c r="BD326" s="97">
        <f>IF(OR(AY326="SÁB",AY326="DOM"),0,IFERROR(8-VLOOKUP(G326,'Dados de consulta'!$A$2:$C$38,3,0),8))</f>
        <v>0</v>
      </c>
      <c r="BE326" s="97">
        <f>IF(OR(AY326="SÁB",AY326="DOM"),0,IFERROR(8-VLOOKUP(H326,'Dados de consulta'!$A$2:$C$38,3,0),8))</f>
        <v>0</v>
      </c>
      <c r="BF326" s="97">
        <f>IF(OR(AY326="SÁB",AY326="DOM"),0,IFERROR(8-VLOOKUP(I326,'Dados de consulta'!$A$2:$C$38,3,0),8))</f>
        <v>0</v>
      </c>
      <c r="BG326" s="97">
        <f>IF(OR(AY326="SÁB",AY326="DOM"),0,IFERROR(8-VLOOKUP(J326,'Dados de consulta'!$A$2:$C$38,3,0),8))</f>
        <v>0</v>
      </c>
      <c r="BH326" s="97">
        <f>IF(OR(AY326="SÁB",AY326="DOM"),0,IFERROR(8-VLOOKUP(K326,'Dados de consulta'!$A$2:$C$38,3,0),8))</f>
        <v>0</v>
      </c>
      <c r="BI326" s="97">
        <f>IF(OR(AY326="SÁB",AY326="DOM"),0,IFERROR(8-VLOOKUP(L326,'Dados de consulta'!$A$2:$C$38,3,0),8))</f>
        <v>0</v>
      </c>
      <c r="BJ326" s="97">
        <f>IF(OR(AY326="SÁB",AY326="DOM"),0,IFERROR(8-VLOOKUP(M326,'Dados de consulta'!$A$2:$C$38,3,0),8))</f>
        <v>0</v>
      </c>
      <c r="BK326" s="97">
        <f>IF(OR(AY326="SÁB",AY326="DOM"),0,IFERROR(8-VLOOKUP(N326,'Dados de consulta'!$A$2:$C$38,3,0),8))</f>
        <v>0</v>
      </c>
      <c r="BL326" s="97">
        <f>IF(OR(AY326="SÁB",AY326="DOM"),0,IFERROR(8-VLOOKUP(O326,'Dados de consulta'!$A$2:$C$38,3,0),8))</f>
        <v>0</v>
      </c>
      <c r="BM326" s="97">
        <f>IF(OR(AY326="SÁB",AY326="DOM"),0,IFERROR(8-VLOOKUP(P326,'Dados de consulta'!$A$2:$C$38,3,0),8))</f>
        <v>0</v>
      </c>
      <c r="BN326" s="97">
        <f>IF(OR(AY326="SÁB",AY326="DOM"),0,IFERROR(8-VLOOKUP(Q326,'Dados de consulta'!$A$2:$C$38,3,0),8))</f>
        <v>0</v>
      </c>
      <c r="BO326" s="97">
        <f>IF(OR(AY326="SÁB",AY326="DOM"),0,IFERROR(8-VLOOKUP(R326,'Dados de consulta'!$A$2:$C$38,3,0),8))</f>
        <v>0</v>
      </c>
      <c r="BP326" s="97">
        <f>IF(OR(AY326="SÁB",AY326="DOM"),0,IFERROR(8-VLOOKUP(S326,'Dados de consulta'!$A$2:$C$38,3,0),8))</f>
        <v>0</v>
      </c>
      <c r="BQ326" s="113">
        <f>IFERROR(6-VLOOKUP(T326,'Dados de consulta'!$A$2:$C$38,3,0)+2,6)</f>
        <v>6</v>
      </c>
      <c r="BR326" s="114">
        <f t="shared" si="154"/>
        <v>0</v>
      </c>
      <c r="BS326">
        <f t="shared" si="130"/>
        <v>0</v>
      </c>
      <c r="BU326">
        <f>IFERROR(8-VLOOKUP(U326,'Dados de consulta'!$A:$D,3,0),8)</f>
        <v>8</v>
      </c>
      <c r="BV326">
        <f>IFERROR(8-VLOOKUP(V326,'Dados de consulta'!$A:$D,3,0),8)</f>
        <v>8</v>
      </c>
      <c r="BW326">
        <f t="shared" si="155"/>
        <v>16</v>
      </c>
    </row>
    <row r="327" spans="1:75" ht="15" hidden="1" x14ac:dyDescent="0.2">
      <c r="A327" s="98">
        <v>42450</v>
      </c>
      <c r="B327" s="129" t="str">
        <f t="shared" si="132"/>
        <v>seg</v>
      </c>
      <c r="C327" s="132"/>
      <c r="D327" s="132"/>
      <c r="E327" s="132">
        <v>8</v>
      </c>
      <c r="F327" s="132">
        <v>18</v>
      </c>
      <c r="G327" s="132"/>
      <c r="H327" s="132"/>
      <c r="I327" s="132"/>
      <c r="J327" s="132"/>
      <c r="K327" s="132"/>
      <c r="L327" s="132"/>
      <c r="M327" s="132">
        <v>101</v>
      </c>
      <c r="N327" s="132"/>
      <c r="O327" s="132"/>
      <c r="P327" s="132">
        <v>8</v>
      </c>
      <c r="Q327" s="132"/>
      <c r="R327" s="132">
        <v>23</v>
      </c>
      <c r="S327" s="132">
        <v>1</v>
      </c>
      <c r="T327" s="132"/>
      <c r="U327" s="151"/>
      <c r="V327" s="151"/>
      <c r="W327" s="307" t="s">
        <v>193</v>
      </c>
      <c r="X327" s="308"/>
      <c r="Y327" s="38">
        <f t="shared" si="133"/>
        <v>16</v>
      </c>
      <c r="Z327" s="38">
        <f t="shared" si="134"/>
        <v>24</v>
      </c>
      <c r="AA327" s="38">
        <f t="shared" si="131"/>
        <v>0</v>
      </c>
      <c r="AB327" s="38">
        <f t="shared" si="142"/>
        <v>0</v>
      </c>
      <c r="AC327" s="38">
        <f t="shared" si="143"/>
        <v>0</v>
      </c>
      <c r="AD327" s="38">
        <f t="shared" si="144"/>
        <v>0</v>
      </c>
      <c r="AE327" s="38">
        <f t="shared" si="145"/>
        <v>0</v>
      </c>
      <c r="AF327" s="38">
        <f t="shared" si="146"/>
        <v>0</v>
      </c>
      <c r="AG327" s="33">
        <f t="shared" si="147"/>
        <v>16</v>
      </c>
      <c r="AH327" s="33">
        <f t="shared" si="148"/>
        <v>24</v>
      </c>
      <c r="AI327" s="33">
        <f t="shared" si="149"/>
        <v>0</v>
      </c>
      <c r="AJ327" s="33">
        <f t="shared" si="150"/>
        <v>0</v>
      </c>
      <c r="AK327" s="34">
        <f t="shared" si="151"/>
        <v>0.11267605633802817</v>
      </c>
      <c r="AL327" s="35">
        <f t="shared" si="152"/>
        <v>0.16901408450704225</v>
      </c>
      <c r="AM327" s="34">
        <f t="shared" si="135"/>
        <v>0</v>
      </c>
      <c r="AN327" s="36">
        <f t="shared" si="153"/>
        <v>0</v>
      </c>
      <c r="AO327" s="6">
        <f t="shared" si="136"/>
        <v>0</v>
      </c>
      <c r="AP327">
        <f t="shared" si="137"/>
        <v>8</v>
      </c>
      <c r="AQ327" s="6">
        <f t="shared" si="138"/>
        <v>0</v>
      </c>
      <c r="AR327" s="6">
        <f t="shared" si="139"/>
        <v>0</v>
      </c>
      <c r="AS327" s="6"/>
      <c r="AX327" s="95">
        <f t="shared" si="140"/>
        <v>42450</v>
      </c>
      <c r="AY327" s="96" t="str">
        <f t="shared" si="141"/>
        <v>seg</v>
      </c>
      <c r="AZ327" s="97">
        <f>IF(OR(AY327="SÁB",AY327="DOM"),0,IFERROR(8-VLOOKUP(C327,'Dados de consulta'!$A$2:$C$38,3,0),8))</f>
        <v>8</v>
      </c>
      <c r="BA327" s="97">
        <f>IF(OR(AY327="SÁB",AY327="DOM"),0,IFERROR(8-VLOOKUP(D327,'Dados de consulta'!$A$2:$C$38,3,0),8))</f>
        <v>8</v>
      </c>
      <c r="BB327" s="97">
        <f>IF(OR(AY327="SÁB",AY327="DOM"),0,IFERROR(8-VLOOKUP(E327,'Dados de consulta'!$A$2:$C$38,3,0),8))</f>
        <v>0</v>
      </c>
      <c r="BC327" s="97">
        <f>IF(OR(AY327="SÁB",AY327="DOM"),0,IFERROR(8-VLOOKUP(F327,'Dados de consulta'!$A$2:$C$38,3,0),8))</f>
        <v>0</v>
      </c>
      <c r="BD327" s="97">
        <f>IF(OR(AY327="SÁB",AY327="DOM"),0,IFERROR(8-VLOOKUP(G327,'Dados de consulta'!$A$2:$C$38,3,0),8))</f>
        <v>8</v>
      </c>
      <c r="BE327" s="97">
        <f>IF(OR(AY327="SÁB",AY327="DOM"),0,IFERROR(8-VLOOKUP(H327,'Dados de consulta'!$A$2:$C$38,3,0),8))</f>
        <v>8</v>
      </c>
      <c r="BF327" s="97">
        <f>IF(OR(AY327="SÁB",AY327="DOM"),0,IFERROR(8-VLOOKUP(I327,'Dados de consulta'!$A$2:$C$38,3,0),8))</f>
        <v>8</v>
      </c>
      <c r="BG327" s="97">
        <f>IF(OR(AY327="SÁB",AY327="DOM"),0,IFERROR(8-VLOOKUP(J327,'Dados de consulta'!$A$2:$C$38,3,0),8))</f>
        <v>8</v>
      </c>
      <c r="BH327" s="97">
        <f>IF(OR(AY327="SÁB",AY327="DOM"),0,IFERROR(8-VLOOKUP(K327,'Dados de consulta'!$A$2:$C$38,3,0),8))</f>
        <v>8</v>
      </c>
      <c r="BI327" s="97">
        <f>IF(OR(AY327="SÁB",AY327="DOM"),0,IFERROR(8-VLOOKUP(L327,'Dados de consulta'!$A$2:$C$38,3,0),8))</f>
        <v>8</v>
      </c>
      <c r="BJ327" s="97">
        <f>IF(OR(AY327="SÁB",AY327="DOM"),0,IFERROR(8-VLOOKUP(M327,'Dados de consulta'!$A$2:$C$38,3,0),8))</f>
        <v>0</v>
      </c>
      <c r="BK327" s="97">
        <f>IF(OR(AY327="SÁB",AY327="DOM"),0,IFERROR(8-VLOOKUP(N327,'Dados de consulta'!$A$2:$C$38,3,0),8))</f>
        <v>8</v>
      </c>
      <c r="BL327" s="97">
        <f>IF(OR(AY327="SÁB",AY327="DOM"),0,IFERROR(8-VLOOKUP(O327,'Dados de consulta'!$A$2:$C$38,3,0),8))</f>
        <v>8</v>
      </c>
      <c r="BM327" s="97">
        <f>IF(OR(AY327="SÁB",AY327="DOM"),0,IFERROR(8-VLOOKUP(P327,'Dados de consulta'!$A$2:$C$38,3,0),8))</f>
        <v>0</v>
      </c>
      <c r="BN327" s="97">
        <f>IF(OR(AY327="SÁB",AY327="DOM"),0,IFERROR(8-VLOOKUP(Q327,'Dados de consulta'!$A$2:$C$38,3,0),8))</f>
        <v>8</v>
      </c>
      <c r="BO327" s="97">
        <f>IF(OR(AY327="SÁB",AY327="DOM"),0,IFERROR(8-VLOOKUP(R327,'Dados de consulta'!$A$2:$C$38,3,0),8))</f>
        <v>0</v>
      </c>
      <c r="BP327" s="97">
        <f>IF(OR(AY327="SÁB",AY327="DOM"),0,IFERROR(8-VLOOKUP(S327,'Dados de consulta'!$A$2:$C$38,3,0),8))</f>
        <v>0</v>
      </c>
      <c r="BQ327" s="113">
        <f>IFERROR(6-VLOOKUP(T327,'Dados de consulta'!$A$2:$C$38,3,0)+2,6)</f>
        <v>6</v>
      </c>
      <c r="BR327" s="114">
        <f t="shared" si="154"/>
        <v>94</v>
      </c>
      <c r="BS327">
        <f t="shared" si="130"/>
        <v>134</v>
      </c>
      <c r="BU327">
        <f>IFERROR(8-VLOOKUP(U327,'Dados de consulta'!$A:$D,3,0),8)</f>
        <v>8</v>
      </c>
      <c r="BV327">
        <f>IFERROR(8-VLOOKUP(V327,'Dados de consulta'!$A:$D,3,0),8)</f>
        <v>8</v>
      </c>
      <c r="BW327">
        <f t="shared" si="155"/>
        <v>16</v>
      </c>
    </row>
    <row r="328" spans="1:75" ht="15" hidden="1" x14ac:dyDescent="0.2">
      <c r="A328" s="98">
        <v>42451</v>
      </c>
      <c r="B328" s="129" t="str">
        <f t="shared" si="132"/>
        <v>ter</v>
      </c>
      <c r="C328" s="132"/>
      <c r="D328" s="132"/>
      <c r="E328" s="132">
        <v>8</v>
      </c>
      <c r="F328" s="132">
        <v>18</v>
      </c>
      <c r="G328" s="132"/>
      <c r="H328" s="132"/>
      <c r="I328" s="132"/>
      <c r="J328" s="132"/>
      <c r="K328" s="132"/>
      <c r="L328" s="132"/>
      <c r="M328" s="132">
        <v>101</v>
      </c>
      <c r="N328" s="132"/>
      <c r="O328" s="132"/>
      <c r="P328" s="132">
        <v>8</v>
      </c>
      <c r="Q328" s="132"/>
      <c r="R328" s="132">
        <v>23</v>
      </c>
      <c r="S328" s="132"/>
      <c r="T328" s="132"/>
      <c r="U328" s="151"/>
      <c r="V328" s="151"/>
      <c r="W328" s="307" t="s">
        <v>193</v>
      </c>
      <c r="X328" s="308"/>
      <c r="Y328" s="38">
        <f t="shared" si="133"/>
        <v>16</v>
      </c>
      <c r="Z328" s="38">
        <f t="shared" si="134"/>
        <v>16</v>
      </c>
      <c r="AA328" s="38">
        <f t="shared" si="131"/>
        <v>0</v>
      </c>
      <c r="AB328" s="38">
        <f t="shared" si="142"/>
        <v>0</v>
      </c>
      <c r="AC328" s="38">
        <f t="shared" si="143"/>
        <v>0</v>
      </c>
      <c r="AD328" s="38">
        <f t="shared" si="144"/>
        <v>0</v>
      </c>
      <c r="AE328" s="38">
        <f t="shared" si="145"/>
        <v>0</v>
      </c>
      <c r="AF328" s="38">
        <f t="shared" si="146"/>
        <v>0</v>
      </c>
      <c r="AG328" s="33">
        <f t="shared" si="147"/>
        <v>16</v>
      </c>
      <c r="AH328" s="33">
        <f t="shared" si="148"/>
        <v>16</v>
      </c>
      <c r="AI328" s="33">
        <f t="shared" si="149"/>
        <v>0</v>
      </c>
      <c r="AJ328" s="33">
        <f t="shared" si="150"/>
        <v>0</v>
      </c>
      <c r="AK328" s="34">
        <f t="shared" si="151"/>
        <v>0.11267605633802817</v>
      </c>
      <c r="AL328" s="35">
        <f t="shared" si="152"/>
        <v>0.11267605633802817</v>
      </c>
      <c r="AM328" s="34">
        <f t="shared" si="135"/>
        <v>0</v>
      </c>
      <c r="AN328" s="36">
        <f t="shared" si="153"/>
        <v>0</v>
      </c>
      <c r="AO328" s="6">
        <f t="shared" si="136"/>
        <v>0</v>
      </c>
      <c r="AP328">
        <f t="shared" si="137"/>
        <v>8</v>
      </c>
      <c r="AQ328" s="6">
        <f t="shared" si="138"/>
        <v>0</v>
      </c>
      <c r="AR328" s="6">
        <f t="shared" si="139"/>
        <v>0</v>
      </c>
      <c r="AS328" s="6"/>
      <c r="AX328" s="95">
        <f t="shared" si="140"/>
        <v>42451</v>
      </c>
      <c r="AY328" s="96" t="str">
        <f t="shared" si="141"/>
        <v>ter</v>
      </c>
      <c r="AZ328" s="97">
        <f>IF(OR(AY328="SÁB",AY328="DOM"),0,IFERROR(8-VLOOKUP(C328,'Dados de consulta'!$A$2:$C$38,3,0),8))</f>
        <v>8</v>
      </c>
      <c r="BA328" s="97">
        <f>IF(OR(AY328="SÁB",AY328="DOM"),0,IFERROR(8-VLOOKUP(D328,'Dados de consulta'!$A$2:$C$38,3,0),8))</f>
        <v>8</v>
      </c>
      <c r="BB328" s="97">
        <f>IF(OR(AY328="SÁB",AY328="DOM"),0,IFERROR(8-VLOOKUP(E328,'Dados de consulta'!$A$2:$C$38,3,0),8))</f>
        <v>0</v>
      </c>
      <c r="BC328" s="97">
        <f>IF(OR(AY328="SÁB",AY328="DOM"),0,IFERROR(8-VLOOKUP(F328,'Dados de consulta'!$A$2:$C$38,3,0),8))</f>
        <v>0</v>
      </c>
      <c r="BD328" s="97">
        <f>IF(OR(AY328="SÁB",AY328="DOM"),0,IFERROR(8-VLOOKUP(G328,'Dados de consulta'!$A$2:$C$38,3,0),8))</f>
        <v>8</v>
      </c>
      <c r="BE328" s="97">
        <f>IF(OR(AY328="SÁB",AY328="DOM"),0,IFERROR(8-VLOOKUP(H328,'Dados de consulta'!$A$2:$C$38,3,0),8))</f>
        <v>8</v>
      </c>
      <c r="BF328" s="97">
        <f>IF(OR(AY328="SÁB",AY328="DOM"),0,IFERROR(8-VLOOKUP(I328,'Dados de consulta'!$A$2:$C$38,3,0),8))</f>
        <v>8</v>
      </c>
      <c r="BG328" s="97">
        <f>IF(OR(AY328="SÁB",AY328="DOM"),0,IFERROR(8-VLOOKUP(J328,'Dados de consulta'!$A$2:$C$38,3,0),8))</f>
        <v>8</v>
      </c>
      <c r="BH328" s="97">
        <f>IF(OR(AY328="SÁB",AY328="DOM"),0,IFERROR(8-VLOOKUP(K328,'Dados de consulta'!$A$2:$C$38,3,0),8))</f>
        <v>8</v>
      </c>
      <c r="BI328" s="97">
        <f>IF(OR(AY328="SÁB",AY328="DOM"),0,IFERROR(8-VLOOKUP(L328,'Dados de consulta'!$A$2:$C$38,3,0),8))</f>
        <v>8</v>
      </c>
      <c r="BJ328" s="97">
        <f>IF(OR(AY328="SÁB",AY328="DOM"),0,IFERROR(8-VLOOKUP(M328,'Dados de consulta'!$A$2:$C$38,3,0),8))</f>
        <v>0</v>
      </c>
      <c r="BK328" s="97">
        <f>IF(OR(AY328="SÁB",AY328="DOM"),0,IFERROR(8-VLOOKUP(N328,'Dados de consulta'!$A$2:$C$38,3,0),8))</f>
        <v>8</v>
      </c>
      <c r="BL328" s="97">
        <f>IF(OR(AY328="SÁB",AY328="DOM"),0,IFERROR(8-VLOOKUP(O328,'Dados de consulta'!$A$2:$C$38,3,0),8))</f>
        <v>8</v>
      </c>
      <c r="BM328" s="97">
        <f>IF(OR(AY328="SÁB",AY328="DOM"),0,IFERROR(8-VLOOKUP(P328,'Dados de consulta'!$A$2:$C$38,3,0),8))</f>
        <v>0</v>
      </c>
      <c r="BN328" s="97">
        <f>IF(OR(AY328="SÁB",AY328="DOM"),0,IFERROR(8-VLOOKUP(Q328,'Dados de consulta'!$A$2:$C$38,3,0),8))</f>
        <v>8</v>
      </c>
      <c r="BO328" s="97">
        <f>IF(OR(AY328="SÁB",AY328="DOM"),0,IFERROR(8-VLOOKUP(R328,'Dados de consulta'!$A$2:$C$38,3,0),8))</f>
        <v>0</v>
      </c>
      <c r="BP328" s="97">
        <f>IF(OR(AY328="SÁB",AY328="DOM"),0,IFERROR(8-VLOOKUP(S328,'Dados de consulta'!$A$2:$C$38,3,0),8))</f>
        <v>8</v>
      </c>
      <c r="BQ328" s="113">
        <f>IFERROR(6-VLOOKUP(T328,'Dados de consulta'!$A$2:$C$38,3,0)+2,6)</f>
        <v>6</v>
      </c>
      <c r="BR328" s="114">
        <f t="shared" si="154"/>
        <v>102</v>
      </c>
      <c r="BS328">
        <f t="shared" si="130"/>
        <v>134</v>
      </c>
      <c r="BU328">
        <f>IFERROR(8-VLOOKUP(U328,'Dados de consulta'!$A:$D,3,0),8)</f>
        <v>8</v>
      </c>
      <c r="BV328">
        <f>IFERROR(8-VLOOKUP(V328,'Dados de consulta'!$A:$D,3,0),8)</f>
        <v>8</v>
      </c>
      <c r="BW328">
        <f t="shared" si="155"/>
        <v>16</v>
      </c>
    </row>
    <row r="329" spans="1:75" ht="15" hidden="1" x14ac:dyDescent="0.2">
      <c r="A329" s="98">
        <v>42452</v>
      </c>
      <c r="B329" s="129" t="str">
        <f t="shared" si="132"/>
        <v>qua</v>
      </c>
      <c r="C329" s="132"/>
      <c r="D329" s="132"/>
      <c r="E329" s="132">
        <v>8</v>
      </c>
      <c r="F329" s="132">
        <v>18</v>
      </c>
      <c r="G329" s="132"/>
      <c r="H329" s="132"/>
      <c r="I329" s="132"/>
      <c r="J329" s="132"/>
      <c r="K329" s="132"/>
      <c r="L329" s="132"/>
      <c r="M329" s="132">
        <v>101</v>
      </c>
      <c r="N329" s="132"/>
      <c r="O329" s="132"/>
      <c r="P329" s="132">
        <v>8</v>
      </c>
      <c r="Q329" s="132"/>
      <c r="R329" s="132">
        <v>23</v>
      </c>
      <c r="S329" s="132"/>
      <c r="T329" s="132"/>
      <c r="U329" s="151"/>
      <c r="V329" s="151"/>
      <c r="W329" s="307" t="s">
        <v>193</v>
      </c>
      <c r="X329" s="308"/>
      <c r="Y329" s="38">
        <f t="shared" si="133"/>
        <v>16</v>
      </c>
      <c r="Z329" s="38">
        <f t="shared" si="134"/>
        <v>16</v>
      </c>
      <c r="AA329" s="38">
        <f t="shared" si="131"/>
        <v>0</v>
      </c>
      <c r="AB329" s="38">
        <f t="shared" si="142"/>
        <v>0</v>
      </c>
      <c r="AC329" s="38">
        <f t="shared" si="143"/>
        <v>0</v>
      </c>
      <c r="AD329" s="38">
        <f t="shared" si="144"/>
        <v>0</v>
      </c>
      <c r="AE329" s="38">
        <f t="shared" si="145"/>
        <v>0</v>
      </c>
      <c r="AF329" s="38">
        <f t="shared" si="146"/>
        <v>0</v>
      </c>
      <c r="AG329" s="33">
        <f t="shared" si="147"/>
        <v>16</v>
      </c>
      <c r="AH329" s="33">
        <f t="shared" si="148"/>
        <v>16</v>
      </c>
      <c r="AI329" s="33">
        <f t="shared" si="149"/>
        <v>0</v>
      </c>
      <c r="AJ329" s="33">
        <f t="shared" si="150"/>
        <v>0</v>
      </c>
      <c r="AK329" s="34">
        <f t="shared" si="151"/>
        <v>0.11267605633802817</v>
      </c>
      <c r="AL329" s="35">
        <f t="shared" si="152"/>
        <v>0.11267605633802817</v>
      </c>
      <c r="AM329" s="34">
        <f t="shared" si="135"/>
        <v>0</v>
      </c>
      <c r="AN329" s="36">
        <f t="shared" si="153"/>
        <v>0</v>
      </c>
      <c r="AO329" s="6">
        <f t="shared" si="136"/>
        <v>0</v>
      </c>
      <c r="AP329">
        <f t="shared" si="137"/>
        <v>8</v>
      </c>
      <c r="AQ329" s="6">
        <f t="shared" si="138"/>
        <v>0</v>
      </c>
      <c r="AR329" s="6">
        <f t="shared" si="139"/>
        <v>0</v>
      </c>
      <c r="AS329" s="6"/>
      <c r="AX329" s="95">
        <f t="shared" si="140"/>
        <v>42452</v>
      </c>
      <c r="AY329" s="96" t="str">
        <f t="shared" si="141"/>
        <v>qua</v>
      </c>
      <c r="AZ329" s="97">
        <f>IF(OR(AY329="SÁB",AY329="DOM"),0,IFERROR(8-VLOOKUP(C329,'Dados de consulta'!$A$2:$C$38,3,0),8))</f>
        <v>8</v>
      </c>
      <c r="BA329" s="97">
        <f>IF(OR(AY329="SÁB",AY329="DOM"),0,IFERROR(8-VLOOKUP(D329,'Dados de consulta'!$A$2:$C$38,3,0),8))</f>
        <v>8</v>
      </c>
      <c r="BB329" s="97">
        <f>IF(OR(AY329="SÁB",AY329="DOM"),0,IFERROR(8-VLOOKUP(E329,'Dados de consulta'!$A$2:$C$38,3,0),8))</f>
        <v>0</v>
      </c>
      <c r="BC329" s="97">
        <f>IF(OR(AY329="SÁB",AY329="DOM"),0,IFERROR(8-VLOOKUP(F329,'Dados de consulta'!$A$2:$C$38,3,0),8))</f>
        <v>0</v>
      </c>
      <c r="BD329" s="97">
        <f>IF(OR(AY329="SÁB",AY329="DOM"),0,IFERROR(8-VLOOKUP(G329,'Dados de consulta'!$A$2:$C$38,3,0),8))</f>
        <v>8</v>
      </c>
      <c r="BE329" s="97">
        <f>IF(OR(AY329="SÁB",AY329="DOM"),0,IFERROR(8-VLOOKUP(H329,'Dados de consulta'!$A$2:$C$38,3,0),8))</f>
        <v>8</v>
      </c>
      <c r="BF329" s="97">
        <f>IF(OR(AY329="SÁB",AY329="DOM"),0,IFERROR(8-VLOOKUP(I329,'Dados de consulta'!$A$2:$C$38,3,0),8))</f>
        <v>8</v>
      </c>
      <c r="BG329" s="97">
        <f>IF(OR(AY329="SÁB",AY329="DOM"),0,IFERROR(8-VLOOKUP(J329,'Dados de consulta'!$A$2:$C$38,3,0),8))</f>
        <v>8</v>
      </c>
      <c r="BH329" s="97">
        <f>IF(OR(AY329="SÁB",AY329="DOM"),0,IFERROR(8-VLOOKUP(K329,'Dados de consulta'!$A$2:$C$38,3,0),8))</f>
        <v>8</v>
      </c>
      <c r="BI329" s="97">
        <f>IF(OR(AY329="SÁB",AY329="DOM"),0,IFERROR(8-VLOOKUP(L329,'Dados de consulta'!$A$2:$C$38,3,0),8))</f>
        <v>8</v>
      </c>
      <c r="BJ329" s="97">
        <f>IF(OR(AY329="SÁB",AY329="DOM"),0,IFERROR(8-VLOOKUP(M329,'Dados de consulta'!$A$2:$C$38,3,0),8))</f>
        <v>0</v>
      </c>
      <c r="BK329" s="97">
        <f>IF(OR(AY329="SÁB",AY329="DOM"),0,IFERROR(8-VLOOKUP(N329,'Dados de consulta'!$A$2:$C$38,3,0),8))</f>
        <v>8</v>
      </c>
      <c r="BL329" s="97">
        <f>IF(OR(AY329="SÁB",AY329="DOM"),0,IFERROR(8-VLOOKUP(O329,'Dados de consulta'!$A$2:$C$38,3,0),8))</f>
        <v>8</v>
      </c>
      <c r="BM329" s="97">
        <f>IF(OR(AY329="SÁB",AY329="DOM"),0,IFERROR(8-VLOOKUP(P329,'Dados de consulta'!$A$2:$C$38,3,0),8))</f>
        <v>0</v>
      </c>
      <c r="BN329" s="97">
        <f>IF(OR(AY329="SÁB",AY329="DOM"),0,IFERROR(8-VLOOKUP(Q329,'Dados de consulta'!$A$2:$C$38,3,0),8))</f>
        <v>8</v>
      </c>
      <c r="BO329" s="97">
        <f>IF(OR(AY329="SÁB",AY329="DOM"),0,IFERROR(8-VLOOKUP(R329,'Dados de consulta'!$A$2:$C$38,3,0),8))</f>
        <v>0</v>
      </c>
      <c r="BP329" s="97">
        <f>IF(OR(AY329="SÁB",AY329="DOM"),0,IFERROR(8-VLOOKUP(S329,'Dados de consulta'!$A$2:$C$38,3,0),8))</f>
        <v>8</v>
      </c>
      <c r="BQ329" s="113">
        <f>IFERROR(6-VLOOKUP(T329,'Dados de consulta'!$A$2:$C$38,3,0)+2,6)</f>
        <v>6</v>
      </c>
      <c r="BR329" s="114">
        <f t="shared" si="154"/>
        <v>102</v>
      </c>
      <c r="BS329">
        <f t="shared" si="130"/>
        <v>134</v>
      </c>
      <c r="BU329">
        <f>IFERROR(8-VLOOKUP(U329,'Dados de consulta'!$A:$D,3,0),8)</f>
        <v>8</v>
      </c>
      <c r="BV329">
        <f>IFERROR(8-VLOOKUP(V329,'Dados de consulta'!$A:$D,3,0),8)</f>
        <v>8</v>
      </c>
      <c r="BW329">
        <f t="shared" si="155"/>
        <v>16</v>
      </c>
    </row>
    <row r="330" spans="1:75" ht="15" hidden="1" x14ac:dyDescent="0.2">
      <c r="A330" s="98">
        <v>42453</v>
      </c>
      <c r="B330" s="129" t="str">
        <f t="shared" si="132"/>
        <v>qui</v>
      </c>
      <c r="C330" s="132"/>
      <c r="D330" s="132"/>
      <c r="E330" s="132">
        <v>8</v>
      </c>
      <c r="F330" s="132">
        <v>18</v>
      </c>
      <c r="G330" s="132"/>
      <c r="H330" s="132"/>
      <c r="I330" s="132">
        <v>1</v>
      </c>
      <c r="J330" s="132"/>
      <c r="K330" s="132"/>
      <c r="L330" s="132">
        <v>1</v>
      </c>
      <c r="M330" s="132">
        <v>101</v>
      </c>
      <c r="N330" s="132"/>
      <c r="O330" s="132"/>
      <c r="P330" s="132">
        <v>8</v>
      </c>
      <c r="Q330" s="132"/>
      <c r="R330" s="132">
        <v>23</v>
      </c>
      <c r="S330" s="132"/>
      <c r="T330" s="132"/>
      <c r="U330" s="151"/>
      <c r="V330" s="151"/>
      <c r="W330" s="307" t="s">
        <v>193</v>
      </c>
      <c r="X330" s="308"/>
      <c r="Y330" s="38">
        <f t="shared" si="133"/>
        <v>16</v>
      </c>
      <c r="Z330" s="38">
        <f t="shared" si="134"/>
        <v>32</v>
      </c>
      <c r="AA330" s="38">
        <f t="shared" si="131"/>
        <v>0</v>
      </c>
      <c r="AB330" s="38">
        <f t="shared" si="142"/>
        <v>0</v>
      </c>
      <c r="AC330" s="38">
        <f t="shared" si="143"/>
        <v>0</v>
      </c>
      <c r="AD330" s="38">
        <f t="shared" si="144"/>
        <v>0</v>
      </c>
      <c r="AE330" s="38">
        <f t="shared" si="145"/>
        <v>0</v>
      </c>
      <c r="AF330" s="38">
        <f t="shared" si="146"/>
        <v>0</v>
      </c>
      <c r="AG330" s="33">
        <f t="shared" si="147"/>
        <v>16</v>
      </c>
      <c r="AH330" s="33">
        <f t="shared" si="148"/>
        <v>32</v>
      </c>
      <c r="AI330" s="33">
        <f t="shared" si="149"/>
        <v>0</v>
      </c>
      <c r="AJ330" s="33">
        <f t="shared" si="150"/>
        <v>0</v>
      </c>
      <c r="AK330" s="34">
        <f t="shared" si="151"/>
        <v>0.11267605633802817</v>
      </c>
      <c r="AL330" s="35">
        <f t="shared" si="152"/>
        <v>0.22535211267605634</v>
      </c>
      <c r="AM330" s="34">
        <f t="shared" si="135"/>
        <v>0</v>
      </c>
      <c r="AN330" s="36">
        <f t="shared" si="153"/>
        <v>0</v>
      </c>
      <c r="AO330" s="6">
        <f t="shared" si="136"/>
        <v>0</v>
      </c>
      <c r="AP330">
        <f t="shared" si="137"/>
        <v>8</v>
      </c>
      <c r="AQ330" s="6">
        <f t="shared" si="138"/>
        <v>0</v>
      </c>
      <c r="AR330" s="6">
        <f t="shared" si="139"/>
        <v>0</v>
      </c>
      <c r="AS330" s="6"/>
      <c r="AX330" s="95">
        <f t="shared" si="140"/>
        <v>42453</v>
      </c>
      <c r="AY330" s="96" t="str">
        <f t="shared" si="141"/>
        <v>qui</v>
      </c>
      <c r="AZ330" s="97">
        <f>IF(OR(AY330="SÁB",AY330="DOM"),0,IFERROR(8-VLOOKUP(C330,'Dados de consulta'!$A$2:$C$38,3,0),8))</f>
        <v>8</v>
      </c>
      <c r="BA330" s="97">
        <f>IF(OR(AY330="SÁB",AY330="DOM"),0,IFERROR(8-VLOOKUP(D330,'Dados de consulta'!$A$2:$C$38,3,0),8))</f>
        <v>8</v>
      </c>
      <c r="BB330" s="97">
        <f>IF(OR(AY330="SÁB",AY330="DOM"),0,IFERROR(8-VLOOKUP(E330,'Dados de consulta'!$A$2:$C$38,3,0),8))</f>
        <v>0</v>
      </c>
      <c r="BC330" s="97">
        <f>IF(OR(AY330="SÁB",AY330="DOM"),0,IFERROR(8-VLOOKUP(F330,'Dados de consulta'!$A$2:$C$38,3,0),8))</f>
        <v>0</v>
      </c>
      <c r="BD330" s="97">
        <f>IF(OR(AY330="SÁB",AY330="DOM"),0,IFERROR(8-VLOOKUP(G330,'Dados de consulta'!$A$2:$C$38,3,0),8))</f>
        <v>8</v>
      </c>
      <c r="BE330" s="97">
        <f>IF(OR(AY330="SÁB",AY330="DOM"),0,IFERROR(8-VLOOKUP(H330,'Dados de consulta'!$A$2:$C$38,3,0),8))</f>
        <v>8</v>
      </c>
      <c r="BF330" s="97">
        <f>IF(OR(AY330="SÁB",AY330="DOM"),0,IFERROR(8-VLOOKUP(I330,'Dados de consulta'!$A$2:$C$38,3,0),8))</f>
        <v>0</v>
      </c>
      <c r="BG330" s="97">
        <f>IF(OR(AY330="SÁB",AY330="DOM"),0,IFERROR(8-VLOOKUP(J330,'Dados de consulta'!$A$2:$C$38,3,0),8))</f>
        <v>8</v>
      </c>
      <c r="BH330" s="97">
        <f>IF(OR(AY330="SÁB",AY330="DOM"),0,IFERROR(8-VLOOKUP(K330,'Dados de consulta'!$A$2:$C$38,3,0),8))</f>
        <v>8</v>
      </c>
      <c r="BI330" s="97">
        <f>IF(OR(AY330="SÁB",AY330="DOM"),0,IFERROR(8-VLOOKUP(L330,'Dados de consulta'!$A$2:$C$38,3,0),8))</f>
        <v>0</v>
      </c>
      <c r="BJ330" s="97">
        <f>IF(OR(AY330="SÁB",AY330="DOM"),0,IFERROR(8-VLOOKUP(M330,'Dados de consulta'!$A$2:$C$38,3,0),8))</f>
        <v>0</v>
      </c>
      <c r="BK330" s="97">
        <f>IF(OR(AY330="SÁB",AY330="DOM"),0,IFERROR(8-VLOOKUP(N330,'Dados de consulta'!$A$2:$C$38,3,0),8))</f>
        <v>8</v>
      </c>
      <c r="BL330" s="97">
        <f>IF(OR(AY330="SÁB",AY330="DOM"),0,IFERROR(8-VLOOKUP(O330,'Dados de consulta'!$A$2:$C$38,3,0),8))</f>
        <v>8</v>
      </c>
      <c r="BM330" s="97">
        <f>IF(OR(AY330="SÁB",AY330="DOM"),0,IFERROR(8-VLOOKUP(P330,'Dados de consulta'!$A$2:$C$38,3,0),8))</f>
        <v>0</v>
      </c>
      <c r="BN330" s="97">
        <f>IF(OR(AY330="SÁB",AY330="DOM"),0,IFERROR(8-VLOOKUP(Q330,'Dados de consulta'!$A$2:$C$38,3,0),8))</f>
        <v>8</v>
      </c>
      <c r="BO330" s="97">
        <f>IF(OR(AY330="SÁB",AY330="DOM"),0,IFERROR(8-VLOOKUP(R330,'Dados de consulta'!$A$2:$C$38,3,0),8))</f>
        <v>0</v>
      </c>
      <c r="BP330" s="97">
        <f>IF(OR(AY330="SÁB",AY330="DOM"),0,IFERROR(8-VLOOKUP(S330,'Dados de consulta'!$A$2:$C$38,3,0),8))</f>
        <v>8</v>
      </c>
      <c r="BQ330" s="113">
        <f>IFERROR(6-VLOOKUP(T330,'Dados de consulta'!$A$2:$C$38,3,0)+2,6)</f>
        <v>6</v>
      </c>
      <c r="BR330" s="114">
        <f t="shared" si="154"/>
        <v>86</v>
      </c>
      <c r="BS330">
        <f t="shared" si="130"/>
        <v>0</v>
      </c>
      <c r="BU330">
        <f>IFERROR(8-VLOOKUP(U330,'Dados de consulta'!$A:$D,3,0),8)</f>
        <v>8</v>
      </c>
      <c r="BV330">
        <f>IFERROR(8-VLOOKUP(V330,'Dados de consulta'!$A:$D,3,0),8)</f>
        <v>8</v>
      </c>
      <c r="BW330">
        <f t="shared" si="155"/>
        <v>16</v>
      </c>
    </row>
    <row r="331" spans="1:75" ht="15" hidden="1" x14ac:dyDescent="0.2">
      <c r="A331" s="98">
        <v>42454</v>
      </c>
      <c r="B331" s="129" t="str">
        <f t="shared" si="132"/>
        <v>sex</v>
      </c>
      <c r="C331" s="132">
        <v>17</v>
      </c>
      <c r="D331" s="132">
        <v>17</v>
      </c>
      <c r="E331" s="132">
        <v>17</v>
      </c>
      <c r="F331" s="132">
        <v>17</v>
      </c>
      <c r="G331" s="132">
        <v>17</v>
      </c>
      <c r="H331" s="132">
        <v>17</v>
      </c>
      <c r="I331" s="132">
        <v>17</v>
      </c>
      <c r="J331" s="132">
        <v>17</v>
      </c>
      <c r="K331" s="132">
        <v>17</v>
      </c>
      <c r="L331" s="132">
        <v>17</v>
      </c>
      <c r="M331" s="132">
        <v>17</v>
      </c>
      <c r="N331" s="132">
        <v>17</v>
      </c>
      <c r="O331" s="132">
        <v>17</v>
      </c>
      <c r="P331" s="132">
        <v>17</v>
      </c>
      <c r="Q331" s="132">
        <v>17</v>
      </c>
      <c r="R331" s="132">
        <v>17</v>
      </c>
      <c r="S331" s="132">
        <v>17</v>
      </c>
      <c r="T331" s="132">
        <v>17</v>
      </c>
      <c r="U331" s="132">
        <v>17</v>
      </c>
      <c r="V331" s="132">
        <v>17</v>
      </c>
      <c r="W331" s="307" t="s">
        <v>193</v>
      </c>
      <c r="X331" s="308"/>
      <c r="Y331" s="38">
        <f t="shared" si="133"/>
        <v>0</v>
      </c>
      <c r="Z331" s="38">
        <f t="shared" si="134"/>
        <v>0</v>
      </c>
      <c r="AA331" s="38">
        <f t="shared" si="131"/>
        <v>0</v>
      </c>
      <c r="AB331" s="38">
        <f t="shared" si="142"/>
        <v>0</v>
      </c>
      <c r="AC331" s="38">
        <f t="shared" si="143"/>
        <v>0</v>
      </c>
      <c r="AD331" s="38">
        <f t="shared" si="144"/>
        <v>0</v>
      </c>
      <c r="AE331" s="38">
        <f t="shared" si="145"/>
        <v>0</v>
      </c>
      <c r="AF331" s="38">
        <f t="shared" si="146"/>
        <v>0</v>
      </c>
      <c r="AG331" s="33">
        <f t="shared" si="147"/>
        <v>0</v>
      </c>
      <c r="AH331" s="33">
        <f t="shared" si="148"/>
        <v>0</v>
      </c>
      <c r="AI331" s="33">
        <f t="shared" si="149"/>
        <v>0</v>
      </c>
      <c r="AJ331" s="33">
        <f t="shared" si="150"/>
        <v>0</v>
      </c>
      <c r="AK331" s="34">
        <f t="shared" si="151"/>
        <v>0</v>
      </c>
      <c r="AL331" s="35">
        <f t="shared" si="152"/>
        <v>0</v>
      </c>
      <c r="AM331" s="34">
        <f t="shared" si="135"/>
        <v>0</v>
      </c>
      <c r="AN331" s="36">
        <f t="shared" si="153"/>
        <v>0</v>
      </c>
      <c r="AO331" s="6">
        <f t="shared" si="136"/>
        <v>0</v>
      </c>
      <c r="AP331">
        <f t="shared" si="137"/>
        <v>0</v>
      </c>
      <c r="AQ331" s="6">
        <f t="shared" si="138"/>
        <v>0</v>
      </c>
      <c r="AR331" s="6">
        <f t="shared" si="139"/>
        <v>0</v>
      </c>
      <c r="AS331" s="6"/>
      <c r="AX331" s="95">
        <f t="shared" si="140"/>
        <v>42454</v>
      </c>
      <c r="AY331" s="96" t="str">
        <f t="shared" si="141"/>
        <v>sex</v>
      </c>
      <c r="AZ331" s="97">
        <f>IF(OR(AY331="SÁB",AY331="DOM"),0,IFERROR(8-VLOOKUP(C331,'Dados de consulta'!$A$2:$C$38,3,0),8))</f>
        <v>0</v>
      </c>
      <c r="BA331" s="97">
        <f>IF(OR(AY331="SÁB",AY331="DOM"),0,IFERROR(8-VLOOKUP(D331,'Dados de consulta'!$A$2:$C$38,3,0),8))</f>
        <v>0</v>
      </c>
      <c r="BB331" s="97">
        <f>IF(OR(AY331="SÁB",AY331="DOM"),0,IFERROR(8-VLOOKUP(E331,'Dados de consulta'!$A$2:$C$38,3,0),8))</f>
        <v>0</v>
      </c>
      <c r="BC331" s="97">
        <f>IF(OR(AY331="SÁB",AY331="DOM"),0,IFERROR(8-VLOOKUP(F331,'Dados de consulta'!$A$2:$C$38,3,0),8))</f>
        <v>0</v>
      </c>
      <c r="BD331" s="97">
        <f>IF(OR(AY331="SÁB",AY331="DOM"),0,IFERROR(8-VLOOKUP(G331,'Dados de consulta'!$A$2:$C$38,3,0),8))</f>
        <v>0</v>
      </c>
      <c r="BE331" s="97">
        <f>IF(OR(AY331="SÁB",AY331="DOM"),0,IFERROR(8-VLOOKUP(H331,'Dados de consulta'!$A$2:$C$38,3,0),8))</f>
        <v>0</v>
      </c>
      <c r="BF331" s="97">
        <f>IF(OR(AY331="SÁB",AY331="DOM"),0,IFERROR(8-VLOOKUP(I331,'Dados de consulta'!$A$2:$C$38,3,0),8))</f>
        <v>0</v>
      </c>
      <c r="BG331" s="97">
        <f>IF(OR(AY331="SÁB",AY331="DOM"),0,IFERROR(8-VLOOKUP(J331,'Dados de consulta'!$A$2:$C$38,3,0),8))</f>
        <v>0</v>
      </c>
      <c r="BH331" s="97">
        <f>IF(OR(AY331="SÁB",AY331="DOM"),0,IFERROR(8-VLOOKUP(K331,'Dados de consulta'!$A$2:$C$38,3,0),8))</f>
        <v>0</v>
      </c>
      <c r="BI331" s="97">
        <f>IF(OR(AY331="SÁB",AY331="DOM"),0,IFERROR(8-VLOOKUP(L331,'Dados de consulta'!$A$2:$C$38,3,0),8))</f>
        <v>0</v>
      </c>
      <c r="BJ331" s="97">
        <f>IF(OR(AY331="SÁB",AY331="DOM"),0,IFERROR(8-VLOOKUP(M331,'Dados de consulta'!$A$2:$C$38,3,0),8))</f>
        <v>0</v>
      </c>
      <c r="BK331" s="97">
        <f>IF(OR(AY331="SÁB",AY331="DOM"),0,IFERROR(8-VLOOKUP(N331,'Dados de consulta'!$A$2:$C$38,3,0),8))</f>
        <v>0</v>
      </c>
      <c r="BL331" s="97">
        <f>IF(OR(AY331="SÁB",AY331="DOM"),0,IFERROR(8-VLOOKUP(O331,'Dados de consulta'!$A$2:$C$38,3,0),8))</f>
        <v>0</v>
      </c>
      <c r="BM331" s="97">
        <f>IF(OR(AY331="SÁB",AY331="DOM"),0,IFERROR(8-VLOOKUP(P331,'Dados de consulta'!$A$2:$C$38,3,0),8))</f>
        <v>0</v>
      </c>
      <c r="BN331" s="97">
        <f>IF(OR(AY331="SÁB",AY331="DOM"),0,IFERROR(8-VLOOKUP(Q331,'Dados de consulta'!$A$2:$C$38,3,0),8))</f>
        <v>0</v>
      </c>
      <c r="BO331" s="97">
        <f>IF(OR(AY331="SÁB",AY331="DOM"),0,IFERROR(8-VLOOKUP(R331,'Dados de consulta'!$A$2:$C$38,3,0),8))</f>
        <v>0</v>
      </c>
      <c r="BP331" s="97">
        <f>IF(OR(AY331="SÁB",AY331="DOM"),0,IFERROR(8-VLOOKUP(S331,'Dados de consulta'!$A$2:$C$38,3,0),8))</f>
        <v>0</v>
      </c>
      <c r="BQ331" s="113">
        <f>IFERROR(6-VLOOKUP(T331,'Dados de consulta'!$A$2:$C$38,3,0)+2,6)</f>
        <v>0</v>
      </c>
      <c r="BR331" s="114">
        <f t="shared" si="154"/>
        <v>0</v>
      </c>
      <c r="BS331">
        <f t="shared" si="130"/>
        <v>142</v>
      </c>
      <c r="BU331">
        <f>IFERROR(8-VLOOKUP(U331,'Dados de consulta'!$A:$D,3,0),8)</f>
        <v>0</v>
      </c>
      <c r="BV331">
        <f>IFERROR(8-VLOOKUP(V331,'Dados de consulta'!$A:$D,3,0),8)</f>
        <v>0</v>
      </c>
      <c r="BW331">
        <f t="shared" si="155"/>
        <v>0</v>
      </c>
    </row>
    <row r="332" spans="1:75" ht="15" hidden="1" x14ac:dyDescent="0.2">
      <c r="A332" s="98">
        <v>42455</v>
      </c>
      <c r="B332" s="129" t="str">
        <f t="shared" si="132"/>
        <v>sáb</v>
      </c>
      <c r="C332" s="132"/>
      <c r="D332" s="132"/>
      <c r="E332" s="132"/>
      <c r="F332" s="132">
        <v>18</v>
      </c>
      <c r="G332" s="132"/>
      <c r="H332" s="132"/>
      <c r="I332" s="132"/>
      <c r="J332" s="132"/>
      <c r="K332" s="132"/>
      <c r="L332" s="132"/>
      <c r="M332" s="132">
        <v>101</v>
      </c>
      <c r="N332" s="132"/>
      <c r="O332" s="132"/>
      <c r="P332" s="132"/>
      <c r="Q332" s="132"/>
      <c r="R332" s="132"/>
      <c r="S332" s="132"/>
      <c r="T332" s="132"/>
      <c r="U332" s="151"/>
      <c r="V332" s="151"/>
      <c r="W332" s="307" t="s">
        <v>193</v>
      </c>
      <c r="X332" s="308"/>
      <c r="Y332" s="38">
        <f t="shared" si="133"/>
        <v>0</v>
      </c>
      <c r="Z332" s="38">
        <f t="shared" si="134"/>
        <v>8</v>
      </c>
      <c r="AA332" s="38">
        <f t="shared" si="131"/>
        <v>0</v>
      </c>
      <c r="AB332" s="38">
        <f t="shared" si="142"/>
        <v>0</v>
      </c>
      <c r="AC332" s="38">
        <f t="shared" si="143"/>
        <v>0</v>
      </c>
      <c r="AD332" s="38">
        <f t="shared" si="144"/>
        <v>0</v>
      </c>
      <c r="AE332" s="38">
        <f t="shared" si="145"/>
        <v>0</v>
      </c>
      <c r="AF332" s="38">
        <f t="shared" si="146"/>
        <v>0</v>
      </c>
      <c r="AG332" s="33">
        <f t="shared" si="147"/>
        <v>0</v>
      </c>
      <c r="AH332" s="33">
        <f t="shared" si="148"/>
        <v>0</v>
      </c>
      <c r="AI332" s="33">
        <f t="shared" si="149"/>
        <v>0</v>
      </c>
      <c r="AJ332" s="33">
        <f t="shared" si="150"/>
        <v>0</v>
      </c>
      <c r="AK332" s="34">
        <f t="shared" si="151"/>
        <v>0</v>
      </c>
      <c r="AL332" s="35">
        <f t="shared" si="152"/>
        <v>0</v>
      </c>
      <c r="AM332" s="34">
        <f t="shared" si="135"/>
        <v>0</v>
      </c>
      <c r="AN332" s="36">
        <f t="shared" si="153"/>
        <v>0</v>
      </c>
      <c r="AO332" s="6">
        <f t="shared" si="136"/>
        <v>0</v>
      </c>
      <c r="AP332">
        <f t="shared" si="137"/>
        <v>8</v>
      </c>
      <c r="AQ332" s="6">
        <f t="shared" si="138"/>
        <v>0</v>
      </c>
      <c r="AR332" s="6">
        <f t="shared" si="139"/>
        <v>0</v>
      </c>
      <c r="AS332" s="6"/>
      <c r="AX332" s="95">
        <f t="shared" si="140"/>
        <v>42455</v>
      </c>
      <c r="AY332" s="96" t="str">
        <f t="shared" si="141"/>
        <v>sáb</v>
      </c>
      <c r="AZ332" s="97">
        <f>IF(OR(AY332="SÁB",AY332="DOM"),0,IFERROR(8-VLOOKUP(C332,'Dados de consulta'!$A$2:$C$38,3,0),8))</f>
        <v>0</v>
      </c>
      <c r="BA332" s="97">
        <f>IF(OR(AY332="SÁB",AY332="DOM"),0,IFERROR(8-VLOOKUP(D332,'Dados de consulta'!$A$2:$C$38,3,0),8))</f>
        <v>0</v>
      </c>
      <c r="BB332" s="97">
        <f>IF(OR(AY332="SÁB",AY332="DOM"),0,IFERROR(8-VLOOKUP(E332,'Dados de consulta'!$A$2:$C$38,3,0),8))</f>
        <v>0</v>
      </c>
      <c r="BC332" s="97">
        <f>IF(OR(AY332="SÁB",AY332="DOM"),0,IFERROR(8-VLOOKUP(F332,'Dados de consulta'!$A$2:$C$38,3,0),8))</f>
        <v>0</v>
      </c>
      <c r="BD332" s="97">
        <f>IF(OR(AY332="SÁB",AY332="DOM"),0,IFERROR(8-VLOOKUP(G332,'Dados de consulta'!$A$2:$C$38,3,0),8))</f>
        <v>0</v>
      </c>
      <c r="BE332" s="97">
        <f>IF(OR(AY332="SÁB",AY332="DOM"),0,IFERROR(8-VLOOKUP(H332,'Dados de consulta'!$A$2:$C$38,3,0),8))</f>
        <v>0</v>
      </c>
      <c r="BF332" s="97">
        <f>IF(OR(AY332="SÁB",AY332="DOM"),0,IFERROR(8-VLOOKUP(I332,'Dados de consulta'!$A$2:$C$38,3,0),8))</f>
        <v>0</v>
      </c>
      <c r="BG332" s="97">
        <f>IF(OR(AY332="SÁB",AY332="DOM"),0,IFERROR(8-VLOOKUP(J332,'Dados de consulta'!$A$2:$C$38,3,0),8))</f>
        <v>0</v>
      </c>
      <c r="BH332" s="97">
        <f>IF(OR(AY332="SÁB",AY332="DOM"),0,IFERROR(8-VLOOKUP(K332,'Dados de consulta'!$A$2:$C$38,3,0),8))</f>
        <v>0</v>
      </c>
      <c r="BI332" s="97">
        <f>IF(OR(AY332="SÁB",AY332="DOM"),0,IFERROR(8-VLOOKUP(L332,'Dados de consulta'!$A$2:$C$38,3,0),8))</f>
        <v>0</v>
      </c>
      <c r="BJ332" s="97">
        <f>IF(OR(AY332="SÁB",AY332="DOM"),0,IFERROR(8-VLOOKUP(M332,'Dados de consulta'!$A$2:$C$38,3,0),8))</f>
        <v>0</v>
      </c>
      <c r="BK332" s="97">
        <f>IF(OR(AY332="SÁB",AY332="DOM"),0,IFERROR(8-VLOOKUP(N332,'Dados de consulta'!$A$2:$C$38,3,0),8))</f>
        <v>0</v>
      </c>
      <c r="BL332" s="97">
        <f>IF(OR(AY332="SÁB",AY332="DOM"),0,IFERROR(8-VLOOKUP(O332,'Dados de consulta'!$A$2:$C$38,3,0),8))</f>
        <v>0</v>
      </c>
      <c r="BM332" s="97">
        <f>IF(OR(AY332="SÁB",AY332="DOM"),0,IFERROR(8-VLOOKUP(P332,'Dados de consulta'!$A$2:$C$38,3,0),8))</f>
        <v>0</v>
      </c>
      <c r="BN332" s="97">
        <f>IF(OR(AY332="SÁB",AY332="DOM"),0,IFERROR(8-VLOOKUP(Q332,'Dados de consulta'!$A$2:$C$38,3,0),8))</f>
        <v>0</v>
      </c>
      <c r="BO332" s="97">
        <f>IF(OR(AY332="SÁB",AY332="DOM"),0,IFERROR(8-VLOOKUP(R332,'Dados de consulta'!$A$2:$C$38,3,0),8))</f>
        <v>0</v>
      </c>
      <c r="BP332" s="97">
        <f>IF(OR(AY332="SÁB",AY332="DOM"),0,IFERROR(8-VLOOKUP(S332,'Dados de consulta'!$A$2:$C$38,3,0),8))</f>
        <v>0</v>
      </c>
      <c r="BQ332" s="113">
        <f>IFERROR(6-VLOOKUP(T332,'Dados de consulta'!$A$2:$C$38,3,0)+2,6)</f>
        <v>6</v>
      </c>
      <c r="BR332" s="114">
        <f t="shared" si="154"/>
        <v>0</v>
      </c>
      <c r="BS332">
        <f t="shared" si="130"/>
        <v>0</v>
      </c>
      <c r="BU332">
        <f>IFERROR(8-VLOOKUP(U332,'Dados de consulta'!$A:$D,3,0),8)</f>
        <v>8</v>
      </c>
      <c r="BV332">
        <f>IFERROR(8-VLOOKUP(V332,'Dados de consulta'!$A:$D,3,0),8)</f>
        <v>8</v>
      </c>
      <c r="BW332">
        <f t="shared" si="155"/>
        <v>16</v>
      </c>
    </row>
    <row r="333" spans="1:75" ht="15" hidden="1" x14ac:dyDescent="0.2">
      <c r="A333" s="98">
        <v>42456</v>
      </c>
      <c r="B333" s="129" t="str">
        <f t="shared" si="132"/>
        <v>dom</v>
      </c>
      <c r="C333" s="132"/>
      <c r="D333" s="132"/>
      <c r="E333" s="132"/>
      <c r="F333" s="132">
        <v>18</v>
      </c>
      <c r="G333" s="132"/>
      <c r="H333" s="132"/>
      <c r="I333" s="132"/>
      <c r="J333" s="132"/>
      <c r="K333" s="132"/>
      <c r="L333" s="132"/>
      <c r="M333" s="132">
        <v>101</v>
      </c>
      <c r="N333" s="132"/>
      <c r="O333" s="132"/>
      <c r="P333" s="132"/>
      <c r="Q333" s="132"/>
      <c r="R333" s="132"/>
      <c r="S333" s="132"/>
      <c r="T333" s="132"/>
      <c r="U333" s="151"/>
      <c r="V333" s="151"/>
      <c r="W333" s="307" t="s">
        <v>193</v>
      </c>
      <c r="X333" s="308"/>
      <c r="Y333" s="38">
        <f t="shared" si="133"/>
        <v>0</v>
      </c>
      <c r="Z333" s="38">
        <f t="shared" si="134"/>
        <v>8</v>
      </c>
      <c r="AA333" s="38">
        <f t="shared" si="131"/>
        <v>0</v>
      </c>
      <c r="AB333" s="38">
        <f t="shared" si="142"/>
        <v>0</v>
      </c>
      <c r="AC333" s="38">
        <f t="shared" si="143"/>
        <v>0</v>
      </c>
      <c r="AD333" s="38">
        <f t="shared" si="144"/>
        <v>0</v>
      </c>
      <c r="AE333" s="38">
        <f t="shared" si="145"/>
        <v>0</v>
      </c>
      <c r="AF333" s="38">
        <f t="shared" si="146"/>
        <v>0</v>
      </c>
      <c r="AG333" s="33">
        <f t="shared" si="147"/>
        <v>0</v>
      </c>
      <c r="AH333" s="33">
        <f t="shared" si="148"/>
        <v>0</v>
      </c>
      <c r="AI333" s="33">
        <f t="shared" si="149"/>
        <v>0</v>
      </c>
      <c r="AJ333" s="33">
        <f t="shared" si="150"/>
        <v>0</v>
      </c>
      <c r="AK333" s="34">
        <f t="shared" si="151"/>
        <v>0</v>
      </c>
      <c r="AL333" s="35">
        <f t="shared" si="152"/>
        <v>0</v>
      </c>
      <c r="AM333" s="34">
        <f t="shared" si="135"/>
        <v>0</v>
      </c>
      <c r="AN333" s="36">
        <f t="shared" si="153"/>
        <v>0</v>
      </c>
      <c r="AO333" s="6">
        <f t="shared" si="136"/>
        <v>0</v>
      </c>
      <c r="AP333">
        <f t="shared" si="137"/>
        <v>8</v>
      </c>
      <c r="AQ333" s="6">
        <f t="shared" si="138"/>
        <v>0</v>
      </c>
      <c r="AR333" s="6">
        <f t="shared" si="139"/>
        <v>0</v>
      </c>
      <c r="AS333" s="6"/>
      <c r="AX333" s="95">
        <f t="shared" si="140"/>
        <v>42456</v>
      </c>
      <c r="AY333" s="96" t="str">
        <f t="shared" si="141"/>
        <v>dom</v>
      </c>
      <c r="AZ333" s="97">
        <f>IF(OR(AY333="SÁB",AY333="DOM"),0,IFERROR(8-VLOOKUP(C333,'Dados de consulta'!$A$2:$C$38,3,0),8))</f>
        <v>0</v>
      </c>
      <c r="BA333" s="97">
        <f>IF(OR(AY333="SÁB",AY333="DOM"),0,IFERROR(8-VLOOKUP(D333,'Dados de consulta'!$A$2:$C$38,3,0),8))</f>
        <v>0</v>
      </c>
      <c r="BB333" s="97">
        <f>IF(OR(AY333="SÁB",AY333="DOM"),0,IFERROR(8-VLOOKUP(E333,'Dados de consulta'!$A$2:$C$38,3,0),8))</f>
        <v>0</v>
      </c>
      <c r="BC333" s="97">
        <f>IF(OR(AY333="SÁB",AY333="DOM"),0,IFERROR(8-VLOOKUP(F333,'Dados de consulta'!$A$2:$C$38,3,0),8))</f>
        <v>0</v>
      </c>
      <c r="BD333" s="97">
        <f>IF(OR(AY333="SÁB",AY333="DOM"),0,IFERROR(8-VLOOKUP(G333,'Dados de consulta'!$A$2:$C$38,3,0),8))</f>
        <v>0</v>
      </c>
      <c r="BE333" s="97">
        <f>IF(OR(AY333="SÁB",AY333="DOM"),0,IFERROR(8-VLOOKUP(H333,'Dados de consulta'!$A$2:$C$38,3,0),8))</f>
        <v>0</v>
      </c>
      <c r="BF333" s="97">
        <f>IF(OR(AY333="SÁB",AY333="DOM"),0,IFERROR(8-VLOOKUP(I333,'Dados de consulta'!$A$2:$C$38,3,0),8))</f>
        <v>0</v>
      </c>
      <c r="BG333" s="97">
        <f>IF(OR(AY333="SÁB",AY333="DOM"),0,IFERROR(8-VLOOKUP(J333,'Dados de consulta'!$A$2:$C$38,3,0),8))</f>
        <v>0</v>
      </c>
      <c r="BH333" s="97">
        <f>IF(OR(AY333="SÁB",AY333="DOM"),0,IFERROR(8-VLOOKUP(K333,'Dados de consulta'!$A$2:$C$38,3,0),8))</f>
        <v>0</v>
      </c>
      <c r="BI333" s="97">
        <f>IF(OR(AY333="SÁB",AY333="DOM"),0,IFERROR(8-VLOOKUP(L333,'Dados de consulta'!$A$2:$C$38,3,0),8))</f>
        <v>0</v>
      </c>
      <c r="BJ333" s="97">
        <f>IF(OR(AY333="SÁB",AY333="DOM"),0,IFERROR(8-VLOOKUP(M333,'Dados de consulta'!$A$2:$C$38,3,0),8))</f>
        <v>0</v>
      </c>
      <c r="BK333" s="97">
        <f>IF(OR(AY333="SÁB",AY333="DOM"),0,IFERROR(8-VLOOKUP(N333,'Dados de consulta'!$A$2:$C$38,3,0),8))</f>
        <v>0</v>
      </c>
      <c r="BL333" s="97">
        <f>IF(OR(AY333="SÁB",AY333="DOM"),0,IFERROR(8-VLOOKUP(O333,'Dados de consulta'!$A$2:$C$38,3,0),8))</f>
        <v>0</v>
      </c>
      <c r="BM333" s="97">
        <f>IF(OR(AY333="SÁB",AY333="DOM"),0,IFERROR(8-VLOOKUP(P333,'Dados de consulta'!$A$2:$C$38,3,0),8))</f>
        <v>0</v>
      </c>
      <c r="BN333" s="97">
        <f>IF(OR(AY333="SÁB",AY333="DOM"),0,IFERROR(8-VLOOKUP(Q333,'Dados de consulta'!$A$2:$C$38,3,0),8))</f>
        <v>0</v>
      </c>
      <c r="BO333" s="97">
        <f>IF(OR(AY333="SÁB",AY333="DOM"),0,IFERROR(8-VLOOKUP(R333,'Dados de consulta'!$A$2:$C$38,3,0),8))</f>
        <v>0</v>
      </c>
      <c r="BP333" s="97">
        <f>IF(OR(AY333="SÁB",AY333="DOM"),0,IFERROR(8-VLOOKUP(S333,'Dados de consulta'!$A$2:$C$38,3,0),8))</f>
        <v>0</v>
      </c>
      <c r="BQ333" s="113">
        <f>IFERROR(6-VLOOKUP(T333,'Dados de consulta'!$A$2:$C$38,3,0)+2,6)</f>
        <v>6</v>
      </c>
      <c r="BR333" s="114">
        <f t="shared" si="154"/>
        <v>0</v>
      </c>
      <c r="BS333">
        <f t="shared" si="130"/>
        <v>0</v>
      </c>
      <c r="BU333">
        <f>IFERROR(8-VLOOKUP(U333,'Dados de consulta'!$A:$D,3,0),8)</f>
        <v>8</v>
      </c>
      <c r="BV333">
        <f>IFERROR(8-VLOOKUP(V333,'Dados de consulta'!$A:$D,3,0),8)</f>
        <v>8</v>
      </c>
      <c r="BW333">
        <f t="shared" si="155"/>
        <v>16</v>
      </c>
    </row>
    <row r="334" spans="1:75" ht="15" hidden="1" x14ac:dyDescent="0.2">
      <c r="A334" s="98">
        <v>42457</v>
      </c>
      <c r="B334" s="129" t="str">
        <f t="shared" si="132"/>
        <v>seg</v>
      </c>
      <c r="C334" s="132"/>
      <c r="D334" s="132"/>
      <c r="E334" s="132">
        <v>8</v>
      </c>
      <c r="F334" s="132">
        <v>18</v>
      </c>
      <c r="G334" s="132"/>
      <c r="H334" s="132"/>
      <c r="I334" s="132"/>
      <c r="J334" s="132"/>
      <c r="K334" s="132"/>
      <c r="L334" s="132"/>
      <c r="M334" s="132">
        <v>101</v>
      </c>
      <c r="N334" s="132"/>
      <c r="O334" s="132"/>
      <c r="P334" s="132"/>
      <c r="Q334" s="132"/>
      <c r="R334" s="132"/>
      <c r="S334" s="132"/>
      <c r="T334" s="132"/>
      <c r="U334" s="151"/>
      <c r="V334" s="151"/>
      <c r="W334" s="307" t="s">
        <v>193</v>
      </c>
      <c r="X334" s="308"/>
      <c r="Y334" s="38">
        <f t="shared" si="133"/>
        <v>8</v>
      </c>
      <c r="Z334" s="38">
        <f t="shared" si="134"/>
        <v>8</v>
      </c>
      <c r="AA334" s="38">
        <f t="shared" si="131"/>
        <v>0</v>
      </c>
      <c r="AB334" s="38">
        <f t="shared" si="142"/>
        <v>0</v>
      </c>
      <c r="AC334" s="38">
        <f t="shared" si="143"/>
        <v>0</v>
      </c>
      <c r="AD334" s="38">
        <f t="shared" si="144"/>
        <v>0</v>
      </c>
      <c r="AE334" s="38">
        <f t="shared" si="145"/>
        <v>0</v>
      </c>
      <c r="AF334" s="38">
        <f t="shared" si="146"/>
        <v>0</v>
      </c>
      <c r="AG334" s="33">
        <f t="shared" si="147"/>
        <v>8</v>
      </c>
      <c r="AH334" s="33">
        <f t="shared" si="148"/>
        <v>8</v>
      </c>
      <c r="AI334" s="33">
        <f t="shared" si="149"/>
        <v>0</v>
      </c>
      <c r="AJ334" s="33">
        <f t="shared" si="150"/>
        <v>0</v>
      </c>
      <c r="AK334" s="34">
        <f t="shared" si="151"/>
        <v>5.6338028169014086E-2</v>
      </c>
      <c r="AL334" s="35">
        <f t="shared" si="152"/>
        <v>5.6338028169014086E-2</v>
      </c>
      <c r="AM334" s="34">
        <f t="shared" si="135"/>
        <v>0</v>
      </c>
      <c r="AN334" s="36">
        <f t="shared" si="153"/>
        <v>0</v>
      </c>
      <c r="AO334" s="6">
        <f t="shared" si="136"/>
        <v>0</v>
      </c>
      <c r="AP334">
        <f t="shared" si="137"/>
        <v>8</v>
      </c>
      <c r="AQ334" s="6">
        <f t="shared" si="138"/>
        <v>0</v>
      </c>
      <c r="AR334" s="6">
        <f t="shared" si="139"/>
        <v>0</v>
      </c>
      <c r="AS334" s="6"/>
      <c r="AX334" s="95">
        <f t="shared" si="140"/>
        <v>42457</v>
      </c>
      <c r="AY334" s="96" t="str">
        <f t="shared" si="141"/>
        <v>seg</v>
      </c>
      <c r="AZ334" s="97">
        <f>IF(OR(AY334="SÁB",AY334="DOM"),0,IFERROR(8-VLOOKUP(C334,'Dados de consulta'!$A$2:$C$38,3,0),8))</f>
        <v>8</v>
      </c>
      <c r="BA334" s="97">
        <f>IF(OR(AY334="SÁB",AY334="DOM"),0,IFERROR(8-VLOOKUP(D334,'Dados de consulta'!$A$2:$C$38,3,0),8))</f>
        <v>8</v>
      </c>
      <c r="BB334" s="97">
        <f>IF(OR(AY334="SÁB",AY334="DOM"),0,IFERROR(8-VLOOKUP(E334,'Dados de consulta'!$A$2:$C$38,3,0),8))</f>
        <v>0</v>
      </c>
      <c r="BC334" s="97">
        <f>IF(OR(AY334="SÁB",AY334="DOM"),0,IFERROR(8-VLOOKUP(F334,'Dados de consulta'!$A$2:$C$38,3,0),8))</f>
        <v>0</v>
      </c>
      <c r="BD334" s="97">
        <f>IF(OR(AY334="SÁB",AY334="DOM"),0,IFERROR(8-VLOOKUP(G334,'Dados de consulta'!$A$2:$C$38,3,0),8))</f>
        <v>8</v>
      </c>
      <c r="BE334" s="97">
        <f>IF(OR(AY334="SÁB",AY334="DOM"),0,IFERROR(8-VLOOKUP(H334,'Dados de consulta'!$A$2:$C$38,3,0),8))</f>
        <v>8</v>
      </c>
      <c r="BF334" s="97">
        <f>IF(OR(AY334="SÁB",AY334="DOM"),0,IFERROR(8-VLOOKUP(I334,'Dados de consulta'!$A$2:$C$38,3,0),8))</f>
        <v>8</v>
      </c>
      <c r="BG334" s="97">
        <f>IF(OR(AY334="SÁB",AY334="DOM"),0,IFERROR(8-VLOOKUP(J334,'Dados de consulta'!$A$2:$C$38,3,0),8))</f>
        <v>8</v>
      </c>
      <c r="BH334" s="97">
        <f>IF(OR(AY334="SÁB",AY334="DOM"),0,IFERROR(8-VLOOKUP(K334,'Dados de consulta'!$A$2:$C$38,3,0),8))</f>
        <v>8</v>
      </c>
      <c r="BI334" s="97">
        <f>IF(OR(AY334="SÁB",AY334="DOM"),0,IFERROR(8-VLOOKUP(L334,'Dados de consulta'!$A$2:$C$38,3,0),8))</f>
        <v>8</v>
      </c>
      <c r="BJ334" s="97">
        <f>IF(OR(AY334="SÁB",AY334="DOM"),0,IFERROR(8-VLOOKUP(M334,'Dados de consulta'!$A$2:$C$38,3,0),8))</f>
        <v>0</v>
      </c>
      <c r="BK334" s="97">
        <f>IF(OR(AY334="SÁB",AY334="DOM"),0,IFERROR(8-VLOOKUP(N334,'Dados de consulta'!$A$2:$C$38,3,0),8))</f>
        <v>8</v>
      </c>
      <c r="BL334" s="97">
        <f>IF(OR(AY334="SÁB",AY334="DOM"),0,IFERROR(8-VLOOKUP(O334,'Dados de consulta'!$A$2:$C$38,3,0),8))</f>
        <v>8</v>
      </c>
      <c r="BM334" s="97">
        <f>IF(OR(AY334="SÁB",AY334="DOM"),0,IFERROR(8-VLOOKUP(P334,'Dados de consulta'!$A$2:$C$38,3,0),8))</f>
        <v>8</v>
      </c>
      <c r="BN334" s="97">
        <f>IF(OR(AY334="SÁB",AY334="DOM"),0,IFERROR(8-VLOOKUP(Q334,'Dados de consulta'!$A$2:$C$38,3,0),8))</f>
        <v>8</v>
      </c>
      <c r="BO334" s="97">
        <f>IF(OR(AY334="SÁB",AY334="DOM"),0,IFERROR(8-VLOOKUP(R334,'Dados de consulta'!$A$2:$C$38,3,0),8))</f>
        <v>8</v>
      </c>
      <c r="BP334" s="97">
        <f>IF(OR(AY334="SÁB",AY334="DOM"),0,IFERROR(8-VLOOKUP(S334,'Dados de consulta'!$A$2:$C$38,3,0),8))</f>
        <v>8</v>
      </c>
      <c r="BQ334" s="113">
        <f>IFERROR(6-VLOOKUP(T334,'Dados de consulta'!$A$2:$C$38,3,0)+2,6)</f>
        <v>6</v>
      </c>
      <c r="BR334" s="114">
        <f t="shared" si="154"/>
        <v>118</v>
      </c>
      <c r="BS334">
        <f t="shared" si="130"/>
        <v>134</v>
      </c>
      <c r="BU334">
        <f>IFERROR(8-VLOOKUP(U334,'Dados de consulta'!$A:$D,3,0),8)</f>
        <v>8</v>
      </c>
      <c r="BV334">
        <f>IFERROR(8-VLOOKUP(V334,'Dados de consulta'!$A:$D,3,0),8)</f>
        <v>8</v>
      </c>
      <c r="BW334">
        <f t="shared" si="155"/>
        <v>16</v>
      </c>
    </row>
    <row r="335" spans="1:75" ht="15" hidden="1" x14ac:dyDescent="0.2">
      <c r="A335" s="98">
        <v>42458</v>
      </c>
      <c r="B335" s="129" t="str">
        <f t="shared" si="132"/>
        <v>ter</v>
      </c>
      <c r="C335" s="132"/>
      <c r="D335" s="132"/>
      <c r="E335" s="132">
        <v>8</v>
      </c>
      <c r="F335" s="132">
        <v>18</v>
      </c>
      <c r="G335" s="132"/>
      <c r="H335" s="132"/>
      <c r="I335" s="132"/>
      <c r="J335" s="132"/>
      <c r="K335" s="132"/>
      <c r="L335" s="132"/>
      <c r="M335" s="132">
        <v>101</v>
      </c>
      <c r="N335" s="132"/>
      <c r="O335" s="132"/>
      <c r="P335" s="132"/>
      <c r="Q335" s="132"/>
      <c r="R335" s="132" t="s">
        <v>198</v>
      </c>
      <c r="S335" s="132"/>
      <c r="T335" s="132"/>
      <c r="U335" s="151"/>
      <c r="V335" s="151"/>
      <c r="W335" s="307" t="s">
        <v>193</v>
      </c>
      <c r="X335" s="308"/>
      <c r="Y335" s="38">
        <f t="shared" si="133"/>
        <v>12</v>
      </c>
      <c r="Z335" s="38">
        <f t="shared" si="134"/>
        <v>8</v>
      </c>
      <c r="AA335" s="38">
        <f t="shared" si="131"/>
        <v>0</v>
      </c>
      <c r="AB335" s="38">
        <f t="shared" si="142"/>
        <v>0</v>
      </c>
      <c r="AC335" s="38">
        <f t="shared" si="143"/>
        <v>0</v>
      </c>
      <c r="AD335" s="38">
        <f t="shared" si="144"/>
        <v>0</v>
      </c>
      <c r="AE335" s="38">
        <f t="shared" si="145"/>
        <v>0</v>
      </c>
      <c r="AF335" s="38">
        <f t="shared" si="146"/>
        <v>0</v>
      </c>
      <c r="AG335" s="33">
        <f t="shared" si="147"/>
        <v>12</v>
      </c>
      <c r="AH335" s="33">
        <f t="shared" si="148"/>
        <v>8</v>
      </c>
      <c r="AI335" s="33">
        <f t="shared" si="149"/>
        <v>0</v>
      </c>
      <c r="AJ335" s="33">
        <f t="shared" si="150"/>
        <v>0</v>
      </c>
      <c r="AK335" s="34">
        <f t="shared" si="151"/>
        <v>8.4507042253521125E-2</v>
      </c>
      <c r="AL335" s="35">
        <f t="shared" si="152"/>
        <v>5.6338028169014086E-2</v>
      </c>
      <c r="AM335" s="34">
        <f t="shared" si="135"/>
        <v>0</v>
      </c>
      <c r="AN335" s="36">
        <f t="shared" si="153"/>
        <v>0</v>
      </c>
      <c r="AO335" s="6">
        <f t="shared" si="136"/>
        <v>0</v>
      </c>
      <c r="AP335">
        <f t="shared" si="137"/>
        <v>8</v>
      </c>
      <c r="AQ335" s="6">
        <f t="shared" si="138"/>
        <v>0</v>
      </c>
      <c r="AR335" s="6">
        <f t="shared" si="139"/>
        <v>0</v>
      </c>
      <c r="AS335" s="6"/>
      <c r="AX335" s="95">
        <f t="shared" si="140"/>
        <v>42458</v>
      </c>
      <c r="AY335" s="96" t="str">
        <f t="shared" si="141"/>
        <v>ter</v>
      </c>
      <c r="AZ335" s="97">
        <f>IF(OR(AY335="SÁB",AY335="DOM"),0,IFERROR(8-VLOOKUP(C335,'Dados de consulta'!$A$2:$C$38,3,0),8))</f>
        <v>8</v>
      </c>
      <c r="BA335" s="97">
        <f>IF(OR(AY335="SÁB",AY335="DOM"),0,IFERROR(8-VLOOKUP(D335,'Dados de consulta'!$A$2:$C$38,3,0),8))</f>
        <v>8</v>
      </c>
      <c r="BB335" s="97">
        <f>IF(OR(AY335="SÁB",AY335="DOM"),0,IFERROR(8-VLOOKUP(E335,'Dados de consulta'!$A$2:$C$38,3,0),8))</f>
        <v>0</v>
      </c>
      <c r="BC335" s="97">
        <f>IF(OR(AY335="SÁB",AY335="DOM"),0,IFERROR(8-VLOOKUP(F335,'Dados de consulta'!$A$2:$C$38,3,0),8))</f>
        <v>0</v>
      </c>
      <c r="BD335" s="97">
        <f>IF(OR(AY335="SÁB",AY335="DOM"),0,IFERROR(8-VLOOKUP(G335,'Dados de consulta'!$A$2:$C$38,3,0),8))</f>
        <v>8</v>
      </c>
      <c r="BE335" s="97">
        <f>IF(OR(AY335="SÁB",AY335="DOM"),0,IFERROR(8-VLOOKUP(H335,'Dados de consulta'!$A$2:$C$38,3,0),8))</f>
        <v>8</v>
      </c>
      <c r="BF335" s="97">
        <f>IF(OR(AY335="SÁB",AY335="DOM"),0,IFERROR(8-VLOOKUP(I335,'Dados de consulta'!$A$2:$C$38,3,0),8))</f>
        <v>8</v>
      </c>
      <c r="BG335" s="97">
        <f>IF(OR(AY335="SÁB",AY335="DOM"),0,IFERROR(8-VLOOKUP(J335,'Dados de consulta'!$A$2:$C$38,3,0),8))</f>
        <v>8</v>
      </c>
      <c r="BH335" s="97">
        <f>IF(OR(AY335="SÁB",AY335="DOM"),0,IFERROR(8-VLOOKUP(K335,'Dados de consulta'!$A$2:$C$38,3,0),8))</f>
        <v>8</v>
      </c>
      <c r="BI335" s="97">
        <f>IF(OR(AY335="SÁB",AY335="DOM"),0,IFERROR(8-VLOOKUP(L335,'Dados de consulta'!$A$2:$C$38,3,0),8))</f>
        <v>8</v>
      </c>
      <c r="BJ335" s="97">
        <f>IF(OR(AY335="SÁB",AY335="DOM"),0,IFERROR(8-VLOOKUP(M335,'Dados de consulta'!$A$2:$C$38,3,0),8))</f>
        <v>0</v>
      </c>
      <c r="BK335" s="97">
        <f>IF(OR(AY335="SÁB",AY335="DOM"),0,IFERROR(8-VLOOKUP(N335,'Dados de consulta'!$A$2:$C$38,3,0),8))</f>
        <v>8</v>
      </c>
      <c r="BL335" s="97">
        <f>IF(OR(AY335="SÁB",AY335="DOM"),0,IFERROR(8-VLOOKUP(O335,'Dados de consulta'!$A$2:$C$38,3,0),8))</f>
        <v>8</v>
      </c>
      <c r="BM335" s="97">
        <f>IF(OR(AY335="SÁB",AY335="DOM"),0,IFERROR(8-VLOOKUP(P335,'Dados de consulta'!$A$2:$C$38,3,0),8))</f>
        <v>8</v>
      </c>
      <c r="BN335" s="97">
        <f>IF(OR(AY335="SÁB",AY335="DOM"),0,IFERROR(8-VLOOKUP(Q335,'Dados de consulta'!$A$2:$C$38,3,0),8))</f>
        <v>8</v>
      </c>
      <c r="BO335" s="97">
        <f>IF(OR(AY335="SÁB",AY335="DOM"),0,IFERROR(8-VLOOKUP(R335,'Dados de consulta'!$A$2:$C$38,3,0),8))</f>
        <v>4</v>
      </c>
      <c r="BP335" s="97">
        <f>IF(OR(AY335="SÁB",AY335="DOM"),0,IFERROR(8-VLOOKUP(S335,'Dados de consulta'!$A$2:$C$38,3,0),8))</f>
        <v>8</v>
      </c>
      <c r="BQ335" s="113">
        <f>IFERROR(6-VLOOKUP(T335,'Dados de consulta'!$A$2:$C$38,3,0)+2,6)</f>
        <v>6</v>
      </c>
      <c r="BR335" s="114">
        <f t="shared" si="154"/>
        <v>114</v>
      </c>
      <c r="BS335">
        <f t="shared" si="130"/>
        <v>134</v>
      </c>
      <c r="BU335">
        <f>IFERROR(8-VLOOKUP(U335,'Dados de consulta'!$A:$D,3,0),8)</f>
        <v>8</v>
      </c>
      <c r="BV335">
        <f>IFERROR(8-VLOOKUP(V335,'Dados de consulta'!$A:$D,3,0),8)</f>
        <v>8</v>
      </c>
      <c r="BW335">
        <f t="shared" si="155"/>
        <v>16</v>
      </c>
    </row>
    <row r="336" spans="1:75" ht="15" hidden="1" x14ac:dyDescent="0.2">
      <c r="A336" s="98">
        <v>42459</v>
      </c>
      <c r="B336" s="129" t="str">
        <f t="shared" si="132"/>
        <v>qua</v>
      </c>
      <c r="C336" s="132"/>
      <c r="D336" s="132"/>
      <c r="E336" s="132">
        <v>8</v>
      </c>
      <c r="F336" s="132">
        <v>18</v>
      </c>
      <c r="G336" s="132"/>
      <c r="H336" s="132"/>
      <c r="I336" s="132"/>
      <c r="J336" s="132"/>
      <c r="K336" s="132"/>
      <c r="L336" s="132"/>
      <c r="M336" s="132">
        <v>101</v>
      </c>
      <c r="N336" s="132"/>
      <c r="O336" s="132"/>
      <c r="P336" s="132"/>
      <c r="Q336" s="132"/>
      <c r="R336" s="132"/>
      <c r="S336" s="132"/>
      <c r="T336" s="132"/>
      <c r="U336" s="151"/>
      <c r="V336" s="151"/>
      <c r="W336" s="307" t="s">
        <v>193</v>
      </c>
      <c r="X336" s="308"/>
      <c r="Y336" s="38">
        <f t="shared" si="133"/>
        <v>8</v>
      </c>
      <c r="Z336" s="38">
        <f t="shared" si="134"/>
        <v>8</v>
      </c>
      <c r="AA336" s="38">
        <f t="shared" si="131"/>
        <v>0</v>
      </c>
      <c r="AB336" s="38">
        <f t="shared" si="142"/>
        <v>0</v>
      </c>
      <c r="AC336" s="38">
        <f t="shared" si="143"/>
        <v>0</v>
      </c>
      <c r="AD336" s="38">
        <f t="shared" si="144"/>
        <v>0</v>
      </c>
      <c r="AE336" s="38">
        <f t="shared" si="145"/>
        <v>0</v>
      </c>
      <c r="AF336" s="38">
        <f t="shared" si="146"/>
        <v>0</v>
      </c>
      <c r="AG336" s="33">
        <f t="shared" si="147"/>
        <v>8</v>
      </c>
      <c r="AH336" s="33">
        <f t="shared" si="148"/>
        <v>8</v>
      </c>
      <c r="AI336" s="33">
        <f t="shared" si="149"/>
        <v>0</v>
      </c>
      <c r="AJ336" s="33">
        <f t="shared" si="150"/>
        <v>0</v>
      </c>
      <c r="AK336" s="34">
        <f t="shared" si="151"/>
        <v>5.6338028169014086E-2</v>
      </c>
      <c r="AL336" s="35">
        <f t="shared" si="152"/>
        <v>5.6338028169014086E-2</v>
      </c>
      <c r="AM336" s="34">
        <f t="shared" si="135"/>
        <v>0</v>
      </c>
      <c r="AN336" s="36">
        <f t="shared" si="153"/>
        <v>0</v>
      </c>
      <c r="AO336" s="6">
        <f t="shared" si="136"/>
        <v>0</v>
      </c>
      <c r="AP336">
        <f t="shared" si="137"/>
        <v>8</v>
      </c>
      <c r="AQ336" s="6">
        <f t="shared" si="138"/>
        <v>0</v>
      </c>
      <c r="AR336" s="6">
        <f t="shared" si="139"/>
        <v>0</v>
      </c>
      <c r="AS336" s="6"/>
      <c r="AX336" s="95">
        <f t="shared" si="140"/>
        <v>42459</v>
      </c>
      <c r="AY336" s="96" t="str">
        <f t="shared" si="141"/>
        <v>qua</v>
      </c>
      <c r="AZ336" s="97">
        <f>IF(OR(AY336="SÁB",AY336="DOM"),0,IFERROR(8-VLOOKUP(C336,'Dados de consulta'!$A$2:$C$38,3,0),8))</f>
        <v>8</v>
      </c>
      <c r="BA336" s="97">
        <f>IF(OR(AY336="SÁB",AY336="DOM"),0,IFERROR(8-VLOOKUP(D336,'Dados de consulta'!$A$2:$C$38,3,0),8))</f>
        <v>8</v>
      </c>
      <c r="BB336" s="97">
        <f>IF(OR(AY336="SÁB",AY336="DOM"),0,IFERROR(8-VLOOKUP(E336,'Dados de consulta'!$A$2:$C$38,3,0),8))</f>
        <v>0</v>
      </c>
      <c r="BC336" s="97">
        <f>IF(OR(AY336="SÁB",AY336="DOM"),0,IFERROR(8-VLOOKUP(F336,'Dados de consulta'!$A$2:$C$38,3,0),8))</f>
        <v>0</v>
      </c>
      <c r="BD336" s="97">
        <f>IF(OR(AY336="SÁB",AY336="DOM"),0,IFERROR(8-VLOOKUP(G336,'Dados de consulta'!$A$2:$C$38,3,0),8))</f>
        <v>8</v>
      </c>
      <c r="BE336" s="97">
        <f>IF(OR(AY336="SÁB",AY336="DOM"),0,IFERROR(8-VLOOKUP(H336,'Dados de consulta'!$A$2:$C$38,3,0),8))</f>
        <v>8</v>
      </c>
      <c r="BF336" s="97">
        <f>IF(OR(AY336="SÁB",AY336="DOM"),0,IFERROR(8-VLOOKUP(I336,'Dados de consulta'!$A$2:$C$38,3,0),8))</f>
        <v>8</v>
      </c>
      <c r="BG336" s="97">
        <f>IF(OR(AY336="SÁB",AY336="DOM"),0,IFERROR(8-VLOOKUP(J336,'Dados de consulta'!$A$2:$C$38,3,0),8))</f>
        <v>8</v>
      </c>
      <c r="BH336" s="97">
        <f>IF(OR(AY336="SÁB",AY336="DOM"),0,IFERROR(8-VLOOKUP(K336,'Dados de consulta'!$A$2:$C$38,3,0),8))</f>
        <v>8</v>
      </c>
      <c r="BI336" s="97">
        <f>IF(OR(AY336="SÁB",AY336="DOM"),0,IFERROR(8-VLOOKUP(L336,'Dados de consulta'!$A$2:$C$38,3,0),8))</f>
        <v>8</v>
      </c>
      <c r="BJ336" s="97">
        <f>IF(OR(AY336="SÁB",AY336="DOM"),0,IFERROR(8-VLOOKUP(M336,'Dados de consulta'!$A$2:$C$38,3,0),8))</f>
        <v>0</v>
      </c>
      <c r="BK336" s="97">
        <f>IF(OR(AY336="SÁB",AY336="DOM"),0,IFERROR(8-VLOOKUP(N336,'Dados de consulta'!$A$2:$C$38,3,0),8))</f>
        <v>8</v>
      </c>
      <c r="BL336" s="97">
        <f>IF(OR(AY336="SÁB",AY336="DOM"),0,IFERROR(8-VLOOKUP(O336,'Dados de consulta'!$A$2:$C$38,3,0),8))</f>
        <v>8</v>
      </c>
      <c r="BM336" s="97">
        <f>IF(OR(AY336="SÁB",AY336="DOM"),0,IFERROR(8-VLOOKUP(P336,'Dados de consulta'!$A$2:$C$38,3,0),8))</f>
        <v>8</v>
      </c>
      <c r="BN336" s="97">
        <f>IF(OR(AY336="SÁB",AY336="DOM"),0,IFERROR(8-VLOOKUP(Q336,'Dados de consulta'!$A$2:$C$38,3,0),8))</f>
        <v>8</v>
      </c>
      <c r="BO336" s="97">
        <f>IF(OR(AY336="SÁB",AY336="DOM"),0,IFERROR(8-VLOOKUP(R336,'Dados de consulta'!$A$2:$C$38,3,0),8))</f>
        <v>8</v>
      </c>
      <c r="BP336" s="97">
        <f>IF(OR(AY336="SÁB",AY336="DOM"),0,IFERROR(8-VLOOKUP(S336,'Dados de consulta'!$A$2:$C$38,3,0),8))</f>
        <v>8</v>
      </c>
      <c r="BQ336" s="113">
        <f>IFERROR(6-VLOOKUP(T336,'Dados de consulta'!$A$2:$C$38,3,0)+2,6)</f>
        <v>6</v>
      </c>
      <c r="BR336" s="114">
        <f t="shared" si="154"/>
        <v>118</v>
      </c>
      <c r="BS336">
        <f t="shared" si="130"/>
        <v>134</v>
      </c>
      <c r="BU336">
        <f>IFERROR(8-VLOOKUP(U336,'Dados de consulta'!$A:$D,3,0),8)</f>
        <v>8</v>
      </c>
      <c r="BV336">
        <f>IFERROR(8-VLOOKUP(V336,'Dados de consulta'!$A:$D,3,0),8)</f>
        <v>8</v>
      </c>
      <c r="BW336">
        <f t="shared" si="155"/>
        <v>16</v>
      </c>
    </row>
    <row r="337" spans="1:75" ht="15" hidden="1" x14ac:dyDescent="0.2">
      <c r="A337" s="98">
        <v>42460</v>
      </c>
      <c r="B337" s="129" t="str">
        <f t="shared" si="132"/>
        <v>qui</v>
      </c>
      <c r="C337" s="132"/>
      <c r="D337" s="132"/>
      <c r="E337" s="132">
        <v>8</v>
      </c>
      <c r="F337" s="132">
        <v>18</v>
      </c>
      <c r="G337" s="132"/>
      <c r="H337" s="132"/>
      <c r="I337" s="132"/>
      <c r="J337" s="132"/>
      <c r="K337" s="132"/>
      <c r="L337" s="132"/>
      <c r="M337" s="132">
        <v>101</v>
      </c>
      <c r="N337" s="132"/>
      <c r="O337" s="132"/>
      <c r="P337" s="132"/>
      <c r="Q337" s="132"/>
      <c r="R337" s="132" t="s">
        <v>198</v>
      </c>
      <c r="S337" s="132"/>
      <c r="T337" s="132"/>
      <c r="U337" s="151"/>
      <c r="V337" s="151"/>
      <c r="W337" s="307" t="s">
        <v>193</v>
      </c>
      <c r="X337" s="308"/>
      <c r="Y337" s="38">
        <f t="shared" si="133"/>
        <v>12</v>
      </c>
      <c r="Z337" s="38">
        <f t="shared" si="134"/>
        <v>8</v>
      </c>
      <c r="AA337" s="38">
        <f t="shared" si="131"/>
        <v>0</v>
      </c>
      <c r="AB337" s="38">
        <f t="shared" si="142"/>
        <v>0</v>
      </c>
      <c r="AC337" s="38">
        <f t="shared" si="143"/>
        <v>0</v>
      </c>
      <c r="AD337" s="38">
        <f t="shared" si="144"/>
        <v>0</v>
      </c>
      <c r="AE337" s="38">
        <f t="shared" si="145"/>
        <v>0</v>
      </c>
      <c r="AF337" s="38">
        <f t="shared" si="146"/>
        <v>0</v>
      </c>
      <c r="AG337" s="33">
        <f t="shared" si="147"/>
        <v>12</v>
      </c>
      <c r="AH337" s="33">
        <f t="shared" si="148"/>
        <v>8</v>
      </c>
      <c r="AI337" s="33">
        <f t="shared" si="149"/>
        <v>0</v>
      </c>
      <c r="AJ337" s="33">
        <f t="shared" si="150"/>
        <v>0</v>
      </c>
      <c r="AK337" s="34">
        <f t="shared" si="151"/>
        <v>8.4507042253521125E-2</v>
      </c>
      <c r="AL337" s="35">
        <f t="shared" si="152"/>
        <v>5.6338028169014086E-2</v>
      </c>
      <c r="AM337" s="34">
        <f t="shared" si="135"/>
        <v>0</v>
      </c>
      <c r="AN337" s="36">
        <f t="shared" si="153"/>
        <v>0</v>
      </c>
      <c r="AO337" s="6">
        <f t="shared" si="136"/>
        <v>0</v>
      </c>
      <c r="AP337">
        <f t="shared" si="137"/>
        <v>8</v>
      </c>
      <c r="AQ337" s="6">
        <f t="shared" si="138"/>
        <v>0</v>
      </c>
      <c r="AR337" s="6">
        <f t="shared" si="139"/>
        <v>0</v>
      </c>
      <c r="AS337" s="6"/>
      <c r="AX337" s="95">
        <f t="shared" si="140"/>
        <v>42460</v>
      </c>
      <c r="AY337" s="96" t="str">
        <f t="shared" si="141"/>
        <v>qui</v>
      </c>
      <c r="AZ337" s="97">
        <f>IF(OR(AY337="SÁB",AY337="DOM"),0,IFERROR(8-VLOOKUP(C337,'Dados de consulta'!$A$2:$C$38,3,0),8))</f>
        <v>8</v>
      </c>
      <c r="BA337" s="97">
        <f>IF(OR(AY337="SÁB",AY337="DOM"),0,IFERROR(8-VLOOKUP(D337,'Dados de consulta'!$A$2:$C$38,3,0),8))</f>
        <v>8</v>
      </c>
      <c r="BB337" s="97">
        <f>IF(OR(AY337="SÁB",AY337="DOM"),0,IFERROR(8-VLOOKUP(E337,'Dados de consulta'!$A$2:$C$38,3,0),8))</f>
        <v>0</v>
      </c>
      <c r="BC337" s="97">
        <f>IF(OR(AY337="SÁB",AY337="DOM"),0,IFERROR(8-VLOOKUP(F337,'Dados de consulta'!$A$2:$C$38,3,0),8))</f>
        <v>0</v>
      </c>
      <c r="BD337" s="97">
        <f>IF(OR(AY337="SÁB",AY337="DOM"),0,IFERROR(8-VLOOKUP(G337,'Dados de consulta'!$A$2:$C$38,3,0),8))</f>
        <v>8</v>
      </c>
      <c r="BE337" s="97">
        <f>IF(OR(AY337="SÁB",AY337="DOM"),0,IFERROR(8-VLOOKUP(H337,'Dados de consulta'!$A$2:$C$38,3,0),8))</f>
        <v>8</v>
      </c>
      <c r="BF337" s="97">
        <f>IF(OR(AY337="SÁB",AY337="DOM"),0,IFERROR(8-VLOOKUP(I337,'Dados de consulta'!$A$2:$C$38,3,0),8))</f>
        <v>8</v>
      </c>
      <c r="BG337" s="97">
        <f>IF(OR(AY337="SÁB",AY337="DOM"),0,IFERROR(8-VLOOKUP(J337,'Dados de consulta'!$A$2:$C$38,3,0),8))</f>
        <v>8</v>
      </c>
      <c r="BH337" s="97">
        <f>IF(OR(AY337="SÁB",AY337="DOM"),0,IFERROR(8-VLOOKUP(K337,'Dados de consulta'!$A$2:$C$38,3,0),8))</f>
        <v>8</v>
      </c>
      <c r="BI337" s="97">
        <f>IF(OR(AY337="SÁB",AY337="DOM"),0,IFERROR(8-VLOOKUP(L337,'Dados de consulta'!$A$2:$C$38,3,0),8))</f>
        <v>8</v>
      </c>
      <c r="BJ337" s="97">
        <f>IF(OR(AY337="SÁB",AY337="DOM"),0,IFERROR(8-VLOOKUP(M337,'Dados de consulta'!$A$2:$C$38,3,0),8))</f>
        <v>0</v>
      </c>
      <c r="BK337" s="97">
        <f>IF(OR(AY337="SÁB",AY337="DOM"),0,IFERROR(8-VLOOKUP(N337,'Dados de consulta'!$A$2:$C$38,3,0),8))</f>
        <v>8</v>
      </c>
      <c r="BL337" s="97">
        <f>IF(OR(AY337="SÁB",AY337="DOM"),0,IFERROR(8-VLOOKUP(O337,'Dados de consulta'!$A$2:$C$38,3,0),8))</f>
        <v>8</v>
      </c>
      <c r="BM337" s="97">
        <f>IF(OR(AY337="SÁB",AY337="DOM"),0,IFERROR(8-VLOOKUP(P337,'Dados de consulta'!$A$2:$C$38,3,0),8))</f>
        <v>8</v>
      </c>
      <c r="BN337" s="97">
        <f>IF(OR(AY337="SÁB",AY337="DOM"),0,IFERROR(8-VLOOKUP(Q337,'Dados de consulta'!$A$2:$C$38,3,0),8))</f>
        <v>8</v>
      </c>
      <c r="BO337" s="97">
        <f>IF(OR(AY337="SÁB",AY337="DOM"),0,IFERROR(8-VLOOKUP(R337,'Dados de consulta'!$A$2:$C$38,3,0),8))</f>
        <v>4</v>
      </c>
      <c r="BP337" s="97">
        <f>IF(OR(AY337="SÁB",AY337="DOM"),0,IFERROR(8-VLOOKUP(S337,'Dados de consulta'!$A$2:$C$38,3,0),8))</f>
        <v>8</v>
      </c>
      <c r="BQ337" s="113">
        <f>IFERROR(6-VLOOKUP(T337,'Dados de consulta'!$A$2:$C$38,3,0)+2,6)</f>
        <v>6</v>
      </c>
      <c r="BR337" s="114">
        <f t="shared" si="154"/>
        <v>114</v>
      </c>
      <c r="BS337">
        <f t="shared" si="130"/>
        <v>134</v>
      </c>
      <c r="BU337">
        <f>IFERROR(8-VLOOKUP(U337,'Dados de consulta'!$A:$D,3,0),8)</f>
        <v>8</v>
      </c>
      <c r="BV337">
        <f>IFERROR(8-VLOOKUP(V337,'Dados de consulta'!$A:$D,3,0),8)</f>
        <v>8</v>
      </c>
      <c r="BW337">
        <f t="shared" si="155"/>
        <v>16</v>
      </c>
    </row>
    <row r="338" spans="1:75" ht="15" hidden="1" x14ac:dyDescent="0.2">
      <c r="A338" s="98">
        <v>42461</v>
      </c>
      <c r="B338" s="129" t="str">
        <f t="shared" si="132"/>
        <v>sex</v>
      </c>
      <c r="C338" s="132"/>
      <c r="D338" s="132"/>
      <c r="E338" s="132"/>
      <c r="F338" s="132">
        <v>18</v>
      </c>
      <c r="G338" s="132"/>
      <c r="H338" s="132"/>
      <c r="I338" s="132"/>
      <c r="J338" s="132"/>
      <c r="K338" s="132"/>
      <c r="L338" s="132"/>
      <c r="M338" s="132">
        <v>101</v>
      </c>
      <c r="N338" s="132"/>
      <c r="O338" s="132"/>
      <c r="P338" s="132">
        <v>8</v>
      </c>
      <c r="Q338" s="132">
        <v>18</v>
      </c>
      <c r="R338" s="132"/>
      <c r="S338" s="132"/>
      <c r="T338" s="132"/>
      <c r="U338" s="151"/>
      <c r="V338" s="151"/>
      <c r="W338" s="307" t="s">
        <v>193</v>
      </c>
      <c r="X338" s="308"/>
      <c r="Y338" s="38">
        <f t="shared" si="133"/>
        <v>8</v>
      </c>
      <c r="Z338" s="38">
        <f t="shared" si="134"/>
        <v>16</v>
      </c>
      <c r="AA338" s="38">
        <f t="shared" si="131"/>
        <v>0</v>
      </c>
      <c r="AB338" s="38">
        <f t="shared" si="142"/>
        <v>0</v>
      </c>
      <c r="AC338" s="38">
        <f t="shared" si="143"/>
        <v>0</v>
      </c>
      <c r="AD338" s="38">
        <f t="shared" si="144"/>
        <v>0</v>
      </c>
      <c r="AE338" s="38">
        <f t="shared" si="145"/>
        <v>0</v>
      </c>
      <c r="AF338" s="38">
        <f t="shared" si="146"/>
        <v>0</v>
      </c>
      <c r="AG338" s="33">
        <f t="shared" si="147"/>
        <v>8</v>
      </c>
      <c r="AH338" s="33">
        <f t="shared" si="148"/>
        <v>16</v>
      </c>
      <c r="AI338" s="33">
        <f t="shared" si="149"/>
        <v>0</v>
      </c>
      <c r="AJ338" s="33">
        <f t="shared" si="150"/>
        <v>0</v>
      </c>
      <c r="AK338" s="34">
        <f t="shared" si="151"/>
        <v>5.6338028169014086E-2</v>
      </c>
      <c r="AL338" s="35">
        <f t="shared" si="152"/>
        <v>0.11267605633802817</v>
      </c>
      <c r="AM338" s="34">
        <f t="shared" si="135"/>
        <v>0</v>
      </c>
      <c r="AN338" s="36">
        <f t="shared" si="153"/>
        <v>0</v>
      </c>
      <c r="AO338" s="6">
        <f t="shared" si="136"/>
        <v>0</v>
      </c>
      <c r="AP338">
        <f t="shared" si="137"/>
        <v>8</v>
      </c>
      <c r="AQ338" s="6">
        <f t="shared" si="138"/>
        <v>0</v>
      </c>
      <c r="AR338" s="6">
        <f t="shared" si="139"/>
        <v>0</v>
      </c>
      <c r="AS338" s="6"/>
      <c r="AX338" s="95">
        <f t="shared" si="140"/>
        <v>42461</v>
      </c>
      <c r="AY338" s="96" t="str">
        <f t="shared" si="141"/>
        <v>sex</v>
      </c>
      <c r="AZ338" s="97">
        <f>IF(OR(AY338="SÁB",AY338="DOM"),0,IFERROR(8-VLOOKUP(C338,'Dados de consulta'!$A$2:$C$38,3,0),8))</f>
        <v>8</v>
      </c>
      <c r="BA338" s="97">
        <f>IF(OR(AY338="SÁB",AY338="DOM"),0,IFERROR(8-VLOOKUP(D338,'Dados de consulta'!$A$2:$C$38,3,0),8))</f>
        <v>8</v>
      </c>
      <c r="BB338" s="97">
        <f>IF(OR(AY338="SÁB",AY338="DOM"),0,IFERROR(8-VLOOKUP(E338,'Dados de consulta'!$A$2:$C$38,3,0),8))</f>
        <v>8</v>
      </c>
      <c r="BC338" s="97">
        <f>IF(OR(AY338="SÁB",AY338="DOM"),0,IFERROR(8-VLOOKUP(F338,'Dados de consulta'!$A$2:$C$38,3,0),8))</f>
        <v>0</v>
      </c>
      <c r="BD338" s="97">
        <f>IF(OR(AY338="SÁB",AY338="DOM"),0,IFERROR(8-VLOOKUP(G338,'Dados de consulta'!$A$2:$C$38,3,0),8))</f>
        <v>8</v>
      </c>
      <c r="BE338" s="97">
        <f>IF(OR(AY338="SÁB",AY338="DOM"),0,IFERROR(8-VLOOKUP(H338,'Dados de consulta'!$A$2:$C$38,3,0),8))</f>
        <v>8</v>
      </c>
      <c r="BF338" s="97">
        <f>IF(OR(AY338="SÁB",AY338="DOM"),0,IFERROR(8-VLOOKUP(I338,'Dados de consulta'!$A$2:$C$38,3,0),8))</f>
        <v>8</v>
      </c>
      <c r="BG338" s="97">
        <f>IF(OR(AY338="SÁB",AY338="DOM"),0,IFERROR(8-VLOOKUP(J338,'Dados de consulta'!$A$2:$C$38,3,0),8))</f>
        <v>8</v>
      </c>
      <c r="BH338" s="97">
        <f>IF(OR(AY338="SÁB",AY338="DOM"),0,IFERROR(8-VLOOKUP(K338,'Dados de consulta'!$A$2:$C$38,3,0),8))</f>
        <v>8</v>
      </c>
      <c r="BI338" s="97">
        <f>IF(OR(AY338="SÁB",AY338="DOM"),0,IFERROR(8-VLOOKUP(L338,'Dados de consulta'!$A$2:$C$38,3,0),8))</f>
        <v>8</v>
      </c>
      <c r="BJ338" s="97">
        <f>IF(OR(AY338="SÁB",AY338="DOM"),0,IFERROR(8-VLOOKUP(M338,'Dados de consulta'!$A$2:$C$38,3,0),8))</f>
        <v>0</v>
      </c>
      <c r="BK338" s="97">
        <f>IF(OR(AY338="SÁB",AY338="DOM"),0,IFERROR(8-VLOOKUP(N338,'Dados de consulta'!$A$2:$C$38,3,0),8))</f>
        <v>8</v>
      </c>
      <c r="BL338" s="97">
        <f>IF(OR(AY338="SÁB",AY338="DOM"),0,IFERROR(8-VLOOKUP(O338,'Dados de consulta'!$A$2:$C$38,3,0),8))</f>
        <v>8</v>
      </c>
      <c r="BM338" s="97">
        <f>IF(OR(AY338="SÁB",AY338="DOM"),0,IFERROR(8-VLOOKUP(P338,'Dados de consulta'!$A$2:$C$38,3,0),8))</f>
        <v>0</v>
      </c>
      <c r="BN338" s="97">
        <f>IF(OR(AY338="SÁB",AY338="DOM"),0,IFERROR(8-VLOOKUP(Q338,'Dados de consulta'!$A$2:$C$38,3,0),8))</f>
        <v>0</v>
      </c>
      <c r="BO338" s="97">
        <f>IF(OR(AY338="SÁB",AY338="DOM"),0,IFERROR(8-VLOOKUP(R338,'Dados de consulta'!$A$2:$C$38,3,0),8))</f>
        <v>8</v>
      </c>
      <c r="BP338" s="97">
        <f>IF(OR(AY338="SÁB",AY338="DOM"),0,IFERROR(8-VLOOKUP(S338,'Dados de consulta'!$A$2:$C$38,3,0),8))</f>
        <v>8</v>
      </c>
      <c r="BQ338" s="113">
        <f>IFERROR(6-VLOOKUP(T338,'Dados de consulta'!$A$2:$C$38,3,0)+2,6)</f>
        <v>6</v>
      </c>
      <c r="BR338" s="114">
        <f t="shared" si="154"/>
        <v>110</v>
      </c>
      <c r="BS338">
        <f t="shared" si="130"/>
        <v>134</v>
      </c>
      <c r="BU338">
        <f>IFERROR(8-VLOOKUP(U338,'Dados de consulta'!$A:$D,3,0),8)</f>
        <v>8</v>
      </c>
      <c r="BV338">
        <f>IFERROR(8-VLOOKUP(V338,'Dados de consulta'!$A:$D,3,0),8)</f>
        <v>8</v>
      </c>
      <c r="BW338">
        <f t="shared" si="155"/>
        <v>16</v>
      </c>
    </row>
    <row r="339" spans="1:75" ht="15" hidden="1" x14ac:dyDescent="0.2">
      <c r="A339" s="98">
        <v>42462</v>
      </c>
      <c r="B339" s="129" t="str">
        <f t="shared" si="132"/>
        <v>sáb</v>
      </c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>
        <v>101</v>
      </c>
      <c r="N339" s="132"/>
      <c r="O339" s="132"/>
      <c r="P339" s="132"/>
      <c r="Q339" s="132"/>
      <c r="R339" s="132"/>
      <c r="S339" s="132"/>
      <c r="T339" s="132"/>
      <c r="U339" s="151"/>
      <c r="V339" s="151"/>
      <c r="W339" s="307" t="s">
        <v>193</v>
      </c>
      <c r="X339" s="308"/>
      <c r="Y339" s="38">
        <f t="shared" si="133"/>
        <v>0</v>
      </c>
      <c r="Z339" s="38">
        <f t="shared" si="134"/>
        <v>0</v>
      </c>
      <c r="AA339" s="38">
        <f t="shared" si="131"/>
        <v>0</v>
      </c>
      <c r="AB339" s="38">
        <f t="shared" si="142"/>
        <v>0</v>
      </c>
      <c r="AC339" s="38">
        <f t="shared" si="143"/>
        <v>0</v>
      </c>
      <c r="AD339" s="38">
        <f t="shared" si="144"/>
        <v>0</v>
      </c>
      <c r="AE339" s="38">
        <f t="shared" si="145"/>
        <v>0</v>
      </c>
      <c r="AF339" s="38">
        <f t="shared" si="146"/>
        <v>0</v>
      </c>
      <c r="AG339" s="33">
        <f t="shared" si="147"/>
        <v>0</v>
      </c>
      <c r="AH339" s="33">
        <f t="shared" si="148"/>
        <v>0</v>
      </c>
      <c r="AI339" s="33">
        <f t="shared" si="149"/>
        <v>0</v>
      </c>
      <c r="AJ339" s="33">
        <f t="shared" si="150"/>
        <v>0</v>
      </c>
      <c r="AK339" s="34">
        <f t="shared" si="151"/>
        <v>0</v>
      </c>
      <c r="AL339" s="35">
        <f t="shared" si="152"/>
        <v>0</v>
      </c>
      <c r="AM339" s="34">
        <f t="shared" si="135"/>
        <v>0</v>
      </c>
      <c r="AN339" s="36">
        <f t="shared" si="153"/>
        <v>0</v>
      </c>
      <c r="AO339" s="6">
        <f t="shared" si="136"/>
        <v>0</v>
      </c>
      <c r="AP339">
        <f t="shared" si="137"/>
        <v>8</v>
      </c>
      <c r="AQ339" s="6">
        <f t="shared" si="138"/>
        <v>0</v>
      </c>
      <c r="AR339" s="6">
        <f t="shared" si="139"/>
        <v>0</v>
      </c>
      <c r="AS339" s="6"/>
      <c r="AX339" s="95">
        <f t="shared" si="140"/>
        <v>42462</v>
      </c>
      <c r="AY339" s="96" t="str">
        <f t="shared" si="141"/>
        <v>sáb</v>
      </c>
      <c r="AZ339" s="97">
        <f>IF(OR(AY339="SÁB",AY339="DOM"),0,IFERROR(8-VLOOKUP(C339,'Dados de consulta'!$A$2:$C$38,3,0),8))</f>
        <v>0</v>
      </c>
      <c r="BA339" s="97">
        <f>IF(OR(AY339="SÁB",AY339="DOM"),0,IFERROR(8-VLOOKUP(D339,'Dados de consulta'!$A$2:$C$38,3,0),8))</f>
        <v>0</v>
      </c>
      <c r="BB339" s="97">
        <f>IF(OR(AY339="SÁB",AY339="DOM"),0,IFERROR(8-VLOOKUP(E339,'Dados de consulta'!$A$2:$C$38,3,0),8))</f>
        <v>0</v>
      </c>
      <c r="BC339" s="97">
        <f>IF(OR(AY339="SÁB",AY339="DOM"),0,IFERROR(8-VLOOKUP(F339,'Dados de consulta'!$A$2:$C$38,3,0),8))</f>
        <v>0</v>
      </c>
      <c r="BD339" s="97">
        <f>IF(OR(AY339="SÁB",AY339="DOM"),0,IFERROR(8-VLOOKUP(G339,'Dados de consulta'!$A$2:$C$38,3,0),8))</f>
        <v>0</v>
      </c>
      <c r="BE339" s="97">
        <f>IF(OR(AY339="SÁB",AY339="DOM"),0,IFERROR(8-VLOOKUP(H339,'Dados de consulta'!$A$2:$C$38,3,0),8))</f>
        <v>0</v>
      </c>
      <c r="BF339" s="97">
        <f>IF(OR(AY339="SÁB",AY339="DOM"),0,IFERROR(8-VLOOKUP(I339,'Dados de consulta'!$A$2:$C$38,3,0),8))</f>
        <v>0</v>
      </c>
      <c r="BG339" s="97">
        <f>IF(OR(AY339="SÁB",AY339="DOM"),0,IFERROR(8-VLOOKUP(J339,'Dados de consulta'!$A$2:$C$38,3,0),8))</f>
        <v>0</v>
      </c>
      <c r="BH339" s="97">
        <f>IF(OR(AY339="SÁB",AY339="DOM"),0,IFERROR(8-VLOOKUP(K339,'Dados de consulta'!$A$2:$C$38,3,0),8))</f>
        <v>0</v>
      </c>
      <c r="BI339" s="97">
        <f>IF(OR(AY339="SÁB",AY339="DOM"),0,IFERROR(8-VLOOKUP(L339,'Dados de consulta'!$A$2:$C$38,3,0),8))</f>
        <v>0</v>
      </c>
      <c r="BJ339" s="97">
        <f>IF(OR(AY339="SÁB",AY339="DOM"),0,IFERROR(8-VLOOKUP(M339,'Dados de consulta'!$A$2:$C$38,3,0),8))</f>
        <v>0</v>
      </c>
      <c r="BK339" s="97">
        <f>IF(OR(AY339="SÁB",AY339="DOM"),0,IFERROR(8-VLOOKUP(N339,'Dados de consulta'!$A$2:$C$38,3,0),8))</f>
        <v>0</v>
      </c>
      <c r="BL339" s="97">
        <f>IF(OR(AY339="SÁB",AY339="DOM"),0,IFERROR(8-VLOOKUP(O339,'Dados de consulta'!$A$2:$C$38,3,0),8))</f>
        <v>0</v>
      </c>
      <c r="BM339" s="97">
        <f>IF(OR(AY339="SÁB",AY339="DOM"),0,IFERROR(8-VLOOKUP(P339,'Dados de consulta'!$A$2:$C$38,3,0),8))</f>
        <v>0</v>
      </c>
      <c r="BN339" s="97">
        <f>IF(OR(AY339="SÁB",AY339="DOM"),0,IFERROR(8-VLOOKUP(Q339,'Dados de consulta'!$A$2:$C$38,3,0),8))</f>
        <v>0</v>
      </c>
      <c r="BO339" s="97">
        <f>IF(OR(AY339="SÁB",AY339="DOM"),0,IFERROR(8-VLOOKUP(R339,'Dados de consulta'!$A$2:$C$38,3,0),8))</f>
        <v>0</v>
      </c>
      <c r="BP339" s="97">
        <f>IF(OR(AY339="SÁB",AY339="DOM"),0,IFERROR(8-VLOOKUP(S339,'Dados de consulta'!$A$2:$C$38,3,0),8))</f>
        <v>0</v>
      </c>
      <c r="BQ339" s="113">
        <f>IFERROR(6-VLOOKUP(T339,'Dados de consulta'!$A$2:$C$38,3,0)+2,6)</f>
        <v>6</v>
      </c>
      <c r="BR339" s="114">
        <f t="shared" si="154"/>
        <v>0</v>
      </c>
      <c r="BS339">
        <f t="shared" si="130"/>
        <v>0</v>
      </c>
      <c r="BU339">
        <f>IFERROR(8-VLOOKUP(U339,'Dados de consulta'!$A:$D,3,0),8)</f>
        <v>8</v>
      </c>
      <c r="BV339">
        <f>IFERROR(8-VLOOKUP(V339,'Dados de consulta'!$A:$D,3,0),8)</f>
        <v>8</v>
      </c>
      <c r="BW339">
        <f t="shared" si="155"/>
        <v>16</v>
      </c>
    </row>
    <row r="340" spans="1:75" ht="15" hidden="1" x14ac:dyDescent="0.2">
      <c r="A340" s="98">
        <v>42463</v>
      </c>
      <c r="B340" s="129" t="str">
        <f t="shared" si="132"/>
        <v>dom</v>
      </c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>
        <v>101</v>
      </c>
      <c r="N340" s="132"/>
      <c r="O340" s="132"/>
      <c r="P340" s="132"/>
      <c r="Q340" s="132"/>
      <c r="R340" s="132"/>
      <c r="S340" s="132"/>
      <c r="T340" s="132"/>
      <c r="U340" s="151"/>
      <c r="V340" s="151"/>
      <c r="W340" s="307" t="s">
        <v>193</v>
      </c>
      <c r="X340" s="308"/>
      <c r="Y340" s="38">
        <f t="shared" si="133"/>
        <v>0</v>
      </c>
      <c r="Z340" s="38">
        <f t="shared" si="134"/>
        <v>0</v>
      </c>
      <c r="AA340" s="38">
        <f t="shared" si="131"/>
        <v>0</v>
      </c>
      <c r="AB340" s="38">
        <f t="shared" si="142"/>
        <v>0</v>
      </c>
      <c r="AC340" s="38">
        <f t="shared" si="143"/>
        <v>0</v>
      </c>
      <c r="AD340" s="38">
        <f t="shared" si="144"/>
        <v>0</v>
      </c>
      <c r="AE340" s="38">
        <f t="shared" si="145"/>
        <v>0</v>
      </c>
      <c r="AF340" s="38">
        <f t="shared" si="146"/>
        <v>0</v>
      </c>
      <c r="AG340" s="33">
        <f t="shared" si="147"/>
        <v>0</v>
      </c>
      <c r="AH340" s="33">
        <f t="shared" si="148"/>
        <v>0</v>
      </c>
      <c r="AI340" s="33">
        <f t="shared" si="149"/>
        <v>0</v>
      </c>
      <c r="AJ340" s="33">
        <f t="shared" si="150"/>
        <v>0</v>
      </c>
      <c r="AK340" s="34">
        <f t="shared" si="151"/>
        <v>0</v>
      </c>
      <c r="AL340" s="35">
        <f t="shared" si="152"/>
        <v>0</v>
      </c>
      <c r="AM340" s="34">
        <f t="shared" si="135"/>
        <v>0</v>
      </c>
      <c r="AN340" s="36">
        <f t="shared" si="153"/>
        <v>0</v>
      </c>
      <c r="AO340" s="6">
        <f t="shared" si="136"/>
        <v>0</v>
      </c>
      <c r="AP340">
        <f t="shared" si="137"/>
        <v>8</v>
      </c>
      <c r="AQ340" s="6">
        <f t="shared" si="138"/>
        <v>0</v>
      </c>
      <c r="AR340" s="6">
        <f t="shared" si="139"/>
        <v>0</v>
      </c>
      <c r="AS340" s="6"/>
      <c r="AX340" s="95">
        <f t="shared" si="140"/>
        <v>42463</v>
      </c>
      <c r="AY340" s="96" t="str">
        <f t="shared" si="141"/>
        <v>dom</v>
      </c>
      <c r="AZ340" s="97">
        <f>IF(OR(AY340="SÁB",AY340="DOM"),0,IFERROR(8-VLOOKUP(C340,'Dados de consulta'!$A$2:$C$38,3,0),8))</f>
        <v>0</v>
      </c>
      <c r="BA340" s="97">
        <f>IF(OR(AY340="SÁB",AY340="DOM"),0,IFERROR(8-VLOOKUP(D340,'Dados de consulta'!$A$2:$C$38,3,0),8))</f>
        <v>0</v>
      </c>
      <c r="BB340" s="97">
        <f>IF(OR(AY340="SÁB",AY340="DOM"),0,IFERROR(8-VLOOKUP(E340,'Dados de consulta'!$A$2:$C$38,3,0),8))</f>
        <v>0</v>
      </c>
      <c r="BC340" s="97">
        <f>IF(OR(AY340="SÁB",AY340="DOM"),0,IFERROR(8-VLOOKUP(F340,'Dados de consulta'!$A$2:$C$38,3,0),8))</f>
        <v>0</v>
      </c>
      <c r="BD340" s="97">
        <f>IF(OR(AY340="SÁB",AY340="DOM"),0,IFERROR(8-VLOOKUP(G340,'Dados de consulta'!$A$2:$C$38,3,0),8))</f>
        <v>0</v>
      </c>
      <c r="BE340" s="97">
        <f>IF(OR(AY340="SÁB",AY340="DOM"),0,IFERROR(8-VLOOKUP(H340,'Dados de consulta'!$A$2:$C$38,3,0),8))</f>
        <v>0</v>
      </c>
      <c r="BF340" s="97">
        <f>IF(OR(AY340="SÁB",AY340="DOM"),0,IFERROR(8-VLOOKUP(I340,'Dados de consulta'!$A$2:$C$38,3,0),8))</f>
        <v>0</v>
      </c>
      <c r="BG340" s="97">
        <f>IF(OR(AY340="SÁB",AY340="DOM"),0,IFERROR(8-VLOOKUP(J340,'Dados de consulta'!$A$2:$C$38,3,0),8))</f>
        <v>0</v>
      </c>
      <c r="BH340" s="97">
        <f>IF(OR(AY340="SÁB",AY340="DOM"),0,IFERROR(8-VLOOKUP(K340,'Dados de consulta'!$A$2:$C$38,3,0),8))</f>
        <v>0</v>
      </c>
      <c r="BI340" s="97">
        <f>IF(OR(AY340="SÁB",AY340="DOM"),0,IFERROR(8-VLOOKUP(L340,'Dados de consulta'!$A$2:$C$38,3,0),8))</f>
        <v>0</v>
      </c>
      <c r="BJ340" s="97">
        <f>IF(OR(AY340="SÁB",AY340="DOM"),0,IFERROR(8-VLOOKUP(M340,'Dados de consulta'!$A$2:$C$38,3,0),8))</f>
        <v>0</v>
      </c>
      <c r="BK340" s="97">
        <f>IF(OR(AY340="SÁB",AY340="DOM"),0,IFERROR(8-VLOOKUP(N340,'Dados de consulta'!$A$2:$C$38,3,0),8))</f>
        <v>0</v>
      </c>
      <c r="BL340" s="97">
        <f>IF(OR(AY340="SÁB",AY340="DOM"),0,IFERROR(8-VLOOKUP(O340,'Dados de consulta'!$A$2:$C$38,3,0),8))</f>
        <v>0</v>
      </c>
      <c r="BM340" s="97">
        <f>IF(OR(AY340="SÁB",AY340="DOM"),0,IFERROR(8-VLOOKUP(P340,'Dados de consulta'!$A$2:$C$38,3,0),8))</f>
        <v>0</v>
      </c>
      <c r="BN340" s="97">
        <f>IF(OR(AY340="SÁB",AY340="DOM"),0,IFERROR(8-VLOOKUP(Q340,'Dados de consulta'!$A$2:$C$38,3,0),8))</f>
        <v>0</v>
      </c>
      <c r="BO340" s="97">
        <f>IF(OR(AY340="SÁB",AY340="DOM"),0,IFERROR(8-VLOOKUP(R340,'Dados de consulta'!$A$2:$C$38,3,0),8))</f>
        <v>0</v>
      </c>
      <c r="BP340" s="97">
        <f>IF(OR(AY340="SÁB",AY340="DOM"),0,IFERROR(8-VLOOKUP(S340,'Dados de consulta'!$A$2:$C$38,3,0),8))</f>
        <v>0</v>
      </c>
      <c r="BQ340" s="113">
        <f>IFERROR(6-VLOOKUP(T340,'Dados de consulta'!$A$2:$C$38,3,0)+2,6)</f>
        <v>6</v>
      </c>
      <c r="BR340" s="114">
        <f t="shared" si="154"/>
        <v>0</v>
      </c>
      <c r="BS340">
        <f t="shared" si="130"/>
        <v>0</v>
      </c>
      <c r="BU340">
        <f>IFERROR(8-VLOOKUP(U340,'Dados de consulta'!$A:$D,3,0),8)</f>
        <v>8</v>
      </c>
      <c r="BV340">
        <f>IFERROR(8-VLOOKUP(V340,'Dados de consulta'!$A:$D,3,0),8)</f>
        <v>8</v>
      </c>
      <c r="BW340">
        <f t="shared" si="155"/>
        <v>16</v>
      </c>
    </row>
    <row r="341" spans="1:75" ht="15" hidden="1" x14ac:dyDescent="0.2">
      <c r="A341" s="98">
        <v>42464</v>
      </c>
      <c r="B341" s="129" t="str">
        <f t="shared" si="132"/>
        <v>seg</v>
      </c>
      <c r="C341" s="132"/>
      <c r="D341" s="132"/>
      <c r="E341" s="132" t="s">
        <v>198</v>
      </c>
      <c r="F341" s="132"/>
      <c r="G341" s="132"/>
      <c r="H341" s="132"/>
      <c r="I341" s="132"/>
      <c r="J341" s="132"/>
      <c r="K341" s="132"/>
      <c r="L341" s="132"/>
      <c r="M341" s="132">
        <v>101</v>
      </c>
      <c r="N341" s="132"/>
      <c r="O341" s="132"/>
      <c r="P341" s="132"/>
      <c r="Q341" s="132">
        <v>18</v>
      </c>
      <c r="R341" s="132"/>
      <c r="S341" s="132"/>
      <c r="T341" s="132"/>
      <c r="U341" s="151"/>
      <c r="V341" s="151"/>
      <c r="W341" s="307" t="s">
        <v>193</v>
      </c>
      <c r="X341" s="308"/>
      <c r="Y341" s="38">
        <f t="shared" si="133"/>
        <v>4</v>
      </c>
      <c r="Z341" s="38">
        <f t="shared" si="134"/>
        <v>8</v>
      </c>
      <c r="AA341" s="38">
        <f t="shared" si="131"/>
        <v>0</v>
      </c>
      <c r="AB341" s="38">
        <f t="shared" si="142"/>
        <v>0</v>
      </c>
      <c r="AC341" s="38">
        <f t="shared" si="143"/>
        <v>0</v>
      </c>
      <c r="AD341" s="38">
        <f t="shared" si="144"/>
        <v>0</v>
      </c>
      <c r="AE341" s="38">
        <f t="shared" si="145"/>
        <v>0</v>
      </c>
      <c r="AF341" s="38">
        <f t="shared" si="146"/>
        <v>0</v>
      </c>
      <c r="AG341" s="33">
        <f t="shared" si="147"/>
        <v>4</v>
      </c>
      <c r="AH341" s="33">
        <f t="shared" si="148"/>
        <v>8</v>
      </c>
      <c r="AI341" s="33">
        <f t="shared" si="149"/>
        <v>0</v>
      </c>
      <c r="AJ341" s="33">
        <f t="shared" si="150"/>
        <v>0</v>
      </c>
      <c r="AK341" s="34">
        <f t="shared" si="151"/>
        <v>2.8169014084507043E-2</v>
      </c>
      <c r="AL341" s="35">
        <f t="shared" si="152"/>
        <v>5.6338028169014086E-2</v>
      </c>
      <c r="AM341" s="34">
        <f t="shared" si="135"/>
        <v>0</v>
      </c>
      <c r="AN341" s="36">
        <f t="shared" si="153"/>
        <v>0</v>
      </c>
      <c r="AO341" s="6">
        <f t="shared" si="136"/>
        <v>0</v>
      </c>
      <c r="AP341">
        <f t="shared" si="137"/>
        <v>8</v>
      </c>
      <c r="AQ341" s="6">
        <f t="shared" si="138"/>
        <v>0</v>
      </c>
      <c r="AR341" s="6">
        <f t="shared" si="139"/>
        <v>0</v>
      </c>
      <c r="AS341" s="6"/>
      <c r="AX341" s="95">
        <f t="shared" si="140"/>
        <v>42464</v>
      </c>
      <c r="AY341" s="96" t="str">
        <f t="shared" si="141"/>
        <v>seg</v>
      </c>
      <c r="AZ341" s="97">
        <f>IF(OR(AY341="SÁB",AY341="DOM"),0,IFERROR(8-VLOOKUP(C341,'Dados de consulta'!$A$2:$C$38,3,0),8))</f>
        <v>8</v>
      </c>
      <c r="BA341" s="97">
        <f>IF(OR(AY341="SÁB",AY341="DOM"),0,IFERROR(8-VLOOKUP(D341,'Dados de consulta'!$A$2:$C$38,3,0),8))</f>
        <v>8</v>
      </c>
      <c r="BB341" s="97">
        <f>IF(OR(AY341="SÁB",AY341="DOM"),0,IFERROR(8-VLOOKUP(E341,'Dados de consulta'!$A$2:$C$38,3,0),8))</f>
        <v>4</v>
      </c>
      <c r="BC341" s="97">
        <f>IF(OR(AY341="SÁB",AY341="DOM"),0,IFERROR(8-VLOOKUP(F341,'Dados de consulta'!$A$2:$C$38,3,0),8))</f>
        <v>8</v>
      </c>
      <c r="BD341" s="97">
        <f>IF(OR(AY341="SÁB",AY341="DOM"),0,IFERROR(8-VLOOKUP(G341,'Dados de consulta'!$A$2:$C$38,3,0),8))</f>
        <v>8</v>
      </c>
      <c r="BE341" s="97">
        <f>IF(OR(AY341="SÁB",AY341="DOM"),0,IFERROR(8-VLOOKUP(H341,'Dados de consulta'!$A$2:$C$38,3,0),8))</f>
        <v>8</v>
      </c>
      <c r="BF341" s="97">
        <f>IF(OR(AY341="SÁB",AY341="DOM"),0,IFERROR(8-VLOOKUP(I341,'Dados de consulta'!$A$2:$C$38,3,0),8))</f>
        <v>8</v>
      </c>
      <c r="BG341" s="97">
        <f>IF(OR(AY341="SÁB",AY341="DOM"),0,IFERROR(8-VLOOKUP(J341,'Dados de consulta'!$A$2:$C$38,3,0),8))</f>
        <v>8</v>
      </c>
      <c r="BH341" s="97">
        <f>IF(OR(AY341="SÁB",AY341="DOM"),0,IFERROR(8-VLOOKUP(K341,'Dados de consulta'!$A$2:$C$38,3,0),8))</f>
        <v>8</v>
      </c>
      <c r="BI341" s="97">
        <f>IF(OR(AY341="SÁB",AY341="DOM"),0,IFERROR(8-VLOOKUP(L341,'Dados de consulta'!$A$2:$C$38,3,0),8))</f>
        <v>8</v>
      </c>
      <c r="BJ341" s="97">
        <f>IF(OR(AY341="SÁB",AY341="DOM"),0,IFERROR(8-VLOOKUP(M341,'Dados de consulta'!$A$2:$C$38,3,0),8))</f>
        <v>0</v>
      </c>
      <c r="BK341" s="97">
        <f>IF(OR(AY341="SÁB",AY341="DOM"),0,IFERROR(8-VLOOKUP(N341,'Dados de consulta'!$A$2:$C$38,3,0),8))</f>
        <v>8</v>
      </c>
      <c r="BL341" s="97">
        <f>IF(OR(AY341="SÁB",AY341="DOM"),0,IFERROR(8-VLOOKUP(O341,'Dados de consulta'!$A$2:$C$38,3,0),8))</f>
        <v>8</v>
      </c>
      <c r="BM341" s="97">
        <f>IF(OR(AY341="SÁB",AY341="DOM"),0,IFERROR(8-VLOOKUP(P341,'Dados de consulta'!$A$2:$C$38,3,0),8))</f>
        <v>8</v>
      </c>
      <c r="BN341" s="97">
        <f>IF(OR(AY341="SÁB",AY341="DOM"),0,IFERROR(8-VLOOKUP(Q341,'Dados de consulta'!$A$2:$C$38,3,0),8))</f>
        <v>0</v>
      </c>
      <c r="BO341" s="97">
        <f>IF(OR(AY341="SÁB",AY341="DOM"),0,IFERROR(8-VLOOKUP(R341,'Dados de consulta'!$A$2:$C$38,3,0),8))</f>
        <v>8</v>
      </c>
      <c r="BP341" s="97">
        <f>IF(OR(AY341="SÁB",AY341="DOM"),0,IFERROR(8-VLOOKUP(S341,'Dados de consulta'!$A$2:$C$38,3,0),8))</f>
        <v>8</v>
      </c>
      <c r="BQ341" s="113">
        <f>IFERROR(6-VLOOKUP(T341,'Dados de consulta'!$A$2:$C$38,3,0)+2,6)</f>
        <v>6</v>
      </c>
      <c r="BR341" s="114">
        <f t="shared" si="154"/>
        <v>122</v>
      </c>
      <c r="BS341">
        <f t="shared" si="130"/>
        <v>134</v>
      </c>
      <c r="BU341">
        <f>IFERROR(8-VLOOKUP(U341,'Dados de consulta'!$A:$D,3,0),8)</f>
        <v>8</v>
      </c>
      <c r="BV341">
        <f>IFERROR(8-VLOOKUP(V341,'Dados de consulta'!$A:$D,3,0),8)</f>
        <v>8</v>
      </c>
      <c r="BW341">
        <f t="shared" si="155"/>
        <v>16</v>
      </c>
    </row>
    <row r="342" spans="1:75" ht="15" hidden="1" x14ac:dyDescent="0.2">
      <c r="A342" s="98">
        <v>42465</v>
      </c>
      <c r="B342" s="129" t="str">
        <f t="shared" si="132"/>
        <v>ter</v>
      </c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>
        <v>101</v>
      </c>
      <c r="N342" s="132"/>
      <c r="O342" s="132"/>
      <c r="P342" s="132"/>
      <c r="Q342" s="132">
        <v>18</v>
      </c>
      <c r="R342" s="132"/>
      <c r="S342" s="132"/>
      <c r="T342" s="132"/>
      <c r="U342" s="151"/>
      <c r="V342" s="151"/>
      <c r="W342" s="307" t="s">
        <v>193</v>
      </c>
      <c r="X342" s="308"/>
      <c r="Y342" s="38">
        <f t="shared" si="133"/>
        <v>0</v>
      </c>
      <c r="Z342" s="38">
        <f t="shared" si="134"/>
        <v>8</v>
      </c>
      <c r="AA342" s="38">
        <f t="shared" si="131"/>
        <v>0</v>
      </c>
      <c r="AB342" s="38">
        <f t="shared" si="142"/>
        <v>0</v>
      </c>
      <c r="AC342" s="38">
        <f t="shared" si="143"/>
        <v>0</v>
      </c>
      <c r="AD342" s="38">
        <f t="shared" si="144"/>
        <v>0</v>
      </c>
      <c r="AE342" s="38">
        <f t="shared" si="145"/>
        <v>0</v>
      </c>
      <c r="AF342" s="38">
        <f t="shared" si="146"/>
        <v>0</v>
      </c>
      <c r="AG342" s="33">
        <f t="shared" si="147"/>
        <v>0</v>
      </c>
      <c r="AH342" s="33">
        <f t="shared" si="148"/>
        <v>8</v>
      </c>
      <c r="AI342" s="33">
        <f t="shared" si="149"/>
        <v>0</v>
      </c>
      <c r="AJ342" s="33">
        <f t="shared" si="150"/>
        <v>0</v>
      </c>
      <c r="AK342" s="34">
        <f t="shared" si="151"/>
        <v>0</v>
      </c>
      <c r="AL342" s="35">
        <f t="shared" si="152"/>
        <v>5.6338028169014086E-2</v>
      </c>
      <c r="AM342" s="34">
        <f t="shared" si="135"/>
        <v>0</v>
      </c>
      <c r="AN342" s="36">
        <f t="shared" si="153"/>
        <v>0</v>
      </c>
      <c r="AO342" s="6">
        <f t="shared" si="136"/>
        <v>0</v>
      </c>
      <c r="AP342">
        <f t="shared" si="137"/>
        <v>8</v>
      </c>
      <c r="AQ342" s="6">
        <f t="shared" si="138"/>
        <v>0</v>
      </c>
      <c r="AR342" s="6">
        <f t="shared" si="139"/>
        <v>0</v>
      </c>
      <c r="AS342" s="6"/>
      <c r="AX342" s="95">
        <f t="shared" si="140"/>
        <v>42465</v>
      </c>
      <c r="AY342" s="96" t="str">
        <f t="shared" si="141"/>
        <v>ter</v>
      </c>
      <c r="AZ342" s="97">
        <f>IF(OR(AY342="SÁB",AY342="DOM"),0,IFERROR(8-VLOOKUP(C342,'Dados de consulta'!$A$2:$C$38,3,0),8))</f>
        <v>8</v>
      </c>
      <c r="BA342" s="97">
        <f>IF(OR(AY342="SÁB",AY342="DOM"),0,IFERROR(8-VLOOKUP(D342,'Dados de consulta'!$A$2:$C$38,3,0),8))</f>
        <v>8</v>
      </c>
      <c r="BB342" s="97">
        <f>IF(OR(AY342="SÁB",AY342="DOM"),0,IFERROR(8-VLOOKUP(E342,'Dados de consulta'!$A$2:$C$38,3,0),8))</f>
        <v>8</v>
      </c>
      <c r="BC342" s="97">
        <f>IF(OR(AY342="SÁB",AY342="DOM"),0,IFERROR(8-VLOOKUP(F342,'Dados de consulta'!$A$2:$C$38,3,0),8))</f>
        <v>8</v>
      </c>
      <c r="BD342" s="97">
        <f>IF(OR(AY342="SÁB",AY342="DOM"),0,IFERROR(8-VLOOKUP(G342,'Dados de consulta'!$A$2:$C$38,3,0),8))</f>
        <v>8</v>
      </c>
      <c r="BE342" s="97">
        <f>IF(OR(AY342="SÁB",AY342="DOM"),0,IFERROR(8-VLOOKUP(H342,'Dados de consulta'!$A$2:$C$38,3,0),8))</f>
        <v>8</v>
      </c>
      <c r="BF342" s="97">
        <f>IF(OR(AY342="SÁB",AY342="DOM"),0,IFERROR(8-VLOOKUP(I342,'Dados de consulta'!$A$2:$C$38,3,0),8))</f>
        <v>8</v>
      </c>
      <c r="BG342" s="97">
        <f>IF(OR(AY342="SÁB",AY342="DOM"),0,IFERROR(8-VLOOKUP(J342,'Dados de consulta'!$A$2:$C$38,3,0),8))</f>
        <v>8</v>
      </c>
      <c r="BH342" s="97">
        <f>IF(OR(AY342="SÁB",AY342="DOM"),0,IFERROR(8-VLOOKUP(K342,'Dados de consulta'!$A$2:$C$38,3,0),8))</f>
        <v>8</v>
      </c>
      <c r="BI342" s="97">
        <f>IF(OR(AY342="SÁB",AY342="DOM"),0,IFERROR(8-VLOOKUP(L342,'Dados de consulta'!$A$2:$C$38,3,0),8))</f>
        <v>8</v>
      </c>
      <c r="BJ342" s="97">
        <f>IF(OR(AY342="SÁB",AY342="DOM"),0,IFERROR(8-VLOOKUP(M342,'Dados de consulta'!$A$2:$C$38,3,0),8))</f>
        <v>0</v>
      </c>
      <c r="BK342" s="97">
        <f>IF(OR(AY342="SÁB",AY342="DOM"),0,IFERROR(8-VLOOKUP(N342,'Dados de consulta'!$A$2:$C$38,3,0),8))</f>
        <v>8</v>
      </c>
      <c r="BL342" s="97">
        <f>IF(OR(AY342="SÁB",AY342="DOM"),0,IFERROR(8-VLOOKUP(O342,'Dados de consulta'!$A$2:$C$38,3,0),8))</f>
        <v>8</v>
      </c>
      <c r="BM342" s="97">
        <f>IF(OR(AY342="SÁB",AY342="DOM"),0,IFERROR(8-VLOOKUP(P342,'Dados de consulta'!$A$2:$C$38,3,0),8))</f>
        <v>8</v>
      </c>
      <c r="BN342" s="97">
        <f>IF(OR(AY342="SÁB",AY342="DOM"),0,IFERROR(8-VLOOKUP(Q342,'Dados de consulta'!$A$2:$C$38,3,0),8))</f>
        <v>0</v>
      </c>
      <c r="BO342" s="97">
        <f>IF(OR(AY342="SÁB",AY342="DOM"),0,IFERROR(8-VLOOKUP(R342,'Dados de consulta'!$A$2:$C$38,3,0),8))</f>
        <v>8</v>
      </c>
      <c r="BP342" s="97">
        <f>IF(OR(AY342="SÁB",AY342="DOM"),0,IFERROR(8-VLOOKUP(S342,'Dados de consulta'!$A$2:$C$38,3,0),8))</f>
        <v>8</v>
      </c>
      <c r="BQ342" s="113">
        <f>IFERROR(6-VLOOKUP(T342,'Dados de consulta'!$A$2:$C$38,3,0)+2,6)</f>
        <v>6</v>
      </c>
      <c r="BR342" s="114">
        <f t="shared" si="154"/>
        <v>126</v>
      </c>
      <c r="BS342">
        <f t="shared" si="130"/>
        <v>134</v>
      </c>
      <c r="BU342">
        <f>IFERROR(8-VLOOKUP(U342,'Dados de consulta'!$A:$D,3,0),8)</f>
        <v>8</v>
      </c>
      <c r="BV342">
        <f>IFERROR(8-VLOOKUP(V342,'Dados de consulta'!$A:$D,3,0),8)</f>
        <v>8</v>
      </c>
      <c r="BW342">
        <f t="shared" si="155"/>
        <v>16</v>
      </c>
    </row>
    <row r="343" spans="1:75" ht="15" hidden="1" x14ac:dyDescent="0.2">
      <c r="A343" s="98">
        <v>42466</v>
      </c>
      <c r="B343" s="129" t="str">
        <f t="shared" si="132"/>
        <v>qua</v>
      </c>
      <c r="C343" s="132"/>
      <c r="D343" s="132"/>
      <c r="E343" s="132" t="s">
        <v>198</v>
      </c>
      <c r="F343" s="132">
        <v>3</v>
      </c>
      <c r="G343" s="132"/>
      <c r="H343" s="132"/>
      <c r="I343" s="132"/>
      <c r="J343" s="132"/>
      <c r="K343" s="132"/>
      <c r="L343" s="132"/>
      <c r="M343" s="132">
        <v>101</v>
      </c>
      <c r="N343" s="132"/>
      <c r="O343" s="132"/>
      <c r="P343" s="132"/>
      <c r="Q343" s="132">
        <v>18</v>
      </c>
      <c r="R343" s="132"/>
      <c r="S343" s="132"/>
      <c r="T343" s="132"/>
      <c r="U343" s="151"/>
      <c r="V343" s="151"/>
      <c r="W343" s="307" t="s">
        <v>193</v>
      </c>
      <c r="X343" s="308"/>
      <c r="Y343" s="38">
        <f t="shared" si="133"/>
        <v>4</v>
      </c>
      <c r="Z343" s="38">
        <f t="shared" si="134"/>
        <v>16</v>
      </c>
      <c r="AA343" s="38">
        <f t="shared" si="131"/>
        <v>0</v>
      </c>
      <c r="AB343" s="38">
        <f t="shared" si="142"/>
        <v>0</v>
      </c>
      <c r="AC343" s="38">
        <f t="shared" si="143"/>
        <v>0</v>
      </c>
      <c r="AD343" s="38">
        <f t="shared" si="144"/>
        <v>0</v>
      </c>
      <c r="AE343" s="38">
        <f t="shared" si="145"/>
        <v>0</v>
      </c>
      <c r="AF343" s="38">
        <f t="shared" si="146"/>
        <v>0</v>
      </c>
      <c r="AG343" s="33">
        <f t="shared" si="147"/>
        <v>4</v>
      </c>
      <c r="AH343" s="33">
        <f t="shared" si="148"/>
        <v>16</v>
      </c>
      <c r="AI343" s="33">
        <f t="shared" si="149"/>
        <v>0</v>
      </c>
      <c r="AJ343" s="33">
        <f t="shared" si="150"/>
        <v>0</v>
      </c>
      <c r="AK343" s="34">
        <f t="shared" si="151"/>
        <v>2.8169014084507043E-2</v>
      </c>
      <c r="AL343" s="35">
        <f t="shared" si="152"/>
        <v>0.11267605633802817</v>
      </c>
      <c r="AM343" s="34">
        <f t="shared" si="135"/>
        <v>0</v>
      </c>
      <c r="AN343" s="36">
        <f t="shared" si="153"/>
        <v>0</v>
      </c>
      <c r="AO343" s="6">
        <f t="shared" si="136"/>
        <v>0</v>
      </c>
      <c r="AP343">
        <f t="shared" si="137"/>
        <v>8</v>
      </c>
      <c r="AQ343" s="6">
        <f t="shared" si="138"/>
        <v>0</v>
      </c>
      <c r="AR343" s="6">
        <f t="shared" si="139"/>
        <v>0</v>
      </c>
      <c r="AS343" s="6"/>
      <c r="AX343" s="95">
        <f t="shared" si="140"/>
        <v>42466</v>
      </c>
      <c r="AY343" s="96" t="str">
        <f t="shared" si="141"/>
        <v>qua</v>
      </c>
      <c r="AZ343" s="97">
        <f>IF(OR(AY343="SÁB",AY343="DOM"),0,IFERROR(8-VLOOKUP(C343,'Dados de consulta'!$A$2:$C$38,3,0),8))</f>
        <v>8</v>
      </c>
      <c r="BA343" s="97">
        <f>IF(OR(AY343="SÁB",AY343="DOM"),0,IFERROR(8-VLOOKUP(D343,'Dados de consulta'!$A$2:$C$38,3,0),8))</f>
        <v>8</v>
      </c>
      <c r="BB343" s="97">
        <f>IF(OR(AY343="SÁB",AY343="DOM"),0,IFERROR(8-VLOOKUP(E343,'Dados de consulta'!$A$2:$C$38,3,0),8))</f>
        <v>4</v>
      </c>
      <c r="BC343" s="97">
        <f>IF(OR(AY343="SÁB",AY343="DOM"),0,IFERROR(8-VLOOKUP(F343,'Dados de consulta'!$A$2:$C$38,3,0),8))</f>
        <v>0</v>
      </c>
      <c r="BD343" s="97">
        <f>IF(OR(AY343="SÁB",AY343="DOM"),0,IFERROR(8-VLOOKUP(G343,'Dados de consulta'!$A$2:$C$38,3,0),8))</f>
        <v>8</v>
      </c>
      <c r="BE343" s="97">
        <f>IF(OR(AY343="SÁB",AY343="DOM"),0,IFERROR(8-VLOOKUP(H343,'Dados de consulta'!$A$2:$C$38,3,0),8))</f>
        <v>8</v>
      </c>
      <c r="BF343" s="97">
        <f>IF(OR(AY343="SÁB",AY343="DOM"),0,IFERROR(8-VLOOKUP(I343,'Dados de consulta'!$A$2:$C$38,3,0),8))</f>
        <v>8</v>
      </c>
      <c r="BG343" s="97">
        <f>IF(OR(AY343="SÁB",AY343="DOM"),0,IFERROR(8-VLOOKUP(J343,'Dados de consulta'!$A$2:$C$38,3,0),8))</f>
        <v>8</v>
      </c>
      <c r="BH343" s="97">
        <f>IF(OR(AY343="SÁB",AY343="DOM"),0,IFERROR(8-VLOOKUP(K343,'Dados de consulta'!$A$2:$C$38,3,0),8))</f>
        <v>8</v>
      </c>
      <c r="BI343" s="97">
        <f>IF(OR(AY343="SÁB",AY343="DOM"),0,IFERROR(8-VLOOKUP(L343,'Dados de consulta'!$A$2:$C$38,3,0),8))</f>
        <v>8</v>
      </c>
      <c r="BJ343" s="97">
        <f>IF(OR(AY343="SÁB",AY343="DOM"),0,IFERROR(8-VLOOKUP(M343,'Dados de consulta'!$A$2:$C$38,3,0),8))</f>
        <v>0</v>
      </c>
      <c r="BK343" s="97">
        <f>IF(OR(AY343="SÁB",AY343="DOM"),0,IFERROR(8-VLOOKUP(N343,'Dados de consulta'!$A$2:$C$38,3,0),8))</f>
        <v>8</v>
      </c>
      <c r="BL343" s="97">
        <f>IF(OR(AY343="SÁB",AY343="DOM"),0,IFERROR(8-VLOOKUP(O343,'Dados de consulta'!$A$2:$C$38,3,0),8))</f>
        <v>8</v>
      </c>
      <c r="BM343" s="97">
        <f>IF(OR(AY343="SÁB",AY343="DOM"),0,IFERROR(8-VLOOKUP(P343,'Dados de consulta'!$A$2:$C$38,3,0),8))</f>
        <v>8</v>
      </c>
      <c r="BN343" s="97">
        <f>IF(OR(AY343="SÁB",AY343="DOM"),0,IFERROR(8-VLOOKUP(Q343,'Dados de consulta'!$A$2:$C$38,3,0),8))</f>
        <v>0</v>
      </c>
      <c r="BO343" s="97">
        <f>IF(OR(AY343="SÁB",AY343="DOM"),0,IFERROR(8-VLOOKUP(R343,'Dados de consulta'!$A$2:$C$38,3,0),8))</f>
        <v>8</v>
      </c>
      <c r="BP343" s="97">
        <f>IF(OR(AY343="SÁB",AY343="DOM"),0,IFERROR(8-VLOOKUP(S343,'Dados de consulta'!$A$2:$C$38,3,0),8))</f>
        <v>8</v>
      </c>
      <c r="BQ343" s="113">
        <f>IFERROR(6-VLOOKUP(T343,'Dados de consulta'!$A$2:$C$38,3,0)+2,6)</f>
        <v>6</v>
      </c>
      <c r="BR343" s="114">
        <f t="shared" si="154"/>
        <v>114</v>
      </c>
      <c r="BS343">
        <f t="shared" si="130"/>
        <v>134</v>
      </c>
      <c r="BU343">
        <f>IFERROR(8-VLOOKUP(U343,'Dados de consulta'!$A:$D,3,0),8)</f>
        <v>8</v>
      </c>
      <c r="BV343">
        <f>IFERROR(8-VLOOKUP(V343,'Dados de consulta'!$A:$D,3,0),8)</f>
        <v>8</v>
      </c>
      <c r="BW343">
        <f t="shared" si="155"/>
        <v>16</v>
      </c>
    </row>
    <row r="344" spans="1:75" ht="15" hidden="1" x14ac:dyDescent="0.2">
      <c r="A344" s="98">
        <v>42467</v>
      </c>
      <c r="B344" s="129" t="str">
        <f t="shared" si="132"/>
        <v>qui</v>
      </c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>
        <v>101</v>
      </c>
      <c r="N344" s="132"/>
      <c r="O344" s="132"/>
      <c r="P344" s="132"/>
      <c r="Q344" s="132">
        <v>18</v>
      </c>
      <c r="R344" s="132"/>
      <c r="S344" s="132"/>
      <c r="T344" s="132"/>
      <c r="U344" s="151"/>
      <c r="V344" s="151"/>
      <c r="W344" s="307" t="s">
        <v>193</v>
      </c>
      <c r="X344" s="308"/>
      <c r="Y344" s="38">
        <f t="shared" si="133"/>
        <v>0</v>
      </c>
      <c r="Z344" s="38">
        <f t="shared" si="134"/>
        <v>8</v>
      </c>
      <c r="AA344" s="38">
        <f t="shared" si="131"/>
        <v>0</v>
      </c>
      <c r="AB344" s="38">
        <f t="shared" si="142"/>
        <v>0</v>
      </c>
      <c r="AC344" s="38">
        <f t="shared" si="143"/>
        <v>0</v>
      </c>
      <c r="AD344" s="38">
        <f t="shared" si="144"/>
        <v>0</v>
      </c>
      <c r="AE344" s="38">
        <f t="shared" si="145"/>
        <v>0</v>
      </c>
      <c r="AF344" s="38">
        <f t="shared" si="146"/>
        <v>0</v>
      </c>
      <c r="AG344" s="33">
        <f t="shared" si="147"/>
        <v>0</v>
      </c>
      <c r="AH344" s="33">
        <f t="shared" si="148"/>
        <v>8</v>
      </c>
      <c r="AI344" s="33">
        <f t="shared" si="149"/>
        <v>0</v>
      </c>
      <c r="AJ344" s="33">
        <f t="shared" si="150"/>
        <v>0</v>
      </c>
      <c r="AK344" s="34">
        <f t="shared" si="151"/>
        <v>0</v>
      </c>
      <c r="AL344" s="35">
        <f t="shared" si="152"/>
        <v>5.6338028169014086E-2</v>
      </c>
      <c r="AM344" s="34">
        <f t="shared" si="135"/>
        <v>0</v>
      </c>
      <c r="AN344" s="36">
        <f t="shared" si="153"/>
        <v>0</v>
      </c>
      <c r="AO344" s="6">
        <f t="shared" si="136"/>
        <v>0</v>
      </c>
      <c r="AP344">
        <f t="shared" si="137"/>
        <v>8</v>
      </c>
      <c r="AQ344" s="6">
        <f t="shared" si="138"/>
        <v>0</v>
      </c>
      <c r="AR344" s="6">
        <f t="shared" si="139"/>
        <v>0</v>
      </c>
      <c r="AS344" s="6"/>
      <c r="AX344" s="95">
        <f t="shared" si="140"/>
        <v>42467</v>
      </c>
      <c r="AY344" s="96" t="str">
        <f t="shared" si="141"/>
        <v>qui</v>
      </c>
      <c r="AZ344" s="97">
        <f>IF(OR(AY344="SÁB",AY344="DOM"),0,IFERROR(8-VLOOKUP(C344,'Dados de consulta'!$A$2:$C$38,3,0),8))</f>
        <v>8</v>
      </c>
      <c r="BA344" s="97">
        <f>IF(OR(AY344="SÁB",AY344="DOM"),0,IFERROR(8-VLOOKUP(D344,'Dados de consulta'!$A$2:$C$38,3,0),8))</f>
        <v>8</v>
      </c>
      <c r="BB344" s="97">
        <f>IF(OR(AY344="SÁB",AY344="DOM"),0,IFERROR(8-VLOOKUP(E344,'Dados de consulta'!$A$2:$C$38,3,0),8))</f>
        <v>8</v>
      </c>
      <c r="BC344" s="97">
        <f>IF(OR(AY344="SÁB",AY344="DOM"),0,IFERROR(8-VLOOKUP(F344,'Dados de consulta'!$A$2:$C$38,3,0),8))</f>
        <v>8</v>
      </c>
      <c r="BD344" s="97">
        <f>IF(OR(AY344="SÁB",AY344="DOM"),0,IFERROR(8-VLOOKUP(G344,'Dados de consulta'!$A$2:$C$38,3,0),8))</f>
        <v>8</v>
      </c>
      <c r="BE344" s="97">
        <f>IF(OR(AY344="SÁB",AY344="DOM"),0,IFERROR(8-VLOOKUP(H344,'Dados de consulta'!$A$2:$C$38,3,0),8))</f>
        <v>8</v>
      </c>
      <c r="BF344" s="97">
        <f>IF(OR(AY344="SÁB",AY344="DOM"),0,IFERROR(8-VLOOKUP(I344,'Dados de consulta'!$A$2:$C$38,3,0),8))</f>
        <v>8</v>
      </c>
      <c r="BG344" s="97">
        <f>IF(OR(AY344="SÁB",AY344="DOM"),0,IFERROR(8-VLOOKUP(J344,'Dados de consulta'!$A$2:$C$38,3,0),8))</f>
        <v>8</v>
      </c>
      <c r="BH344" s="97">
        <f>IF(OR(AY344="SÁB",AY344="DOM"),0,IFERROR(8-VLOOKUP(K344,'Dados de consulta'!$A$2:$C$38,3,0),8))</f>
        <v>8</v>
      </c>
      <c r="BI344" s="97">
        <f>IF(OR(AY344="SÁB",AY344="DOM"),0,IFERROR(8-VLOOKUP(L344,'Dados de consulta'!$A$2:$C$38,3,0),8))</f>
        <v>8</v>
      </c>
      <c r="BJ344" s="97">
        <f>IF(OR(AY344="SÁB",AY344="DOM"),0,IFERROR(8-VLOOKUP(M344,'Dados de consulta'!$A$2:$C$38,3,0),8))</f>
        <v>0</v>
      </c>
      <c r="BK344" s="97">
        <f>IF(OR(AY344="SÁB",AY344="DOM"),0,IFERROR(8-VLOOKUP(N344,'Dados de consulta'!$A$2:$C$38,3,0),8))</f>
        <v>8</v>
      </c>
      <c r="BL344" s="97">
        <f>IF(OR(AY344="SÁB",AY344="DOM"),0,IFERROR(8-VLOOKUP(O344,'Dados de consulta'!$A$2:$C$38,3,0),8))</f>
        <v>8</v>
      </c>
      <c r="BM344" s="97">
        <f>IF(OR(AY344="SÁB",AY344="DOM"),0,IFERROR(8-VLOOKUP(P344,'Dados de consulta'!$A$2:$C$38,3,0),8))</f>
        <v>8</v>
      </c>
      <c r="BN344" s="97">
        <f>IF(OR(AY344="SÁB",AY344="DOM"),0,IFERROR(8-VLOOKUP(Q344,'Dados de consulta'!$A$2:$C$38,3,0),8))</f>
        <v>0</v>
      </c>
      <c r="BO344" s="97">
        <f>IF(OR(AY344="SÁB",AY344="DOM"),0,IFERROR(8-VLOOKUP(R344,'Dados de consulta'!$A$2:$C$38,3,0),8))</f>
        <v>8</v>
      </c>
      <c r="BP344" s="97">
        <f>IF(OR(AY344="SÁB",AY344="DOM"),0,IFERROR(8-VLOOKUP(S344,'Dados de consulta'!$A$2:$C$38,3,0),8))</f>
        <v>8</v>
      </c>
      <c r="BQ344" s="113">
        <f>IFERROR(6-VLOOKUP(T344,'Dados de consulta'!$A$2:$C$38,3,0)+2,6)</f>
        <v>6</v>
      </c>
      <c r="BR344" s="114">
        <f t="shared" si="154"/>
        <v>126</v>
      </c>
      <c r="BS344">
        <f t="shared" si="130"/>
        <v>134</v>
      </c>
      <c r="BU344">
        <f>IFERROR(8-VLOOKUP(U344,'Dados de consulta'!$A:$D,3,0),8)</f>
        <v>8</v>
      </c>
      <c r="BV344">
        <f>IFERROR(8-VLOOKUP(V344,'Dados de consulta'!$A:$D,3,0),8)</f>
        <v>8</v>
      </c>
      <c r="BW344">
        <f t="shared" si="155"/>
        <v>16</v>
      </c>
    </row>
    <row r="345" spans="1:75" ht="15" hidden="1" x14ac:dyDescent="0.2">
      <c r="A345" s="98">
        <v>42468</v>
      </c>
      <c r="B345" s="129" t="str">
        <f t="shared" si="132"/>
        <v>sex</v>
      </c>
      <c r="C345" s="132"/>
      <c r="D345" s="132"/>
      <c r="E345" s="132" t="s">
        <v>198</v>
      </c>
      <c r="F345" s="132"/>
      <c r="G345" s="132"/>
      <c r="H345" s="132"/>
      <c r="I345" s="132"/>
      <c r="J345" s="132"/>
      <c r="K345" s="132"/>
      <c r="L345" s="132"/>
      <c r="M345" s="132">
        <v>101</v>
      </c>
      <c r="N345" s="132"/>
      <c r="O345" s="132"/>
      <c r="P345" s="132">
        <v>8</v>
      </c>
      <c r="Q345" s="132">
        <v>18</v>
      </c>
      <c r="R345" s="132"/>
      <c r="S345" s="132"/>
      <c r="T345" s="132"/>
      <c r="U345" s="151"/>
      <c r="V345" s="151"/>
      <c r="W345" s="307" t="s">
        <v>193</v>
      </c>
      <c r="X345" s="308"/>
      <c r="Y345" s="38">
        <f t="shared" si="133"/>
        <v>12</v>
      </c>
      <c r="Z345" s="38">
        <f t="shared" si="134"/>
        <v>8</v>
      </c>
      <c r="AA345" s="38">
        <f t="shared" si="131"/>
        <v>0</v>
      </c>
      <c r="AB345" s="38">
        <f t="shared" si="142"/>
        <v>0</v>
      </c>
      <c r="AC345" s="38">
        <f t="shared" si="143"/>
        <v>0</v>
      </c>
      <c r="AD345" s="38">
        <f t="shared" si="144"/>
        <v>0</v>
      </c>
      <c r="AE345" s="38">
        <f t="shared" si="145"/>
        <v>0</v>
      </c>
      <c r="AF345" s="38">
        <f t="shared" si="146"/>
        <v>0</v>
      </c>
      <c r="AG345" s="33">
        <f t="shared" si="147"/>
        <v>12</v>
      </c>
      <c r="AH345" s="33">
        <f t="shared" si="148"/>
        <v>8</v>
      </c>
      <c r="AI345" s="33">
        <f t="shared" si="149"/>
        <v>0</v>
      </c>
      <c r="AJ345" s="33">
        <f t="shared" si="150"/>
        <v>0</v>
      </c>
      <c r="AK345" s="34">
        <f t="shared" si="151"/>
        <v>8.4507042253521125E-2</v>
      </c>
      <c r="AL345" s="35">
        <f t="shared" si="152"/>
        <v>5.6338028169014086E-2</v>
      </c>
      <c r="AM345" s="34">
        <f t="shared" si="135"/>
        <v>0</v>
      </c>
      <c r="AN345" s="36">
        <f t="shared" si="153"/>
        <v>0</v>
      </c>
      <c r="AO345" s="6">
        <f t="shared" si="136"/>
        <v>0</v>
      </c>
      <c r="AP345">
        <f t="shared" si="137"/>
        <v>8</v>
      </c>
      <c r="AQ345" s="6">
        <f t="shared" si="138"/>
        <v>0</v>
      </c>
      <c r="AR345" s="6">
        <f t="shared" si="139"/>
        <v>0</v>
      </c>
      <c r="AS345" s="6"/>
      <c r="AX345" s="95">
        <f t="shared" si="140"/>
        <v>42468</v>
      </c>
      <c r="AY345" s="96" t="str">
        <f t="shared" si="141"/>
        <v>sex</v>
      </c>
      <c r="AZ345" s="97">
        <f>IF(OR(AY345="SÁB",AY345="DOM"),0,IFERROR(8-VLOOKUP(C345,'Dados de consulta'!$A$2:$C$38,3,0),8))</f>
        <v>8</v>
      </c>
      <c r="BA345" s="97">
        <f>IF(OR(AY345="SÁB",AY345="DOM"),0,IFERROR(8-VLOOKUP(D345,'Dados de consulta'!$A$2:$C$38,3,0),8))</f>
        <v>8</v>
      </c>
      <c r="BB345" s="97">
        <f>IF(OR(AY345="SÁB",AY345="DOM"),0,IFERROR(8-VLOOKUP(E345,'Dados de consulta'!$A$2:$C$38,3,0),8))</f>
        <v>4</v>
      </c>
      <c r="BC345" s="97">
        <f>IF(OR(AY345="SÁB",AY345="DOM"),0,IFERROR(8-VLOOKUP(F345,'Dados de consulta'!$A$2:$C$38,3,0),8))</f>
        <v>8</v>
      </c>
      <c r="BD345" s="97">
        <f>IF(OR(AY345="SÁB",AY345="DOM"),0,IFERROR(8-VLOOKUP(G345,'Dados de consulta'!$A$2:$C$38,3,0),8))</f>
        <v>8</v>
      </c>
      <c r="BE345" s="97">
        <f>IF(OR(AY345="SÁB",AY345="DOM"),0,IFERROR(8-VLOOKUP(H345,'Dados de consulta'!$A$2:$C$38,3,0),8))</f>
        <v>8</v>
      </c>
      <c r="BF345" s="97">
        <f>IF(OR(AY345="SÁB",AY345="DOM"),0,IFERROR(8-VLOOKUP(I345,'Dados de consulta'!$A$2:$C$38,3,0),8))</f>
        <v>8</v>
      </c>
      <c r="BG345" s="97">
        <f>IF(OR(AY345="SÁB",AY345="DOM"),0,IFERROR(8-VLOOKUP(J345,'Dados de consulta'!$A$2:$C$38,3,0),8))</f>
        <v>8</v>
      </c>
      <c r="BH345" s="97">
        <f>IF(OR(AY345="SÁB",AY345="DOM"),0,IFERROR(8-VLOOKUP(K345,'Dados de consulta'!$A$2:$C$38,3,0),8))</f>
        <v>8</v>
      </c>
      <c r="BI345" s="97">
        <f>IF(OR(AY345="SÁB",AY345="DOM"),0,IFERROR(8-VLOOKUP(L345,'Dados de consulta'!$A$2:$C$38,3,0),8))</f>
        <v>8</v>
      </c>
      <c r="BJ345" s="97">
        <f>IF(OR(AY345="SÁB",AY345="DOM"),0,IFERROR(8-VLOOKUP(M345,'Dados de consulta'!$A$2:$C$38,3,0),8))</f>
        <v>0</v>
      </c>
      <c r="BK345" s="97">
        <f>IF(OR(AY345="SÁB",AY345="DOM"),0,IFERROR(8-VLOOKUP(N345,'Dados de consulta'!$A$2:$C$38,3,0),8))</f>
        <v>8</v>
      </c>
      <c r="BL345" s="97">
        <f>IF(OR(AY345="SÁB",AY345="DOM"),0,IFERROR(8-VLOOKUP(O345,'Dados de consulta'!$A$2:$C$38,3,0),8))</f>
        <v>8</v>
      </c>
      <c r="BM345" s="97">
        <f>IF(OR(AY345="SÁB",AY345="DOM"),0,IFERROR(8-VLOOKUP(P345,'Dados de consulta'!$A$2:$C$38,3,0),8))</f>
        <v>0</v>
      </c>
      <c r="BN345" s="97">
        <f>IF(OR(AY345="SÁB",AY345="DOM"),0,IFERROR(8-VLOOKUP(Q345,'Dados de consulta'!$A$2:$C$38,3,0),8))</f>
        <v>0</v>
      </c>
      <c r="BO345" s="97">
        <f>IF(OR(AY345="SÁB",AY345="DOM"),0,IFERROR(8-VLOOKUP(R345,'Dados de consulta'!$A$2:$C$38,3,0),8))</f>
        <v>8</v>
      </c>
      <c r="BP345" s="97">
        <f>IF(OR(AY345="SÁB",AY345="DOM"),0,IFERROR(8-VLOOKUP(S345,'Dados de consulta'!$A$2:$C$38,3,0),8))</f>
        <v>8</v>
      </c>
      <c r="BQ345" s="113">
        <f>IFERROR(6-VLOOKUP(T345,'Dados de consulta'!$A$2:$C$38,3,0)+2,6)</f>
        <v>6</v>
      </c>
      <c r="BR345" s="114">
        <f t="shared" si="154"/>
        <v>114</v>
      </c>
      <c r="BS345">
        <f t="shared" si="130"/>
        <v>134</v>
      </c>
      <c r="BU345">
        <f>IFERROR(8-VLOOKUP(U345,'Dados de consulta'!$A:$D,3,0),8)</f>
        <v>8</v>
      </c>
      <c r="BV345">
        <f>IFERROR(8-VLOOKUP(V345,'Dados de consulta'!$A:$D,3,0),8)</f>
        <v>8</v>
      </c>
      <c r="BW345">
        <f t="shared" si="155"/>
        <v>16</v>
      </c>
    </row>
    <row r="346" spans="1:75" ht="15" hidden="1" x14ac:dyDescent="0.2">
      <c r="A346" s="98">
        <v>42469</v>
      </c>
      <c r="B346" s="129" t="str">
        <f t="shared" si="132"/>
        <v>sáb</v>
      </c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>
        <v>101</v>
      </c>
      <c r="N346" s="132"/>
      <c r="O346" s="132"/>
      <c r="P346" s="132"/>
      <c r="Q346" s="132">
        <v>18</v>
      </c>
      <c r="R346" s="132"/>
      <c r="S346" s="132"/>
      <c r="T346" s="132"/>
      <c r="U346" s="151"/>
      <c r="V346" s="151"/>
      <c r="W346" s="307" t="s">
        <v>193</v>
      </c>
      <c r="X346" s="308"/>
      <c r="Y346" s="38">
        <f t="shared" si="133"/>
        <v>0</v>
      </c>
      <c r="Z346" s="38">
        <f t="shared" si="134"/>
        <v>8</v>
      </c>
      <c r="AA346" s="38">
        <f t="shared" si="131"/>
        <v>0</v>
      </c>
      <c r="AB346" s="38">
        <f t="shared" si="142"/>
        <v>0</v>
      </c>
      <c r="AC346" s="38">
        <f t="shared" si="143"/>
        <v>0</v>
      </c>
      <c r="AD346" s="38">
        <f t="shared" si="144"/>
        <v>0</v>
      </c>
      <c r="AE346" s="38">
        <f t="shared" si="145"/>
        <v>0</v>
      </c>
      <c r="AF346" s="38">
        <f t="shared" si="146"/>
        <v>0</v>
      </c>
      <c r="AG346" s="33">
        <f t="shared" si="147"/>
        <v>0</v>
      </c>
      <c r="AH346" s="33">
        <f t="shared" si="148"/>
        <v>0</v>
      </c>
      <c r="AI346" s="33">
        <f t="shared" si="149"/>
        <v>0</v>
      </c>
      <c r="AJ346" s="33">
        <f t="shared" si="150"/>
        <v>0</v>
      </c>
      <c r="AK346" s="34">
        <f t="shared" si="151"/>
        <v>0</v>
      </c>
      <c r="AL346" s="35">
        <f t="shared" si="152"/>
        <v>0</v>
      </c>
      <c r="AM346" s="34">
        <f t="shared" si="135"/>
        <v>0</v>
      </c>
      <c r="AN346" s="36">
        <f t="shared" si="153"/>
        <v>0</v>
      </c>
      <c r="AO346" s="6">
        <f t="shared" si="136"/>
        <v>0</v>
      </c>
      <c r="AP346">
        <f t="shared" si="137"/>
        <v>8</v>
      </c>
      <c r="AQ346" s="6">
        <f t="shared" si="138"/>
        <v>0</v>
      </c>
      <c r="AR346" s="6">
        <f t="shared" si="139"/>
        <v>0</v>
      </c>
      <c r="AS346" s="6"/>
      <c r="AX346" s="95">
        <f t="shared" si="140"/>
        <v>42469</v>
      </c>
      <c r="AY346" s="96" t="str">
        <f t="shared" si="141"/>
        <v>sáb</v>
      </c>
      <c r="AZ346" s="97">
        <f>IF(OR(AY346="SÁB",AY346="DOM"),0,IFERROR(8-VLOOKUP(C346,'Dados de consulta'!$A$2:$C$38,3,0),8))</f>
        <v>0</v>
      </c>
      <c r="BA346" s="97">
        <f>IF(OR(AY346="SÁB",AY346="DOM"),0,IFERROR(8-VLOOKUP(D346,'Dados de consulta'!$A$2:$C$38,3,0),8))</f>
        <v>0</v>
      </c>
      <c r="BB346" s="97">
        <f>IF(OR(AY346="SÁB",AY346="DOM"),0,IFERROR(8-VLOOKUP(E346,'Dados de consulta'!$A$2:$C$38,3,0),8))</f>
        <v>0</v>
      </c>
      <c r="BC346" s="97">
        <f>IF(OR(AY346="SÁB",AY346="DOM"),0,IFERROR(8-VLOOKUP(F346,'Dados de consulta'!$A$2:$C$38,3,0),8))</f>
        <v>0</v>
      </c>
      <c r="BD346" s="97">
        <f>IF(OR(AY346="SÁB",AY346="DOM"),0,IFERROR(8-VLOOKUP(G346,'Dados de consulta'!$A$2:$C$38,3,0),8))</f>
        <v>0</v>
      </c>
      <c r="BE346" s="97">
        <f>IF(OR(AY346="SÁB",AY346="DOM"),0,IFERROR(8-VLOOKUP(H346,'Dados de consulta'!$A$2:$C$38,3,0),8))</f>
        <v>0</v>
      </c>
      <c r="BF346" s="97">
        <f>IF(OR(AY346="SÁB",AY346="DOM"),0,IFERROR(8-VLOOKUP(I346,'Dados de consulta'!$A$2:$C$38,3,0),8))</f>
        <v>0</v>
      </c>
      <c r="BG346" s="97">
        <f>IF(OR(AY346="SÁB",AY346="DOM"),0,IFERROR(8-VLOOKUP(J346,'Dados de consulta'!$A$2:$C$38,3,0),8))</f>
        <v>0</v>
      </c>
      <c r="BH346" s="97">
        <f>IF(OR(AY346="SÁB",AY346="DOM"),0,IFERROR(8-VLOOKUP(K346,'Dados de consulta'!$A$2:$C$38,3,0),8))</f>
        <v>0</v>
      </c>
      <c r="BI346" s="97">
        <f>IF(OR(AY346="SÁB",AY346="DOM"),0,IFERROR(8-VLOOKUP(L346,'Dados de consulta'!$A$2:$C$38,3,0),8))</f>
        <v>0</v>
      </c>
      <c r="BJ346" s="97">
        <f>IF(OR(AY346="SÁB",AY346="DOM"),0,IFERROR(8-VLOOKUP(M346,'Dados de consulta'!$A$2:$C$38,3,0),8))</f>
        <v>0</v>
      </c>
      <c r="BK346" s="97">
        <f>IF(OR(AY346="SÁB",AY346="DOM"),0,IFERROR(8-VLOOKUP(N346,'Dados de consulta'!$A$2:$C$38,3,0),8))</f>
        <v>0</v>
      </c>
      <c r="BL346" s="97">
        <f>IF(OR(AY346="SÁB",AY346="DOM"),0,IFERROR(8-VLOOKUP(O346,'Dados de consulta'!$A$2:$C$38,3,0),8))</f>
        <v>0</v>
      </c>
      <c r="BM346" s="97">
        <f>IF(OR(AY346="SÁB",AY346="DOM"),0,IFERROR(8-VLOOKUP(P346,'Dados de consulta'!$A$2:$C$38,3,0),8))</f>
        <v>0</v>
      </c>
      <c r="BN346" s="97">
        <f>IF(OR(AY346="SÁB",AY346="DOM"),0,IFERROR(8-VLOOKUP(Q346,'Dados de consulta'!$A$2:$C$38,3,0),8))</f>
        <v>0</v>
      </c>
      <c r="BO346" s="97">
        <f>IF(OR(AY346="SÁB",AY346="DOM"),0,IFERROR(8-VLOOKUP(R346,'Dados de consulta'!$A$2:$C$38,3,0),8))</f>
        <v>0</v>
      </c>
      <c r="BP346" s="97">
        <f>IF(OR(AY346="SÁB",AY346="DOM"),0,IFERROR(8-VLOOKUP(S346,'Dados de consulta'!$A$2:$C$38,3,0),8))</f>
        <v>0</v>
      </c>
      <c r="BQ346" s="113">
        <f>IFERROR(6-VLOOKUP(T346,'Dados de consulta'!$A$2:$C$38,3,0)+2,6)</f>
        <v>6</v>
      </c>
      <c r="BR346" s="114">
        <f t="shared" si="154"/>
        <v>0</v>
      </c>
      <c r="BS346">
        <f t="shared" si="130"/>
        <v>0</v>
      </c>
      <c r="BU346">
        <f>IFERROR(8-VLOOKUP(U346,'Dados de consulta'!$A:$D,3,0),8)</f>
        <v>8</v>
      </c>
      <c r="BV346">
        <f>IFERROR(8-VLOOKUP(V346,'Dados de consulta'!$A:$D,3,0),8)</f>
        <v>8</v>
      </c>
      <c r="BW346">
        <f t="shared" si="155"/>
        <v>16</v>
      </c>
    </row>
    <row r="347" spans="1:75" ht="15" hidden="1" x14ac:dyDescent="0.2">
      <c r="A347" s="98">
        <v>42470</v>
      </c>
      <c r="B347" s="129" t="str">
        <f t="shared" si="132"/>
        <v>dom</v>
      </c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>
        <v>101</v>
      </c>
      <c r="N347" s="132"/>
      <c r="O347" s="132"/>
      <c r="P347" s="132"/>
      <c r="Q347" s="132">
        <v>18</v>
      </c>
      <c r="R347" s="132"/>
      <c r="S347" s="132"/>
      <c r="T347" s="132"/>
      <c r="U347" s="151"/>
      <c r="V347" s="151"/>
      <c r="W347" s="307" t="s">
        <v>193</v>
      </c>
      <c r="X347" s="308"/>
      <c r="Y347" s="38">
        <f t="shared" si="133"/>
        <v>0</v>
      </c>
      <c r="Z347" s="38">
        <f t="shared" si="134"/>
        <v>8</v>
      </c>
      <c r="AA347" s="38">
        <f t="shared" si="131"/>
        <v>0</v>
      </c>
      <c r="AB347" s="38">
        <f t="shared" si="142"/>
        <v>0</v>
      </c>
      <c r="AC347" s="38">
        <f t="shared" si="143"/>
        <v>0</v>
      </c>
      <c r="AD347" s="38">
        <f t="shared" si="144"/>
        <v>0</v>
      </c>
      <c r="AE347" s="38">
        <f t="shared" si="145"/>
        <v>0</v>
      </c>
      <c r="AF347" s="38">
        <f t="shared" si="146"/>
        <v>0</v>
      </c>
      <c r="AG347" s="33">
        <f t="shared" si="147"/>
        <v>0</v>
      </c>
      <c r="AH347" s="33">
        <f t="shared" si="148"/>
        <v>0</v>
      </c>
      <c r="AI347" s="33">
        <f t="shared" si="149"/>
        <v>0</v>
      </c>
      <c r="AJ347" s="33">
        <f t="shared" si="150"/>
        <v>0</v>
      </c>
      <c r="AK347" s="34">
        <f t="shared" si="151"/>
        <v>0</v>
      </c>
      <c r="AL347" s="35">
        <f t="shared" si="152"/>
        <v>0</v>
      </c>
      <c r="AM347" s="34">
        <f t="shared" si="135"/>
        <v>0</v>
      </c>
      <c r="AN347" s="36">
        <f t="shared" si="153"/>
        <v>0</v>
      </c>
      <c r="AO347" s="6">
        <f t="shared" si="136"/>
        <v>0</v>
      </c>
      <c r="AP347">
        <f t="shared" si="137"/>
        <v>8</v>
      </c>
      <c r="AQ347" s="6">
        <f t="shared" si="138"/>
        <v>0</v>
      </c>
      <c r="AR347" s="6">
        <f t="shared" si="139"/>
        <v>0</v>
      </c>
      <c r="AS347" s="6"/>
      <c r="AX347" s="95">
        <f t="shared" si="140"/>
        <v>42470</v>
      </c>
      <c r="AY347" s="96" t="str">
        <f t="shared" si="141"/>
        <v>dom</v>
      </c>
      <c r="AZ347" s="97">
        <f>IF(OR(AY347="SÁB",AY347="DOM"),0,IFERROR(8-VLOOKUP(C347,'Dados de consulta'!$A$2:$C$38,3,0),8))</f>
        <v>0</v>
      </c>
      <c r="BA347" s="97">
        <f>IF(OR(AY347="SÁB",AY347="DOM"),0,IFERROR(8-VLOOKUP(D347,'Dados de consulta'!$A$2:$C$38,3,0),8))</f>
        <v>0</v>
      </c>
      <c r="BB347" s="97">
        <f>IF(OR(AY347="SÁB",AY347="DOM"),0,IFERROR(8-VLOOKUP(E347,'Dados de consulta'!$A$2:$C$38,3,0),8))</f>
        <v>0</v>
      </c>
      <c r="BC347" s="97">
        <f>IF(OR(AY347="SÁB",AY347="DOM"),0,IFERROR(8-VLOOKUP(F347,'Dados de consulta'!$A$2:$C$38,3,0),8))</f>
        <v>0</v>
      </c>
      <c r="BD347" s="97">
        <f>IF(OR(AY347="SÁB",AY347="DOM"),0,IFERROR(8-VLOOKUP(G347,'Dados de consulta'!$A$2:$C$38,3,0),8))</f>
        <v>0</v>
      </c>
      <c r="BE347" s="97">
        <f>IF(OR(AY347="SÁB",AY347="DOM"),0,IFERROR(8-VLOOKUP(H347,'Dados de consulta'!$A$2:$C$38,3,0),8))</f>
        <v>0</v>
      </c>
      <c r="BF347" s="97">
        <f>IF(OR(AY347="SÁB",AY347="DOM"),0,IFERROR(8-VLOOKUP(I347,'Dados de consulta'!$A$2:$C$38,3,0),8))</f>
        <v>0</v>
      </c>
      <c r="BG347" s="97">
        <f>IF(OR(AY347="SÁB",AY347="DOM"),0,IFERROR(8-VLOOKUP(J347,'Dados de consulta'!$A$2:$C$38,3,0),8))</f>
        <v>0</v>
      </c>
      <c r="BH347" s="97">
        <f>IF(OR(AY347="SÁB",AY347="DOM"),0,IFERROR(8-VLOOKUP(K347,'Dados de consulta'!$A$2:$C$38,3,0),8))</f>
        <v>0</v>
      </c>
      <c r="BI347" s="97">
        <f>IF(OR(AY347="SÁB",AY347="DOM"),0,IFERROR(8-VLOOKUP(L347,'Dados de consulta'!$A$2:$C$38,3,0),8))</f>
        <v>0</v>
      </c>
      <c r="BJ347" s="97">
        <f>IF(OR(AY347="SÁB",AY347="DOM"),0,IFERROR(8-VLOOKUP(M347,'Dados de consulta'!$A$2:$C$38,3,0),8))</f>
        <v>0</v>
      </c>
      <c r="BK347" s="97">
        <f>IF(OR(AY347="SÁB",AY347="DOM"),0,IFERROR(8-VLOOKUP(N347,'Dados de consulta'!$A$2:$C$38,3,0),8))</f>
        <v>0</v>
      </c>
      <c r="BL347" s="97">
        <f>IF(OR(AY347="SÁB",AY347="DOM"),0,IFERROR(8-VLOOKUP(O347,'Dados de consulta'!$A$2:$C$38,3,0),8))</f>
        <v>0</v>
      </c>
      <c r="BM347" s="97">
        <f>IF(OR(AY347="SÁB",AY347="DOM"),0,IFERROR(8-VLOOKUP(P347,'Dados de consulta'!$A$2:$C$38,3,0),8))</f>
        <v>0</v>
      </c>
      <c r="BN347" s="97">
        <f>IF(OR(AY347="SÁB",AY347="DOM"),0,IFERROR(8-VLOOKUP(Q347,'Dados de consulta'!$A$2:$C$38,3,0),8))</f>
        <v>0</v>
      </c>
      <c r="BO347" s="97">
        <f>IF(OR(AY347="SÁB",AY347="DOM"),0,IFERROR(8-VLOOKUP(R347,'Dados de consulta'!$A$2:$C$38,3,0),8))</f>
        <v>0</v>
      </c>
      <c r="BP347" s="97">
        <f>IF(OR(AY347="SÁB",AY347="DOM"),0,IFERROR(8-VLOOKUP(S347,'Dados de consulta'!$A$2:$C$38,3,0),8))</f>
        <v>0</v>
      </c>
      <c r="BQ347" s="113">
        <f>IFERROR(6-VLOOKUP(T347,'Dados de consulta'!$A$2:$C$38,3,0)+2,6)</f>
        <v>6</v>
      </c>
      <c r="BR347" s="114">
        <f t="shared" si="154"/>
        <v>0</v>
      </c>
      <c r="BS347">
        <f t="shared" si="130"/>
        <v>0</v>
      </c>
      <c r="BU347">
        <f>IFERROR(8-VLOOKUP(U347,'Dados de consulta'!$A:$D,3,0),8)</f>
        <v>8</v>
      </c>
      <c r="BV347">
        <f>IFERROR(8-VLOOKUP(V347,'Dados de consulta'!$A:$D,3,0),8)</f>
        <v>8</v>
      </c>
      <c r="BW347">
        <f t="shared" si="155"/>
        <v>16</v>
      </c>
    </row>
    <row r="348" spans="1:75" ht="15" hidden="1" x14ac:dyDescent="0.2">
      <c r="A348" s="98">
        <v>42471</v>
      </c>
      <c r="B348" s="129" t="str">
        <f t="shared" si="132"/>
        <v>seg</v>
      </c>
      <c r="C348" s="132"/>
      <c r="D348" s="132"/>
      <c r="E348" s="132" t="s">
        <v>198</v>
      </c>
      <c r="F348" s="132"/>
      <c r="G348" s="132"/>
      <c r="H348" s="132"/>
      <c r="I348" s="132"/>
      <c r="J348" s="132"/>
      <c r="K348" s="132"/>
      <c r="L348" s="132"/>
      <c r="M348" s="132">
        <v>101</v>
      </c>
      <c r="N348" s="132"/>
      <c r="O348" s="132"/>
      <c r="P348" s="132"/>
      <c r="Q348" s="132"/>
      <c r="R348" s="132" t="s">
        <v>198</v>
      </c>
      <c r="S348" s="132"/>
      <c r="T348" s="132"/>
      <c r="U348" s="151"/>
      <c r="V348" s="151" t="s">
        <v>196</v>
      </c>
      <c r="W348" s="307" t="s">
        <v>193</v>
      </c>
      <c r="X348" s="308"/>
      <c r="Y348" s="38">
        <f t="shared" si="133"/>
        <v>8</v>
      </c>
      <c r="Z348" s="38">
        <f t="shared" si="134"/>
        <v>0</v>
      </c>
      <c r="AA348" s="38">
        <f t="shared" si="131"/>
        <v>0</v>
      </c>
      <c r="AB348" s="38">
        <f t="shared" si="142"/>
        <v>0</v>
      </c>
      <c r="AC348" s="38">
        <f t="shared" si="143"/>
        <v>0</v>
      </c>
      <c r="AD348" s="38">
        <f t="shared" si="144"/>
        <v>0</v>
      </c>
      <c r="AE348" s="38">
        <f t="shared" si="145"/>
        <v>0</v>
      </c>
      <c r="AF348" s="38">
        <f t="shared" si="146"/>
        <v>0</v>
      </c>
      <c r="AG348" s="33">
        <f t="shared" si="147"/>
        <v>8</v>
      </c>
      <c r="AH348" s="33">
        <f t="shared" si="148"/>
        <v>0</v>
      </c>
      <c r="AI348" s="33">
        <f t="shared" si="149"/>
        <v>0</v>
      </c>
      <c r="AJ348" s="33">
        <f t="shared" si="150"/>
        <v>0</v>
      </c>
      <c r="AK348" s="34">
        <f t="shared" si="151"/>
        <v>5.6338028169014086E-2</v>
      </c>
      <c r="AL348" s="35">
        <f t="shared" si="152"/>
        <v>0</v>
      </c>
      <c r="AM348" s="34">
        <f t="shared" si="135"/>
        <v>0</v>
      </c>
      <c r="AN348" s="36">
        <f t="shared" si="153"/>
        <v>0</v>
      </c>
      <c r="AO348" s="6">
        <f t="shared" si="136"/>
        <v>0</v>
      </c>
      <c r="AP348">
        <f t="shared" si="137"/>
        <v>8</v>
      </c>
      <c r="AQ348" s="6">
        <f t="shared" si="138"/>
        <v>0</v>
      </c>
      <c r="AR348" s="6">
        <f t="shared" si="139"/>
        <v>0</v>
      </c>
      <c r="AS348" s="6"/>
      <c r="AX348" s="95">
        <f t="shared" si="140"/>
        <v>42471</v>
      </c>
      <c r="AY348" s="96" t="str">
        <f t="shared" si="141"/>
        <v>seg</v>
      </c>
      <c r="AZ348" s="97">
        <f>IF(OR(AY348="SÁB",AY348="DOM"),0,IFERROR(8-VLOOKUP(C348,'Dados de consulta'!$A$2:$C$38,3,0),8))</f>
        <v>8</v>
      </c>
      <c r="BA348" s="97">
        <f>IF(OR(AY348="SÁB",AY348="DOM"),0,IFERROR(8-VLOOKUP(D348,'Dados de consulta'!$A$2:$C$38,3,0),8))</f>
        <v>8</v>
      </c>
      <c r="BB348" s="97">
        <f>IF(OR(AY348="SÁB",AY348="DOM"),0,IFERROR(8-VLOOKUP(E348,'Dados de consulta'!$A$2:$C$38,3,0),8))</f>
        <v>4</v>
      </c>
      <c r="BC348" s="97">
        <f>IF(OR(AY348="SÁB",AY348="DOM"),0,IFERROR(8-VLOOKUP(F348,'Dados de consulta'!$A$2:$C$38,3,0),8))</f>
        <v>8</v>
      </c>
      <c r="BD348" s="97">
        <f>IF(OR(AY348="SÁB",AY348="DOM"),0,IFERROR(8-VLOOKUP(G348,'Dados de consulta'!$A$2:$C$38,3,0),8))</f>
        <v>8</v>
      </c>
      <c r="BE348" s="97">
        <f>IF(OR(AY348="SÁB",AY348="DOM"),0,IFERROR(8-VLOOKUP(H348,'Dados de consulta'!$A$2:$C$38,3,0),8))</f>
        <v>8</v>
      </c>
      <c r="BF348" s="97">
        <f>IF(OR(AY348="SÁB",AY348="DOM"),0,IFERROR(8-VLOOKUP(I348,'Dados de consulta'!$A$2:$C$38,3,0),8))</f>
        <v>8</v>
      </c>
      <c r="BG348" s="97">
        <f>IF(OR(AY348="SÁB",AY348="DOM"),0,IFERROR(8-VLOOKUP(J348,'Dados de consulta'!$A$2:$C$38,3,0),8))</f>
        <v>8</v>
      </c>
      <c r="BH348" s="97">
        <f>IF(OR(AY348="SÁB",AY348="DOM"),0,IFERROR(8-VLOOKUP(K348,'Dados de consulta'!$A$2:$C$38,3,0),8))</f>
        <v>8</v>
      </c>
      <c r="BI348" s="97">
        <f>IF(OR(AY348="SÁB",AY348="DOM"),0,IFERROR(8-VLOOKUP(L348,'Dados de consulta'!$A$2:$C$38,3,0),8))</f>
        <v>8</v>
      </c>
      <c r="BJ348" s="97">
        <f>IF(OR(AY348="SÁB",AY348="DOM"),0,IFERROR(8-VLOOKUP(M348,'Dados de consulta'!$A$2:$C$38,3,0),8))</f>
        <v>0</v>
      </c>
      <c r="BK348" s="97">
        <f>IF(OR(AY348="SÁB",AY348="DOM"),0,IFERROR(8-VLOOKUP(N348,'Dados de consulta'!$A$2:$C$38,3,0),8))</f>
        <v>8</v>
      </c>
      <c r="BL348" s="97">
        <f>IF(OR(AY348="SÁB",AY348="DOM"),0,IFERROR(8-VLOOKUP(O348,'Dados de consulta'!$A$2:$C$38,3,0),8))</f>
        <v>8</v>
      </c>
      <c r="BM348" s="97">
        <f>IF(OR(AY348="SÁB",AY348="DOM"),0,IFERROR(8-VLOOKUP(P348,'Dados de consulta'!$A$2:$C$38,3,0),8))</f>
        <v>8</v>
      </c>
      <c r="BN348" s="97">
        <f>IF(OR(AY348="SÁB",AY348="DOM"),0,IFERROR(8-VLOOKUP(Q348,'Dados de consulta'!$A$2:$C$38,3,0),8))</f>
        <v>8</v>
      </c>
      <c r="BO348" s="97">
        <f>IF(OR(AY348="SÁB",AY348="DOM"),0,IFERROR(8-VLOOKUP(R348,'Dados de consulta'!$A$2:$C$38,3,0),8))</f>
        <v>4</v>
      </c>
      <c r="BP348" s="97">
        <f>IF(OR(AY348="SÁB",AY348="DOM"),0,IFERROR(8-VLOOKUP(S348,'Dados de consulta'!$A$2:$C$38,3,0),8))</f>
        <v>8</v>
      </c>
      <c r="BQ348" s="113">
        <f>IFERROR(6-VLOOKUP(T348,'Dados de consulta'!$A$2:$C$38,3,0)+2,6)</f>
        <v>6</v>
      </c>
      <c r="BR348" s="114">
        <f t="shared" si="154"/>
        <v>126</v>
      </c>
      <c r="BS348">
        <f t="shared" si="130"/>
        <v>134</v>
      </c>
      <c r="BU348">
        <f>IFERROR(8-VLOOKUP(U348,'Dados de consulta'!$A:$D,3,0),8)</f>
        <v>8</v>
      </c>
      <c r="BV348">
        <f>IFERROR(8-VLOOKUP(V348,'Dados de consulta'!$A:$D,3,0),8)</f>
        <v>4</v>
      </c>
      <c r="BW348">
        <f t="shared" si="155"/>
        <v>12</v>
      </c>
    </row>
    <row r="349" spans="1:75" ht="15" hidden="1" x14ac:dyDescent="0.2">
      <c r="A349" s="98">
        <v>42472</v>
      </c>
      <c r="B349" s="129" t="str">
        <f t="shared" si="132"/>
        <v>ter</v>
      </c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>
        <v>101</v>
      </c>
      <c r="N349" s="132"/>
      <c r="O349" s="132"/>
      <c r="P349" s="132"/>
      <c r="Q349" s="132"/>
      <c r="R349" s="132" t="s">
        <v>198</v>
      </c>
      <c r="S349" s="132">
        <v>8</v>
      </c>
      <c r="T349" s="132"/>
      <c r="U349" s="151"/>
      <c r="V349" s="151" t="s">
        <v>196</v>
      </c>
      <c r="W349" s="307" t="s">
        <v>193</v>
      </c>
      <c r="X349" s="308"/>
      <c r="Y349" s="38">
        <f t="shared" si="133"/>
        <v>12</v>
      </c>
      <c r="Z349" s="38">
        <f t="shared" si="134"/>
        <v>0</v>
      </c>
      <c r="AA349" s="38">
        <f t="shared" si="131"/>
        <v>0</v>
      </c>
      <c r="AB349" s="38">
        <f t="shared" si="142"/>
        <v>0</v>
      </c>
      <c r="AC349" s="38">
        <f t="shared" si="143"/>
        <v>0</v>
      </c>
      <c r="AD349" s="38">
        <f t="shared" si="144"/>
        <v>0</v>
      </c>
      <c r="AE349" s="38">
        <f t="shared" si="145"/>
        <v>0</v>
      </c>
      <c r="AF349" s="38">
        <f t="shared" si="146"/>
        <v>0</v>
      </c>
      <c r="AG349" s="33">
        <f t="shared" si="147"/>
        <v>12</v>
      </c>
      <c r="AH349" s="33">
        <f t="shared" si="148"/>
        <v>0</v>
      </c>
      <c r="AI349" s="33">
        <f t="shared" si="149"/>
        <v>0</v>
      </c>
      <c r="AJ349" s="33">
        <f t="shared" si="150"/>
        <v>0</v>
      </c>
      <c r="AK349" s="34">
        <f t="shared" si="151"/>
        <v>8.4507042253521125E-2</v>
      </c>
      <c r="AL349" s="35">
        <f t="shared" si="152"/>
        <v>0</v>
      </c>
      <c r="AM349" s="34">
        <f t="shared" si="135"/>
        <v>0</v>
      </c>
      <c r="AN349" s="36">
        <f t="shared" si="153"/>
        <v>0</v>
      </c>
      <c r="AO349" s="6">
        <f t="shared" si="136"/>
        <v>0</v>
      </c>
      <c r="AP349">
        <f t="shared" si="137"/>
        <v>8</v>
      </c>
      <c r="AQ349" s="6">
        <f t="shared" si="138"/>
        <v>0</v>
      </c>
      <c r="AR349" s="6">
        <f t="shared" si="139"/>
        <v>0</v>
      </c>
      <c r="AS349" s="6"/>
      <c r="AX349" s="95">
        <f t="shared" si="140"/>
        <v>42472</v>
      </c>
      <c r="AY349" s="96" t="str">
        <f t="shared" si="141"/>
        <v>ter</v>
      </c>
      <c r="AZ349" s="97">
        <f>IF(OR(AY349="SÁB",AY349="DOM"),0,IFERROR(8-VLOOKUP(C349,'Dados de consulta'!$A$2:$C$38,3,0),8))</f>
        <v>8</v>
      </c>
      <c r="BA349" s="97">
        <f>IF(OR(AY349="SÁB",AY349="DOM"),0,IFERROR(8-VLOOKUP(D349,'Dados de consulta'!$A$2:$C$38,3,0),8))</f>
        <v>8</v>
      </c>
      <c r="BB349" s="97">
        <f>IF(OR(AY349="SÁB",AY349="DOM"),0,IFERROR(8-VLOOKUP(E349,'Dados de consulta'!$A$2:$C$38,3,0),8))</f>
        <v>8</v>
      </c>
      <c r="BC349" s="97">
        <f>IF(OR(AY349="SÁB",AY349="DOM"),0,IFERROR(8-VLOOKUP(F349,'Dados de consulta'!$A$2:$C$38,3,0),8))</f>
        <v>8</v>
      </c>
      <c r="BD349" s="97">
        <f>IF(OR(AY349="SÁB",AY349="DOM"),0,IFERROR(8-VLOOKUP(G349,'Dados de consulta'!$A$2:$C$38,3,0),8))</f>
        <v>8</v>
      </c>
      <c r="BE349" s="97">
        <f>IF(OR(AY349="SÁB",AY349="DOM"),0,IFERROR(8-VLOOKUP(H349,'Dados de consulta'!$A$2:$C$38,3,0),8))</f>
        <v>8</v>
      </c>
      <c r="BF349" s="97">
        <f>IF(OR(AY349="SÁB",AY349="DOM"),0,IFERROR(8-VLOOKUP(I349,'Dados de consulta'!$A$2:$C$38,3,0),8))</f>
        <v>8</v>
      </c>
      <c r="BG349" s="97">
        <f>IF(OR(AY349="SÁB",AY349="DOM"),0,IFERROR(8-VLOOKUP(J349,'Dados de consulta'!$A$2:$C$38,3,0),8))</f>
        <v>8</v>
      </c>
      <c r="BH349" s="97">
        <f>IF(OR(AY349="SÁB",AY349="DOM"),0,IFERROR(8-VLOOKUP(K349,'Dados de consulta'!$A$2:$C$38,3,0),8))</f>
        <v>8</v>
      </c>
      <c r="BI349" s="97">
        <f>IF(OR(AY349="SÁB",AY349="DOM"),0,IFERROR(8-VLOOKUP(L349,'Dados de consulta'!$A$2:$C$38,3,0),8))</f>
        <v>8</v>
      </c>
      <c r="BJ349" s="97">
        <f>IF(OR(AY349="SÁB",AY349="DOM"),0,IFERROR(8-VLOOKUP(M349,'Dados de consulta'!$A$2:$C$38,3,0),8))</f>
        <v>0</v>
      </c>
      <c r="BK349" s="97">
        <f>IF(OR(AY349="SÁB",AY349="DOM"),0,IFERROR(8-VLOOKUP(N349,'Dados de consulta'!$A$2:$C$38,3,0),8))</f>
        <v>8</v>
      </c>
      <c r="BL349" s="97">
        <f>IF(OR(AY349="SÁB",AY349="DOM"),0,IFERROR(8-VLOOKUP(O349,'Dados de consulta'!$A$2:$C$38,3,0),8))</f>
        <v>8</v>
      </c>
      <c r="BM349" s="97">
        <f>IF(OR(AY349="SÁB",AY349="DOM"),0,IFERROR(8-VLOOKUP(P349,'Dados de consulta'!$A$2:$C$38,3,0),8))</f>
        <v>8</v>
      </c>
      <c r="BN349" s="97">
        <f>IF(OR(AY349="SÁB",AY349="DOM"),0,IFERROR(8-VLOOKUP(Q349,'Dados de consulta'!$A$2:$C$38,3,0),8))</f>
        <v>8</v>
      </c>
      <c r="BO349" s="97">
        <f>IF(OR(AY349="SÁB",AY349="DOM"),0,IFERROR(8-VLOOKUP(R349,'Dados de consulta'!$A$2:$C$38,3,0),8))</f>
        <v>4</v>
      </c>
      <c r="BP349" s="97">
        <f>IF(OR(AY349="SÁB",AY349="DOM"),0,IFERROR(8-VLOOKUP(S349,'Dados de consulta'!$A$2:$C$38,3,0),8))</f>
        <v>0</v>
      </c>
      <c r="BQ349" s="113">
        <f>IFERROR(6-VLOOKUP(T349,'Dados de consulta'!$A$2:$C$38,3,0)+2,6)</f>
        <v>6</v>
      </c>
      <c r="BR349" s="114">
        <f t="shared" si="154"/>
        <v>122</v>
      </c>
      <c r="BS349">
        <f t="shared" si="130"/>
        <v>134</v>
      </c>
      <c r="BU349">
        <f>IFERROR(8-VLOOKUP(U349,'Dados de consulta'!$A:$D,3,0),8)</f>
        <v>8</v>
      </c>
      <c r="BV349">
        <f>IFERROR(8-VLOOKUP(V349,'Dados de consulta'!$A:$D,3,0),8)</f>
        <v>4</v>
      </c>
      <c r="BW349">
        <f t="shared" si="155"/>
        <v>12</v>
      </c>
    </row>
    <row r="350" spans="1:75" ht="15" hidden="1" x14ac:dyDescent="0.2">
      <c r="A350" s="98">
        <v>42473</v>
      </c>
      <c r="B350" s="129" t="str">
        <f t="shared" si="132"/>
        <v>qua</v>
      </c>
      <c r="C350" s="132"/>
      <c r="D350" s="132"/>
      <c r="E350" s="132" t="s">
        <v>198</v>
      </c>
      <c r="F350" s="132"/>
      <c r="G350" s="132"/>
      <c r="H350" s="132"/>
      <c r="I350" s="132"/>
      <c r="J350" s="132"/>
      <c r="K350" s="132"/>
      <c r="L350" s="132"/>
      <c r="M350" s="132">
        <v>101</v>
      </c>
      <c r="N350" s="132"/>
      <c r="O350" s="132"/>
      <c r="P350" s="132"/>
      <c r="Q350" s="132"/>
      <c r="R350" s="132"/>
      <c r="S350" s="132">
        <v>8</v>
      </c>
      <c r="T350" s="132"/>
      <c r="U350" s="151"/>
      <c r="V350" s="151" t="s">
        <v>196</v>
      </c>
      <c r="W350" s="307" t="s">
        <v>193</v>
      </c>
      <c r="X350" s="308"/>
      <c r="Y350" s="38">
        <f t="shared" si="133"/>
        <v>12</v>
      </c>
      <c r="Z350" s="38">
        <f t="shared" si="134"/>
        <v>0</v>
      </c>
      <c r="AA350" s="38">
        <f t="shared" si="131"/>
        <v>0</v>
      </c>
      <c r="AB350" s="38">
        <f t="shared" si="142"/>
        <v>0</v>
      </c>
      <c r="AC350" s="38">
        <f t="shared" si="143"/>
        <v>0</v>
      </c>
      <c r="AD350" s="38">
        <f t="shared" si="144"/>
        <v>0</v>
      </c>
      <c r="AE350" s="38">
        <f t="shared" si="145"/>
        <v>0</v>
      </c>
      <c r="AF350" s="38">
        <f t="shared" si="146"/>
        <v>0</v>
      </c>
      <c r="AG350" s="33">
        <f t="shared" si="147"/>
        <v>12</v>
      </c>
      <c r="AH350" s="33">
        <f t="shared" si="148"/>
        <v>0</v>
      </c>
      <c r="AI350" s="33">
        <f t="shared" si="149"/>
        <v>0</v>
      </c>
      <c r="AJ350" s="33">
        <f t="shared" si="150"/>
        <v>0</v>
      </c>
      <c r="AK350" s="34">
        <f t="shared" si="151"/>
        <v>8.4507042253521125E-2</v>
      </c>
      <c r="AL350" s="35">
        <f t="shared" si="152"/>
        <v>0</v>
      </c>
      <c r="AM350" s="34">
        <f t="shared" si="135"/>
        <v>0</v>
      </c>
      <c r="AN350" s="36">
        <f t="shared" si="153"/>
        <v>0</v>
      </c>
      <c r="AO350" s="6">
        <f t="shared" si="136"/>
        <v>0</v>
      </c>
      <c r="AP350">
        <f t="shared" si="137"/>
        <v>8</v>
      </c>
      <c r="AQ350" s="6">
        <f t="shared" si="138"/>
        <v>0</v>
      </c>
      <c r="AR350" s="6">
        <f t="shared" si="139"/>
        <v>0</v>
      </c>
      <c r="AS350" s="6"/>
      <c r="AX350" s="95">
        <f t="shared" si="140"/>
        <v>42473</v>
      </c>
      <c r="AY350" s="96" t="str">
        <f t="shared" si="141"/>
        <v>qua</v>
      </c>
      <c r="AZ350" s="97">
        <f>IF(OR(AY350="SÁB",AY350="DOM"),0,IFERROR(8-VLOOKUP(C350,'Dados de consulta'!$A$2:$C$38,3,0),8))</f>
        <v>8</v>
      </c>
      <c r="BA350" s="97">
        <f>IF(OR(AY350="SÁB",AY350="DOM"),0,IFERROR(8-VLOOKUP(D350,'Dados de consulta'!$A$2:$C$38,3,0),8))</f>
        <v>8</v>
      </c>
      <c r="BB350" s="97">
        <f>IF(OR(AY350="SÁB",AY350="DOM"),0,IFERROR(8-VLOOKUP(E350,'Dados de consulta'!$A$2:$C$38,3,0),8))</f>
        <v>4</v>
      </c>
      <c r="BC350" s="97">
        <f>IF(OR(AY350="SÁB",AY350="DOM"),0,IFERROR(8-VLOOKUP(F350,'Dados de consulta'!$A$2:$C$38,3,0),8))</f>
        <v>8</v>
      </c>
      <c r="BD350" s="97">
        <f>IF(OR(AY350="SÁB",AY350="DOM"),0,IFERROR(8-VLOOKUP(G350,'Dados de consulta'!$A$2:$C$38,3,0),8))</f>
        <v>8</v>
      </c>
      <c r="BE350" s="97">
        <f>IF(OR(AY350="SÁB",AY350="DOM"),0,IFERROR(8-VLOOKUP(H350,'Dados de consulta'!$A$2:$C$38,3,0),8))</f>
        <v>8</v>
      </c>
      <c r="BF350" s="97">
        <f>IF(OR(AY350="SÁB",AY350="DOM"),0,IFERROR(8-VLOOKUP(I350,'Dados de consulta'!$A$2:$C$38,3,0),8))</f>
        <v>8</v>
      </c>
      <c r="BG350" s="97">
        <f>IF(OR(AY350="SÁB",AY350="DOM"),0,IFERROR(8-VLOOKUP(J350,'Dados de consulta'!$A$2:$C$38,3,0),8))</f>
        <v>8</v>
      </c>
      <c r="BH350" s="97">
        <f>IF(OR(AY350="SÁB",AY350="DOM"),0,IFERROR(8-VLOOKUP(K350,'Dados de consulta'!$A$2:$C$38,3,0),8))</f>
        <v>8</v>
      </c>
      <c r="BI350" s="97">
        <f>IF(OR(AY350="SÁB",AY350="DOM"),0,IFERROR(8-VLOOKUP(L350,'Dados de consulta'!$A$2:$C$38,3,0),8))</f>
        <v>8</v>
      </c>
      <c r="BJ350" s="97">
        <f>IF(OR(AY350="SÁB",AY350="DOM"),0,IFERROR(8-VLOOKUP(M350,'Dados de consulta'!$A$2:$C$38,3,0),8))</f>
        <v>0</v>
      </c>
      <c r="BK350" s="97">
        <f>IF(OR(AY350="SÁB",AY350="DOM"),0,IFERROR(8-VLOOKUP(N350,'Dados de consulta'!$A$2:$C$38,3,0),8))</f>
        <v>8</v>
      </c>
      <c r="BL350" s="97">
        <f>IF(OR(AY350="SÁB",AY350="DOM"),0,IFERROR(8-VLOOKUP(O350,'Dados de consulta'!$A$2:$C$38,3,0),8))</f>
        <v>8</v>
      </c>
      <c r="BM350" s="97">
        <f>IF(OR(AY350="SÁB",AY350="DOM"),0,IFERROR(8-VLOOKUP(P350,'Dados de consulta'!$A$2:$C$38,3,0),8))</f>
        <v>8</v>
      </c>
      <c r="BN350" s="97">
        <f>IF(OR(AY350="SÁB",AY350="DOM"),0,IFERROR(8-VLOOKUP(Q350,'Dados de consulta'!$A$2:$C$38,3,0),8))</f>
        <v>8</v>
      </c>
      <c r="BO350" s="97">
        <f>IF(OR(AY350="SÁB",AY350="DOM"),0,IFERROR(8-VLOOKUP(R350,'Dados de consulta'!$A$2:$C$38,3,0),8))</f>
        <v>8</v>
      </c>
      <c r="BP350" s="97">
        <f>IF(OR(AY350="SÁB",AY350="DOM"),0,IFERROR(8-VLOOKUP(S350,'Dados de consulta'!$A$2:$C$38,3,0),8))</f>
        <v>0</v>
      </c>
      <c r="BQ350" s="113">
        <f>IFERROR(6-VLOOKUP(T350,'Dados de consulta'!$A$2:$C$38,3,0)+2,6)</f>
        <v>6</v>
      </c>
      <c r="BR350" s="114">
        <f t="shared" si="154"/>
        <v>122</v>
      </c>
      <c r="BS350">
        <f t="shared" si="130"/>
        <v>134</v>
      </c>
      <c r="BU350">
        <f>IFERROR(8-VLOOKUP(U350,'Dados de consulta'!$A:$D,3,0),8)</f>
        <v>8</v>
      </c>
      <c r="BV350">
        <f>IFERROR(8-VLOOKUP(V350,'Dados de consulta'!$A:$D,3,0),8)</f>
        <v>4</v>
      </c>
      <c r="BW350">
        <f t="shared" si="155"/>
        <v>12</v>
      </c>
    </row>
    <row r="351" spans="1:75" ht="15" hidden="1" x14ac:dyDescent="0.2">
      <c r="A351" s="98">
        <v>42474</v>
      </c>
      <c r="B351" s="129" t="str">
        <f t="shared" si="132"/>
        <v>qui</v>
      </c>
      <c r="C351" s="132"/>
      <c r="D351" s="132"/>
      <c r="E351" s="132"/>
      <c r="F351" s="132"/>
      <c r="G351" s="132" t="s">
        <v>198</v>
      </c>
      <c r="H351" s="132"/>
      <c r="I351" s="132"/>
      <c r="J351" s="132"/>
      <c r="K351" s="132"/>
      <c r="L351" s="132"/>
      <c r="M351" s="132">
        <v>101</v>
      </c>
      <c r="N351" s="132"/>
      <c r="O351" s="132"/>
      <c r="P351" s="132"/>
      <c r="Q351" s="132"/>
      <c r="R351" s="132"/>
      <c r="S351" s="132">
        <v>8</v>
      </c>
      <c r="T351" s="132"/>
      <c r="U351" s="151"/>
      <c r="V351" s="151" t="s">
        <v>196</v>
      </c>
      <c r="W351" s="307" t="s">
        <v>193</v>
      </c>
      <c r="X351" s="308"/>
      <c r="Y351" s="38">
        <f t="shared" si="133"/>
        <v>12</v>
      </c>
      <c r="Z351" s="38">
        <f t="shared" si="134"/>
        <v>0</v>
      </c>
      <c r="AA351" s="38">
        <f t="shared" si="131"/>
        <v>0</v>
      </c>
      <c r="AB351" s="38">
        <f t="shared" si="142"/>
        <v>0</v>
      </c>
      <c r="AC351" s="38">
        <f t="shared" si="143"/>
        <v>0</v>
      </c>
      <c r="AD351" s="38">
        <f t="shared" si="144"/>
        <v>0</v>
      </c>
      <c r="AE351" s="38">
        <f t="shared" si="145"/>
        <v>0</v>
      </c>
      <c r="AF351" s="38">
        <f t="shared" si="146"/>
        <v>0</v>
      </c>
      <c r="AG351" s="33">
        <f t="shared" si="147"/>
        <v>12</v>
      </c>
      <c r="AH351" s="33">
        <f t="shared" si="148"/>
        <v>0</v>
      </c>
      <c r="AI351" s="33">
        <f t="shared" si="149"/>
        <v>0</v>
      </c>
      <c r="AJ351" s="33">
        <f t="shared" si="150"/>
        <v>0</v>
      </c>
      <c r="AK351" s="34">
        <f t="shared" si="151"/>
        <v>8.4507042253521125E-2</v>
      </c>
      <c r="AL351" s="35">
        <f t="shared" si="152"/>
        <v>0</v>
      </c>
      <c r="AM351" s="34">
        <f t="shared" si="135"/>
        <v>0</v>
      </c>
      <c r="AN351" s="36">
        <f t="shared" si="153"/>
        <v>0</v>
      </c>
      <c r="AO351" s="6">
        <f t="shared" si="136"/>
        <v>0</v>
      </c>
      <c r="AP351">
        <f t="shared" si="137"/>
        <v>8</v>
      </c>
      <c r="AQ351" s="6">
        <f t="shared" si="138"/>
        <v>0</v>
      </c>
      <c r="AR351" s="6">
        <f t="shared" si="139"/>
        <v>0</v>
      </c>
      <c r="AS351" s="6"/>
      <c r="AX351" s="95">
        <f t="shared" si="140"/>
        <v>42474</v>
      </c>
      <c r="AY351" s="96" t="str">
        <f t="shared" si="141"/>
        <v>qui</v>
      </c>
      <c r="AZ351" s="97">
        <f>IF(OR(AY351="SÁB",AY351="DOM"),0,IFERROR(8-VLOOKUP(C351,'Dados de consulta'!$A$2:$C$38,3,0),8))</f>
        <v>8</v>
      </c>
      <c r="BA351" s="97">
        <f>IF(OR(AY351="SÁB",AY351="DOM"),0,IFERROR(8-VLOOKUP(D351,'Dados de consulta'!$A$2:$C$38,3,0),8))</f>
        <v>8</v>
      </c>
      <c r="BB351" s="97">
        <f>IF(OR(AY351="SÁB",AY351="DOM"),0,IFERROR(8-VLOOKUP(E351,'Dados de consulta'!$A$2:$C$38,3,0),8))</f>
        <v>8</v>
      </c>
      <c r="BC351" s="97">
        <f>IF(OR(AY351="SÁB",AY351="DOM"),0,IFERROR(8-VLOOKUP(F351,'Dados de consulta'!$A$2:$C$38,3,0),8))</f>
        <v>8</v>
      </c>
      <c r="BD351" s="97">
        <f>IF(OR(AY351="SÁB",AY351="DOM"),0,IFERROR(8-VLOOKUP(G351,'Dados de consulta'!$A$2:$C$38,3,0),8))</f>
        <v>4</v>
      </c>
      <c r="BE351" s="97">
        <f>IF(OR(AY351="SÁB",AY351="DOM"),0,IFERROR(8-VLOOKUP(H351,'Dados de consulta'!$A$2:$C$38,3,0),8))</f>
        <v>8</v>
      </c>
      <c r="BF351" s="97">
        <f>IF(OR(AY351="SÁB",AY351="DOM"),0,IFERROR(8-VLOOKUP(I351,'Dados de consulta'!$A$2:$C$38,3,0),8))</f>
        <v>8</v>
      </c>
      <c r="BG351" s="97">
        <f>IF(OR(AY351="SÁB",AY351="DOM"),0,IFERROR(8-VLOOKUP(J351,'Dados de consulta'!$A$2:$C$38,3,0),8))</f>
        <v>8</v>
      </c>
      <c r="BH351" s="97">
        <f>IF(OR(AY351="SÁB",AY351="DOM"),0,IFERROR(8-VLOOKUP(K351,'Dados de consulta'!$A$2:$C$38,3,0),8))</f>
        <v>8</v>
      </c>
      <c r="BI351" s="97">
        <f>IF(OR(AY351="SÁB",AY351="DOM"),0,IFERROR(8-VLOOKUP(L351,'Dados de consulta'!$A$2:$C$38,3,0),8))</f>
        <v>8</v>
      </c>
      <c r="BJ351" s="97">
        <f>IF(OR(AY351="SÁB",AY351="DOM"),0,IFERROR(8-VLOOKUP(M351,'Dados de consulta'!$A$2:$C$38,3,0),8))</f>
        <v>0</v>
      </c>
      <c r="BK351" s="97">
        <f>IF(OR(AY351="SÁB",AY351="DOM"),0,IFERROR(8-VLOOKUP(N351,'Dados de consulta'!$A$2:$C$38,3,0),8))</f>
        <v>8</v>
      </c>
      <c r="BL351" s="97">
        <f>IF(OR(AY351="SÁB",AY351="DOM"),0,IFERROR(8-VLOOKUP(O351,'Dados de consulta'!$A$2:$C$38,3,0),8))</f>
        <v>8</v>
      </c>
      <c r="BM351" s="97">
        <f>IF(OR(AY351="SÁB",AY351="DOM"),0,IFERROR(8-VLOOKUP(P351,'Dados de consulta'!$A$2:$C$38,3,0),8))</f>
        <v>8</v>
      </c>
      <c r="BN351" s="97">
        <f>IF(OR(AY351="SÁB",AY351="DOM"),0,IFERROR(8-VLOOKUP(Q351,'Dados de consulta'!$A$2:$C$38,3,0),8))</f>
        <v>8</v>
      </c>
      <c r="BO351" s="97">
        <f>IF(OR(AY351="SÁB",AY351="DOM"),0,IFERROR(8-VLOOKUP(R351,'Dados de consulta'!$A$2:$C$38,3,0),8))</f>
        <v>8</v>
      </c>
      <c r="BP351" s="97">
        <f>IF(OR(AY351="SÁB",AY351="DOM"),0,IFERROR(8-VLOOKUP(S351,'Dados de consulta'!$A$2:$C$38,3,0),8))</f>
        <v>0</v>
      </c>
      <c r="BQ351" s="113">
        <f>IFERROR(6-VLOOKUP(T351,'Dados de consulta'!$A$2:$C$38,3,0)+2,6)</f>
        <v>6</v>
      </c>
      <c r="BR351" s="114">
        <f t="shared" si="154"/>
        <v>122</v>
      </c>
      <c r="BS351">
        <f t="shared" si="130"/>
        <v>134</v>
      </c>
      <c r="BU351">
        <f>IFERROR(8-VLOOKUP(U351,'Dados de consulta'!$A:$D,3,0),8)</f>
        <v>8</v>
      </c>
      <c r="BV351">
        <f>IFERROR(8-VLOOKUP(V351,'Dados de consulta'!$A:$D,3,0),8)</f>
        <v>4</v>
      </c>
      <c r="BW351">
        <f t="shared" si="155"/>
        <v>12</v>
      </c>
    </row>
    <row r="352" spans="1:75" ht="15" hidden="1" x14ac:dyDescent="0.2">
      <c r="A352" s="98">
        <v>42475</v>
      </c>
      <c r="B352" s="129" t="str">
        <f t="shared" si="132"/>
        <v>sex</v>
      </c>
      <c r="C352" s="132"/>
      <c r="D352" s="132"/>
      <c r="E352" s="132" t="s">
        <v>198</v>
      </c>
      <c r="F352" s="132"/>
      <c r="G352" s="132"/>
      <c r="H352" s="132"/>
      <c r="I352" s="132"/>
      <c r="J352" s="132"/>
      <c r="K352" s="132"/>
      <c r="L352" s="132"/>
      <c r="M352" s="132">
        <v>101</v>
      </c>
      <c r="N352" s="132"/>
      <c r="O352" s="132"/>
      <c r="P352" s="132">
        <v>8</v>
      </c>
      <c r="Q352" s="132"/>
      <c r="R352" s="132"/>
      <c r="S352" s="132">
        <v>8</v>
      </c>
      <c r="T352" s="132"/>
      <c r="U352" s="151"/>
      <c r="V352" s="151" t="s">
        <v>196</v>
      </c>
      <c r="W352" s="307" t="s">
        <v>193</v>
      </c>
      <c r="X352" s="308"/>
      <c r="Y352" s="38">
        <f t="shared" si="133"/>
        <v>20</v>
      </c>
      <c r="Z352" s="38">
        <f t="shared" si="134"/>
        <v>0</v>
      </c>
      <c r="AA352" s="38">
        <f t="shared" si="131"/>
        <v>0</v>
      </c>
      <c r="AB352" s="38">
        <f t="shared" si="142"/>
        <v>0</v>
      </c>
      <c r="AC352" s="38">
        <f t="shared" si="143"/>
        <v>0</v>
      </c>
      <c r="AD352" s="38">
        <f t="shared" si="144"/>
        <v>0</v>
      </c>
      <c r="AE352" s="38">
        <f t="shared" si="145"/>
        <v>0</v>
      </c>
      <c r="AF352" s="38">
        <f t="shared" si="146"/>
        <v>0</v>
      </c>
      <c r="AG352" s="33">
        <f t="shared" si="147"/>
        <v>20</v>
      </c>
      <c r="AH352" s="33">
        <f t="shared" si="148"/>
        <v>0</v>
      </c>
      <c r="AI352" s="33">
        <f t="shared" si="149"/>
        <v>0</v>
      </c>
      <c r="AJ352" s="33">
        <f t="shared" si="150"/>
        <v>0</v>
      </c>
      <c r="AK352" s="34">
        <f t="shared" si="151"/>
        <v>0.14084507042253522</v>
      </c>
      <c r="AL352" s="35">
        <f t="shared" si="152"/>
        <v>0</v>
      </c>
      <c r="AM352" s="34">
        <f t="shared" si="135"/>
        <v>0</v>
      </c>
      <c r="AN352" s="36">
        <f t="shared" si="153"/>
        <v>0</v>
      </c>
      <c r="AO352" s="6">
        <f t="shared" si="136"/>
        <v>0</v>
      </c>
      <c r="AP352">
        <f t="shared" si="137"/>
        <v>8</v>
      </c>
      <c r="AQ352" s="6">
        <f t="shared" si="138"/>
        <v>0</v>
      </c>
      <c r="AR352" s="6">
        <f t="shared" si="139"/>
        <v>0</v>
      </c>
      <c r="AS352" s="6"/>
      <c r="AX352" s="95">
        <f t="shared" si="140"/>
        <v>42475</v>
      </c>
      <c r="AY352" s="96" t="str">
        <f t="shared" si="141"/>
        <v>sex</v>
      </c>
      <c r="AZ352" s="97">
        <f>IF(OR(AY352="SÁB",AY352="DOM"),0,IFERROR(8-VLOOKUP(C352,'Dados de consulta'!$A$2:$C$38,3,0),8))</f>
        <v>8</v>
      </c>
      <c r="BA352" s="97">
        <f>IF(OR(AY352="SÁB",AY352="DOM"),0,IFERROR(8-VLOOKUP(D352,'Dados de consulta'!$A$2:$C$38,3,0),8))</f>
        <v>8</v>
      </c>
      <c r="BB352" s="97">
        <f>IF(OR(AY352="SÁB",AY352="DOM"),0,IFERROR(8-VLOOKUP(E352,'Dados de consulta'!$A$2:$C$38,3,0),8))</f>
        <v>4</v>
      </c>
      <c r="BC352" s="97">
        <f>IF(OR(AY352="SÁB",AY352="DOM"),0,IFERROR(8-VLOOKUP(F352,'Dados de consulta'!$A$2:$C$38,3,0),8))</f>
        <v>8</v>
      </c>
      <c r="BD352" s="97">
        <f>IF(OR(AY352="SÁB",AY352="DOM"),0,IFERROR(8-VLOOKUP(G352,'Dados de consulta'!$A$2:$C$38,3,0),8))</f>
        <v>8</v>
      </c>
      <c r="BE352" s="97">
        <f>IF(OR(AY352="SÁB",AY352="DOM"),0,IFERROR(8-VLOOKUP(H352,'Dados de consulta'!$A$2:$C$38,3,0),8))</f>
        <v>8</v>
      </c>
      <c r="BF352" s="97">
        <f>IF(OR(AY352="SÁB",AY352="DOM"),0,IFERROR(8-VLOOKUP(I352,'Dados de consulta'!$A$2:$C$38,3,0),8))</f>
        <v>8</v>
      </c>
      <c r="BG352" s="97">
        <f>IF(OR(AY352="SÁB",AY352="DOM"),0,IFERROR(8-VLOOKUP(J352,'Dados de consulta'!$A$2:$C$38,3,0),8))</f>
        <v>8</v>
      </c>
      <c r="BH352" s="97">
        <f>IF(OR(AY352="SÁB",AY352="DOM"),0,IFERROR(8-VLOOKUP(K352,'Dados de consulta'!$A$2:$C$38,3,0),8))</f>
        <v>8</v>
      </c>
      <c r="BI352" s="97">
        <f>IF(OR(AY352="SÁB",AY352="DOM"),0,IFERROR(8-VLOOKUP(L352,'Dados de consulta'!$A$2:$C$38,3,0),8))</f>
        <v>8</v>
      </c>
      <c r="BJ352" s="97">
        <f>IF(OR(AY352="SÁB",AY352="DOM"),0,IFERROR(8-VLOOKUP(M352,'Dados de consulta'!$A$2:$C$38,3,0),8))</f>
        <v>0</v>
      </c>
      <c r="BK352" s="97">
        <f>IF(OR(AY352="SÁB",AY352="DOM"),0,IFERROR(8-VLOOKUP(N352,'Dados de consulta'!$A$2:$C$38,3,0),8))</f>
        <v>8</v>
      </c>
      <c r="BL352" s="97">
        <f>IF(OR(AY352="SÁB",AY352="DOM"),0,IFERROR(8-VLOOKUP(O352,'Dados de consulta'!$A$2:$C$38,3,0),8))</f>
        <v>8</v>
      </c>
      <c r="BM352" s="97">
        <f>IF(OR(AY352="SÁB",AY352="DOM"),0,IFERROR(8-VLOOKUP(P352,'Dados de consulta'!$A$2:$C$38,3,0),8))</f>
        <v>0</v>
      </c>
      <c r="BN352" s="97">
        <f>IF(OR(AY352="SÁB",AY352="DOM"),0,IFERROR(8-VLOOKUP(Q352,'Dados de consulta'!$A$2:$C$38,3,0),8))</f>
        <v>8</v>
      </c>
      <c r="BO352" s="97">
        <f>IF(OR(AY352="SÁB",AY352="DOM"),0,IFERROR(8-VLOOKUP(R352,'Dados de consulta'!$A$2:$C$38,3,0),8))</f>
        <v>8</v>
      </c>
      <c r="BP352" s="97">
        <f>IF(OR(AY352="SÁB",AY352="DOM"),0,IFERROR(8-VLOOKUP(S352,'Dados de consulta'!$A$2:$C$38,3,0),8))</f>
        <v>0</v>
      </c>
      <c r="BQ352" s="113">
        <f>IFERROR(6-VLOOKUP(T352,'Dados de consulta'!$A$2:$C$38,3,0)+2,6)</f>
        <v>6</v>
      </c>
      <c r="BR352" s="114">
        <f t="shared" si="154"/>
        <v>114</v>
      </c>
      <c r="BS352">
        <f t="shared" si="130"/>
        <v>134</v>
      </c>
      <c r="BU352">
        <f>IFERROR(8-VLOOKUP(U352,'Dados de consulta'!$A:$D,3,0),8)</f>
        <v>8</v>
      </c>
      <c r="BV352">
        <f>IFERROR(8-VLOOKUP(V352,'Dados de consulta'!$A:$D,3,0),8)</f>
        <v>4</v>
      </c>
      <c r="BW352">
        <f t="shared" si="155"/>
        <v>12</v>
      </c>
    </row>
    <row r="353" spans="1:75" ht="15" hidden="1" x14ac:dyDescent="0.2">
      <c r="A353" s="98">
        <v>42476</v>
      </c>
      <c r="B353" s="129" t="str">
        <f t="shared" si="132"/>
        <v>sáb</v>
      </c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>
        <v>101</v>
      </c>
      <c r="N353" s="132"/>
      <c r="O353" s="132"/>
      <c r="P353" s="132"/>
      <c r="Q353" s="132"/>
      <c r="R353" s="132"/>
      <c r="S353" s="132"/>
      <c r="T353" s="132"/>
      <c r="U353" s="151"/>
      <c r="V353" s="151"/>
      <c r="W353" s="307" t="s">
        <v>193</v>
      </c>
      <c r="X353" s="308"/>
      <c r="Y353" s="38">
        <f t="shared" si="133"/>
        <v>0</v>
      </c>
      <c r="Z353" s="38">
        <f t="shared" si="134"/>
        <v>0</v>
      </c>
      <c r="AA353" s="38">
        <f t="shared" si="131"/>
        <v>0</v>
      </c>
      <c r="AB353" s="38">
        <f t="shared" si="142"/>
        <v>0</v>
      </c>
      <c r="AC353" s="38">
        <f t="shared" si="143"/>
        <v>0</v>
      </c>
      <c r="AD353" s="38">
        <f t="shared" si="144"/>
        <v>0</v>
      </c>
      <c r="AE353" s="38">
        <f t="shared" si="145"/>
        <v>0</v>
      </c>
      <c r="AF353" s="38">
        <f t="shared" si="146"/>
        <v>0</v>
      </c>
      <c r="AG353" s="33">
        <f t="shared" si="147"/>
        <v>0</v>
      </c>
      <c r="AH353" s="33">
        <f t="shared" si="148"/>
        <v>0</v>
      </c>
      <c r="AI353" s="33">
        <f t="shared" si="149"/>
        <v>0</v>
      </c>
      <c r="AJ353" s="33">
        <f t="shared" si="150"/>
        <v>0</v>
      </c>
      <c r="AK353" s="34">
        <f t="shared" si="151"/>
        <v>0</v>
      </c>
      <c r="AL353" s="35">
        <f t="shared" si="152"/>
        <v>0</v>
      </c>
      <c r="AM353" s="34">
        <f t="shared" si="135"/>
        <v>0</v>
      </c>
      <c r="AN353" s="36">
        <f t="shared" si="153"/>
        <v>0</v>
      </c>
      <c r="AO353" s="6">
        <f t="shared" si="136"/>
        <v>0</v>
      </c>
      <c r="AP353">
        <f t="shared" si="137"/>
        <v>8</v>
      </c>
      <c r="AQ353" s="6">
        <f t="shared" si="138"/>
        <v>0</v>
      </c>
      <c r="AR353" s="6">
        <f t="shared" si="139"/>
        <v>0</v>
      </c>
      <c r="AS353" s="6"/>
      <c r="AX353" s="95">
        <f t="shared" si="140"/>
        <v>42476</v>
      </c>
      <c r="AY353" s="96" t="str">
        <f t="shared" si="141"/>
        <v>sáb</v>
      </c>
      <c r="AZ353" s="97">
        <f>IF(OR(AY353="SÁB",AY353="DOM"),0,IFERROR(8-VLOOKUP(C353,'Dados de consulta'!$A$2:$C$38,3,0),8))</f>
        <v>0</v>
      </c>
      <c r="BA353" s="97">
        <f>IF(OR(AY353="SÁB",AY353="DOM"),0,IFERROR(8-VLOOKUP(D353,'Dados de consulta'!$A$2:$C$38,3,0),8))</f>
        <v>0</v>
      </c>
      <c r="BB353" s="97">
        <f>IF(OR(AY353="SÁB",AY353="DOM"),0,IFERROR(8-VLOOKUP(E353,'Dados de consulta'!$A$2:$C$38,3,0),8))</f>
        <v>0</v>
      </c>
      <c r="BC353" s="97">
        <f>IF(OR(AY353="SÁB",AY353="DOM"),0,IFERROR(8-VLOOKUP(F353,'Dados de consulta'!$A$2:$C$38,3,0),8))</f>
        <v>0</v>
      </c>
      <c r="BD353" s="97">
        <f>IF(OR(AY353="SÁB",AY353="DOM"),0,IFERROR(8-VLOOKUP(G353,'Dados de consulta'!$A$2:$C$38,3,0),8))</f>
        <v>0</v>
      </c>
      <c r="BE353" s="97">
        <f>IF(OR(AY353="SÁB",AY353="DOM"),0,IFERROR(8-VLOOKUP(H353,'Dados de consulta'!$A$2:$C$38,3,0),8))</f>
        <v>0</v>
      </c>
      <c r="BF353" s="97">
        <f>IF(OR(AY353="SÁB",AY353="DOM"),0,IFERROR(8-VLOOKUP(I353,'Dados de consulta'!$A$2:$C$38,3,0),8))</f>
        <v>0</v>
      </c>
      <c r="BG353" s="97">
        <f>IF(OR(AY353="SÁB",AY353="DOM"),0,IFERROR(8-VLOOKUP(J353,'Dados de consulta'!$A$2:$C$38,3,0),8))</f>
        <v>0</v>
      </c>
      <c r="BH353" s="97">
        <f>IF(OR(AY353="SÁB",AY353="DOM"),0,IFERROR(8-VLOOKUP(K353,'Dados de consulta'!$A$2:$C$38,3,0),8))</f>
        <v>0</v>
      </c>
      <c r="BI353" s="97">
        <f>IF(OR(AY353="SÁB",AY353="DOM"),0,IFERROR(8-VLOOKUP(L353,'Dados de consulta'!$A$2:$C$38,3,0),8))</f>
        <v>0</v>
      </c>
      <c r="BJ353" s="97">
        <f>IF(OR(AY353="SÁB",AY353="DOM"),0,IFERROR(8-VLOOKUP(M353,'Dados de consulta'!$A$2:$C$38,3,0),8))</f>
        <v>0</v>
      </c>
      <c r="BK353" s="97">
        <f>IF(OR(AY353="SÁB",AY353="DOM"),0,IFERROR(8-VLOOKUP(N353,'Dados de consulta'!$A$2:$C$38,3,0),8))</f>
        <v>0</v>
      </c>
      <c r="BL353" s="97">
        <f>IF(OR(AY353="SÁB",AY353="DOM"),0,IFERROR(8-VLOOKUP(O353,'Dados de consulta'!$A$2:$C$38,3,0),8))</f>
        <v>0</v>
      </c>
      <c r="BM353" s="97">
        <f>IF(OR(AY353="SÁB",AY353="DOM"),0,IFERROR(8-VLOOKUP(P353,'Dados de consulta'!$A$2:$C$38,3,0),8))</f>
        <v>0</v>
      </c>
      <c r="BN353" s="97">
        <f>IF(OR(AY353="SÁB",AY353="DOM"),0,IFERROR(8-VLOOKUP(Q353,'Dados de consulta'!$A$2:$C$38,3,0),8))</f>
        <v>0</v>
      </c>
      <c r="BO353" s="97">
        <f>IF(OR(AY353="SÁB",AY353="DOM"),0,IFERROR(8-VLOOKUP(R353,'Dados de consulta'!$A$2:$C$38,3,0),8))</f>
        <v>0</v>
      </c>
      <c r="BP353" s="97">
        <f>IF(OR(AY353="SÁB",AY353="DOM"),0,IFERROR(8-VLOOKUP(S353,'Dados de consulta'!$A$2:$C$38,3,0),8))</f>
        <v>0</v>
      </c>
      <c r="BQ353" s="113">
        <f>IFERROR(6-VLOOKUP(T353,'Dados de consulta'!$A$2:$C$38,3,0)+2,6)</f>
        <v>6</v>
      </c>
      <c r="BR353" s="114">
        <f t="shared" si="154"/>
        <v>0</v>
      </c>
      <c r="BS353">
        <f t="shared" si="130"/>
        <v>0</v>
      </c>
      <c r="BU353">
        <f>IFERROR(8-VLOOKUP(U353,'Dados de consulta'!$A:$D,3,0),8)</f>
        <v>8</v>
      </c>
      <c r="BV353">
        <f>IFERROR(8-VLOOKUP(V353,'Dados de consulta'!$A:$D,3,0),8)</f>
        <v>8</v>
      </c>
      <c r="BW353">
        <f t="shared" si="155"/>
        <v>16</v>
      </c>
    </row>
    <row r="354" spans="1:75" ht="15" hidden="1" x14ac:dyDescent="0.2">
      <c r="A354" s="98">
        <v>42477</v>
      </c>
      <c r="B354" s="129" t="str">
        <f t="shared" si="132"/>
        <v>dom</v>
      </c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>
        <v>101</v>
      </c>
      <c r="N354" s="132"/>
      <c r="O354" s="132"/>
      <c r="P354" s="132"/>
      <c r="Q354" s="132"/>
      <c r="R354" s="132"/>
      <c r="S354" s="132"/>
      <c r="T354" s="132"/>
      <c r="U354" s="151"/>
      <c r="V354" s="151"/>
      <c r="W354" s="307" t="s">
        <v>193</v>
      </c>
      <c r="X354" s="308"/>
      <c r="Y354" s="38">
        <f t="shared" si="133"/>
        <v>0</v>
      </c>
      <c r="Z354" s="38">
        <f t="shared" si="134"/>
        <v>0</v>
      </c>
      <c r="AA354" s="38">
        <f t="shared" si="131"/>
        <v>0</v>
      </c>
      <c r="AB354" s="38">
        <f t="shared" si="142"/>
        <v>0</v>
      </c>
      <c r="AC354" s="38">
        <f t="shared" si="143"/>
        <v>0</v>
      </c>
      <c r="AD354" s="38">
        <f t="shared" si="144"/>
        <v>0</v>
      </c>
      <c r="AE354" s="38">
        <f t="shared" si="145"/>
        <v>0</v>
      </c>
      <c r="AF354" s="38">
        <f t="shared" si="146"/>
        <v>0</v>
      </c>
      <c r="AG354" s="33">
        <f t="shared" si="147"/>
        <v>0</v>
      </c>
      <c r="AH354" s="33">
        <f t="shared" si="148"/>
        <v>0</v>
      </c>
      <c r="AI354" s="33">
        <f t="shared" si="149"/>
        <v>0</v>
      </c>
      <c r="AJ354" s="33">
        <f t="shared" si="150"/>
        <v>0</v>
      </c>
      <c r="AK354" s="34">
        <f t="shared" si="151"/>
        <v>0</v>
      </c>
      <c r="AL354" s="35">
        <f t="shared" si="152"/>
        <v>0</v>
      </c>
      <c r="AM354" s="34">
        <f t="shared" si="135"/>
        <v>0</v>
      </c>
      <c r="AN354" s="36">
        <f t="shared" si="153"/>
        <v>0</v>
      </c>
      <c r="AO354" s="6">
        <f t="shared" si="136"/>
        <v>0</v>
      </c>
      <c r="AP354">
        <f t="shared" si="137"/>
        <v>8</v>
      </c>
      <c r="AQ354" s="6">
        <f t="shared" si="138"/>
        <v>0</v>
      </c>
      <c r="AR354" s="6">
        <f t="shared" si="139"/>
        <v>0</v>
      </c>
      <c r="AS354" s="6"/>
      <c r="AX354" s="95">
        <f t="shared" si="140"/>
        <v>42477</v>
      </c>
      <c r="AY354" s="96" t="str">
        <f t="shared" si="141"/>
        <v>dom</v>
      </c>
      <c r="AZ354" s="97">
        <f>IF(OR(AY354="SÁB",AY354="DOM"),0,IFERROR(8-VLOOKUP(C354,'Dados de consulta'!$A$2:$C$38,3,0),8))</f>
        <v>0</v>
      </c>
      <c r="BA354" s="97">
        <f>IF(OR(AY354="SÁB",AY354="DOM"),0,IFERROR(8-VLOOKUP(D354,'Dados de consulta'!$A$2:$C$38,3,0),8))</f>
        <v>0</v>
      </c>
      <c r="BB354" s="97">
        <f>IF(OR(AY354="SÁB",AY354="DOM"),0,IFERROR(8-VLOOKUP(E354,'Dados de consulta'!$A$2:$C$38,3,0),8))</f>
        <v>0</v>
      </c>
      <c r="BC354" s="97">
        <f>IF(OR(AY354="SÁB",AY354="DOM"),0,IFERROR(8-VLOOKUP(F354,'Dados de consulta'!$A$2:$C$38,3,0),8))</f>
        <v>0</v>
      </c>
      <c r="BD354" s="97">
        <f>IF(OR(AY354="SÁB",AY354="DOM"),0,IFERROR(8-VLOOKUP(G354,'Dados de consulta'!$A$2:$C$38,3,0),8))</f>
        <v>0</v>
      </c>
      <c r="BE354" s="97">
        <f>IF(OR(AY354="SÁB",AY354="DOM"),0,IFERROR(8-VLOOKUP(H354,'Dados de consulta'!$A$2:$C$38,3,0),8))</f>
        <v>0</v>
      </c>
      <c r="BF354" s="97">
        <f>IF(OR(AY354="SÁB",AY354="DOM"),0,IFERROR(8-VLOOKUP(I354,'Dados de consulta'!$A$2:$C$38,3,0),8))</f>
        <v>0</v>
      </c>
      <c r="BG354" s="97">
        <f>IF(OR(AY354="SÁB",AY354="DOM"),0,IFERROR(8-VLOOKUP(J354,'Dados de consulta'!$A$2:$C$38,3,0),8))</f>
        <v>0</v>
      </c>
      <c r="BH354" s="97">
        <f>IF(OR(AY354="SÁB",AY354="DOM"),0,IFERROR(8-VLOOKUP(K354,'Dados de consulta'!$A$2:$C$38,3,0),8))</f>
        <v>0</v>
      </c>
      <c r="BI354" s="97">
        <f>IF(OR(AY354="SÁB",AY354="DOM"),0,IFERROR(8-VLOOKUP(L354,'Dados de consulta'!$A$2:$C$38,3,0),8))</f>
        <v>0</v>
      </c>
      <c r="BJ354" s="97">
        <f>IF(OR(AY354="SÁB",AY354="DOM"),0,IFERROR(8-VLOOKUP(M354,'Dados de consulta'!$A$2:$C$38,3,0),8))</f>
        <v>0</v>
      </c>
      <c r="BK354" s="97">
        <f>IF(OR(AY354="SÁB",AY354="DOM"),0,IFERROR(8-VLOOKUP(N354,'Dados de consulta'!$A$2:$C$38,3,0),8))</f>
        <v>0</v>
      </c>
      <c r="BL354" s="97">
        <f>IF(OR(AY354="SÁB",AY354="DOM"),0,IFERROR(8-VLOOKUP(O354,'Dados de consulta'!$A$2:$C$38,3,0),8))</f>
        <v>0</v>
      </c>
      <c r="BM354" s="97">
        <f>IF(OR(AY354="SÁB",AY354="DOM"),0,IFERROR(8-VLOOKUP(P354,'Dados de consulta'!$A$2:$C$38,3,0),8))</f>
        <v>0</v>
      </c>
      <c r="BN354" s="97">
        <f>IF(OR(AY354="SÁB",AY354="DOM"),0,IFERROR(8-VLOOKUP(Q354,'Dados de consulta'!$A$2:$C$38,3,0),8))</f>
        <v>0</v>
      </c>
      <c r="BO354" s="97">
        <f>IF(OR(AY354="SÁB",AY354="DOM"),0,IFERROR(8-VLOOKUP(R354,'Dados de consulta'!$A$2:$C$38,3,0),8))</f>
        <v>0</v>
      </c>
      <c r="BP354" s="97">
        <f>IF(OR(AY354="SÁB",AY354="DOM"),0,IFERROR(8-VLOOKUP(S354,'Dados de consulta'!$A$2:$C$38,3,0),8))</f>
        <v>0</v>
      </c>
      <c r="BQ354" s="113">
        <f>IFERROR(6-VLOOKUP(T354,'Dados de consulta'!$A$2:$C$38,3,0)+2,6)</f>
        <v>6</v>
      </c>
      <c r="BR354" s="114">
        <f t="shared" si="154"/>
        <v>0</v>
      </c>
      <c r="BS354">
        <f t="shared" si="130"/>
        <v>0</v>
      </c>
      <c r="BU354">
        <f>IFERROR(8-VLOOKUP(U354,'Dados de consulta'!$A:$D,3,0),8)</f>
        <v>8</v>
      </c>
      <c r="BV354">
        <f>IFERROR(8-VLOOKUP(V354,'Dados de consulta'!$A:$D,3,0),8)</f>
        <v>8</v>
      </c>
      <c r="BW354">
        <f t="shared" si="155"/>
        <v>16</v>
      </c>
    </row>
    <row r="355" spans="1:75" ht="15" hidden="1" x14ac:dyDescent="0.2">
      <c r="A355" s="98">
        <v>42478</v>
      </c>
      <c r="B355" s="129" t="str">
        <f t="shared" si="132"/>
        <v>seg</v>
      </c>
      <c r="C355" s="132"/>
      <c r="D355" s="132"/>
      <c r="E355" s="132">
        <v>8</v>
      </c>
      <c r="F355" s="132"/>
      <c r="G355" s="132"/>
      <c r="H355" s="132"/>
      <c r="I355" s="132"/>
      <c r="J355" s="132"/>
      <c r="K355" s="132"/>
      <c r="L355" s="132"/>
      <c r="M355" s="132">
        <v>101</v>
      </c>
      <c r="N355" s="132"/>
      <c r="O355" s="132"/>
      <c r="P355" s="132"/>
      <c r="Q355" s="132"/>
      <c r="R355" s="132"/>
      <c r="S355" s="132"/>
      <c r="T355" s="132"/>
      <c r="U355" s="151"/>
      <c r="V355" s="151"/>
      <c r="W355" s="307" t="s">
        <v>193</v>
      </c>
      <c r="X355" s="308"/>
      <c r="Y355" s="38">
        <f t="shared" si="133"/>
        <v>8</v>
      </c>
      <c r="Z355" s="38">
        <f t="shared" si="134"/>
        <v>0</v>
      </c>
      <c r="AA355" s="38">
        <f t="shared" si="131"/>
        <v>0</v>
      </c>
      <c r="AB355" s="38">
        <f t="shared" si="142"/>
        <v>0</v>
      </c>
      <c r="AC355" s="38">
        <f t="shared" si="143"/>
        <v>0</v>
      </c>
      <c r="AD355" s="38">
        <f t="shared" si="144"/>
        <v>0</v>
      </c>
      <c r="AE355" s="38">
        <f t="shared" si="145"/>
        <v>0</v>
      </c>
      <c r="AF355" s="38">
        <f t="shared" si="146"/>
        <v>0</v>
      </c>
      <c r="AG355" s="33">
        <f t="shared" si="147"/>
        <v>8</v>
      </c>
      <c r="AH355" s="33">
        <f t="shared" si="148"/>
        <v>0</v>
      </c>
      <c r="AI355" s="33">
        <f t="shared" si="149"/>
        <v>0</v>
      </c>
      <c r="AJ355" s="33">
        <f t="shared" si="150"/>
        <v>0</v>
      </c>
      <c r="AK355" s="34">
        <f t="shared" si="151"/>
        <v>5.6338028169014086E-2</v>
      </c>
      <c r="AL355" s="35">
        <f t="shared" si="152"/>
        <v>0</v>
      </c>
      <c r="AM355" s="34">
        <f t="shared" si="135"/>
        <v>0</v>
      </c>
      <c r="AN355" s="36">
        <f t="shared" si="153"/>
        <v>0</v>
      </c>
      <c r="AO355" s="6">
        <f t="shared" si="136"/>
        <v>0</v>
      </c>
      <c r="AP355">
        <f t="shared" si="137"/>
        <v>8</v>
      </c>
      <c r="AQ355" s="6">
        <f t="shared" si="138"/>
        <v>0</v>
      </c>
      <c r="AR355" s="6">
        <f t="shared" si="139"/>
        <v>0</v>
      </c>
      <c r="AS355" s="6"/>
      <c r="AX355" s="95">
        <f t="shared" si="140"/>
        <v>42478</v>
      </c>
      <c r="AY355" s="96" t="str">
        <f t="shared" si="141"/>
        <v>seg</v>
      </c>
      <c r="AZ355" s="97">
        <f>IF(OR(AY355="SÁB",AY355="DOM"),0,IFERROR(8-VLOOKUP(C355,'Dados de consulta'!$A$2:$C$38,3,0),8))</f>
        <v>8</v>
      </c>
      <c r="BA355" s="97">
        <f>IF(OR(AY355="SÁB",AY355="DOM"),0,IFERROR(8-VLOOKUP(D355,'Dados de consulta'!$A$2:$C$38,3,0),8))</f>
        <v>8</v>
      </c>
      <c r="BB355" s="97">
        <f>IF(OR(AY355="SÁB",AY355="DOM"),0,IFERROR(8-VLOOKUP(E355,'Dados de consulta'!$A$2:$C$38,3,0),8))</f>
        <v>0</v>
      </c>
      <c r="BC355" s="97">
        <f>IF(OR(AY355="SÁB",AY355="DOM"),0,IFERROR(8-VLOOKUP(F355,'Dados de consulta'!$A$2:$C$38,3,0),8))</f>
        <v>8</v>
      </c>
      <c r="BD355" s="97">
        <f>IF(OR(AY355="SÁB",AY355="DOM"),0,IFERROR(8-VLOOKUP(G355,'Dados de consulta'!$A$2:$C$38,3,0),8))</f>
        <v>8</v>
      </c>
      <c r="BE355" s="97">
        <f>IF(OR(AY355="SÁB",AY355="DOM"),0,IFERROR(8-VLOOKUP(H355,'Dados de consulta'!$A$2:$C$38,3,0),8))</f>
        <v>8</v>
      </c>
      <c r="BF355" s="97">
        <f>IF(OR(AY355="SÁB",AY355="DOM"),0,IFERROR(8-VLOOKUP(I355,'Dados de consulta'!$A$2:$C$38,3,0),8))</f>
        <v>8</v>
      </c>
      <c r="BG355" s="97">
        <f>IF(OR(AY355="SÁB",AY355="DOM"),0,IFERROR(8-VLOOKUP(J355,'Dados de consulta'!$A$2:$C$38,3,0),8))</f>
        <v>8</v>
      </c>
      <c r="BH355" s="97">
        <f>IF(OR(AY355="SÁB",AY355="DOM"),0,IFERROR(8-VLOOKUP(K355,'Dados de consulta'!$A$2:$C$38,3,0),8))</f>
        <v>8</v>
      </c>
      <c r="BI355" s="97">
        <f>IF(OR(AY355="SÁB",AY355="DOM"),0,IFERROR(8-VLOOKUP(L355,'Dados de consulta'!$A$2:$C$38,3,0),8))</f>
        <v>8</v>
      </c>
      <c r="BJ355" s="97">
        <f>IF(OR(AY355="SÁB",AY355="DOM"),0,IFERROR(8-VLOOKUP(M355,'Dados de consulta'!$A$2:$C$38,3,0),8))</f>
        <v>0</v>
      </c>
      <c r="BK355" s="97">
        <f>IF(OR(AY355="SÁB",AY355="DOM"),0,IFERROR(8-VLOOKUP(N355,'Dados de consulta'!$A$2:$C$38,3,0),8))</f>
        <v>8</v>
      </c>
      <c r="BL355" s="97">
        <f>IF(OR(AY355="SÁB",AY355="DOM"),0,IFERROR(8-VLOOKUP(O355,'Dados de consulta'!$A$2:$C$38,3,0),8))</f>
        <v>8</v>
      </c>
      <c r="BM355" s="97">
        <f>IF(OR(AY355="SÁB",AY355="DOM"),0,IFERROR(8-VLOOKUP(P355,'Dados de consulta'!$A$2:$C$38,3,0),8))</f>
        <v>8</v>
      </c>
      <c r="BN355" s="97">
        <f>IF(OR(AY355="SÁB",AY355="DOM"),0,IFERROR(8-VLOOKUP(Q355,'Dados de consulta'!$A$2:$C$38,3,0),8))</f>
        <v>8</v>
      </c>
      <c r="BO355" s="97">
        <f>IF(OR(AY355="SÁB",AY355="DOM"),0,IFERROR(8-VLOOKUP(R355,'Dados de consulta'!$A$2:$C$38,3,0),8))</f>
        <v>8</v>
      </c>
      <c r="BP355" s="97">
        <f>IF(OR(AY355="SÁB",AY355="DOM"),0,IFERROR(8-VLOOKUP(S355,'Dados de consulta'!$A$2:$C$38,3,0),8))</f>
        <v>8</v>
      </c>
      <c r="BQ355" s="113">
        <f>IFERROR(6-VLOOKUP(T355,'Dados de consulta'!$A$2:$C$38,3,0)+2,6)</f>
        <v>6</v>
      </c>
      <c r="BR355" s="114">
        <f t="shared" si="154"/>
        <v>126</v>
      </c>
      <c r="BS355">
        <f t="shared" si="130"/>
        <v>134</v>
      </c>
      <c r="BU355">
        <f>IFERROR(8-VLOOKUP(U355,'Dados de consulta'!$A:$D,3,0),8)</f>
        <v>8</v>
      </c>
      <c r="BV355">
        <f>IFERROR(8-VLOOKUP(V355,'Dados de consulta'!$A:$D,3,0),8)</f>
        <v>8</v>
      </c>
      <c r="BW355">
        <f t="shared" si="155"/>
        <v>16</v>
      </c>
    </row>
    <row r="356" spans="1:75" ht="15" hidden="1" x14ac:dyDescent="0.2">
      <c r="A356" s="98">
        <v>42479</v>
      </c>
      <c r="B356" s="129" t="str">
        <f t="shared" si="132"/>
        <v>ter</v>
      </c>
      <c r="C356" s="132"/>
      <c r="D356" s="132"/>
      <c r="E356" s="132">
        <v>1</v>
      </c>
      <c r="F356" s="132"/>
      <c r="G356" s="132"/>
      <c r="H356" s="132"/>
      <c r="I356" s="132"/>
      <c r="J356" s="132"/>
      <c r="K356" s="132"/>
      <c r="L356" s="132"/>
      <c r="M356" s="132">
        <v>101</v>
      </c>
      <c r="N356" s="132"/>
      <c r="O356" s="132"/>
      <c r="P356" s="132"/>
      <c r="Q356" s="132"/>
      <c r="R356" s="132"/>
      <c r="S356" s="132"/>
      <c r="T356" s="132"/>
      <c r="U356" s="151"/>
      <c r="V356" s="151"/>
      <c r="W356" s="307" t="s">
        <v>193</v>
      </c>
      <c r="X356" s="308"/>
      <c r="Y356" s="38">
        <f t="shared" si="133"/>
        <v>0</v>
      </c>
      <c r="Z356" s="38">
        <f t="shared" si="134"/>
        <v>8</v>
      </c>
      <c r="AA356" s="38">
        <f t="shared" si="131"/>
        <v>0</v>
      </c>
      <c r="AB356" s="38">
        <f t="shared" si="142"/>
        <v>0</v>
      </c>
      <c r="AC356" s="38">
        <f t="shared" si="143"/>
        <v>0</v>
      </c>
      <c r="AD356" s="38">
        <f t="shared" si="144"/>
        <v>0</v>
      </c>
      <c r="AE356" s="38">
        <f t="shared" si="145"/>
        <v>0</v>
      </c>
      <c r="AF356" s="38">
        <f t="shared" si="146"/>
        <v>0</v>
      </c>
      <c r="AG356" s="33">
        <f t="shared" si="147"/>
        <v>0</v>
      </c>
      <c r="AH356" s="33">
        <f t="shared" si="148"/>
        <v>8</v>
      </c>
      <c r="AI356" s="33">
        <f t="shared" si="149"/>
        <v>0</v>
      </c>
      <c r="AJ356" s="33">
        <f t="shared" si="150"/>
        <v>0</v>
      </c>
      <c r="AK356" s="34">
        <f t="shared" si="151"/>
        <v>0</v>
      </c>
      <c r="AL356" s="35">
        <f t="shared" si="152"/>
        <v>5.6338028169014086E-2</v>
      </c>
      <c r="AM356" s="34">
        <f t="shared" si="135"/>
        <v>0</v>
      </c>
      <c r="AN356" s="36">
        <f t="shared" si="153"/>
        <v>0</v>
      </c>
      <c r="AO356" s="6">
        <f t="shared" si="136"/>
        <v>0</v>
      </c>
      <c r="AP356">
        <f t="shared" si="137"/>
        <v>8</v>
      </c>
      <c r="AQ356" s="6">
        <f t="shared" si="138"/>
        <v>0</v>
      </c>
      <c r="AR356" s="6">
        <f t="shared" si="139"/>
        <v>0</v>
      </c>
      <c r="AS356" s="6"/>
      <c r="AX356" s="95">
        <f t="shared" si="140"/>
        <v>42479</v>
      </c>
      <c r="AY356" s="96" t="str">
        <f t="shared" si="141"/>
        <v>ter</v>
      </c>
      <c r="AZ356" s="97">
        <f>IF(OR(AY356="SÁB",AY356="DOM"),0,IFERROR(8-VLOOKUP(C356,'Dados de consulta'!$A$2:$C$38,3,0),8))</f>
        <v>8</v>
      </c>
      <c r="BA356" s="97">
        <f>IF(OR(AY356="SÁB",AY356="DOM"),0,IFERROR(8-VLOOKUP(D356,'Dados de consulta'!$A$2:$C$38,3,0),8))</f>
        <v>8</v>
      </c>
      <c r="BB356" s="97">
        <f>IF(OR(AY356="SÁB",AY356="DOM"),0,IFERROR(8-VLOOKUP(E356,'Dados de consulta'!$A$2:$C$38,3,0),8))</f>
        <v>0</v>
      </c>
      <c r="BC356" s="97">
        <f>IF(OR(AY356="SÁB",AY356="DOM"),0,IFERROR(8-VLOOKUP(F356,'Dados de consulta'!$A$2:$C$38,3,0),8))</f>
        <v>8</v>
      </c>
      <c r="BD356" s="97">
        <f>IF(OR(AY356="SÁB",AY356="DOM"),0,IFERROR(8-VLOOKUP(G356,'Dados de consulta'!$A$2:$C$38,3,0),8))</f>
        <v>8</v>
      </c>
      <c r="BE356" s="97">
        <f>IF(OR(AY356="SÁB",AY356="DOM"),0,IFERROR(8-VLOOKUP(H356,'Dados de consulta'!$A$2:$C$38,3,0),8))</f>
        <v>8</v>
      </c>
      <c r="BF356" s="97">
        <f>IF(OR(AY356="SÁB",AY356="DOM"),0,IFERROR(8-VLOOKUP(I356,'Dados de consulta'!$A$2:$C$38,3,0),8))</f>
        <v>8</v>
      </c>
      <c r="BG356" s="97">
        <f>IF(OR(AY356="SÁB",AY356="DOM"),0,IFERROR(8-VLOOKUP(J356,'Dados de consulta'!$A$2:$C$38,3,0),8))</f>
        <v>8</v>
      </c>
      <c r="BH356" s="97">
        <f>IF(OR(AY356="SÁB",AY356="DOM"),0,IFERROR(8-VLOOKUP(K356,'Dados de consulta'!$A$2:$C$38,3,0),8))</f>
        <v>8</v>
      </c>
      <c r="BI356" s="97">
        <f>IF(OR(AY356="SÁB",AY356="DOM"),0,IFERROR(8-VLOOKUP(L356,'Dados de consulta'!$A$2:$C$38,3,0),8))</f>
        <v>8</v>
      </c>
      <c r="BJ356" s="97">
        <f>IF(OR(AY356="SÁB",AY356="DOM"),0,IFERROR(8-VLOOKUP(M356,'Dados de consulta'!$A$2:$C$38,3,0),8))</f>
        <v>0</v>
      </c>
      <c r="BK356" s="97">
        <f>IF(OR(AY356="SÁB",AY356="DOM"),0,IFERROR(8-VLOOKUP(N356,'Dados de consulta'!$A$2:$C$38,3,0),8))</f>
        <v>8</v>
      </c>
      <c r="BL356" s="97">
        <f>IF(OR(AY356="SÁB",AY356="DOM"),0,IFERROR(8-VLOOKUP(O356,'Dados de consulta'!$A$2:$C$38,3,0),8))</f>
        <v>8</v>
      </c>
      <c r="BM356" s="97">
        <f>IF(OR(AY356="SÁB",AY356="DOM"),0,IFERROR(8-VLOOKUP(P356,'Dados de consulta'!$A$2:$C$38,3,0),8))</f>
        <v>8</v>
      </c>
      <c r="BN356" s="97">
        <f>IF(OR(AY356="SÁB",AY356="DOM"),0,IFERROR(8-VLOOKUP(Q356,'Dados de consulta'!$A$2:$C$38,3,0),8))</f>
        <v>8</v>
      </c>
      <c r="BO356" s="97">
        <f>IF(OR(AY356="SÁB",AY356="DOM"),0,IFERROR(8-VLOOKUP(R356,'Dados de consulta'!$A$2:$C$38,3,0),8))</f>
        <v>8</v>
      </c>
      <c r="BP356" s="97">
        <f>IF(OR(AY356="SÁB",AY356="DOM"),0,IFERROR(8-VLOOKUP(S356,'Dados de consulta'!$A$2:$C$38,3,0),8))</f>
        <v>8</v>
      </c>
      <c r="BQ356" s="113">
        <f>IFERROR(6-VLOOKUP(T356,'Dados de consulta'!$A$2:$C$38,3,0)+2,6)</f>
        <v>6</v>
      </c>
      <c r="BR356" s="114">
        <f t="shared" si="154"/>
        <v>126</v>
      </c>
      <c r="BS356">
        <f t="shared" si="130"/>
        <v>134</v>
      </c>
      <c r="BU356">
        <f>IFERROR(8-VLOOKUP(U356,'Dados de consulta'!$A:$D,3,0),8)</f>
        <v>8</v>
      </c>
      <c r="BV356">
        <f>IFERROR(8-VLOOKUP(V356,'Dados de consulta'!$A:$D,3,0),8)</f>
        <v>8</v>
      </c>
      <c r="BW356">
        <f t="shared" si="155"/>
        <v>16</v>
      </c>
    </row>
    <row r="357" spans="1:75" ht="15" hidden="1" x14ac:dyDescent="0.2">
      <c r="A357" s="98">
        <v>42480</v>
      </c>
      <c r="B357" s="129" t="str">
        <f t="shared" si="132"/>
        <v>qua</v>
      </c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>
        <v>101</v>
      </c>
      <c r="N357" s="132"/>
      <c r="O357" s="132"/>
      <c r="P357" s="132"/>
      <c r="Q357" s="132"/>
      <c r="R357" s="132"/>
      <c r="S357" s="132"/>
      <c r="T357" s="132"/>
      <c r="U357" s="151"/>
      <c r="V357" s="151"/>
      <c r="W357" s="307" t="s">
        <v>193</v>
      </c>
      <c r="X357" s="308"/>
      <c r="Y357" s="38">
        <f t="shared" si="133"/>
        <v>0</v>
      </c>
      <c r="Z357" s="38">
        <f t="shared" si="134"/>
        <v>0</v>
      </c>
      <c r="AA357" s="38">
        <f t="shared" si="131"/>
        <v>0</v>
      </c>
      <c r="AB357" s="38">
        <f t="shared" si="142"/>
        <v>0</v>
      </c>
      <c r="AC357" s="38">
        <f t="shared" si="143"/>
        <v>0</v>
      </c>
      <c r="AD357" s="38">
        <f t="shared" si="144"/>
        <v>0</v>
      </c>
      <c r="AE357" s="38">
        <f t="shared" si="145"/>
        <v>0</v>
      </c>
      <c r="AF357" s="38">
        <f t="shared" si="146"/>
        <v>0</v>
      </c>
      <c r="AG357" s="33">
        <f t="shared" si="147"/>
        <v>0</v>
      </c>
      <c r="AH357" s="33">
        <f t="shared" si="148"/>
        <v>0</v>
      </c>
      <c r="AI357" s="33">
        <f t="shared" si="149"/>
        <v>0</v>
      </c>
      <c r="AJ357" s="33">
        <f t="shared" si="150"/>
        <v>0</v>
      </c>
      <c r="AK357" s="34">
        <f t="shared" si="151"/>
        <v>0</v>
      </c>
      <c r="AL357" s="35">
        <f t="shared" si="152"/>
        <v>0</v>
      </c>
      <c r="AM357" s="34">
        <f t="shared" si="135"/>
        <v>0</v>
      </c>
      <c r="AN357" s="36">
        <f t="shared" si="153"/>
        <v>0</v>
      </c>
      <c r="AO357" s="6">
        <f t="shared" si="136"/>
        <v>0</v>
      </c>
      <c r="AP357">
        <f t="shared" si="137"/>
        <v>8</v>
      </c>
      <c r="AQ357" s="6">
        <f t="shared" si="138"/>
        <v>0</v>
      </c>
      <c r="AR357" s="6">
        <f t="shared" si="139"/>
        <v>0</v>
      </c>
      <c r="AS357" s="6"/>
      <c r="AX357" s="95">
        <f t="shared" si="140"/>
        <v>42480</v>
      </c>
      <c r="AY357" s="96" t="str">
        <f t="shared" si="141"/>
        <v>qua</v>
      </c>
      <c r="AZ357" s="97">
        <f>IF(OR(AY357="SÁB",AY357="DOM"),0,IFERROR(8-VLOOKUP(C357,'Dados de consulta'!$A$2:$C$38,3,0),8))</f>
        <v>8</v>
      </c>
      <c r="BA357" s="97">
        <f>IF(OR(AY357="SÁB",AY357="DOM"),0,IFERROR(8-VLOOKUP(D357,'Dados de consulta'!$A$2:$C$38,3,0),8))</f>
        <v>8</v>
      </c>
      <c r="BB357" s="97">
        <f>IF(OR(AY357="SÁB",AY357="DOM"),0,IFERROR(8-VLOOKUP(E357,'Dados de consulta'!$A$2:$C$38,3,0),8))</f>
        <v>8</v>
      </c>
      <c r="BC357" s="97">
        <f>IF(OR(AY357="SÁB",AY357="DOM"),0,IFERROR(8-VLOOKUP(F357,'Dados de consulta'!$A$2:$C$38,3,0),8))</f>
        <v>8</v>
      </c>
      <c r="BD357" s="97">
        <f>IF(OR(AY357="SÁB",AY357="DOM"),0,IFERROR(8-VLOOKUP(G357,'Dados de consulta'!$A$2:$C$38,3,0),8))</f>
        <v>8</v>
      </c>
      <c r="BE357" s="97">
        <f>IF(OR(AY357="SÁB",AY357="DOM"),0,IFERROR(8-VLOOKUP(H357,'Dados de consulta'!$A$2:$C$38,3,0),8))</f>
        <v>8</v>
      </c>
      <c r="BF357" s="97">
        <f>IF(OR(AY357="SÁB",AY357="DOM"),0,IFERROR(8-VLOOKUP(I357,'Dados de consulta'!$A$2:$C$38,3,0),8))</f>
        <v>8</v>
      </c>
      <c r="BG357" s="97">
        <f>IF(OR(AY357="SÁB",AY357="DOM"),0,IFERROR(8-VLOOKUP(J357,'Dados de consulta'!$A$2:$C$38,3,0),8))</f>
        <v>8</v>
      </c>
      <c r="BH357" s="97">
        <f>IF(OR(AY357="SÁB",AY357="DOM"),0,IFERROR(8-VLOOKUP(K357,'Dados de consulta'!$A$2:$C$38,3,0),8))</f>
        <v>8</v>
      </c>
      <c r="BI357" s="97">
        <f>IF(OR(AY357="SÁB",AY357="DOM"),0,IFERROR(8-VLOOKUP(L357,'Dados de consulta'!$A$2:$C$38,3,0),8))</f>
        <v>8</v>
      </c>
      <c r="BJ357" s="97">
        <f>IF(OR(AY357="SÁB",AY357="DOM"),0,IFERROR(8-VLOOKUP(M357,'Dados de consulta'!$A$2:$C$38,3,0),8))</f>
        <v>0</v>
      </c>
      <c r="BK357" s="97">
        <f>IF(OR(AY357="SÁB",AY357="DOM"),0,IFERROR(8-VLOOKUP(N357,'Dados de consulta'!$A$2:$C$38,3,0),8))</f>
        <v>8</v>
      </c>
      <c r="BL357" s="97">
        <f>IF(OR(AY357="SÁB",AY357="DOM"),0,IFERROR(8-VLOOKUP(O357,'Dados de consulta'!$A$2:$C$38,3,0),8))</f>
        <v>8</v>
      </c>
      <c r="BM357" s="97">
        <f>IF(OR(AY357="SÁB",AY357="DOM"),0,IFERROR(8-VLOOKUP(P357,'Dados de consulta'!$A$2:$C$38,3,0),8))</f>
        <v>8</v>
      </c>
      <c r="BN357" s="97">
        <f>IF(OR(AY357="SÁB",AY357="DOM"),0,IFERROR(8-VLOOKUP(Q357,'Dados de consulta'!$A$2:$C$38,3,0),8))</f>
        <v>8</v>
      </c>
      <c r="BO357" s="97">
        <f>IF(OR(AY357="SÁB",AY357="DOM"),0,IFERROR(8-VLOOKUP(R357,'Dados de consulta'!$A$2:$C$38,3,0),8))</f>
        <v>8</v>
      </c>
      <c r="BP357" s="97">
        <f>IF(OR(AY357="SÁB",AY357="DOM"),0,IFERROR(8-VLOOKUP(S357,'Dados de consulta'!$A$2:$C$38,3,0),8))</f>
        <v>8</v>
      </c>
      <c r="BQ357" s="113">
        <f>IFERROR(6-VLOOKUP(T357,'Dados de consulta'!$A$2:$C$38,3,0)+2,6)</f>
        <v>6</v>
      </c>
      <c r="BR357" s="114">
        <f t="shared" si="154"/>
        <v>134</v>
      </c>
      <c r="BS357">
        <f t="shared" si="130"/>
        <v>0</v>
      </c>
      <c r="BU357">
        <f>IFERROR(8-VLOOKUP(U357,'Dados de consulta'!$A:$D,3,0),8)</f>
        <v>8</v>
      </c>
      <c r="BV357">
        <f>IFERROR(8-VLOOKUP(V357,'Dados de consulta'!$A:$D,3,0),8)</f>
        <v>8</v>
      </c>
      <c r="BW357">
        <f t="shared" si="155"/>
        <v>16</v>
      </c>
    </row>
    <row r="358" spans="1:75" ht="15" hidden="1" x14ac:dyDescent="0.2">
      <c r="A358" s="98">
        <v>42481</v>
      </c>
      <c r="B358" s="129" t="str">
        <f t="shared" si="132"/>
        <v>qui</v>
      </c>
      <c r="C358" s="132">
        <v>17</v>
      </c>
      <c r="D358" s="132">
        <v>17</v>
      </c>
      <c r="E358" s="132">
        <v>17</v>
      </c>
      <c r="F358" s="132">
        <v>17</v>
      </c>
      <c r="G358" s="132">
        <v>17</v>
      </c>
      <c r="H358" s="132">
        <v>17</v>
      </c>
      <c r="I358" s="132">
        <v>17</v>
      </c>
      <c r="J358" s="132">
        <v>17</v>
      </c>
      <c r="K358" s="132">
        <v>17</v>
      </c>
      <c r="L358" s="132">
        <v>17</v>
      </c>
      <c r="M358" s="132">
        <v>17</v>
      </c>
      <c r="N358" s="132">
        <v>17</v>
      </c>
      <c r="O358" s="132">
        <v>17</v>
      </c>
      <c r="P358" s="132">
        <v>17</v>
      </c>
      <c r="Q358" s="132">
        <v>17</v>
      </c>
      <c r="R358" s="132">
        <v>17</v>
      </c>
      <c r="S358" s="132">
        <v>17</v>
      </c>
      <c r="T358" s="132">
        <v>17</v>
      </c>
      <c r="U358" s="132">
        <v>17</v>
      </c>
      <c r="V358" s="132">
        <v>17</v>
      </c>
      <c r="W358" s="307" t="s">
        <v>193</v>
      </c>
      <c r="X358" s="308"/>
      <c r="Y358" s="38">
        <f t="shared" si="133"/>
        <v>0</v>
      </c>
      <c r="Z358" s="38">
        <f t="shared" si="134"/>
        <v>0</v>
      </c>
      <c r="AA358" s="38">
        <f t="shared" si="131"/>
        <v>0</v>
      </c>
      <c r="AB358" s="38">
        <f t="shared" si="142"/>
        <v>0</v>
      </c>
      <c r="AC358" s="38">
        <f t="shared" si="143"/>
        <v>0</v>
      </c>
      <c r="AD358" s="38">
        <f t="shared" si="144"/>
        <v>0</v>
      </c>
      <c r="AE358" s="38">
        <f t="shared" si="145"/>
        <v>0</v>
      </c>
      <c r="AF358" s="38">
        <f t="shared" si="146"/>
        <v>0</v>
      </c>
      <c r="AG358" s="33">
        <f t="shared" si="147"/>
        <v>0</v>
      </c>
      <c r="AH358" s="33">
        <f t="shared" si="148"/>
        <v>0</v>
      </c>
      <c r="AI358" s="33">
        <f t="shared" si="149"/>
        <v>0</v>
      </c>
      <c r="AJ358" s="33">
        <f t="shared" si="150"/>
        <v>0</v>
      </c>
      <c r="AK358" s="34">
        <f t="shared" si="151"/>
        <v>0</v>
      </c>
      <c r="AL358" s="35">
        <f t="shared" si="152"/>
        <v>0</v>
      </c>
      <c r="AM358" s="34">
        <f t="shared" si="135"/>
        <v>0</v>
      </c>
      <c r="AN358" s="36">
        <f t="shared" si="153"/>
        <v>0</v>
      </c>
      <c r="AO358" s="6">
        <f t="shared" si="136"/>
        <v>0</v>
      </c>
      <c r="AP358">
        <f t="shared" si="137"/>
        <v>0</v>
      </c>
      <c r="AQ358" s="6">
        <f t="shared" si="138"/>
        <v>0</v>
      </c>
      <c r="AR358" s="6">
        <f t="shared" si="139"/>
        <v>0</v>
      </c>
      <c r="AS358" s="6"/>
      <c r="AX358" s="95">
        <f t="shared" si="140"/>
        <v>42481</v>
      </c>
      <c r="AY358" s="96" t="str">
        <f t="shared" si="141"/>
        <v>qui</v>
      </c>
      <c r="AZ358" s="97">
        <f>IF(OR(AY358="SÁB",AY358="DOM"),0,IFERROR(8-VLOOKUP(C358,'Dados de consulta'!$A$2:$C$38,3,0),8))</f>
        <v>0</v>
      </c>
      <c r="BA358" s="97">
        <f>IF(OR(AY358="SÁB",AY358="DOM"),0,IFERROR(8-VLOOKUP(D358,'Dados de consulta'!$A$2:$C$38,3,0),8))</f>
        <v>0</v>
      </c>
      <c r="BB358" s="97">
        <f>IF(OR(AY358="SÁB",AY358="DOM"),0,IFERROR(8-VLOOKUP(E358,'Dados de consulta'!$A$2:$C$38,3,0),8))</f>
        <v>0</v>
      </c>
      <c r="BC358" s="97">
        <f>IF(OR(AY358="SÁB",AY358="DOM"),0,IFERROR(8-VLOOKUP(F358,'Dados de consulta'!$A$2:$C$38,3,0),8))</f>
        <v>0</v>
      </c>
      <c r="BD358" s="97">
        <f>IF(OR(AY358="SÁB",AY358="DOM"),0,IFERROR(8-VLOOKUP(G358,'Dados de consulta'!$A$2:$C$38,3,0),8))</f>
        <v>0</v>
      </c>
      <c r="BE358" s="97">
        <f>IF(OR(AY358="SÁB",AY358="DOM"),0,IFERROR(8-VLOOKUP(H358,'Dados de consulta'!$A$2:$C$38,3,0),8))</f>
        <v>0</v>
      </c>
      <c r="BF358" s="97">
        <f>IF(OR(AY358="SÁB",AY358="DOM"),0,IFERROR(8-VLOOKUP(I358,'Dados de consulta'!$A$2:$C$38,3,0),8))</f>
        <v>0</v>
      </c>
      <c r="BG358" s="97">
        <f>IF(OR(AY358="SÁB",AY358="DOM"),0,IFERROR(8-VLOOKUP(J358,'Dados de consulta'!$A$2:$C$38,3,0),8))</f>
        <v>0</v>
      </c>
      <c r="BH358" s="97">
        <f>IF(OR(AY358="SÁB",AY358="DOM"),0,IFERROR(8-VLOOKUP(K358,'Dados de consulta'!$A$2:$C$38,3,0),8))</f>
        <v>0</v>
      </c>
      <c r="BI358" s="97">
        <f>IF(OR(AY358="SÁB",AY358="DOM"),0,IFERROR(8-VLOOKUP(L358,'Dados de consulta'!$A$2:$C$38,3,0),8))</f>
        <v>0</v>
      </c>
      <c r="BJ358" s="97">
        <f>IF(OR(AY358="SÁB",AY358="DOM"),0,IFERROR(8-VLOOKUP(M358,'Dados de consulta'!$A$2:$C$38,3,0),8))</f>
        <v>0</v>
      </c>
      <c r="BK358" s="97">
        <f>IF(OR(AY358="SÁB",AY358="DOM"),0,IFERROR(8-VLOOKUP(N358,'Dados de consulta'!$A$2:$C$38,3,0),8))</f>
        <v>0</v>
      </c>
      <c r="BL358" s="97">
        <f>IF(OR(AY358="SÁB",AY358="DOM"),0,IFERROR(8-VLOOKUP(O358,'Dados de consulta'!$A$2:$C$38,3,0),8))</f>
        <v>0</v>
      </c>
      <c r="BM358" s="97">
        <f>IF(OR(AY358="SÁB",AY358="DOM"),0,IFERROR(8-VLOOKUP(P358,'Dados de consulta'!$A$2:$C$38,3,0),8))</f>
        <v>0</v>
      </c>
      <c r="BN358" s="97">
        <f>IF(OR(AY358="SÁB",AY358="DOM"),0,IFERROR(8-VLOOKUP(Q358,'Dados de consulta'!$A$2:$C$38,3,0),8))</f>
        <v>0</v>
      </c>
      <c r="BO358" s="97">
        <f>IF(OR(AY358="SÁB",AY358="DOM"),0,IFERROR(8-VLOOKUP(R358,'Dados de consulta'!$A$2:$C$38,3,0),8))</f>
        <v>0</v>
      </c>
      <c r="BP358" s="97">
        <f>IF(OR(AY358="SÁB",AY358="DOM"),0,IFERROR(8-VLOOKUP(S358,'Dados de consulta'!$A$2:$C$38,3,0),8))</f>
        <v>0</v>
      </c>
      <c r="BQ358" s="113">
        <f>IFERROR(6-VLOOKUP(T358,'Dados de consulta'!$A$2:$C$38,3,0)+2,6)</f>
        <v>0</v>
      </c>
      <c r="BR358" s="114">
        <f t="shared" si="154"/>
        <v>0</v>
      </c>
      <c r="BS358">
        <f t="shared" si="130"/>
        <v>142</v>
      </c>
      <c r="BU358">
        <f>IFERROR(8-VLOOKUP(U358,'Dados de consulta'!$A:$D,3,0),8)</f>
        <v>0</v>
      </c>
      <c r="BV358">
        <f>IFERROR(8-VLOOKUP(V358,'Dados de consulta'!$A:$D,3,0),8)</f>
        <v>0</v>
      </c>
      <c r="BW358">
        <f t="shared" si="155"/>
        <v>0</v>
      </c>
    </row>
    <row r="359" spans="1:75" ht="15" hidden="1" x14ac:dyDescent="0.2">
      <c r="A359" s="98">
        <v>42482</v>
      </c>
      <c r="B359" s="129" t="str">
        <f t="shared" si="132"/>
        <v>sex</v>
      </c>
      <c r="C359" s="132"/>
      <c r="D359" s="132">
        <v>1</v>
      </c>
      <c r="E359" s="132"/>
      <c r="F359" s="132">
        <v>2</v>
      </c>
      <c r="G359" s="132">
        <v>1</v>
      </c>
      <c r="H359" s="132"/>
      <c r="I359" s="132">
        <v>1</v>
      </c>
      <c r="J359" s="132"/>
      <c r="K359" s="132"/>
      <c r="L359" s="132">
        <v>1</v>
      </c>
      <c r="M359" s="132">
        <v>101</v>
      </c>
      <c r="N359" s="132"/>
      <c r="O359" s="132"/>
      <c r="P359" s="132">
        <v>8</v>
      </c>
      <c r="Q359" s="132"/>
      <c r="R359" s="132">
        <v>1</v>
      </c>
      <c r="S359" s="132"/>
      <c r="T359" s="132"/>
      <c r="U359" s="151"/>
      <c r="V359" s="151"/>
      <c r="W359" s="307" t="s">
        <v>193</v>
      </c>
      <c r="X359" s="308"/>
      <c r="Y359" s="38">
        <f t="shared" si="133"/>
        <v>8</v>
      </c>
      <c r="Z359" s="38">
        <f t="shared" si="134"/>
        <v>48</v>
      </c>
      <c r="AA359" s="38">
        <f t="shared" si="131"/>
        <v>0</v>
      </c>
      <c r="AB359" s="38">
        <f t="shared" si="142"/>
        <v>0</v>
      </c>
      <c r="AC359" s="38">
        <f t="shared" si="143"/>
        <v>0</v>
      </c>
      <c r="AD359" s="38">
        <f t="shared" si="144"/>
        <v>0</v>
      </c>
      <c r="AE359" s="38">
        <f t="shared" si="145"/>
        <v>0</v>
      </c>
      <c r="AF359" s="38">
        <f t="shared" si="146"/>
        <v>0</v>
      </c>
      <c r="AG359" s="33">
        <f t="shared" si="147"/>
        <v>8</v>
      </c>
      <c r="AH359" s="33">
        <f t="shared" si="148"/>
        <v>48</v>
      </c>
      <c r="AI359" s="33">
        <f t="shared" si="149"/>
        <v>0</v>
      </c>
      <c r="AJ359" s="33">
        <f t="shared" si="150"/>
        <v>0</v>
      </c>
      <c r="AK359" s="34">
        <f t="shared" si="151"/>
        <v>5.6338028169014086E-2</v>
      </c>
      <c r="AL359" s="35">
        <f t="shared" si="152"/>
        <v>0.3380281690140845</v>
      </c>
      <c r="AM359" s="34">
        <f t="shared" si="135"/>
        <v>0</v>
      </c>
      <c r="AN359" s="36">
        <f t="shared" si="153"/>
        <v>0</v>
      </c>
      <c r="AO359" s="6">
        <f t="shared" si="136"/>
        <v>0</v>
      </c>
      <c r="AP359">
        <f t="shared" si="137"/>
        <v>8</v>
      </c>
      <c r="AQ359" s="6">
        <f t="shared" si="138"/>
        <v>0</v>
      </c>
      <c r="AR359" s="6">
        <f t="shared" si="139"/>
        <v>0</v>
      </c>
      <c r="AS359" s="6"/>
      <c r="AX359" s="95">
        <f t="shared" si="140"/>
        <v>42482</v>
      </c>
      <c r="AY359" s="96" t="str">
        <f t="shared" si="141"/>
        <v>sex</v>
      </c>
      <c r="AZ359" s="97">
        <f>IF(OR(AY359="SÁB",AY359="DOM"),0,IFERROR(8-VLOOKUP(C359,'Dados de consulta'!$A$2:$C$38,3,0),8))</f>
        <v>8</v>
      </c>
      <c r="BA359" s="97">
        <f>IF(OR(AY359="SÁB",AY359="DOM"),0,IFERROR(8-VLOOKUP(D359,'Dados de consulta'!$A$2:$C$38,3,0),8))</f>
        <v>0</v>
      </c>
      <c r="BB359" s="97">
        <f>IF(OR(AY359="SÁB",AY359="DOM"),0,IFERROR(8-VLOOKUP(E359,'Dados de consulta'!$A$2:$C$38,3,0),8))</f>
        <v>8</v>
      </c>
      <c r="BC359" s="97">
        <f>IF(OR(AY359="SÁB",AY359="DOM"),0,IFERROR(8-VLOOKUP(F359,'Dados de consulta'!$A$2:$C$38,3,0),8))</f>
        <v>0</v>
      </c>
      <c r="BD359" s="97">
        <f>IF(OR(AY359="SÁB",AY359="DOM"),0,IFERROR(8-VLOOKUP(G359,'Dados de consulta'!$A$2:$C$38,3,0),8))</f>
        <v>0</v>
      </c>
      <c r="BE359" s="97">
        <f>IF(OR(AY359="SÁB",AY359="DOM"),0,IFERROR(8-VLOOKUP(H359,'Dados de consulta'!$A$2:$C$38,3,0),8))</f>
        <v>8</v>
      </c>
      <c r="BF359" s="97">
        <f>IF(OR(AY359="SÁB",AY359="DOM"),0,IFERROR(8-VLOOKUP(I359,'Dados de consulta'!$A$2:$C$38,3,0),8))</f>
        <v>0</v>
      </c>
      <c r="BG359" s="97">
        <f>IF(OR(AY359="SÁB",AY359="DOM"),0,IFERROR(8-VLOOKUP(J359,'Dados de consulta'!$A$2:$C$38,3,0),8))</f>
        <v>8</v>
      </c>
      <c r="BH359" s="97">
        <f>IF(OR(AY359="SÁB",AY359="DOM"),0,IFERROR(8-VLOOKUP(K359,'Dados de consulta'!$A$2:$C$38,3,0),8))</f>
        <v>8</v>
      </c>
      <c r="BI359" s="97">
        <f>IF(OR(AY359="SÁB",AY359="DOM"),0,IFERROR(8-VLOOKUP(L359,'Dados de consulta'!$A$2:$C$38,3,0),8))</f>
        <v>0</v>
      </c>
      <c r="BJ359" s="97">
        <f>IF(OR(AY359="SÁB",AY359="DOM"),0,IFERROR(8-VLOOKUP(M359,'Dados de consulta'!$A$2:$C$38,3,0),8))</f>
        <v>0</v>
      </c>
      <c r="BK359" s="97">
        <f>IF(OR(AY359="SÁB",AY359="DOM"),0,IFERROR(8-VLOOKUP(N359,'Dados de consulta'!$A$2:$C$38,3,0),8))</f>
        <v>8</v>
      </c>
      <c r="BL359" s="97">
        <f>IF(OR(AY359="SÁB",AY359="DOM"),0,IFERROR(8-VLOOKUP(O359,'Dados de consulta'!$A$2:$C$38,3,0),8))</f>
        <v>8</v>
      </c>
      <c r="BM359" s="97">
        <f>IF(OR(AY359="SÁB",AY359="DOM"),0,IFERROR(8-VLOOKUP(P359,'Dados de consulta'!$A$2:$C$38,3,0),8))</f>
        <v>0</v>
      </c>
      <c r="BN359" s="97">
        <f>IF(OR(AY359="SÁB",AY359="DOM"),0,IFERROR(8-VLOOKUP(Q359,'Dados de consulta'!$A$2:$C$38,3,0),8))</f>
        <v>8</v>
      </c>
      <c r="BO359" s="97">
        <f>IF(OR(AY359="SÁB",AY359="DOM"),0,IFERROR(8-VLOOKUP(R359,'Dados de consulta'!$A$2:$C$38,3,0),8))</f>
        <v>0</v>
      </c>
      <c r="BP359" s="97">
        <f>IF(OR(AY359="SÁB",AY359="DOM"),0,IFERROR(8-VLOOKUP(S359,'Dados de consulta'!$A$2:$C$38,3,0),8))</f>
        <v>8</v>
      </c>
      <c r="BQ359" s="113">
        <f>IFERROR(6-VLOOKUP(T359,'Dados de consulta'!$A$2:$C$38,3,0)+2,6)</f>
        <v>6</v>
      </c>
      <c r="BR359" s="114">
        <f t="shared" si="154"/>
        <v>78</v>
      </c>
      <c r="BS359">
        <f t="shared" si="130"/>
        <v>134</v>
      </c>
      <c r="BU359">
        <f>IFERROR(8-VLOOKUP(U359,'Dados de consulta'!$A:$D,3,0),8)</f>
        <v>8</v>
      </c>
      <c r="BV359">
        <f>IFERROR(8-VLOOKUP(V359,'Dados de consulta'!$A:$D,3,0),8)</f>
        <v>8</v>
      </c>
      <c r="BW359">
        <f t="shared" si="155"/>
        <v>16</v>
      </c>
    </row>
    <row r="360" spans="1:75" ht="15" hidden="1" x14ac:dyDescent="0.2">
      <c r="A360" s="98">
        <v>42483</v>
      </c>
      <c r="B360" s="129" t="str">
        <f t="shared" si="132"/>
        <v>sáb</v>
      </c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>
        <v>101</v>
      </c>
      <c r="N360" s="132"/>
      <c r="O360" s="132"/>
      <c r="P360" s="132"/>
      <c r="Q360" s="132"/>
      <c r="R360" s="132"/>
      <c r="S360" s="132"/>
      <c r="T360" s="132"/>
      <c r="U360" s="151"/>
      <c r="V360" s="151"/>
      <c r="W360" s="307" t="s">
        <v>193</v>
      </c>
      <c r="X360" s="308"/>
      <c r="Y360" s="38">
        <f t="shared" si="133"/>
        <v>0</v>
      </c>
      <c r="Z360" s="38">
        <f t="shared" si="134"/>
        <v>0</v>
      </c>
      <c r="AA360" s="38">
        <f t="shared" si="131"/>
        <v>0</v>
      </c>
      <c r="AB360" s="38">
        <f t="shared" si="142"/>
        <v>0</v>
      </c>
      <c r="AC360" s="38">
        <f t="shared" si="143"/>
        <v>0</v>
      </c>
      <c r="AD360" s="38">
        <f t="shared" si="144"/>
        <v>0</v>
      </c>
      <c r="AE360" s="38">
        <f t="shared" si="145"/>
        <v>0</v>
      </c>
      <c r="AF360" s="38">
        <f t="shared" si="146"/>
        <v>0</v>
      </c>
      <c r="AG360" s="33">
        <f t="shared" si="147"/>
        <v>0</v>
      </c>
      <c r="AH360" s="33">
        <f t="shared" si="148"/>
        <v>0</v>
      </c>
      <c r="AI360" s="33">
        <f t="shared" si="149"/>
        <v>0</v>
      </c>
      <c r="AJ360" s="33">
        <f t="shared" si="150"/>
        <v>0</v>
      </c>
      <c r="AK360" s="34">
        <f t="shared" si="151"/>
        <v>0</v>
      </c>
      <c r="AL360" s="35">
        <f t="shared" si="152"/>
        <v>0</v>
      </c>
      <c r="AM360" s="34">
        <f t="shared" si="135"/>
        <v>0</v>
      </c>
      <c r="AN360" s="36">
        <f t="shared" si="153"/>
        <v>0</v>
      </c>
      <c r="AO360" s="6">
        <f t="shared" si="136"/>
        <v>0</v>
      </c>
      <c r="AP360">
        <f t="shared" si="137"/>
        <v>8</v>
      </c>
      <c r="AQ360" s="6">
        <f t="shared" si="138"/>
        <v>0</v>
      </c>
      <c r="AR360" s="6">
        <f t="shared" si="139"/>
        <v>0</v>
      </c>
      <c r="AS360" s="6"/>
      <c r="AX360" s="95">
        <f t="shared" si="140"/>
        <v>42483</v>
      </c>
      <c r="AY360" s="96" t="str">
        <f t="shared" si="141"/>
        <v>sáb</v>
      </c>
      <c r="AZ360" s="97">
        <f>IF(OR(AY360="SÁB",AY360="DOM"),0,IFERROR(8-VLOOKUP(C360,'Dados de consulta'!$A$2:$C$38,3,0),8))</f>
        <v>0</v>
      </c>
      <c r="BA360" s="97">
        <f>IF(OR(AY360="SÁB",AY360="DOM"),0,IFERROR(8-VLOOKUP(D360,'Dados de consulta'!$A$2:$C$38,3,0),8))</f>
        <v>0</v>
      </c>
      <c r="BB360" s="97">
        <f>IF(OR(AY360="SÁB",AY360="DOM"),0,IFERROR(8-VLOOKUP(E360,'Dados de consulta'!$A$2:$C$38,3,0),8))</f>
        <v>0</v>
      </c>
      <c r="BC360" s="97">
        <f>IF(OR(AY360="SÁB",AY360="DOM"),0,IFERROR(8-VLOOKUP(F360,'Dados de consulta'!$A$2:$C$38,3,0),8))</f>
        <v>0</v>
      </c>
      <c r="BD360" s="97">
        <f>IF(OR(AY360="SÁB",AY360="DOM"),0,IFERROR(8-VLOOKUP(G360,'Dados de consulta'!$A$2:$C$38,3,0),8))</f>
        <v>0</v>
      </c>
      <c r="BE360" s="97">
        <f>IF(OR(AY360="SÁB",AY360="DOM"),0,IFERROR(8-VLOOKUP(H360,'Dados de consulta'!$A$2:$C$38,3,0),8))</f>
        <v>0</v>
      </c>
      <c r="BF360" s="97">
        <f>IF(OR(AY360="SÁB",AY360="DOM"),0,IFERROR(8-VLOOKUP(I360,'Dados de consulta'!$A$2:$C$38,3,0),8))</f>
        <v>0</v>
      </c>
      <c r="BG360" s="97">
        <f>IF(OR(AY360="SÁB",AY360="DOM"),0,IFERROR(8-VLOOKUP(J360,'Dados de consulta'!$A$2:$C$38,3,0),8))</f>
        <v>0</v>
      </c>
      <c r="BH360" s="97">
        <f>IF(OR(AY360="SÁB",AY360="DOM"),0,IFERROR(8-VLOOKUP(K360,'Dados de consulta'!$A$2:$C$38,3,0),8))</f>
        <v>0</v>
      </c>
      <c r="BI360" s="97">
        <f>IF(OR(AY360="SÁB",AY360="DOM"),0,IFERROR(8-VLOOKUP(L360,'Dados de consulta'!$A$2:$C$38,3,0),8))</f>
        <v>0</v>
      </c>
      <c r="BJ360" s="97">
        <f>IF(OR(AY360="SÁB",AY360="DOM"),0,IFERROR(8-VLOOKUP(M360,'Dados de consulta'!$A$2:$C$38,3,0),8))</f>
        <v>0</v>
      </c>
      <c r="BK360" s="97">
        <f>IF(OR(AY360="SÁB",AY360="DOM"),0,IFERROR(8-VLOOKUP(N360,'Dados de consulta'!$A$2:$C$38,3,0),8))</f>
        <v>0</v>
      </c>
      <c r="BL360" s="97">
        <f>IF(OR(AY360="SÁB",AY360="DOM"),0,IFERROR(8-VLOOKUP(O360,'Dados de consulta'!$A$2:$C$38,3,0),8))</f>
        <v>0</v>
      </c>
      <c r="BM360" s="97">
        <f>IF(OR(AY360="SÁB",AY360="DOM"),0,IFERROR(8-VLOOKUP(P360,'Dados de consulta'!$A$2:$C$38,3,0),8))</f>
        <v>0</v>
      </c>
      <c r="BN360" s="97">
        <f>IF(OR(AY360="SÁB",AY360="DOM"),0,IFERROR(8-VLOOKUP(Q360,'Dados de consulta'!$A$2:$C$38,3,0),8))</f>
        <v>0</v>
      </c>
      <c r="BO360" s="97">
        <f>IF(OR(AY360="SÁB",AY360="DOM"),0,IFERROR(8-VLOOKUP(R360,'Dados de consulta'!$A$2:$C$38,3,0),8))</f>
        <v>0</v>
      </c>
      <c r="BP360" s="97">
        <f>IF(OR(AY360="SÁB",AY360="DOM"),0,IFERROR(8-VLOOKUP(S360,'Dados de consulta'!$A$2:$C$38,3,0),8))</f>
        <v>0</v>
      </c>
      <c r="BQ360" s="113">
        <f>IFERROR(6-VLOOKUP(T360,'Dados de consulta'!$A$2:$C$38,3,0)+2,6)</f>
        <v>6</v>
      </c>
      <c r="BR360" s="114">
        <f t="shared" si="154"/>
        <v>0</v>
      </c>
      <c r="BS360">
        <f t="shared" si="130"/>
        <v>0</v>
      </c>
      <c r="BU360">
        <f>IFERROR(8-VLOOKUP(U360,'Dados de consulta'!$A:$D,3,0),8)</f>
        <v>8</v>
      </c>
      <c r="BV360">
        <f>IFERROR(8-VLOOKUP(V360,'Dados de consulta'!$A:$D,3,0),8)</f>
        <v>8</v>
      </c>
      <c r="BW360">
        <f t="shared" si="155"/>
        <v>16</v>
      </c>
    </row>
    <row r="361" spans="1:75" ht="15" hidden="1" x14ac:dyDescent="0.2">
      <c r="A361" s="98">
        <v>42484</v>
      </c>
      <c r="B361" s="129" t="str">
        <f t="shared" si="132"/>
        <v>dom</v>
      </c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>
        <v>101</v>
      </c>
      <c r="N361" s="132"/>
      <c r="O361" s="132"/>
      <c r="P361" s="132"/>
      <c r="Q361" s="132"/>
      <c r="R361" s="132"/>
      <c r="S361" s="132"/>
      <c r="T361" s="132"/>
      <c r="U361" s="151"/>
      <c r="V361" s="151"/>
      <c r="W361" s="307" t="s">
        <v>193</v>
      </c>
      <c r="X361" s="308"/>
      <c r="Y361" s="38">
        <f t="shared" si="133"/>
        <v>0</v>
      </c>
      <c r="Z361" s="38">
        <f t="shared" si="134"/>
        <v>0</v>
      </c>
      <c r="AA361" s="38">
        <f t="shared" si="131"/>
        <v>0</v>
      </c>
      <c r="AB361" s="38">
        <f t="shared" si="142"/>
        <v>0</v>
      </c>
      <c r="AC361" s="38">
        <f t="shared" si="143"/>
        <v>0</v>
      </c>
      <c r="AD361" s="38">
        <f t="shared" si="144"/>
        <v>0</v>
      </c>
      <c r="AE361" s="38">
        <f t="shared" si="145"/>
        <v>0</v>
      </c>
      <c r="AF361" s="38">
        <f t="shared" si="146"/>
        <v>0</v>
      </c>
      <c r="AG361" s="33">
        <f t="shared" si="147"/>
        <v>0</v>
      </c>
      <c r="AH361" s="33">
        <f t="shared" si="148"/>
        <v>0</v>
      </c>
      <c r="AI361" s="33">
        <f t="shared" si="149"/>
        <v>0</v>
      </c>
      <c r="AJ361" s="33">
        <f t="shared" si="150"/>
        <v>0</v>
      </c>
      <c r="AK361" s="34">
        <f t="shared" si="151"/>
        <v>0</v>
      </c>
      <c r="AL361" s="35">
        <f t="shared" si="152"/>
        <v>0</v>
      </c>
      <c r="AM361" s="34">
        <f t="shared" si="135"/>
        <v>0</v>
      </c>
      <c r="AN361" s="36">
        <f t="shared" si="153"/>
        <v>0</v>
      </c>
      <c r="AO361" s="6">
        <f t="shared" si="136"/>
        <v>0</v>
      </c>
      <c r="AP361">
        <f t="shared" si="137"/>
        <v>8</v>
      </c>
      <c r="AQ361" s="6">
        <f t="shared" si="138"/>
        <v>0</v>
      </c>
      <c r="AR361" s="6">
        <f t="shared" si="139"/>
        <v>0</v>
      </c>
      <c r="AS361" s="6"/>
      <c r="AX361" s="95">
        <f t="shared" si="140"/>
        <v>42484</v>
      </c>
      <c r="AY361" s="96" t="str">
        <f t="shared" si="141"/>
        <v>dom</v>
      </c>
      <c r="AZ361" s="97">
        <f>IF(OR(AY361="SÁB",AY361="DOM"),0,IFERROR(8-VLOOKUP(C361,'Dados de consulta'!$A$2:$C$38,3,0),8))</f>
        <v>0</v>
      </c>
      <c r="BA361" s="97">
        <f>IF(OR(AY361="SÁB",AY361="DOM"),0,IFERROR(8-VLOOKUP(D361,'Dados de consulta'!$A$2:$C$38,3,0),8))</f>
        <v>0</v>
      </c>
      <c r="BB361" s="97">
        <f>IF(OR(AY361="SÁB",AY361="DOM"),0,IFERROR(8-VLOOKUP(E361,'Dados de consulta'!$A$2:$C$38,3,0),8))</f>
        <v>0</v>
      </c>
      <c r="BC361" s="97">
        <f>IF(OR(AY361="SÁB",AY361="DOM"),0,IFERROR(8-VLOOKUP(F361,'Dados de consulta'!$A$2:$C$38,3,0),8))</f>
        <v>0</v>
      </c>
      <c r="BD361" s="97">
        <f>IF(OR(AY361="SÁB",AY361="DOM"),0,IFERROR(8-VLOOKUP(G361,'Dados de consulta'!$A$2:$C$38,3,0),8))</f>
        <v>0</v>
      </c>
      <c r="BE361" s="97">
        <f>IF(OR(AY361="SÁB",AY361="DOM"),0,IFERROR(8-VLOOKUP(H361,'Dados de consulta'!$A$2:$C$38,3,0),8))</f>
        <v>0</v>
      </c>
      <c r="BF361" s="97">
        <f>IF(OR(AY361="SÁB",AY361="DOM"),0,IFERROR(8-VLOOKUP(I361,'Dados de consulta'!$A$2:$C$38,3,0),8))</f>
        <v>0</v>
      </c>
      <c r="BG361" s="97">
        <f>IF(OR(AY361="SÁB",AY361="DOM"),0,IFERROR(8-VLOOKUP(J361,'Dados de consulta'!$A$2:$C$38,3,0),8))</f>
        <v>0</v>
      </c>
      <c r="BH361" s="97">
        <f>IF(OR(AY361="SÁB",AY361="DOM"),0,IFERROR(8-VLOOKUP(K361,'Dados de consulta'!$A$2:$C$38,3,0),8))</f>
        <v>0</v>
      </c>
      <c r="BI361" s="97">
        <f>IF(OR(AY361="SÁB",AY361="DOM"),0,IFERROR(8-VLOOKUP(L361,'Dados de consulta'!$A$2:$C$38,3,0),8))</f>
        <v>0</v>
      </c>
      <c r="BJ361" s="97">
        <f>IF(OR(AY361="SÁB",AY361="DOM"),0,IFERROR(8-VLOOKUP(M361,'Dados de consulta'!$A$2:$C$38,3,0),8))</f>
        <v>0</v>
      </c>
      <c r="BK361" s="97">
        <f>IF(OR(AY361="SÁB",AY361="DOM"),0,IFERROR(8-VLOOKUP(N361,'Dados de consulta'!$A$2:$C$38,3,0),8))</f>
        <v>0</v>
      </c>
      <c r="BL361" s="97">
        <f>IF(OR(AY361="SÁB",AY361="DOM"),0,IFERROR(8-VLOOKUP(O361,'Dados de consulta'!$A$2:$C$38,3,0),8))</f>
        <v>0</v>
      </c>
      <c r="BM361" s="97">
        <f>IF(OR(AY361="SÁB",AY361="DOM"),0,IFERROR(8-VLOOKUP(P361,'Dados de consulta'!$A$2:$C$38,3,0),8))</f>
        <v>0</v>
      </c>
      <c r="BN361" s="97">
        <f>IF(OR(AY361="SÁB",AY361="DOM"),0,IFERROR(8-VLOOKUP(Q361,'Dados de consulta'!$A$2:$C$38,3,0),8))</f>
        <v>0</v>
      </c>
      <c r="BO361" s="97">
        <f>IF(OR(AY361="SÁB",AY361="DOM"),0,IFERROR(8-VLOOKUP(R361,'Dados de consulta'!$A$2:$C$38,3,0),8))</f>
        <v>0</v>
      </c>
      <c r="BP361" s="97">
        <f>IF(OR(AY361="SÁB",AY361="DOM"),0,IFERROR(8-VLOOKUP(S361,'Dados de consulta'!$A$2:$C$38,3,0),8))</f>
        <v>0</v>
      </c>
      <c r="BQ361" s="113">
        <f>IFERROR(6-VLOOKUP(T361,'Dados de consulta'!$A$2:$C$38,3,0)+2,6)</f>
        <v>6</v>
      </c>
      <c r="BR361" s="114">
        <f t="shared" si="154"/>
        <v>0</v>
      </c>
      <c r="BS361">
        <f t="shared" si="130"/>
        <v>0</v>
      </c>
      <c r="BU361">
        <f>IFERROR(8-VLOOKUP(U361,'Dados de consulta'!$A:$D,3,0),8)</f>
        <v>8</v>
      </c>
      <c r="BV361">
        <f>IFERROR(8-VLOOKUP(V361,'Dados de consulta'!$A:$D,3,0),8)</f>
        <v>8</v>
      </c>
      <c r="BW361">
        <f t="shared" si="155"/>
        <v>16</v>
      </c>
    </row>
    <row r="362" spans="1:75" ht="15" hidden="1" x14ac:dyDescent="0.2">
      <c r="A362" s="98">
        <v>42485</v>
      </c>
      <c r="B362" s="129" t="str">
        <f t="shared" si="132"/>
        <v>seg</v>
      </c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>
        <v>101</v>
      </c>
      <c r="N362" s="132"/>
      <c r="O362" s="132"/>
      <c r="P362" s="132"/>
      <c r="Q362" s="132"/>
      <c r="R362" s="132"/>
      <c r="S362" s="132"/>
      <c r="T362" s="132"/>
      <c r="U362" s="151"/>
      <c r="V362" s="151"/>
      <c r="W362" s="307" t="s">
        <v>193</v>
      </c>
      <c r="X362" s="308"/>
      <c r="Y362" s="38">
        <f t="shared" si="133"/>
        <v>0</v>
      </c>
      <c r="Z362" s="38">
        <f t="shared" si="134"/>
        <v>0</v>
      </c>
      <c r="AA362" s="38">
        <f t="shared" si="131"/>
        <v>0</v>
      </c>
      <c r="AB362" s="38">
        <f t="shared" si="142"/>
        <v>0</v>
      </c>
      <c r="AC362" s="38">
        <f t="shared" si="143"/>
        <v>0</v>
      </c>
      <c r="AD362" s="38">
        <f t="shared" si="144"/>
        <v>0</v>
      </c>
      <c r="AE362" s="38">
        <f t="shared" si="145"/>
        <v>0</v>
      </c>
      <c r="AF362" s="38">
        <f t="shared" si="146"/>
        <v>0</v>
      </c>
      <c r="AG362" s="33">
        <f t="shared" si="147"/>
        <v>0</v>
      </c>
      <c r="AH362" s="33">
        <f t="shared" si="148"/>
        <v>0</v>
      </c>
      <c r="AI362" s="33">
        <f t="shared" si="149"/>
        <v>0</v>
      </c>
      <c r="AJ362" s="33">
        <f t="shared" si="150"/>
        <v>0</v>
      </c>
      <c r="AK362" s="34">
        <f t="shared" si="151"/>
        <v>0</v>
      </c>
      <c r="AL362" s="35">
        <f t="shared" si="152"/>
        <v>0</v>
      </c>
      <c r="AM362" s="34">
        <f t="shared" si="135"/>
        <v>0</v>
      </c>
      <c r="AN362" s="36">
        <f t="shared" si="153"/>
        <v>0</v>
      </c>
      <c r="AO362" s="6">
        <f t="shared" si="136"/>
        <v>0</v>
      </c>
      <c r="AP362">
        <f t="shared" si="137"/>
        <v>8</v>
      </c>
      <c r="AQ362" s="6">
        <f t="shared" si="138"/>
        <v>0</v>
      </c>
      <c r="AR362" s="6">
        <f t="shared" si="139"/>
        <v>0</v>
      </c>
      <c r="AS362" s="6"/>
      <c r="AX362" s="95">
        <f t="shared" si="140"/>
        <v>42485</v>
      </c>
      <c r="AY362" s="96" t="str">
        <f t="shared" si="141"/>
        <v>seg</v>
      </c>
      <c r="AZ362" s="97">
        <f>IF(OR(AY362="SÁB",AY362="DOM"),0,IFERROR(8-VLOOKUP(C362,'Dados de consulta'!$A$2:$C$38,3,0),8))</f>
        <v>8</v>
      </c>
      <c r="BA362" s="97">
        <f>IF(OR(AY362="SÁB",AY362="DOM"),0,IFERROR(8-VLOOKUP(D362,'Dados de consulta'!$A$2:$C$38,3,0),8))</f>
        <v>8</v>
      </c>
      <c r="BB362" s="97">
        <f>IF(OR(AY362="SÁB",AY362="DOM"),0,IFERROR(8-VLOOKUP(E362,'Dados de consulta'!$A$2:$C$38,3,0),8))</f>
        <v>8</v>
      </c>
      <c r="BC362" s="97">
        <f>IF(OR(AY362="SÁB",AY362="DOM"),0,IFERROR(8-VLOOKUP(F362,'Dados de consulta'!$A$2:$C$38,3,0),8))</f>
        <v>8</v>
      </c>
      <c r="BD362" s="97">
        <f>IF(OR(AY362="SÁB",AY362="DOM"),0,IFERROR(8-VLOOKUP(G362,'Dados de consulta'!$A$2:$C$38,3,0),8))</f>
        <v>8</v>
      </c>
      <c r="BE362" s="97">
        <f>IF(OR(AY362="SÁB",AY362="DOM"),0,IFERROR(8-VLOOKUP(H362,'Dados de consulta'!$A$2:$C$38,3,0),8))</f>
        <v>8</v>
      </c>
      <c r="BF362" s="97">
        <f>IF(OR(AY362="SÁB",AY362="DOM"),0,IFERROR(8-VLOOKUP(I362,'Dados de consulta'!$A$2:$C$38,3,0),8))</f>
        <v>8</v>
      </c>
      <c r="BG362" s="97">
        <f>IF(OR(AY362="SÁB",AY362="DOM"),0,IFERROR(8-VLOOKUP(J362,'Dados de consulta'!$A$2:$C$38,3,0),8))</f>
        <v>8</v>
      </c>
      <c r="BH362" s="97">
        <f>IF(OR(AY362="SÁB",AY362="DOM"),0,IFERROR(8-VLOOKUP(K362,'Dados de consulta'!$A$2:$C$38,3,0),8))</f>
        <v>8</v>
      </c>
      <c r="BI362" s="97">
        <f>IF(OR(AY362="SÁB",AY362="DOM"),0,IFERROR(8-VLOOKUP(L362,'Dados de consulta'!$A$2:$C$38,3,0),8))</f>
        <v>8</v>
      </c>
      <c r="BJ362" s="97">
        <f>IF(OR(AY362="SÁB",AY362="DOM"),0,IFERROR(8-VLOOKUP(M362,'Dados de consulta'!$A$2:$C$38,3,0),8))</f>
        <v>0</v>
      </c>
      <c r="BK362" s="97">
        <f>IF(OR(AY362="SÁB",AY362="DOM"),0,IFERROR(8-VLOOKUP(N362,'Dados de consulta'!$A$2:$C$38,3,0),8))</f>
        <v>8</v>
      </c>
      <c r="BL362" s="97">
        <f>IF(OR(AY362="SÁB",AY362="DOM"),0,IFERROR(8-VLOOKUP(O362,'Dados de consulta'!$A$2:$C$38,3,0),8))</f>
        <v>8</v>
      </c>
      <c r="BM362" s="97">
        <f>IF(OR(AY362="SÁB",AY362="DOM"),0,IFERROR(8-VLOOKUP(P362,'Dados de consulta'!$A$2:$C$38,3,0),8))</f>
        <v>8</v>
      </c>
      <c r="BN362" s="97">
        <f>IF(OR(AY362="SÁB",AY362="DOM"),0,IFERROR(8-VLOOKUP(Q362,'Dados de consulta'!$A$2:$C$38,3,0),8))</f>
        <v>8</v>
      </c>
      <c r="BO362" s="97">
        <f>IF(OR(AY362="SÁB",AY362="DOM"),0,IFERROR(8-VLOOKUP(R362,'Dados de consulta'!$A$2:$C$38,3,0),8))</f>
        <v>8</v>
      </c>
      <c r="BP362" s="97">
        <f>IF(OR(AY362="SÁB",AY362="DOM"),0,IFERROR(8-VLOOKUP(S362,'Dados de consulta'!$A$2:$C$38,3,0),8))</f>
        <v>8</v>
      </c>
      <c r="BQ362" s="113">
        <f>IFERROR(6-VLOOKUP(T362,'Dados de consulta'!$A$2:$C$38,3,0)+2,6)</f>
        <v>6</v>
      </c>
      <c r="BR362" s="114">
        <f t="shared" si="154"/>
        <v>134</v>
      </c>
      <c r="BS362">
        <f t="shared" si="130"/>
        <v>134</v>
      </c>
      <c r="BU362">
        <f>IFERROR(8-VLOOKUP(U362,'Dados de consulta'!$A:$D,3,0),8)</f>
        <v>8</v>
      </c>
      <c r="BV362">
        <f>IFERROR(8-VLOOKUP(V362,'Dados de consulta'!$A:$D,3,0),8)</f>
        <v>8</v>
      </c>
      <c r="BW362">
        <f t="shared" si="155"/>
        <v>16</v>
      </c>
    </row>
    <row r="363" spans="1:75" ht="15" hidden="1" x14ac:dyDescent="0.2">
      <c r="A363" s="98">
        <v>42486</v>
      </c>
      <c r="B363" s="129" t="str">
        <f t="shared" si="132"/>
        <v>ter</v>
      </c>
      <c r="C363" s="132" t="s">
        <v>195</v>
      </c>
      <c r="D363" s="132" t="s">
        <v>195</v>
      </c>
      <c r="E363" s="132" t="s">
        <v>198</v>
      </c>
      <c r="F363" s="132"/>
      <c r="G363" s="132" t="s">
        <v>195</v>
      </c>
      <c r="H363" s="132" t="s">
        <v>195</v>
      </c>
      <c r="I363" s="132"/>
      <c r="J363" s="132"/>
      <c r="K363" s="132"/>
      <c r="L363" s="132"/>
      <c r="M363" s="132">
        <v>101</v>
      </c>
      <c r="N363" s="132"/>
      <c r="O363" s="132"/>
      <c r="P363" s="132"/>
      <c r="Q363" s="132"/>
      <c r="R363" s="132"/>
      <c r="S363" s="132" t="s">
        <v>195</v>
      </c>
      <c r="T363" s="132"/>
      <c r="U363" s="151"/>
      <c r="V363" s="151"/>
      <c r="W363" s="307" t="s">
        <v>193</v>
      </c>
      <c r="X363" s="308"/>
      <c r="Y363" s="38">
        <f t="shared" si="133"/>
        <v>4</v>
      </c>
      <c r="Z363" s="38">
        <f t="shared" si="134"/>
        <v>0</v>
      </c>
      <c r="AA363" s="38">
        <f t="shared" si="131"/>
        <v>0</v>
      </c>
      <c r="AB363" s="38">
        <f t="shared" si="142"/>
        <v>20</v>
      </c>
      <c r="AC363" s="38">
        <f t="shared" si="143"/>
        <v>0</v>
      </c>
      <c r="AD363" s="38">
        <f t="shared" si="144"/>
        <v>0</v>
      </c>
      <c r="AE363" s="38">
        <f t="shared" si="145"/>
        <v>0</v>
      </c>
      <c r="AF363" s="38">
        <f t="shared" si="146"/>
        <v>0</v>
      </c>
      <c r="AG363" s="33">
        <f t="shared" si="147"/>
        <v>4</v>
      </c>
      <c r="AH363" s="33">
        <f t="shared" si="148"/>
        <v>0</v>
      </c>
      <c r="AI363" s="33">
        <f t="shared" si="149"/>
        <v>0</v>
      </c>
      <c r="AJ363" s="33">
        <f t="shared" si="150"/>
        <v>20</v>
      </c>
      <c r="AK363" s="34">
        <f t="shared" si="151"/>
        <v>2.8169014084507043E-2</v>
      </c>
      <c r="AL363" s="35">
        <f t="shared" si="152"/>
        <v>0</v>
      </c>
      <c r="AM363" s="34">
        <f t="shared" si="135"/>
        <v>0</v>
      </c>
      <c r="AN363" s="36">
        <f t="shared" si="153"/>
        <v>0.14084507042253522</v>
      </c>
      <c r="AO363" s="6">
        <f t="shared" si="136"/>
        <v>0</v>
      </c>
      <c r="AP363">
        <f t="shared" si="137"/>
        <v>8</v>
      </c>
      <c r="AQ363" s="6">
        <f t="shared" si="138"/>
        <v>0</v>
      </c>
      <c r="AR363" s="6">
        <f t="shared" si="139"/>
        <v>0</v>
      </c>
      <c r="AS363" s="6"/>
      <c r="AX363" s="95">
        <f t="shared" si="140"/>
        <v>42486</v>
      </c>
      <c r="AY363" s="96" t="str">
        <f t="shared" si="141"/>
        <v>ter</v>
      </c>
      <c r="AZ363" s="97">
        <f>IF(OR(AY363="SÁB",AY363="DOM"),0,IFERROR(8-VLOOKUP(C363,'Dados de consulta'!$A$2:$C$38,3,0),8))</f>
        <v>4</v>
      </c>
      <c r="BA363" s="97">
        <f>IF(OR(AY363="SÁB",AY363="DOM"),0,IFERROR(8-VLOOKUP(D363,'Dados de consulta'!$A$2:$C$38,3,0),8))</f>
        <v>4</v>
      </c>
      <c r="BB363" s="97">
        <f>IF(OR(AY363="SÁB",AY363="DOM"),0,IFERROR(8-VLOOKUP(E363,'Dados de consulta'!$A$2:$C$38,3,0),8))</f>
        <v>4</v>
      </c>
      <c r="BC363" s="97">
        <f>IF(OR(AY363="SÁB",AY363="DOM"),0,IFERROR(8-VLOOKUP(F363,'Dados de consulta'!$A$2:$C$38,3,0),8))</f>
        <v>8</v>
      </c>
      <c r="BD363" s="97">
        <f>IF(OR(AY363="SÁB",AY363="DOM"),0,IFERROR(8-VLOOKUP(G363,'Dados de consulta'!$A$2:$C$38,3,0),8))</f>
        <v>4</v>
      </c>
      <c r="BE363" s="97">
        <f>IF(OR(AY363="SÁB",AY363="DOM"),0,IFERROR(8-VLOOKUP(H363,'Dados de consulta'!$A$2:$C$38,3,0),8))</f>
        <v>4</v>
      </c>
      <c r="BF363" s="97">
        <f>IF(OR(AY363="SÁB",AY363="DOM"),0,IFERROR(8-VLOOKUP(I363,'Dados de consulta'!$A$2:$C$38,3,0),8))</f>
        <v>8</v>
      </c>
      <c r="BG363" s="97">
        <f>IF(OR(AY363="SÁB",AY363="DOM"),0,IFERROR(8-VLOOKUP(J363,'Dados de consulta'!$A$2:$C$38,3,0),8))</f>
        <v>8</v>
      </c>
      <c r="BH363" s="97">
        <f>IF(OR(AY363="SÁB",AY363="DOM"),0,IFERROR(8-VLOOKUP(K363,'Dados de consulta'!$A$2:$C$38,3,0),8))</f>
        <v>8</v>
      </c>
      <c r="BI363" s="97">
        <f>IF(OR(AY363="SÁB",AY363="DOM"),0,IFERROR(8-VLOOKUP(L363,'Dados de consulta'!$A$2:$C$38,3,0),8))</f>
        <v>8</v>
      </c>
      <c r="BJ363" s="97">
        <f>IF(OR(AY363="SÁB",AY363="DOM"),0,IFERROR(8-VLOOKUP(M363,'Dados de consulta'!$A$2:$C$38,3,0),8))</f>
        <v>0</v>
      </c>
      <c r="BK363" s="97">
        <f>IF(OR(AY363="SÁB",AY363="DOM"),0,IFERROR(8-VLOOKUP(N363,'Dados de consulta'!$A$2:$C$38,3,0),8))</f>
        <v>8</v>
      </c>
      <c r="BL363" s="97">
        <f>IF(OR(AY363="SÁB",AY363="DOM"),0,IFERROR(8-VLOOKUP(O363,'Dados de consulta'!$A$2:$C$38,3,0),8))</f>
        <v>8</v>
      </c>
      <c r="BM363" s="97">
        <f>IF(OR(AY363="SÁB",AY363="DOM"),0,IFERROR(8-VLOOKUP(P363,'Dados de consulta'!$A$2:$C$38,3,0),8))</f>
        <v>8</v>
      </c>
      <c r="BN363" s="97">
        <f>IF(OR(AY363="SÁB",AY363="DOM"),0,IFERROR(8-VLOOKUP(Q363,'Dados de consulta'!$A$2:$C$38,3,0),8))</f>
        <v>8</v>
      </c>
      <c r="BO363" s="97">
        <f>IF(OR(AY363="SÁB",AY363="DOM"),0,IFERROR(8-VLOOKUP(R363,'Dados de consulta'!$A$2:$C$38,3,0),8))</f>
        <v>8</v>
      </c>
      <c r="BP363" s="97">
        <f>IF(OR(AY363="SÁB",AY363="DOM"),0,IFERROR(8-VLOOKUP(S363,'Dados de consulta'!$A$2:$C$38,3,0),8))</f>
        <v>4</v>
      </c>
      <c r="BQ363" s="113">
        <f>IFERROR(6-VLOOKUP(T363,'Dados de consulta'!$A$2:$C$38,3,0)+2,6)</f>
        <v>6</v>
      </c>
      <c r="BR363" s="114">
        <f t="shared" si="154"/>
        <v>110</v>
      </c>
      <c r="BS363">
        <f t="shared" si="130"/>
        <v>134</v>
      </c>
      <c r="BU363">
        <f>IFERROR(8-VLOOKUP(U363,'Dados de consulta'!$A:$D,3,0),8)</f>
        <v>8</v>
      </c>
      <c r="BV363">
        <f>IFERROR(8-VLOOKUP(V363,'Dados de consulta'!$A:$D,3,0),8)</f>
        <v>8</v>
      </c>
      <c r="BW363">
        <f t="shared" si="155"/>
        <v>16</v>
      </c>
    </row>
    <row r="364" spans="1:75" ht="15" hidden="1" x14ac:dyDescent="0.2">
      <c r="A364" s="98">
        <v>42487</v>
      </c>
      <c r="B364" s="129" t="str">
        <f t="shared" si="132"/>
        <v>qua</v>
      </c>
      <c r="C364" s="132"/>
      <c r="D364" s="132"/>
      <c r="E364" s="132"/>
      <c r="F364" s="132"/>
      <c r="G364" s="132"/>
      <c r="H364" s="132"/>
      <c r="I364" s="132"/>
      <c r="J364" s="132">
        <v>18</v>
      </c>
      <c r="K364" s="132"/>
      <c r="L364" s="132"/>
      <c r="M364" s="132">
        <v>101</v>
      </c>
      <c r="N364" s="132"/>
      <c r="O364" s="132"/>
      <c r="P364" s="132"/>
      <c r="Q364" s="132"/>
      <c r="R364" s="132"/>
      <c r="S364" s="132"/>
      <c r="T364" s="132"/>
      <c r="U364" s="151"/>
      <c r="V364" s="151"/>
      <c r="W364" s="307" t="s">
        <v>193</v>
      </c>
      <c r="X364" s="308"/>
      <c r="Y364" s="38">
        <f t="shared" si="133"/>
        <v>0</v>
      </c>
      <c r="Z364" s="38">
        <f t="shared" si="134"/>
        <v>8</v>
      </c>
      <c r="AA364" s="38">
        <f t="shared" si="131"/>
        <v>0</v>
      </c>
      <c r="AB364" s="38">
        <f t="shared" si="142"/>
        <v>0</v>
      </c>
      <c r="AC364" s="38">
        <f t="shared" si="143"/>
        <v>0</v>
      </c>
      <c r="AD364" s="38">
        <f t="shared" si="144"/>
        <v>0</v>
      </c>
      <c r="AE364" s="38">
        <f t="shared" si="145"/>
        <v>0</v>
      </c>
      <c r="AF364" s="38">
        <f t="shared" si="146"/>
        <v>0</v>
      </c>
      <c r="AG364" s="33">
        <f t="shared" si="147"/>
        <v>0</v>
      </c>
      <c r="AH364" s="33">
        <f t="shared" si="148"/>
        <v>8</v>
      </c>
      <c r="AI364" s="33">
        <f t="shared" si="149"/>
        <v>0</v>
      </c>
      <c r="AJ364" s="33">
        <f t="shared" si="150"/>
        <v>0</v>
      </c>
      <c r="AK364" s="34">
        <f t="shared" si="151"/>
        <v>0</v>
      </c>
      <c r="AL364" s="35">
        <f t="shared" si="152"/>
        <v>5.6338028169014086E-2</v>
      </c>
      <c r="AM364" s="34">
        <f t="shared" si="135"/>
        <v>0</v>
      </c>
      <c r="AN364" s="36">
        <f t="shared" si="153"/>
        <v>0</v>
      </c>
      <c r="AO364" s="6">
        <f t="shared" si="136"/>
        <v>0</v>
      </c>
      <c r="AP364">
        <f t="shared" si="137"/>
        <v>8</v>
      </c>
      <c r="AQ364" s="6">
        <f t="shared" si="138"/>
        <v>0</v>
      </c>
      <c r="AR364" s="6">
        <f t="shared" si="139"/>
        <v>0</v>
      </c>
      <c r="AS364" s="6"/>
      <c r="AX364" s="95">
        <f t="shared" si="140"/>
        <v>42487</v>
      </c>
      <c r="AY364" s="96" t="str">
        <f t="shared" si="141"/>
        <v>qua</v>
      </c>
      <c r="AZ364" s="97">
        <f>IF(OR(AY364="SÁB",AY364="DOM"),0,IFERROR(8-VLOOKUP(C364,'Dados de consulta'!$A$2:$C$38,3,0),8))</f>
        <v>8</v>
      </c>
      <c r="BA364" s="97">
        <f>IF(OR(AY364="SÁB",AY364="DOM"),0,IFERROR(8-VLOOKUP(D364,'Dados de consulta'!$A$2:$C$38,3,0),8))</f>
        <v>8</v>
      </c>
      <c r="BB364" s="97">
        <f>IF(OR(AY364="SÁB",AY364="DOM"),0,IFERROR(8-VLOOKUP(E364,'Dados de consulta'!$A$2:$C$38,3,0),8))</f>
        <v>8</v>
      </c>
      <c r="BC364" s="97">
        <f>IF(OR(AY364="SÁB",AY364="DOM"),0,IFERROR(8-VLOOKUP(F364,'Dados de consulta'!$A$2:$C$38,3,0),8))</f>
        <v>8</v>
      </c>
      <c r="BD364" s="97">
        <f>IF(OR(AY364="SÁB",AY364="DOM"),0,IFERROR(8-VLOOKUP(G364,'Dados de consulta'!$A$2:$C$38,3,0),8))</f>
        <v>8</v>
      </c>
      <c r="BE364" s="97">
        <f>IF(OR(AY364="SÁB",AY364="DOM"),0,IFERROR(8-VLOOKUP(H364,'Dados de consulta'!$A$2:$C$38,3,0),8))</f>
        <v>8</v>
      </c>
      <c r="BF364" s="97">
        <f>IF(OR(AY364="SÁB",AY364="DOM"),0,IFERROR(8-VLOOKUP(I364,'Dados de consulta'!$A$2:$C$38,3,0),8))</f>
        <v>8</v>
      </c>
      <c r="BG364" s="97">
        <f>IF(OR(AY364="SÁB",AY364="DOM"),0,IFERROR(8-VLOOKUP(J364,'Dados de consulta'!$A$2:$C$38,3,0),8))</f>
        <v>0</v>
      </c>
      <c r="BH364" s="97">
        <f>IF(OR(AY364="SÁB",AY364="DOM"),0,IFERROR(8-VLOOKUP(K364,'Dados de consulta'!$A$2:$C$38,3,0),8))</f>
        <v>8</v>
      </c>
      <c r="BI364" s="97">
        <f>IF(OR(AY364="SÁB",AY364="DOM"),0,IFERROR(8-VLOOKUP(L364,'Dados de consulta'!$A$2:$C$38,3,0),8))</f>
        <v>8</v>
      </c>
      <c r="BJ364" s="97">
        <f>IF(OR(AY364="SÁB",AY364="DOM"),0,IFERROR(8-VLOOKUP(M364,'Dados de consulta'!$A$2:$C$38,3,0),8))</f>
        <v>0</v>
      </c>
      <c r="BK364" s="97">
        <f>IF(OR(AY364="SÁB",AY364="DOM"),0,IFERROR(8-VLOOKUP(N364,'Dados de consulta'!$A$2:$C$38,3,0),8))</f>
        <v>8</v>
      </c>
      <c r="BL364" s="97">
        <f>IF(OR(AY364="SÁB",AY364="DOM"),0,IFERROR(8-VLOOKUP(O364,'Dados de consulta'!$A$2:$C$38,3,0),8))</f>
        <v>8</v>
      </c>
      <c r="BM364" s="97">
        <f>IF(OR(AY364="SÁB",AY364="DOM"),0,IFERROR(8-VLOOKUP(P364,'Dados de consulta'!$A$2:$C$38,3,0),8))</f>
        <v>8</v>
      </c>
      <c r="BN364" s="97">
        <f>IF(OR(AY364="SÁB",AY364="DOM"),0,IFERROR(8-VLOOKUP(Q364,'Dados de consulta'!$A$2:$C$38,3,0),8))</f>
        <v>8</v>
      </c>
      <c r="BO364" s="97">
        <f>IF(OR(AY364="SÁB",AY364="DOM"),0,IFERROR(8-VLOOKUP(R364,'Dados de consulta'!$A$2:$C$38,3,0),8))</f>
        <v>8</v>
      </c>
      <c r="BP364" s="97">
        <f>IF(OR(AY364="SÁB",AY364="DOM"),0,IFERROR(8-VLOOKUP(S364,'Dados de consulta'!$A$2:$C$38,3,0),8))</f>
        <v>8</v>
      </c>
      <c r="BQ364" s="113">
        <f>IFERROR(6-VLOOKUP(T364,'Dados de consulta'!$A$2:$C$38,3,0)+2,6)</f>
        <v>6</v>
      </c>
      <c r="BR364" s="114">
        <f t="shared" si="154"/>
        <v>126</v>
      </c>
      <c r="BS364">
        <f t="shared" si="130"/>
        <v>134</v>
      </c>
      <c r="BU364">
        <f>IFERROR(8-VLOOKUP(U364,'Dados de consulta'!$A:$D,3,0),8)</f>
        <v>8</v>
      </c>
      <c r="BV364">
        <f>IFERROR(8-VLOOKUP(V364,'Dados de consulta'!$A:$D,3,0),8)</f>
        <v>8</v>
      </c>
      <c r="BW364">
        <f t="shared" si="155"/>
        <v>16</v>
      </c>
    </row>
    <row r="365" spans="1:75" ht="15" hidden="1" x14ac:dyDescent="0.2">
      <c r="A365" s="98">
        <v>42488</v>
      </c>
      <c r="B365" s="129" t="str">
        <f t="shared" si="132"/>
        <v>qui</v>
      </c>
      <c r="C365" s="132"/>
      <c r="D365" s="132"/>
      <c r="E365" s="132">
        <v>8</v>
      </c>
      <c r="F365" s="132"/>
      <c r="G365" s="132"/>
      <c r="H365" s="132"/>
      <c r="I365" s="132"/>
      <c r="J365" s="132">
        <v>18</v>
      </c>
      <c r="K365" s="132"/>
      <c r="L365" s="132"/>
      <c r="M365" s="132">
        <v>101</v>
      </c>
      <c r="N365" s="132"/>
      <c r="O365" s="132"/>
      <c r="P365" s="132"/>
      <c r="Q365" s="132"/>
      <c r="R365" s="132"/>
      <c r="S365" s="132"/>
      <c r="T365" s="132"/>
      <c r="U365" s="151"/>
      <c r="V365" s="151"/>
      <c r="W365" s="307" t="s">
        <v>193</v>
      </c>
      <c r="X365" s="308"/>
      <c r="Y365" s="38">
        <f t="shared" si="133"/>
        <v>8</v>
      </c>
      <c r="Z365" s="38">
        <f t="shared" si="134"/>
        <v>8</v>
      </c>
      <c r="AA365" s="38">
        <f t="shared" si="131"/>
        <v>0</v>
      </c>
      <c r="AB365" s="38">
        <f t="shared" si="142"/>
        <v>0</v>
      </c>
      <c r="AC365" s="38">
        <f t="shared" si="143"/>
        <v>0</v>
      </c>
      <c r="AD365" s="38">
        <f t="shared" si="144"/>
        <v>0</v>
      </c>
      <c r="AE365" s="38">
        <f t="shared" si="145"/>
        <v>0</v>
      </c>
      <c r="AF365" s="38">
        <f t="shared" si="146"/>
        <v>0</v>
      </c>
      <c r="AG365" s="33">
        <f t="shared" si="147"/>
        <v>8</v>
      </c>
      <c r="AH365" s="33">
        <f t="shared" si="148"/>
        <v>8</v>
      </c>
      <c r="AI365" s="33">
        <f t="shared" si="149"/>
        <v>0</v>
      </c>
      <c r="AJ365" s="33">
        <f t="shared" si="150"/>
        <v>0</v>
      </c>
      <c r="AK365" s="34">
        <f t="shared" si="151"/>
        <v>5.6338028169014086E-2</v>
      </c>
      <c r="AL365" s="35">
        <f t="shared" si="152"/>
        <v>5.6338028169014086E-2</v>
      </c>
      <c r="AM365" s="34">
        <f t="shared" si="135"/>
        <v>0</v>
      </c>
      <c r="AN365" s="36">
        <f t="shared" si="153"/>
        <v>0</v>
      </c>
      <c r="AO365" s="6">
        <f t="shared" si="136"/>
        <v>0</v>
      </c>
      <c r="AP365">
        <f t="shared" si="137"/>
        <v>8</v>
      </c>
      <c r="AQ365" s="6">
        <f t="shared" si="138"/>
        <v>0</v>
      </c>
      <c r="AR365" s="6">
        <f t="shared" si="139"/>
        <v>0</v>
      </c>
      <c r="AS365" s="6"/>
      <c r="AX365" s="95">
        <f t="shared" si="140"/>
        <v>42488</v>
      </c>
      <c r="AY365" s="96" t="str">
        <f t="shared" si="141"/>
        <v>qui</v>
      </c>
      <c r="AZ365" s="97">
        <f>IF(OR(AY365="SÁB",AY365="DOM"),0,IFERROR(8-VLOOKUP(C365,'Dados de consulta'!$A$2:$C$38,3,0),8))</f>
        <v>8</v>
      </c>
      <c r="BA365" s="97">
        <f>IF(OR(AY365="SÁB",AY365="DOM"),0,IFERROR(8-VLOOKUP(D365,'Dados de consulta'!$A$2:$C$38,3,0),8))</f>
        <v>8</v>
      </c>
      <c r="BB365" s="97">
        <f>IF(OR(AY365="SÁB",AY365="DOM"),0,IFERROR(8-VLOOKUP(E365,'Dados de consulta'!$A$2:$C$38,3,0),8))</f>
        <v>0</v>
      </c>
      <c r="BC365" s="97">
        <f>IF(OR(AY365="SÁB",AY365="DOM"),0,IFERROR(8-VLOOKUP(F365,'Dados de consulta'!$A$2:$C$38,3,0),8))</f>
        <v>8</v>
      </c>
      <c r="BD365" s="97">
        <f>IF(OR(AY365="SÁB",AY365="DOM"),0,IFERROR(8-VLOOKUP(G365,'Dados de consulta'!$A$2:$C$38,3,0),8))</f>
        <v>8</v>
      </c>
      <c r="BE365" s="97">
        <f>IF(OR(AY365="SÁB",AY365="DOM"),0,IFERROR(8-VLOOKUP(H365,'Dados de consulta'!$A$2:$C$38,3,0),8))</f>
        <v>8</v>
      </c>
      <c r="BF365" s="97">
        <f>IF(OR(AY365="SÁB",AY365="DOM"),0,IFERROR(8-VLOOKUP(I365,'Dados de consulta'!$A$2:$C$38,3,0),8))</f>
        <v>8</v>
      </c>
      <c r="BG365" s="97">
        <f>IF(OR(AY365="SÁB",AY365="DOM"),0,IFERROR(8-VLOOKUP(J365,'Dados de consulta'!$A$2:$C$38,3,0),8))</f>
        <v>0</v>
      </c>
      <c r="BH365" s="97">
        <f>IF(OR(AY365="SÁB",AY365="DOM"),0,IFERROR(8-VLOOKUP(K365,'Dados de consulta'!$A$2:$C$38,3,0),8))</f>
        <v>8</v>
      </c>
      <c r="BI365" s="97">
        <f>IF(OR(AY365="SÁB",AY365="DOM"),0,IFERROR(8-VLOOKUP(L365,'Dados de consulta'!$A$2:$C$38,3,0),8))</f>
        <v>8</v>
      </c>
      <c r="BJ365" s="97">
        <f>IF(OR(AY365="SÁB",AY365="DOM"),0,IFERROR(8-VLOOKUP(M365,'Dados de consulta'!$A$2:$C$38,3,0),8))</f>
        <v>0</v>
      </c>
      <c r="BK365" s="97">
        <f>IF(OR(AY365="SÁB",AY365="DOM"),0,IFERROR(8-VLOOKUP(N365,'Dados de consulta'!$A$2:$C$38,3,0),8))</f>
        <v>8</v>
      </c>
      <c r="BL365" s="97">
        <f>IF(OR(AY365="SÁB",AY365="DOM"),0,IFERROR(8-VLOOKUP(O365,'Dados de consulta'!$A$2:$C$38,3,0),8))</f>
        <v>8</v>
      </c>
      <c r="BM365" s="97">
        <f>IF(OR(AY365="SÁB",AY365="DOM"),0,IFERROR(8-VLOOKUP(P365,'Dados de consulta'!$A$2:$C$38,3,0),8))</f>
        <v>8</v>
      </c>
      <c r="BN365" s="97">
        <f>IF(OR(AY365="SÁB",AY365="DOM"),0,IFERROR(8-VLOOKUP(Q365,'Dados de consulta'!$A$2:$C$38,3,0),8))</f>
        <v>8</v>
      </c>
      <c r="BO365" s="97">
        <f>IF(OR(AY365="SÁB",AY365="DOM"),0,IFERROR(8-VLOOKUP(R365,'Dados de consulta'!$A$2:$C$38,3,0),8))</f>
        <v>8</v>
      </c>
      <c r="BP365" s="97">
        <f>IF(OR(AY365="SÁB",AY365="DOM"),0,IFERROR(8-VLOOKUP(S365,'Dados de consulta'!$A$2:$C$38,3,0),8))</f>
        <v>8</v>
      </c>
      <c r="BQ365" s="113">
        <f>IFERROR(6-VLOOKUP(T365,'Dados de consulta'!$A$2:$C$38,3,0)+2,6)</f>
        <v>6</v>
      </c>
      <c r="BR365" s="114">
        <f t="shared" si="154"/>
        <v>118</v>
      </c>
      <c r="BS365">
        <f t="shared" si="130"/>
        <v>134</v>
      </c>
      <c r="BU365">
        <f>IFERROR(8-VLOOKUP(U365,'Dados de consulta'!$A:$D,3,0),8)</f>
        <v>8</v>
      </c>
      <c r="BV365">
        <f>IFERROR(8-VLOOKUP(V365,'Dados de consulta'!$A:$D,3,0),8)</f>
        <v>8</v>
      </c>
      <c r="BW365">
        <f t="shared" si="155"/>
        <v>16</v>
      </c>
    </row>
    <row r="366" spans="1:75" ht="15" hidden="1" x14ac:dyDescent="0.2">
      <c r="A366" s="98">
        <v>42489</v>
      </c>
      <c r="B366" s="129" t="str">
        <f t="shared" si="132"/>
        <v>sex</v>
      </c>
      <c r="C366" s="132"/>
      <c r="D366" s="132"/>
      <c r="E366" s="132">
        <v>8</v>
      </c>
      <c r="F366" s="132"/>
      <c r="G366" s="132"/>
      <c r="H366" s="132"/>
      <c r="I366" s="132"/>
      <c r="J366" s="132">
        <v>18</v>
      </c>
      <c r="K366" s="132"/>
      <c r="L366" s="132"/>
      <c r="M366" s="132">
        <v>101</v>
      </c>
      <c r="N366" s="132"/>
      <c r="O366" s="132">
        <v>1</v>
      </c>
      <c r="P366" s="132"/>
      <c r="Q366" s="132"/>
      <c r="R366" s="132"/>
      <c r="S366" s="132"/>
      <c r="T366" s="132"/>
      <c r="U366" s="151"/>
      <c r="V366" s="151"/>
      <c r="W366" s="307" t="s">
        <v>193</v>
      </c>
      <c r="X366" s="308"/>
      <c r="Y366" s="38">
        <f t="shared" si="133"/>
        <v>8</v>
      </c>
      <c r="Z366" s="38">
        <f t="shared" si="134"/>
        <v>16</v>
      </c>
      <c r="AA366" s="38">
        <f t="shared" si="131"/>
        <v>0</v>
      </c>
      <c r="AB366" s="38">
        <f t="shared" si="142"/>
        <v>0</v>
      </c>
      <c r="AC366" s="38">
        <f t="shared" si="143"/>
        <v>0</v>
      </c>
      <c r="AD366" s="38">
        <f t="shared" si="144"/>
        <v>0</v>
      </c>
      <c r="AE366" s="38">
        <f t="shared" si="145"/>
        <v>0</v>
      </c>
      <c r="AF366" s="38">
        <f t="shared" si="146"/>
        <v>0</v>
      </c>
      <c r="AG366" s="33">
        <f t="shared" si="147"/>
        <v>8</v>
      </c>
      <c r="AH366" s="33">
        <f t="shared" si="148"/>
        <v>16</v>
      </c>
      <c r="AI366" s="33">
        <f t="shared" si="149"/>
        <v>0</v>
      </c>
      <c r="AJ366" s="33">
        <f t="shared" si="150"/>
        <v>0</v>
      </c>
      <c r="AK366" s="34">
        <f t="shared" si="151"/>
        <v>5.6338028169014086E-2</v>
      </c>
      <c r="AL366" s="35">
        <f t="shared" si="152"/>
        <v>0.11267605633802817</v>
      </c>
      <c r="AM366" s="34">
        <f t="shared" si="135"/>
        <v>0</v>
      </c>
      <c r="AN366" s="36">
        <f t="shared" si="153"/>
        <v>0</v>
      </c>
      <c r="AO366" s="6">
        <f t="shared" si="136"/>
        <v>0</v>
      </c>
      <c r="AP366">
        <f t="shared" si="137"/>
        <v>8</v>
      </c>
      <c r="AQ366" s="6">
        <f t="shared" si="138"/>
        <v>0</v>
      </c>
      <c r="AR366" s="6">
        <f t="shared" si="139"/>
        <v>0</v>
      </c>
      <c r="AS366" s="6"/>
      <c r="AX366" s="95">
        <f t="shared" si="140"/>
        <v>42489</v>
      </c>
      <c r="AY366" s="96" t="str">
        <f t="shared" si="141"/>
        <v>sex</v>
      </c>
      <c r="AZ366" s="97">
        <f>IF(OR(AY366="SÁB",AY366="DOM"),0,IFERROR(8-VLOOKUP(C366,'Dados de consulta'!$A$2:$C$38,3,0),8))</f>
        <v>8</v>
      </c>
      <c r="BA366" s="97">
        <f>IF(OR(AY366="SÁB",AY366="DOM"),0,IFERROR(8-VLOOKUP(D366,'Dados de consulta'!$A$2:$C$38,3,0),8))</f>
        <v>8</v>
      </c>
      <c r="BB366" s="97">
        <f>IF(OR(AY366="SÁB",AY366="DOM"),0,IFERROR(8-VLOOKUP(E366,'Dados de consulta'!$A$2:$C$38,3,0),8))</f>
        <v>0</v>
      </c>
      <c r="BC366" s="97">
        <f>IF(OR(AY366="SÁB",AY366="DOM"),0,IFERROR(8-VLOOKUP(F366,'Dados de consulta'!$A$2:$C$38,3,0),8))</f>
        <v>8</v>
      </c>
      <c r="BD366" s="97">
        <f>IF(OR(AY366="SÁB",AY366="DOM"),0,IFERROR(8-VLOOKUP(G366,'Dados de consulta'!$A$2:$C$38,3,0),8))</f>
        <v>8</v>
      </c>
      <c r="BE366" s="97">
        <f>IF(OR(AY366="SÁB",AY366="DOM"),0,IFERROR(8-VLOOKUP(H366,'Dados de consulta'!$A$2:$C$38,3,0),8))</f>
        <v>8</v>
      </c>
      <c r="BF366" s="97">
        <f>IF(OR(AY366="SÁB",AY366="DOM"),0,IFERROR(8-VLOOKUP(I366,'Dados de consulta'!$A$2:$C$38,3,0),8))</f>
        <v>8</v>
      </c>
      <c r="BG366" s="97">
        <f>IF(OR(AY366="SÁB",AY366="DOM"),0,IFERROR(8-VLOOKUP(J366,'Dados de consulta'!$A$2:$C$38,3,0),8))</f>
        <v>0</v>
      </c>
      <c r="BH366" s="97">
        <f>IF(OR(AY366="SÁB",AY366="DOM"),0,IFERROR(8-VLOOKUP(K366,'Dados de consulta'!$A$2:$C$38,3,0),8))</f>
        <v>8</v>
      </c>
      <c r="BI366" s="97">
        <f>IF(OR(AY366="SÁB",AY366="DOM"),0,IFERROR(8-VLOOKUP(L366,'Dados de consulta'!$A$2:$C$38,3,0),8))</f>
        <v>8</v>
      </c>
      <c r="BJ366" s="97">
        <f>IF(OR(AY366="SÁB",AY366="DOM"),0,IFERROR(8-VLOOKUP(M366,'Dados de consulta'!$A$2:$C$38,3,0),8))</f>
        <v>0</v>
      </c>
      <c r="BK366" s="97">
        <f>IF(OR(AY366="SÁB",AY366="DOM"),0,IFERROR(8-VLOOKUP(N366,'Dados de consulta'!$A$2:$C$38,3,0),8))</f>
        <v>8</v>
      </c>
      <c r="BL366" s="97">
        <f>IF(OR(AY366="SÁB",AY366="DOM"),0,IFERROR(8-VLOOKUP(O366,'Dados de consulta'!$A$2:$C$38,3,0),8))</f>
        <v>0</v>
      </c>
      <c r="BM366" s="97">
        <f>IF(OR(AY366="SÁB",AY366="DOM"),0,IFERROR(8-VLOOKUP(P366,'Dados de consulta'!$A$2:$C$38,3,0),8))</f>
        <v>8</v>
      </c>
      <c r="BN366" s="97">
        <f>IF(OR(AY366="SÁB",AY366="DOM"),0,IFERROR(8-VLOOKUP(Q366,'Dados de consulta'!$A$2:$C$38,3,0),8))</f>
        <v>8</v>
      </c>
      <c r="BO366" s="97">
        <f>IF(OR(AY366="SÁB",AY366="DOM"),0,IFERROR(8-VLOOKUP(R366,'Dados de consulta'!$A$2:$C$38,3,0),8))</f>
        <v>8</v>
      </c>
      <c r="BP366" s="97">
        <f>IF(OR(AY366="SÁB",AY366="DOM"),0,IFERROR(8-VLOOKUP(S366,'Dados de consulta'!$A$2:$C$38,3,0),8))</f>
        <v>8</v>
      </c>
      <c r="BQ366" s="113">
        <f>IFERROR(6-VLOOKUP(T366,'Dados de consulta'!$A$2:$C$38,3,0)+2,6)</f>
        <v>6</v>
      </c>
      <c r="BR366" s="114">
        <f t="shared" si="154"/>
        <v>110</v>
      </c>
      <c r="BS366">
        <f t="shared" si="130"/>
        <v>134</v>
      </c>
      <c r="BU366">
        <f>IFERROR(8-VLOOKUP(U366,'Dados de consulta'!$A:$D,3,0),8)</f>
        <v>8</v>
      </c>
      <c r="BV366">
        <f>IFERROR(8-VLOOKUP(V366,'Dados de consulta'!$A:$D,3,0),8)</f>
        <v>8</v>
      </c>
      <c r="BW366">
        <f t="shared" si="155"/>
        <v>16</v>
      </c>
    </row>
    <row r="367" spans="1:75" ht="15" hidden="1" x14ac:dyDescent="0.2">
      <c r="A367" s="98">
        <v>42490</v>
      </c>
      <c r="B367" s="129" t="str">
        <f t="shared" si="132"/>
        <v>sáb</v>
      </c>
      <c r="C367" s="132"/>
      <c r="D367" s="132"/>
      <c r="E367" s="132"/>
      <c r="F367" s="132"/>
      <c r="G367" s="132"/>
      <c r="H367" s="132"/>
      <c r="I367" s="132"/>
      <c r="J367" s="132">
        <v>18</v>
      </c>
      <c r="K367" s="132"/>
      <c r="L367" s="132"/>
      <c r="M367" s="132">
        <v>101</v>
      </c>
      <c r="N367" s="132"/>
      <c r="O367" s="132"/>
      <c r="P367" s="132"/>
      <c r="Q367" s="132"/>
      <c r="R367" s="132"/>
      <c r="S367" s="132"/>
      <c r="T367" s="132"/>
      <c r="U367" s="151"/>
      <c r="V367" s="151"/>
      <c r="W367" s="307" t="s">
        <v>193</v>
      </c>
      <c r="X367" s="308"/>
      <c r="Y367" s="38">
        <f t="shared" si="133"/>
        <v>0</v>
      </c>
      <c r="Z367" s="38">
        <f t="shared" si="134"/>
        <v>8</v>
      </c>
      <c r="AA367" s="38">
        <f t="shared" si="131"/>
        <v>0</v>
      </c>
      <c r="AB367" s="38">
        <f t="shared" si="142"/>
        <v>0</v>
      </c>
      <c r="AC367" s="38">
        <f t="shared" si="143"/>
        <v>0</v>
      </c>
      <c r="AD367" s="38">
        <f t="shared" si="144"/>
        <v>0</v>
      </c>
      <c r="AE367" s="38">
        <f t="shared" si="145"/>
        <v>0</v>
      </c>
      <c r="AF367" s="38">
        <f t="shared" si="146"/>
        <v>0</v>
      </c>
      <c r="AG367" s="33">
        <f t="shared" si="147"/>
        <v>0</v>
      </c>
      <c r="AH367" s="33">
        <f t="shared" si="148"/>
        <v>0</v>
      </c>
      <c r="AI367" s="33">
        <f t="shared" si="149"/>
        <v>0</v>
      </c>
      <c r="AJ367" s="33">
        <f t="shared" si="150"/>
        <v>0</v>
      </c>
      <c r="AK367" s="34">
        <f t="shared" si="151"/>
        <v>0</v>
      </c>
      <c r="AL367" s="35">
        <f t="shared" si="152"/>
        <v>0</v>
      </c>
      <c r="AM367" s="34">
        <f t="shared" si="135"/>
        <v>0</v>
      </c>
      <c r="AN367" s="36">
        <f t="shared" si="153"/>
        <v>0</v>
      </c>
      <c r="AO367" s="6">
        <f t="shared" si="136"/>
        <v>0</v>
      </c>
      <c r="AP367">
        <f t="shared" si="137"/>
        <v>8</v>
      </c>
      <c r="AQ367" s="6">
        <f t="shared" si="138"/>
        <v>0</v>
      </c>
      <c r="AR367" s="6">
        <f t="shared" si="139"/>
        <v>0</v>
      </c>
      <c r="AS367" s="6"/>
      <c r="AX367" s="95">
        <f t="shared" si="140"/>
        <v>42490</v>
      </c>
      <c r="AY367" s="96" t="str">
        <f t="shared" si="141"/>
        <v>sáb</v>
      </c>
      <c r="AZ367" s="97">
        <f>IF(OR(AY367="SÁB",AY367="DOM"),0,IFERROR(8-VLOOKUP(C367,'Dados de consulta'!$A$2:$C$38,3,0),8))</f>
        <v>0</v>
      </c>
      <c r="BA367" s="97">
        <f>IF(OR(AY367="SÁB",AY367="DOM"),0,IFERROR(8-VLOOKUP(D367,'Dados de consulta'!$A$2:$C$38,3,0),8))</f>
        <v>0</v>
      </c>
      <c r="BB367" s="97">
        <f>IF(OR(AY367="SÁB",AY367="DOM"),0,IFERROR(8-VLOOKUP(E367,'Dados de consulta'!$A$2:$C$38,3,0),8))</f>
        <v>0</v>
      </c>
      <c r="BC367" s="97">
        <f>IF(OR(AY367="SÁB",AY367="DOM"),0,IFERROR(8-VLOOKUP(F367,'Dados de consulta'!$A$2:$C$38,3,0),8))</f>
        <v>0</v>
      </c>
      <c r="BD367" s="97">
        <f>IF(OR(AY367="SÁB",AY367="DOM"),0,IFERROR(8-VLOOKUP(G367,'Dados de consulta'!$A$2:$C$38,3,0),8))</f>
        <v>0</v>
      </c>
      <c r="BE367" s="97">
        <f>IF(OR(AY367="SÁB",AY367="DOM"),0,IFERROR(8-VLOOKUP(H367,'Dados de consulta'!$A$2:$C$38,3,0),8))</f>
        <v>0</v>
      </c>
      <c r="BF367" s="97">
        <f>IF(OR(AY367="SÁB",AY367="DOM"),0,IFERROR(8-VLOOKUP(I367,'Dados de consulta'!$A$2:$C$38,3,0),8))</f>
        <v>0</v>
      </c>
      <c r="BG367" s="97">
        <f>IF(OR(AY367="SÁB",AY367="DOM"),0,IFERROR(8-VLOOKUP(J367,'Dados de consulta'!$A$2:$C$38,3,0),8))</f>
        <v>0</v>
      </c>
      <c r="BH367" s="97">
        <f>IF(OR(AY367="SÁB",AY367="DOM"),0,IFERROR(8-VLOOKUP(K367,'Dados de consulta'!$A$2:$C$38,3,0),8))</f>
        <v>0</v>
      </c>
      <c r="BI367" s="97">
        <f>IF(OR(AY367="SÁB",AY367="DOM"),0,IFERROR(8-VLOOKUP(L367,'Dados de consulta'!$A$2:$C$38,3,0),8))</f>
        <v>0</v>
      </c>
      <c r="BJ367" s="97">
        <f>IF(OR(AY367="SÁB",AY367="DOM"),0,IFERROR(8-VLOOKUP(M367,'Dados de consulta'!$A$2:$C$38,3,0),8))</f>
        <v>0</v>
      </c>
      <c r="BK367" s="97">
        <f>IF(OR(AY367="SÁB",AY367="DOM"),0,IFERROR(8-VLOOKUP(N367,'Dados de consulta'!$A$2:$C$38,3,0),8))</f>
        <v>0</v>
      </c>
      <c r="BL367" s="97">
        <f>IF(OR(AY367="SÁB",AY367="DOM"),0,IFERROR(8-VLOOKUP(O367,'Dados de consulta'!$A$2:$C$38,3,0),8))</f>
        <v>0</v>
      </c>
      <c r="BM367" s="97">
        <f>IF(OR(AY367="SÁB",AY367="DOM"),0,IFERROR(8-VLOOKUP(P367,'Dados de consulta'!$A$2:$C$38,3,0),8))</f>
        <v>0</v>
      </c>
      <c r="BN367" s="97">
        <f>IF(OR(AY367="SÁB",AY367="DOM"),0,IFERROR(8-VLOOKUP(Q367,'Dados de consulta'!$A$2:$C$38,3,0),8))</f>
        <v>0</v>
      </c>
      <c r="BO367" s="97">
        <f>IF(OR(AY367="SÁB",AY367="DOM"),0,IFERROR(8-VLOOKUP(R367,'Dados de consulta'!$A$2:$C$38,3,0),8))</f>
        <v>0</v>
      </c>
      <c r="BP367" s="97">
        <f>IF(OR(AY367="SÁB",AY367="DOM"),0,IFERROR(8-VLOOKUP(S367,'Dados de consulta'!$A$2:$C$38,3,0),8))</f>
        <v>0</v>
      </c>
      <c r="BQ367" s="113">
        <f>IFERROR(6-VLOOKUP(T367,'Dados de consulta'!$A$2:$C$38,3,0)+2,6)</f>
        <v>6</v>
      </c>
      <c r="BR367" s="114">
        <f t="shared" si="154"/>
        <v>0</v>
      </c>
      <c r="BS367">
        <f t="shared" si="130"/>
        <v>0</v>
      </c>
      <c r="BU367">
        <f>IFERROR(8-VLOOKUP(U367,'Dados de consulta'!$A:$D,3,0),8)</f>
        <v>8</v>
      </c>
      <c r="BV367">
        <f>IFERROR(8-VLOOKUP(V367,'Dados de consulta'!$A:$D,3,0),8)</f>
        <v>8</v>
      </c>
      <c r="BW367">
        <f t="shared" si="155"/>
        <v>16</v>
      </c>
    </row>
    <row r="368" spans="1:75" ht="15" hidden="1" x14ac:dyDescent="0.2">
      <c r="A368" s="98">
        <v>42491</v>
      </c>
      <c r="B368" s="129" t="str">
        <f t="shared" si="132"/>
        <v>dom</v>
      </c>
      <c r="C368" s="132"/>
      <c r="D368" s="132"/>
      <c r="E368" s="132"/>
      <c r="F368" s="132"/>
      <c r="G368" s="132"/>
      <c r="H368" s="132"/>
      <c r="I368" s="132"/>
      <c r="J368" s="132">
        <v>18</v>
      </c>
      <c r="K368" s="132"/>
      <c r="L368" s="132"/>
      <c r="M368" s="132">
        <v>101</v>
      </c>
      <c r="N368" s="132"/>
      <c r="O368" s="132"/>
      <c r="P368" s="132"/>
      <c r="Q368" s="132"/>
      <c r="R368" s="132"/>
      <c r="S368" s="132"/>
      <c r="T368" s="132"/>
      <c r="U368" s="151"/>
      <c r="V368" s="151"/>
      <c r="W368" s="307" t="s">
        <v>193</v>
      </c>
      <c r="X368" s="308"/>
      <c r="Y368" s="38">
        <f t="shared" si="133"/>
        <v>0</v>
      </c>
      <c r="Z368" s="38">
        <f t="shared" si="134"/>
        <v>8</v>
      </c>
      <c r="AA368" s="38">
        <f t="shared" si="131"/>
        <v>0</v>
      </c>
      <c r="AB368" s="38">
        <f t="shared" si="142"/>
        <v>0</v>
      </c>
      <c r="AC368" s="38">
        <f t="shared" si="143"/>
        <v>0</v>
      </c>
      <c r="AD368" s="38">
        <f t="shared" si="144"/>
        <v>0</v>
      </c>
      <c r="AE368" s="38">
        <f t="shared" si="145"/>
        <v>0</v>
      </c>
      <c r="AF368" s="38">
        <f t="shared" si="146"/>
        <v>0</v>
      </c>
      <c r="AG368" s="33">
        <f t="shared" si="147"/>
        <v>0</v>
      </c>
      <c r="AH368" s="33">
        <f t="shared" si="148"/>
        <v>0</v>
      </c>
      <c r="AI368" s="33">
        <f t="shared" si="149"/>
        <v>0</v>
      </c>
      <c r="AJ368" s="33">
        <f t="shared" si="150"/>
        <v>0</v>
      </c>
      <c r="AK368" s="34">
        <f t="shared" si="151"/>
        <v>0</v>
      </c>
      <c r="AL368" s="35">
        <f t="shared" si="152"/>
        <v>0</v>
      </c>
      <c r="AM368" s="34">
        <f t="shared" si="135"/>
        <v>0</v>
      </c>
      <c r="AN368" s="36">
        <f t="shared" si="153"/>
        <v>0</v>
      </c>
      <c r="AO368" s="6">
        <f t="shared" si="136"/>
        <v>0</v>
      </c>
      <c r="AP368">
        <f t="shared" si="137"/>
        <v>8</v>
      </c>
      <c r="AQ368" s="6">
        <f t="shared" si="138"/>
        <v>0</v>
      </c>
      <c r="AR368" s="6">
        <f t="shared" si="139"/>
        <v>0</v>
      </c>
      <c r="AS368" s="6"/>
      <c r="AX368" s="95">
        <f t="shared" si="140"/>
        <v>42491</v>
      </c>
      <c r="AY368" s="96" t="str">
        <f t="shared" si="141"/>
        <v>dom</v>
      </c>
      <c r="AZ368" s="97">
        <f>IF(OR(AY368="SÁB",AY368="DOM"),0,IFERROR(8-VLOOKUP(C368,'Dados de consulta'!$A$2:$C$38,3,0),8))</f>
        <v>0</v>
      </c>
      <c r="BA368" s="97">
        <f>IF(OR(AY368="SÁB",AY368="DOM"),0,IFERROR(8-VLOOKUP(D368,'Dados de consulta'!$A$2:$C$38,3,0),8))</f>
        <v>0</v>
      </c>
      <c r="BB368" s="97">
        <f>IF(OR(AY368="SÁB",AY368="DOM"),0,IFERROR(8-VLOOKUP(E368,'Dados de consulta'!$A$2:$C$38,3,0),8))</f>
        <v>0</v>
      </c>
      <c r="BC368" s="97">
        <f>IF(OR(AY368="SÁB",AY368="DOM"),0,IFERROR(8-VLOOKUP(F368,'Dados de consulta'!$A$2:$C$38,3,0),8))</f>
        <v>0</v>
      </c>
      <c r="BD368" s="97">
        <f>IF(OR(AY368="SÁB",AY368="DOM"),0,IFERROR(8-VLOOKUP(G368,'Dados de consulta'!$A$2:$C$38,3,0),8))</f>
        <v>0</v>
      </c>
      <c r="BE368" s="97">
        <f>IF(OR(AY368="SÁB",AY368="DOM"),0,IFERROR(8-VLOOKUP(H368,'Dados de consulta'!$A$2:$C$38,3,0),8))</f>
        <v>0</v>
      </c>
      <c r="BF368" s="97">
        <f>IF(OR(AY368="SÁB",AY368="DOM"),0,IFERROR(8-VLOOKUP(I368,'Dados de consulta'!$A$2:$C$38,3,0),8))</f>
        <v>0</v>
      </c>
      <c r="BG368" s="97">
        <f>IF(OR(AY368="SÁB",AY368="DOM"),0,IFERROR(8-VLOOKUP(J368,'Dados de consulta'!$A$2:$C$38,3,0),8))</f>
        <v>0</v>
      </c>
      <c r="BH368" s="97">
        <f>IF(OR(AY368="SÁB",AY368="DOM"),0,IFERROR(8-VLOOKUP(K368,'Dados de consulta'!$A$2:$C$38,3,0),8))</f>
        <v>0</v>
      </c>
      <c r="BI368" s="97">
        <f>IF(OR(AY368="SÁB",AY368="DOM"),0,IFERROR(8-VLOOKUP(L368,'Dados de consulta'!$A$2:$C$38,3,0),8))</f>
        <v>0</v>
      </c>
      <c r="BJ368" s="97">
        <f>IF(OR(AY368="SÁB",AY368="DOM"),0,IFERROR(8-VLOOKUP(M368,'Dados de consulta'!$A$2:$C$38,3,0),8))</f>
        <v>0</v>
      </c>
      <c r="BK368" s="97">
        <f>IF(OR(AY368="SÁB",AY368="DOM"),0,IFERROR(8-VLOOKUP(N368,'Dados de consulta'!$A$2:$C$38,3,0),8))</f>
        <v>0</v>
      </c>
      <c r="BL368" s="97">
        <f>IF(OR(AY368="SÁB",AY368="DOM"),0,IFERROR(8-VLOOKUP(O368,'Dados de consulta'!$A$2:$C$38,3,0),8))</f>
        <v>0</v>
      </c>
      <c r="BM368" s="97">
        <f>IF(OR(AY368="SÁB",AY368="DOM"),0,IFERROR(8-VLOOKUP(P368,'Dados de consulta'!$A$2:$C$38,3,0),8))</f>
        <v>0</v>
      </c>
      <c r="BN368" s="97">
        <f>IF(OR(AY368="SÁB",AY368="DOM"),0,IFERROR(8-VLOOKUP(Q368,'Dados de consulta'!$A$2:$C$38,3,0),8))</f>
        <v>0</v>
      </c>
      <c r="BO368" s="97">
        <f>IF(OR(AY368="SÁB",AY368="DOM"),0,IFERROR(8-VLOOKUP(R368,'Dados de consulta'!$A$2:$C$38,3,0),8))</f>
        <v>0</v>
      </c>
      <c r="BP368" s="97">
        <f>IF(OR(AY368="SÁB",AY368="DOM"),0,IFERROR(8-VLOOKUP(S368,'Dados de consulta'!$A$2:$C$38,3,0),8))</f>
        <v>0</v>
      </c>
      <c r="BQ368" s="113">
        <f>IFERROR(6-VLOOKUP(T368,'Dados de consulta'!$A$2:$C$38,3,0)+2,6)</f>
        <v>6</v>
      </c>
      <c r="BR368" s="114">
        <f t="shared" si="154"/>
        <v>0</v>
      </c>
      <c r="BS368">
        <f t="shared" si="130"/>
        <v>0</v>
      </c>
      <c r="BU368">
        <f>IFERROR(8-VLOOKUP(U368,'Dados de consulta'!$A:$D,3,0),8)</f>
        <v>8</v>
      </c>
      <c r="BV368">
        <f>IFERROR(8-VLOOKUP(V368,'Dados de consulta'!$A:$D,3,0),8)</f>
        <v>8</v>
      </c>
      <c r="BW368">
        <f t="shared" si="155"/>
        <v>16</v>
      </c>
    </row>
    <row r="369" spans="1:75" ht="15" hidden="1" x14ac:dyDescent="0.2">
      <c r="A369" s="98">
        <v>42492</v>
      </c>
      <c r="B369" s="129" t="str">
        <f t="shared" si="132"/>
        <v>seg</v>
      </c>
      <c r="C369" s="132"/>
      <c r="D369" s="132"/>
      <c r="E369" s="132">
        <v>8</v>
      </c>
      <c r="F369" s="132"/>
      <c r="G369" s="132"/>
      <c r="H369" s="132"/>
      <c r="I369" s="132"/>
      <c r="J369" s="132">
        <v>18</v>
      </c>
      <c r="K369" s="132"/>
      <c r="L369" s="132"/>
      <c r="M369" s="132">
        <v>101</v>
      </c>
      <c r="N369" s="132"/>
      <c r="O369" s="132">
        <v>1</v>
      </c>
      <c r="P369" s="132"/>
      <c r="Q369" s="132"/>
      <c r="R369" s="132"/>
      <c r="S369" s="132"/>
      <c r="T369" s="132"/>
      <c r="U369" s="151"/>
      <c r="V369" s="151"/>
      <c r="W369" s="307" t="s">
        <v>193</v>
      </c>
      <c r="X369" s="308"/>
      <c r="Y369" s="38">
        <f t="shared" si="133"/>
        <v>8</v>
      </c>
      <c r="Z369" s="38">
        <f t="shared" si="134"/>
        <v>16</v>
      </c>
      <c r="AA369" s="38">
        <f t="shared" si="131"/>
        <v>0</v>
      </c>
      <c r="AB369" s="38">
        <f t="shared" si="142"/>
        <v>0</v>
      </c>
      <c r="AC369" s="38">
        <f t="shared" si="143"/>
        <v>0</v>
      </c>
      <c r="AD369" s="38">
        <f t="shared" si="144"/>
        <v>0</v>
      </c>
      <c r="AE369" s="38">
        <f t="shared" si="145"/>
        <v>0</v>
      </c>
      <c r="AF369" s="38">
        <f t="shared" si="146"/>
        <v>0</v>
      </c>
      <c r="AG369" s="33">
        <f t="shared" si="147"/>
        <v>8</v>
      </c>
      <c r="AH369" s="33">
        <f t="shared" si="148"/>
        <v>16</v>
      </c>
      <c r="AI369" s="33">
        <f t="shared" si="149"/>
        <v>0</v>
      </c>
      <c r="AJ369" s="33">
        <f t="shared" si="150"/>
        <v>0</v>
      </c>
      <c r="AK369" s="34">
        <f t="shared" si="151"/>
        <v>5.6338028169014086E-2</v>
      </c>
      <c r="AL369" s="35">
        <f t="shared" si="152"/>
        <v>0.11267605633802817</v>
      </c>
      <c r="AM369" s="34">
        <f t="shared" si="135"/>
        <v>0</v>
      </c>
      <c r="AN369" s="36">
        <f t="shared" si="153"/>
        <v>0</v>
      </c>
      <c r="AO369" s="6">
        <f t="shared" si="136"/>
        <v>0</v>
      </c>
      <c r="AP369">
        <f t="shared" si="137"/>
        <v>8</v>
      </c>
      <c r="AQ369" s="6">
        <f t="shared" si="138"/>
        <v>0</v>
      </c>
      <c r="AR369" s="6">
        <f t="shared" si="139"/>
        <v>0</v>
      </c>
      <c r="AS369" s="6"/>
      <c r="AX369" s="95">
        <f t="shared" si="140"/>
        <v>42492</v>
      </c>
      <c r="AY369" s="96" t="str">
        <f t="shared" si="141"/>
        <v>seg</v>
      </c>
      <c r="AZ369" s="97">
        <f>IF(OR(AY369="SÁB",AY369="DOM"),0,IFERROR(8-VLOOKUP(C369,'Dados de consulta'!$A$2:$C$38,3,0),8))</f>
        <v>8</v>
      </c>
      <c r="BA369" s="97">
        <f>IF(OR(AY369="SÁB",AY369="DOM"),0,IFERROR(8-VLOOKUP(D369,'Dados de consulta'!$A$2:$C$38,3,0),8))</f>
        <v>8</v>
      </c>
      <c r="BB369" s="97">
        <f>IF(OR(AY369="SÁB",AY369="DOM"),0,IFERROR(8-VLOOKUP(E369,'Dados de consulta'!$A$2:$C$38,3,0),8))</f>
        <v>0</v>
      </c>
      <c r="BC369" s="97">
        <f>IF(OR(AY369="SÁB",AY369="DOM"),0,IFERROR(8-VLOOKUP(F369,'Dados de consulta'!$A$2:$C$38,3,0),8))</f>
        <v>8</v>
      </c>
      <c r="BD369" s="97">
        <f>IF(OR(AY369="SÁB",AY369="DOM"),0,IFERROR(8-VLOOKUP(G369,'Dados de consulta'!$A$2:$C$38,3,0),8))</f>
        <v>8</v>
      </c>
      <c r="BE369" s="97">
        <f>IF(OR(AY369="SÁB",AY369="DOM"),0,IFERROR(8-VLOOKUP(H369,'Dados de consulta'!$A$2:$C$38,3,0),8))</f>
        <v>8</v>
      </c>
      <c r="BF369" s="97">
        <f>IF(OR(AY369="SÁB",AY369="DOM"),0,IFERROR(8-VLOOKUP(I369,'Dados de consulta'!$A$2:$C$38,3,0),8))</f>
        <v>8</v>
      </c>
      <c r="BG369" s="97">
        <f>IF(OR(AY369="SÁB",AY369="DOM"),0,IFERROR(8-VLOOKUP(J369,'Dados de consulta'!$A$2:$C$38,3,0),8))</f>
        <v>0</v>
      </c>
      <c r="BH369" s="97">
        <f>IF(OR(AY369="SÁB",AY369="DOM"),0,IFERROR(8-VLOOKUP(K369,'Dados de consulta'!$A$2:$C$38,3,0),8))</f>
        <v>8</v>
      </c>
      <c r="BI369" s="97">
        <f>IF(OR(AY369="SÁB",AY369="DOM"),0,IFERROR(8-VLOOKUP(L369,'Dados de consulta'!$A$2:$C$38,3,0),8))</f>
        <v>8</v>
      </c>
      <c r="BJ369" s="97">
        <f>IF(OR(AY369="SÁB",AY369="DOM"),0,IFERROR(8-VLOOKUP(M369,'Dados de consulta'!$A$2:$C$38,3,0),8))</f>
        <v>0</v>
      </c>
      <c r="BK369" s="97">
        <f>IF(OR(AY369="SÁB",AY369="DOM"),0,IFERROR(8-VLOOKUP(N369,'Dados de consulta'!$A$2:$C$38,3,0),8))</f>
        <v>8</v>
      </c>
      <c r="BL369" s="97">
        <f>IF(OR(AY369="SÁB",AY369="DOM"),0,IFERROR(8-VLOOKUP(O369,'Dados de consulta'!$A$2:$C$38,3,0),8))</f>
        <v>0</v>
      </c>
      <c r="BM369" s="97">
        <f>IF(OR(AY369="SÁB",AY369="DOM"),0,IFERROR(8-VLOOKUP(P369,'Dados de consulta'!$A$2:$C$38,3,0),8))</f>
        <v>8</v>
      </c>
      <c r="BN369" s="97">
        <f>IF(OR(AY369="SÁB",AY369="DOM"),0,IFERROR(8-VLOOKUP(Q369,'Dados de consulta'!$A$2:$C$38,3,0),8))</f>
        <v>8</v>
      </c>
      <c r="BO369" s="97">
        <f>IF(OR(AY369="SÁB",AY369="DOM"),0,IFERROR(8-VLOOKUP(R369,'Dados de consulta'!$A$2:$C$38,3,0),8))</f>
        <v>8</v>
      </c>
      <c r="BP369" s="97">
        <f>IF(OR(AY369="SÁB",AY369="DOM"),0,IFERROR(8-VLOOKUP(S369,'Dados de consulta'!$A$2:$C$38,3,0),8))</f>
        <v>8</v>
      </c>
      <c r="BQ369" s="113">
        <f>IFERROR(6-VLOOKUP(T369,'Dados de consulta'!$A$2:$C$38,3,0)+2,6)</f>
        <v>6</v>
      </c>
      <c r="BR369" s="114">
        <f t="shared" si="154"/>
        <v>110</v>
      </c>
      <c r="BS369">
        <f t="shared" si="130"/>
        <v>134</v>
      </c>
      <c r="BU369">
        <f>IFERROR(8-VLOOKUP(U369,'Dados de consulta'!$A:$D,3,0),8)</f>
        <v>8</v>
      </c>
      <c r="BV369">
        <f>IFERROR(8-VLOOKUP(V369,'Dados de consulta'!$A:$D,3,0),8)</f>
        <v>8</v>
      </c>
      <c r="BW369">
        <f t="shared" si="155"/>
        <v>16</v>
      </c>
    </row>
    <row r="370" spans="1:75" ht="15" hidden="1" x14ac:dyDescent="0.2">
      <c r="A370" s="98">
        <v>42493</v>
      </c>
      <c r="B370" s="129" t="str">
        <f t="shared" si="132"/>
        <v>ter</v>
      </c>
      <c r="C370" s="132"/>
      <c r="D370" s="132"/>
      <c r="E370" s="132">
        <v>8</v>
      </c>
      <c r="F370" s="132"/>
      <c r="G370" s="132"/>
      <c r="H370" s="132"/>
      <c r="I370" s="132"/>
      <c r="J370" s="132">
        <v>18</v>
      </c>
      <c r="K370" s="132"/>
      <c r="L370" s="132"/>
      <c r="M370" s="132">
        <v>101</v>
      </c>
      <c r="N370" s="132"/>
      <c r="O370" s="132"/>
      <c r="P370" s="132"/>
      <c r="Q370" s="132"/>
      <c r="R370" s="132"/>
      <c r="S370" s="132"/>
      <c r="T370" s="132"/>
      <c r="U370" s="151"/>
      <c r="V370" s="151"/>
      <c r="W370" s="307" t="s">
        <v>193</v>
      </c>
      <c r="X370" s="308"/>
      <c r="Y370" s="38">
        <f t="shared" si="133"/>
        <v>8</v>
      </c>
      <c r="Z370" s="38">
        <f t="shared" si="134"/>
        <v>8</v>
      </c>
      <c r="AA370" s="38">
        <f t="shared" si="131"/>
        <v>0</v>
      </c>
      <c r="AB370" s="38">
        <f t="shared" si="142"/>
        <v>0</v>
      </c>
      <c r="AC370" s="38">
        <f t="shared" si="143"/>
        <v>0</v>
      </c>
      <c r="AD370" s="38">
        <f t="shared" si="144"/>
        <v>0</v>
      </c>
      <c r="AE370" s="38">
        <f t="shared" si="145"/>
        <v>0</v>
      </c>
      <c r="AF370" s="38">
        <f t="shared" si="146"/>
        <v>0</v>
      </c>
      <c r="AG370" s="33">
        <f t="shared" si="147"/>
        <v>8</v>
      </c>
      <c r="AH370" s="33">
        <f t="shared" si="148"/>
        <v>8</v>
      </c>
      <c r="AI370" s="33">
        <f t="shared" si="149"/>
        <v>0</v>
      </c>
      <c r="AJ370" s="33">
        <f t="shared" si="150"/>
        <v>0</v>
      </c>
      <c r="AK370" s="34">
        <f t="shared" si="151"/>
        <v>5.6338028169014086E-2</v>
      </c>
      <c r="AL370" s="35">
        <f t="shared" si="152"/>
        <v>5.6338028169014086E-2</v>
      </c>
      <c r="AM370" s="34">
        <f t="shared" si="135"/>
        <v>0</v>
      </c>
      <c r="AN370" s="36">
        <f t="shared" si="153"/>
        <v>0</v>
      </c>
      <c r="AO370" s="6">
        <f t="shared" si="136"/>
        <v>0</v>
      </c>
      <c r="AP370">
        <f t="shared" si="137"/>
        <v>8</v>
      </c>
      <c r="AQ370" s="6">
        <f t="shared" si="138"/>
        <v>0</v>
      </c>
      <c r="AR370" s="6">
        <f t="shared" si="139"/>
        <v>0</v>
      </c>
      <c r="AS370" s="6"/>
      <c r="AX370" s="95">
        <f t="shared" si="140"/>
        <v>42493</v>
      </c>
      <c r="AY370" s="96" t="str">
        <f t="shared" si="141"/>
        <v>ter</v>
      </c>
      <c r="AZ370" s="97">
        <f>IF(OR(AY370="SÁB",AY370="DOM"),0,IFERROR(8-VLOOKUP(C370,'Dados de consulta'!$A$2:$C$38,3,0),8))</f>
        <v>8</v>
      </c>
      <c r="BA370" s="97">
        <f>IF(OR(AY370="SÁB",AY370="DOM"),0,IFERROR(8-VLOOKUP(D370,'Dados de consulta'!$A$2:$C$38,3,0),8))</f>
        <v>8</v>
      </c>
      <c r="BB370" s="97">
        <f>IF(OR(AY370="SÁB",AY370="DOM"),0,IFERROR(8-VLOOKUP(E370,'Dados de consulta'!$A$2:$C$38,3,0),8))</f>
        <v>0</v>
      </c>
      <c r="BC370" s="97">
        <f>IF(OR(AY370="SÁB",AY370="DOM"),0,IFERROR(8-VLOOKUP(F370,'Dados de consulta'!$A$2:$C$38,3,0),8))</f>
        <v>8</v>
      </c>
      <c r="BD370" s="97">
        <f>IF(OR(AY370="SÁB",AY370="DOM"),0,IFERROR(8-VLOOKUP(G370,'Dados de consulta'!$A$2:$C$38,3,0),8))</f>
        <v>8</v>
      </c>
      <c r="BE370" s="97">
        <f>IF(OR(AY370="SÁB",AY370="DOM"),0,IFERROR(8-VLOOKUP(H370,'Dados de consulta'!$A$2:$C$38,3,0),8))</f>
        <v>8</v>
      </c>
      <c r="BF370" s="97">
        <f>IF(OR(AY370="SÁB",AY370="DOM"),0,IFERROR(8-VLOOKUP(I370,'Dados de consulta'!$A$2:$C$38,3,0),8))</f>
        <v>8</v>
      </c>
      <c r="BG370" s="97">
        <f>IF(OR(AY370="SÁB",AY370="DOM"),0,IFERROR(8-VLOOKUP(J370,'Dados de consulta'!$A$2:$C$38,3,0),8))</f>
        <v>0</v>
      </c>
      <c r="BH370" s="97">
        <f>IF(OR(AY370="SÁB",AY370="DOM"),0,IFERROR(8-VLOOKUP(K370,'Dados de consulta'!$A$2:$C$38,3,0),8))</f>
        <v>8</v>
      </c>
      <c r="BI370" s="97">
        <f>IF(OR(AY370="SÁB",AY370="DOM"),0,IFERROR(8-VLOOKUP(L370,'Dados de consulta'!$A$2:$C$38,3,0),8))</f>
        <v>8</v>
      </c>
      <c r="BJ370" s="97">
        <f>IF(OR(AY370="SÁB",AY370="DOM"),0,IFERROR(8-VLOOKUP(M370,'Dados de consulta'!$A$2:$C$38,3,0),8))</f>
        <v>0</v>
      </c>
      <c r="BK370" s="97">
        <f>IF(OR(AY370="SÁB",AY370="DOM"),0,IFERROR(8-VLOOKUP(N370,'Dados de consulta'!$A$2:$C$38,3,0),8))</f>
        <v>8</v>
      </c>
      <c r="BL370" s="97">
        <f>IF(OR(AY370="SÁB",AY370="DOM"),0,IFERROR(8-VLOOKUP(O370,'Dados de consulta'!$A$2:$C$38,3,0),8))</f>
        <v>8</v>
      </c>
      <c r="BM370" s="97">
        <f>IF(OR(AY370="SÁB",AY370="DOM"),0,IFERROR(8-VLOOKUP(P370,'Dados de consulta'!$A$2:$C$38,3,0),8))</f>
        <v>8</v>
      </c>
      <c r="BN370" s="97">
        <f>IF(OR(AY370="SÁB",AY370="DOM"),0,IFERROR(8-VLOOKUP(Q370,'Dados de consulta'!$A$2:$C$38,3,0),8))</f>
        <v>8</v>
      </c>
      <c r="BO370" s="97">
        <f>IF(OR(AY370="SÁB",AY370="DOM"),0,IFERROR(8-VLOOKUP(R370,'Dados de consulta'!$A$2:$C$38,3,0),8))</f>
        <v>8</v>
      </c>
      <c r="BP370" s="97">
        <f>IF(OR(AY370="SÁB",AY370="DOM"),0,IFERROR(8-VLOOKUP(S370,'Dados de consulta'!$A$2:$C$38,3,0),8))</f>
        <v>8</v>
      </c>
      <c r="BQ370" s="113">
        <f>IFERROR(6-VLOOKUP(T370,'Dados de consulta'!$A$2:$C$38,3,0)+2,6)</f>
        <v>6</v>
      </c>
      <c r="BR370" s="114">
        <f t="shared" si="154"/>
        <v>118</v>
      </c>
      <c r="BS370">
        <f t="shared" si="130"/>
        <v>134</v>
      </c>
      <c r="BU370">
        <f>IFERROR(8-VLOOKUP(U370,'Dados de consulta'!$A:$D,3,0),8)</f>
        <v>8</v>
      </c>
      <c r="BV370">
        <f>IFERROR(8-VLOOKUP(V370,'Dados de consulta'!$A:$D,3,0),8)</f>
        <v>8</v>
      </c>
      <c r="BW370">
        <f t="shared" si="155"/>
        <v>16</v>
      </c>
    </row>
    <row r="371" spans="1:75" ht="15" hidden="1" x14ac:dyDescent="0.2">
      <c r="A371" s="98">
        <v>42494</v>
      </c>
      <c r="B371" s="129" t="str">
        <f t="shared" si="132"/>
        <v>qua</v>
      </c>
      <c r="C371" s="132"/>
      <c r="D371" s="132"/>
      <c r="E371" s="132">
        <v>8</v>
      </c>
      <c r="F371" s="132"/>
      <c r="G371" s="132"/>
      <c r="H371" s="132"/>
      <c r="I371" s="132"/>
      <c r="J371" s="132">
        <v>18</v>
      </c>
      <c r="K371" s="132"/>
      <c r="L371" s="132"/>
      <c r="M371" s="132">
        <v>101</v>
      </c>
      <c r="N371" s="132"/>
      <c r="O371" s="132"/>
      <c r="P371" s="132"/>
      <c r="Q371" s="132"/>
      <c r="R371" s="132" t="s">
        <v>198</v>
      </c>
      <c r="S371" s="132"/>
      <c r="T371" s="132"/>
      <c r="U371" s="151"/>
      <c r="V371" s="151"/>
      <c r="W371" s="307" t="s">
        <v>193</v>
      </c>
      <c r="X371" s="308"/>
      <c r="Y371" s="38">
        <f t="shared" si="133"/>
        <v>12</v>
      </c>
      <c r="Z371" s="38">
        <f t="shared" si="134"/>
        <v>8</v>
      </c>
      <c r="AA371" s="38">
        <f t="shared" si="131"/>
        <v>0</v>
      </c>
      <c r="AB371" s="38">
        <f t="shared" si="142"/>
        <v>0</v>
      </c>
      <c r="AC371" s="38">
        <f t="shared" si="143"/>
        <v>0</v>
      </c>
      <c r="AD371" s="38">
        <f t="shared" si="144"/>
        <v>0</v>
      </c>
      <c r="AE371" s="38">
        <f t="shared" si="145"/>
        <v>0</v>
      </c>
      <c r="AF371" s="38">
        <f t="shared" si="146"/>
        <v>0</v>
      </c>
      <c r="AG371" s="33">
        <f t="shared" si="147"/>
        <v>12</v>
      </c>
      <c r="AH371" s="33">
        <f t="shared" si="148"/>
        <v>8</v>
      </c>
      <c r="AI371" s="33">
        <f t="shared" si="149"/>
        <v>0</v>
      </c>
      <c r="AJ371" s="33">
        <f t="shared" si="150"/>
        <v>0</v>
      </c>
      <c r="AK371" s="34">
        <f t="shared" si="151"/>
        <v>8.4507042253521125E-2</v>
      </c>
      <c r="AL371" s="35">
        <f t="shared" si="152"/>
        <v>5.6338028169014086E-2</v>
      </c>
      <c r="AM371" s="34">
        <f t="shared" si="135"/>
        <v>0</v>
      </c>
      <c r="AN371" s="36">
        <f t="shared" si="153"/>
        <v>0</v>
      </c>
      <c r="AO371" s="6">
        <f t="shared" si="136"/>
        <v>0</v>
      </c>
      <c r="AP371">
        <f t="shared" si="137"/>
        <v>8</v>
      </c>
      <c r="AQ371" s="6">
        <f t="shared" si="138"/>
        <v>0</v>
      </c>
      <c r="AR371" s="6">
        <f t="shared" si="139"/>
        <v>0</v>
      </c>
      <c r="AS371" s="6"/>
      <c r="AX371" s="95">
        <f t="shared" si="140"/>
        <v>42494</v>
      </c>
      <c r="AY371" s="96" t="str">
        <f t="shared" si="141"/>
        <v>qua</v>
      </c>
      <c r="AZ371" s="97">
        <f>IF(OR(AY371="SÁB",AY371="DOM"),0,IFERROR(8-VLOOKUP(C371,'Dados de consulta'!$A$2:$C$38,3,0),8))</f>
        <v>8</v>
      </c>
      <c r="BA371" s="97">
        <f>IF(OR(AY371="SÁB",AY371="DOM"),0,IFERROR(8-VLOOKUP(D371,'Dados de consulta'!$A$2:$C$38,3,0),8))</f>
        <v>8</v>
      </c>
      <c r="BB371" s="97">
        <f>IF(OR(AY371="SÁB",AY371="DOM"),0,IFERROR(8-VLOOKUP(E371,'Dados de consulta'!$A$2:$C$38,3,0),8))</f>
        <v>0</v>
      </c>
      <c r="BC371" s="97">
        <f>IF(OR(AY371="SÁB",AY371="DOM"),0,IFERROR(8-VLOOKUP(F371,'Dados de consulta'!$A$2:$C$38,3,0),8))</f>
        <v>8</v>
      </c>
      <c r="BD371" s="97">
        <f>IF(OR(AY371="SÁB",AY371="DOM"),0,IFERROR(8-VLOOKUP(G371,'Dados de consulta'!$A$2:$C$38,3,0),8))</f>
        <v>8</v>
      </c>
      <c r="BE371" s="97">
        <f>IF(OR(AY371="SÁB",AY371="DOM"),0,IFERROR(8-VLOOKUP(H371,'Dados de consulta'!$A$2:$C$38,3,0),8))</f>
        <v>8</v>
      </c>
      <c r="BF371" s="97">
        <f>IF(OR(AY371="SÁB",AY371="DOM"),0,IFERROR(8-VLOOKUP(I371,'Dados de consulta'!$A$2:$C$38,3,0),8))</f>
        <v>8</v>
      </c>
      <c r="BG371" s="97">
        <f>IF(OR(AY371="SÁB",AY371="DOM"),0,IFERROR(8-VLOOKUP(J371,'Dados de consulta'!$A$2:$C$38,3,0),8))</f>
        <v>0</v>
      </c>
      <c r="BH371" s="97">
        <f>IF(OR(AY371="SÁB",AY371="DOM"),0,IFERROR(8-VLOOKUP(K371,'Dados de consulta'!$A$2:$C$38,3,0),8))</f>
        <v>8</v>
      </c>
      <c r="BI371" s="97">
        <f>IF(OR(AY371="SÁB",AY371="DOM"),0,IFERROR(8-VLOOKUP(L371,'Dados de consulta'!$A$2:$C$38,3,0),8))</f>
        <v>8</v>
      </c>
      <c r="BJ371" s="97">
        <f>IF(OR(AY371="SÁB",AY371="DOM"),0,IFERROR(8-VLOOKUP(M371,'Dados de consulta'!$A$2:$C$38,3,0),8))</f>
        <v>0</v>
      </c>
      <c r="BK371" s="97">
        <f>IF(OR(AY371="SÁB",AY371="DOM"),0,IFERROR(8-VLOOKUP(N371,'Dados de consulta'!$A$2:$C$38,3,0),8))</f>
        <v>8</v>
      </c>
      <c r="BL371" s="97">
        <f>IF(OR(AY371="SÁB",AY371="DOM"),0,IFERROR(8-VLOOKUP(O371,'Dados de consulta'!$A$2:$C$38,3,0),8))</f>
        <v>8</v>
      </c>
      <c r="BM371" s="97">
        <f>IF(OR(AY371="SÁB",AY371="DOM"),0,IFERROR(8-VLOOKUP(P371,'Dados de consulta'!$A$2:$C$38,3,0),8))</f>
        <v>8</v>
      </c>
      <c r="BN371" s="97">
        <f>IF(OR(AY371="SÁB",AY371="DOM"),0,IFERROR(8-VLOOKUP(Q371,'Dados de consulta'!$A$2:$C$38,3,0),8))</f>
        <v>8</v>
      </c>
      <c r="BO371" s="97">
        <f>IF(OR(AY371="SÁB",AY371="DOM"),0,IFERROR(8-VLOOKUP(R371,'Dados de consulta'!$A$2:$C$38,3,0),8))</f>
        <v>4</v>
      </c>
      <c r="BP371" s="97">
        <f>IF(OR(AY371="SÁB",AY371="DOM"),0,IFERROR(8-VLOOKUP(S371,'Dados de consulta'!$A$2:$C$38,3,0),8))</f>
        <v>8</v>
      </c>
      <c r="BQ371" s="113">
        <f>IFERROR(6-VLOOKUP(T371,'Dados de consulta'!$A$2:$C$38,3,0)+2,6)</f>
        <v>6</v>
      </c>
      <c r="BR371" s="114">
        <f t="shared" si="154"/>
        <v>114</v>
      </c>
      <c r="BS371">
        <f t="shared" si="130"/>
        <v>134</v>
      </c>
      <c r="BU371">
        <f>IFERROR(8-VLOOKUP(U371,'Dados de consulta'!$A:$D,3,0),8)</f>
        <v>8</v>
      </c>
      <c r="BV371">
        <f>IFERROR(8-VLOOKUP(V371,'Dados de consulta'!$A:$D,3,0),8)</f>
        <v>8</v>
      </c>
      <c r="BW371">
        <f t="shared" si="155"/>
        <v>16</v>
      </c>
    </row>
    <row r="372" spans="1:75" ht="15" hidden="1" x14ac:dyDescent="0.2">
      <c r="A372" s="98">
        <v>42495</v>
      </c>
      <c r="B372" s="129" t="str">
        <f t="shared" si="132"/>
        <v>qui</v>
      </c>
      <c r="C372" s="132"/>
      <c r="D372" s="132"/>
      <c r="E372" s="132">
        <v>8</v>
      </c>
      <c r="F372" s="132"/>
      <c r="G372" s="132"/>
      <c r="H372" s="132"/>
      <c r="I372" s="132"/>
      <c r="J372" s="132">
        <v>18</v>
      </c>
      <c r="K372" s="132"/>
      <c r="L372" s="132"/>
      <c r="M372" s="132">
        <v>101</v>
      </c>
      <c r="N372" s="132"/>
      <c r="O372" s="132"/>
      <c r="P372" s="132"/>
      <c r="Q372" s="132"/>
      <c r="R372" s="132"/>
      <c r="S372" s="132"/>
      <c r="T372" s="132"/>
      <c r="U372" s="151"/>
      <c r="V372" s="151"/>
      <c r="W372" s="307" t="s">
        <v>193</v>
      </c>
      <c r="X372" s="308"/>
      <c r="Y372" s="38">
        <f t="shared" si="133"/>
        <v>8</v>
      </c>
      <c r="Z372" s="38">
        <f t="shared" si="134"/>
        <v>8</v>
      </c>
      <c r="AA372" s="38">
        <f t="shared" si="131"/>
        <v>0</v>
      </c>
      <c r="AB372" s="38">
        <f t="shared" si="142"/>
        <v>0</v>
      </c>
      <c r="AC372" s="38">
        <f t="shared" si="143"/>
        <v>0</v>
      </c>
      <c r="AD372" s="38">
        <f t="shared" si="144"/>
        <v>0</v>
      </c>
      <c r="AE372" s="38">
        <f t="shared" si="145"/>
        <v>0</v>
      </c>
      <c r="AF372" s="38">
        <f t="shared" si="146"/>
        <v>0</v>
      </c>
      <c r="AG372" s="33">
        <f t="shared" si="147"/>
        <v>8</v>
      </c>
      <c r="AH372" s="33">
        <f t="shared" si="148"/>
        <v>8</v>
      </c>
      <c r="AI372" s="33">
        <f t="shared" si="149"/>
        <v>0</v>
      </c>
      <c r="AJ372" s="33">
        <f t="shared" si="150"/>
        <v>0</v>
      </c>
      <c r="AK372" s="34">
        <f t="shared" si="151"/>
        <v>5.6338028169014086E-2</v>
      </c>
      <c r="AL372" s="35">
        <f t="shared" si="152"/>
        <v>5.6338028169014086E-2</v>
      </c>
      <c r="AM372" s="34">
        <f t="shared" si="135"/>
        <v>0</v>
      </c>
      <c r="AN372" s="36">
        <f t="shared" si="153"/>
        <v>0</v>
      </c>
      <c r="AO372" s="6">
        <f t="shared" si="136"/>
        <v>0</v>
      </c>
      <c r="AP372">
        <f t="shared" si="137"/>
        <v>8</v>
      </c>
      <c r="AQ372" s="6">
        <f t="shared" si="138"/>
        <v>0</v>
      </c>
      <c r="AR372" s="6">
        <f t="shared" si="139"/>
        <v>0</v>
      </c>
      <c r="AS372" s="6"/>
      <c r="AX372" s="95">
        <f t="shared" si="140"/>
        <v>42495</v>
      </c>
      <c r="AY372" s="96" t="str">
        <f t="shared" si="141"/>
        <v>qui</v>
      </c>
      <c r="AZ372" s="97">
        <f>IF(OR(AY372="SÁB",AY372="DOM"),0,IFERROR(8-VLOOKUP(C372,'Dados de consulta'!$A$2:$C$38,3,0),8))</f>
        <v>8</v>
      </c>
      <c r="BA372" s="97">
        <f>IF(OR(AY372="SÁB",AY372="DOM"),0,IFERROR(8-VLOOKUP(D372,'Dados de consulta'!$A$2:$C$38,3,0),8))</f>
        <v>8</v>
      </c>
      <c r="BB372" s="97">
        <f>IF(OR(AY372="SÁB",AY372="DOM"),0,IFERROR(8-VLOOKUP(E372,'Dados de consulta'!$A$2:$C$38,3,0),8))</f>
        <v>0</v>
      </c>
      <c r="BC372" s="97">
        <f>IF(OR(AY372="SÁB",AY372="DOM"),0,IFERROR(8-VLOOKUP(F372,'Dados de consulta'!$A$2:$C$38,3,0),8))</f>
        <v>8</v>
      </c>
      <c r="BD372" s="97">
        <f>IF(OR(AY372="SÁB",AY372="DOM"),0,IFERROR(8-VLOOKUP(G372,'Dados de consulta'!$A$2:$C$38,3,0),8))</f>
        <v>8</v>
      </c>
      <c r="BE372" s="97">
        <f>IF(OR(AY372="SÁB",AY372="DOM"),0,IFERROR(8-VLOOKUP(H372,'Dados de consulta'!$A$2:$C$38,3,0),8))</f>
        <v>8</v>
      </c>
      <c r="BF372" s="97">
        <f>IF(OR(AY372="SÁB",AY372="DOM"),0,IFERROR(8-VLOOKUP(I372,'Dados de consulta'!$A$2:$C$38,3,0),8))</f>
        <v>8</v>
      </c>
      <c r="BG372" s="97">
        <f>IF(OR(AY372="SÁB",AY372="DOM"),0,IFERROR(8-VLOOKUP(J372,'Dados de consulta'!$A$2:$C$38,3,0),8))</f>
        <v>0</v>
      </c>
      <c r="BH372" s="97">
        <f>IF(OR(AY372="SÁB",AY372="DOM"),0,IFERROR(8-VLOOKUP(K372,'Dados de consulta'!$A$2:$C$38,3,0),8))</f>
        <v>8</v>
      </c>
      <c r="BI372" s="97">
        <f>IF(OR(AY372="SÁB",AY372="DOM"),0,IFERROR(8-VLOOKUP(L372,'Dados de consulta'!$A$2:$C$38,3,0),8))</f>
        <v>8</v>
      </c>
      <c r="BJ372" s="97">
        <f>IF(OR(AY372="SÁB",AY372="DOM"),0,IFERROR(8-VLOOKUP(M372,'Dados de consulta'!$A$2:$C$38,3,0),8))</f>
        <v>0</v>
      </c>
      <c r="BK372" s="97">
        <f>IF(OR(AY372="SÁB",AY372="DOM"),0,IFERROR(8-VLOOKUP(N372,'Dados de consulta'!$A$2:$C$38,3,0),8))</f>
        <v>8</v>
      </c>
      <c r="BL372" s="97">
        <f>IF(OR(AY372="SÁB",AY372="DOM"),0,IFERROR(8-VLOOKUP(O372,'Dados de consulta'!$A$2:$C$38,3,0),8))</f>
        <v>8</v>
      </c>
      <c r="BM372" s="97">
        <f>IF(OR(AY372="SÁB",AY372="DOM"),0,IFERROR(8-VLOOKUP(P372,'Dados de consulta'!$A$2:$C$38,3,0),8))</f>
        <v>8</v>
      </c>
      <c r="BN372" s="97">
        <f>IF(OR(AY372="SÁB",AY372="DOM"),0,IFERROR(8-VLOOKUP(Q372,'Dados de consulta'!$A$2:$C$38,3,0),8))</f>
        <v>8</v>
      </c>
      <c r="BO372" s="97">
        <f>IF(OR(AY372="SÁB",AY372="DOM"),0,IFERROR(8-VLOOKUP(R372,'Dados de consulta'!$A$2:$C$38,3,0),8))</f>
        <v>8</v>
      </c>
      <c r="BP372" s="97">
        <f>IF(OR(AY372="SÁB",AY372="DOM"),0,IFERROR(8-VLOOKUP(S372,'Dados de consulta'!$A$2:$C$38,3,0),8))</f>
        <v>8</v>
      </c>
      <c r="BQ372" s="113">
        <f>IFERROR(6-VLOOKUP(T372,'Dados de consulta'!$A$2:$C$38,3,0)+2,6)</f>
        <v>6</v>
      </c>
      <c r="BR372" s="114">
        <f t="shared" si="154"/>
        <v>118</v>
      </c>
      <c r="BS372">
        <f t="shared" si="130"/>
        <v>134</v>
      </c>
      <c r="BU372">
        <f>IFERROR(8-VLOOKUP(U372,'Dados de consulta'!$A:$D,3,0),8)</f>
        <v>8</v>
      </c>
      <c r="BV372">
        <f>IFERROR(8-VLOOKUP(V372,'Dados de consulta'!$A:$D,3,0),8)</f>
        <v>8</v>
      </c>
      <c r="BW372">
        <f t="shared" si="155"/>
        <v>16</v>
      </c>
    </row>
    <row r="373" spans="1:75" ht="15" hidden="1" x14ac:dyDescent="0.2">
      <c r="A373" s="98">
        <v>42496</v>
      </c>
      <c r="B373" s="129" t="str">
        <f t="shared" si="132"/>
        <v>sex</v>
      </c>
      <c r="C373" s="132"/>
      <c r="D373" s="132"/>
      <c r="E373" s="132">
        <v>8</v>
      </c>
      <c r="F373" s="132"/>
      <c r="G373" s="132"/>
      <c r="H373" s="132"/>
      <c r="I373" s="132"/>
      <c r="J373" s="132">
        <v>18</v>
      </c>
      <c r="K373" s="132"/>
      <c r="L373" s="132"/>
      <c r="M373" s="132">
        <v>101</v>
      </c>
      <c r="N373" s="132"/>
      <c r="O373" s="132"/>
      <c r="P373" s="132">
        <v>8</v>
      </c>
      <c r="Q373" s="132"/>
      <c r="R373" s="132"/>
      <c r="S373" s="132"/>
      <c r="T373" s="132"/>
      <c r="U373" s="151"/>
      <c r="V373" s="151"/>
      <c r="W373" s="307" t="s">
        <v>193</v>
      </c>
      <c r="X373" s="308"/>
      <c r="Y373" s="38">
        <f t="shared" si="133"/>
        <v>16</v>
      </c>
      <c r="Z373" s="38">
        <f t="shared" si="134"/>
        <v>8</v>
      </c>
      <c r="AA373" s="38">
        <f t="shared" si="131"/>
        <v>0</v>
      </c>
      <c r="AB373" s="38">
        <f t="shared" si="142"/>
        <v>0</v>
      </c>
      <c r="AC373" s="38">
        <f t="shared" si="143"/>
        <v>0</v>
      </c>
      <c r="AD373" s="38">
        <f t="shared" si="144"/>
        <v>0</v>
      </c>
      <c r="AE373" s="38">
        <f t="shared" si="145"/>
        <v>0</v>
      </c>
      <c r="AF373" s="38">
        <f t="shared" si="146"/>
        <v>0</v>
      </c>
      <c r="AG373" s="33">
        <f t="shared" si="147"/>
        <v>16</v>
      </c>
      <c r="AH373" s="33">
        <f t="shared" si="148"/>
        <v>8</v>
      </c>
      <c r="AI373" s="33">
        <f t="shared" si="149"/>
        <v>0</v>
      </c>
      <c r="AJ373" s="33">
        <f t="shared" si="150"/>
        <v>0</v>
      </c>
      <c r="AK373" s="34">
        <f t="shared" si="151"/>
        <v>0.11267605633802817</v>
      </c>
      <c r="AL373" s="35">
        <f t="shared" si="152"/>
        <v>5.6338028169014086E-2</v>
      </c>
      <c r="AM373" s="34">
        <f t="shared" si="135"/>
        <v>0</v>
      </c>
      <c r="AN373" s="36">
        <f t="shared" si="153"/>
        <v>0</v>
      </c>
      <c r="AO373" s="6">
        <f t="shared" si="136"/>
        <v>0</v>
      </c>
      <c r="AP373">
        <f t="shared" si="137"/>
        <v>8</v>
      </c>
      <c r="AQ373" s="6">
        <f t="shared" si="138"/>
        <v>0</v>
      </c>
      <c r="AR373" s="6">
        <f t="shared" si="139"/>
        <v>0</v>
      </c>
      <c r="AS373" s="6"/>
      <c r="AX373" s="95">
        <f t="shared" si="140"/>
        <v>42496</v>
      </c>
      <c r="AY373" s="96" t="str">
        <f t="shared" si="141"/>
        <v>sex</v>
      </c>
      <c r="AZ373" s="97">
        <f>IF(OR(AY373="SÁB",AY373="DOM"),0,IFERROR(8-VLOOKUP(C373,'Dados de consulta'!$A$2:$C$38,3,0),8))</f>
        <v>8</v>
      </c>
      <c r="BA373" s="97">
        <f>IF(OR(AY373="SÁB",AY373="DOM"),0,IFERROR(8-VLOOKUP(D373,'Dados de consulta'!$A$2:$C$38,3,0),8))</f>
        <v>8</v>
      </c>
      <c r="BB373" s="97">
        <f>IF(OR(AY373="SÁB",AY373="DOM"),0,IFERROR(8-VLOOKUP(E373,'Dados de consulta'!$A$2:$C$38,3,0),8))</f>
        <v>0</v>
      </c>
      <c r="BC373" s="97">
        <f>IF(OR(AY373="SÁB",AY373="DOM"),0,IFERROR(8-VLOOKUP(F373,'Dados de consulta'!$A$2:$C$38,3,0),8))</f>
        <v>8</v>
      </c>
      <c r="BD373" s="97">
        <f>IF(OR(AY373="SÁB",AY373="DOM"),0,IFERROR(8-VLOOKUP(G373,'Dados de consulta'!$A$2:$C$38,3,0),8))</f>
        <v>8</v>
      </c>
      <c r="BE373" s="97">
        <f>IF(OR(AY373="SÁB",AY373="DOM"),0,IFERROR(8-VLOOKUP(H373,'Dados de consulta'!$A$2:$C$38,3,0),8))</f>
        <v>8</v>
      </c>
      <c r="BF373" s="97">
        <f>IF(OR(AY373="SÁB",AY373="DOM"),0,IFERROR(8-VLOOKUP(I373,'Dados de consulta'!$A$2:$C$38,3,0),8))</f>
        <v>8</v>
      </c>
      <c r="BG373" s="97">
        <f>IF(OR(AY373="SÁB",AY373="DOM"),0,IFERROR(8-VLOOKUP(J373,'Dados de consulta'!$A$2:$C$38,3,0),8))</f>
        <v>0</v>
      </c>
      <c r="BH373" s="97">
        <f>IF(OR(AY373="SÁB",AY373="DOM"),0,IFERROR(8-VLOOKUP(K373,'Dados de consulta'!$A$2:$C$38,3,0),8))</f>
        <v>8</v>
      </c>
      <c r="BI373" s="97">
        <f>IF(OR(AY373="SÁB",AY373="DOM"),0,IFERROR(8-VLOOKUP(L373,'Dados de consulta'!$A$2:$C$38,3,0),8))</f>
        <v>8</v>
      </c>
      <c r="BJ373" s="97">
        <f>IF(OR(AY373="SÁB",AY373="DOM"),0,IFERROR(8-VLOOKUP(M373,'Dados de consulta'!$A$2:$C$38,3,0),8))</f>
        <v>0</v>
      </c>
      <c r="BK373" s="97">
        <f>IF(OR(AY373="SÁB",AY373="DOM"),0,IFERROR(8-VLOOKUP(N373,'Dados de consulta'!$A$2:$C$38,3,0),8))</f>
        <v>8</v>
      </c>
      <c r="BL373" s="97">
        <f>IF(OR(AY373="SÁB",AY373="DOM"),0,IFERROR(8-VLOOKUP(O373,'Dados de consulta'!$A$2:$C$38,3,0),8))</f>
        <v>8</v>
      </c>
      <c r="BM373" s="97">
        <f>IF(OR(AY373="SÁB",AY373="DOM"),0,IFERROR(8-VLOOKUP(P373,'Dados de consulta'!$A$2:$C$38,3,0),8))</f>
        <v>0</v>
      </c>
      <c r="BN373" s="97">
        <f>IF(OR(AY373="SÁB",AY373="DOM"),0,IFERROR(8-VLOOKUP(Q373,'Dados de consulta'!$A$2:$C$38,3,0),8))</f>
        <v>8</v>
      </c>
      <c r="BO373" s="97">
        <f>IF(OR(AY373="SÁB",AY373="DOM"),0,IFERROR(8-VLOOKUP(R373,'Dados de consulta'!$A$2:$C$38,3,0),8))</f>
        <v>8</v>
      </c>
      <c r="BP373" s="97">
        <f>IF(OR(AY373="SÁB",AY373="DOM"),0,IFERROR(8-VLOOKUP(S373,'Dados de consulta'!$A$2:$C$38,3,0),8))</f>
        <v>8</v>
      </c>
      <c r="BQ373" s="113">
        <f>IFERROR(6-VLOOKUP(T373,'Dados de consulta'!$A$2:$C$38,3,0)+2,6)</f>
        <v>6</v>
      </c>
      <c r="BR373" s="114">
        <f t="shared" si="154"/>
        <v>110</v>
      </c>
      <c r="BS373">
        <f t="shared" si="130"/>
        <v>134</v>
      </c>
      <c r="BU373">
        <f>IFERROR(8-VLOOKUP(U373,'Dados de consulta'!$A:$D,3,0),8)</f>
        <v>8</v>
      </c>
      <c r="BV373">
        <f>IFERROR(8-VLOOKUP(V373,'Dados de consulta'!$A:$D,3,0),8)</f>
        <v>8</v>
      </c>
      <c r="BW373">
        <f t="shared" si="155"/>
        <v>16</v>
      </c>
    </row>
    <row r="374" spans="1:75" ht="15" hidden="1" x14ac:dyDescent="0.2">
      <c r="A374" s="98">
        <v>42497</v>
      </c>
      <c r="B374" s="129" t="str">
        <f t="shared" si="132"/>
        <v>sáb</v>
      </c>
      <c r="C374" s="132"/>
      <c r="D374" s="132"/>
      <c r="E374" s="132"/>
      <c r="F374" s="132"/>
      <c r="G374" s="132"/>
      <c r="H374" s="132"/>
      <c r="I374" s="132"/>
      <c r="J374" s="132">
        <v>18</v>
      </c>
      <c r="K374" s="132"/>
      <c r="L374" s="132"/>
      <c r="M374" s="132">
        <v>101</v>
      </c>
      <c r="N374" s="132"/>
      <c r="O374" s="132"/>
      <c r="P374" s="132"/>
      <c r="Q374" s="132"/>
      <c r="R374" s="132"/>
      <c r="S374" s="132"/>
      <c r="T374" s="132"/>
      <c r="U374" s="151"/>
      <c r="V374" s="151"/>
      <c r="W374" s="307" t="s">
        <v>193</v>
      </c>
      <c r="X374" s="308"/>
      <c r="Y374" s="38">
        <f t="shared" si="133"/>
        <v>0</v>
      </c>
      <c r="Z374" s="38">
        <f t="shared" si="134"/>
        <v>8</v>
      </c>
      <c r="AA374" s="38">
        <f t="shared" si="131"/>
        <v>0</v>
      </c>
      <c r="AB374" s="38">
        <f t="shared" si="142"/>
        <v>0</v>
      </c>
      <c r="AC374" s="38">
        <f t="shared" si="143"/>
        <v>0</v>
      </c>
      <c r="AD374" s="38">
        <f t="shared" si="144"/>
        <v>0</v>
      </c>
      <c r="AE374" s="38">
        <f t="shared" si="145"/>
        <v>0</v>
      </c>
      <c r="AF374" s="38">
        <f t="shared" si="146"/>
        <v>0</v>
      </c>
      <c r="AG374" s="33">
        <f t="shared" si="147"/>
        <v>0</v>
      </c>
      <c r="AH374" s="33">
        <f t="shared" si="148"/>
        <v>0</v>
      </c>
      <c r="AI374" s="33">
        <f t="shared" si="149"/>
        <v>0</v>
      </c>
      <c r="AJ374" s="33">
        <f t="shared" si="150"/>
        <v>0</v>
      </c>
      <c r="AK374" s="34">
        <f t="shared" si="151"/>
        <v>0</v>
      </c>
      <c r="AL374" s="35">
        <f t="shared" si="152"/>
        <v>0</v>
      </c>
      <c r="AM374" s="34">
        <f t="shared" si="135"/>
        <v>0</v>
      </c>
      <c r="AN374" s="36">
        <f t="shared" si="153"/>
        <v>0</v>
      </c>
      <c r="AO374" s="6">
        <f t="shared" si="136"/>
        <v>0</v>
      </c>
      <c r="AP374">
        <f t="shared" si="137"/>
        <v>8</v>
      </c>
      <c r="AQ374" s="6">
        <f t="shared" si="138"/>
        <v>0</v>
      </c>
      <c r="AR374" s="6">
        <f t="shared" si="139"/>
        <v>0</v>
      </c>
      <c r="AS374" s="6"/>
      <c r="AX374" s="95">
        <f t="shared" si="140"/>
        <v>42497</v>
      </c>
      <c r="AY374" s="96" t="str">
        <f t="shared" si="141"/>
        <v>sáb</v>
      </c>
      <c r="AZ374" s="97">
        <f>IF(OR(AY374="SÁB",AY374="DOM"),0,IFERROR(8-VLOOKUP(C374,'Dados de consulta'!$A$2:$C$38,3,0),8))</f>
        <v>0</v>
      </c>
      <c r="BA374" s="97">
        <f>IF(OR(AY374="SÁB",AY374="DOM"),0,IFERROR(8-VLOOKUP(D374,'Dados de consulta'!$A$2:$C$38,3,0),8))</f>
        <v>0</v>
      </c>
      <c r="BB374" s="97">
        <f>IF(OR(AY374="SÁB",AY374="DOM"),0,IFERROR(8-VLOOKUP(E374,'Dados de consulta'!$A$2:$C$38,3,0),8))</f>
        <v>0</v>
      </c>
      <c r="BC374" s="97">
        <f>IF(OR(AY374="SÁB",AY374="DOM"),0,IFERROR(8-VLOOKUP(F374,'Dados de consulta'!$A$2:$C$38,3,0),8))</f>
        <v>0</v>
      </c>
      <c r="BD374" s="97">
        <f>IF(OR(AY374="SÁB",AY374="DOM"),0,IFERROR(8-VLOOKUP(G374,'Dados de consulta'!$A$2:$C$38,3,0),8))</f>
        <v>0</v>
      </c>
      <c r="BE374" s="97">
        <f>IF(OR(AY374="SÁB",AY374="DOM"),0,IFERROR(8-VLOOKUP(H374,'Dados de consulta'!$A$2:$C$38,3,0),8))</f>
        <v>0</v>
      </c>
      <c r="BF374" s="97">
        <f>IF(OR(AY374="SÁB",AY374="DOM"),0,IFERROR(8-VLOOKUP(I374,'Dados de consulta'!$A$2:$C$38,3,0),8))</f>
        <v>0</v>
      </c>
      <c r="BG374" s="97">
        <f>IF(OR(AY374="SÁB",AY374="DOM"),0,IFERROR(8-VLOOKUP(J374,'Dados de consulta'!$A$2:$C$38,3,0),8))</f>
        <v>0</v>
      </c>
      <c r="BH374" s="97">
        <f>IF(OR(AY374="SÁB",AY374="DOM"),0,IFERROR(8-VLOOKUP(K374,'Dados de consulta'!$A$2:$C$38,3,0),8))</f>
        <v>0</v>
      </c>
      <c r="BI374" s="97">
        <f>IF(OR(AY374="SÁB",AY374="DOM"),0,IFERROR(8-VLOOKUP(L374,'Dados de consulta'!$A$2:$C$38,3,0),8))</f>
        <v>0</v>
      </c>
      <c r="BJ374" s="97">
        <f>IF(OR(AY374="SÁB",AY374="DOM"),0,IFERROR(8-VLOOKUP(M374,'Dados de consulta'!$A$2:$C$38,3,0),8))</f>
        <v>0</v>
      </c>
      <c r="BK374" s="97">
        <f>IF(OR(AY374="SÁB",AY374="DOM"),0,IFERROR(8-VLOOKUP(N374,'Dados de consulta'!$A$2:$C$38,3,0),8))</f>
        <v>0</v>
      </c>
      <c r="BL374" s="97">
        <f>IF(OR(AY374="SÁB",AY374="DOM"),0,IFERROR(8-VLOOKUP(O374,'Dados de consulta'!$A$2:$C$38,3,0),8))</f>
        <v>0</v>
      </c>
      <c r="BM374" s="97">
        <f>IF(OR(AY374="SÁB",AY374="DOM"),0,IFERROR(8-VLOOKUP(P374,'Dados de consulta'!$A$2:$C$38,3,0),8))</f>
        <v>0</v>
      </c>
      <c r="BN374" s="97">
        <f>IF(OR(AY374="SÁB",AY374="DOM"),0,IFERROR(8-VLOOKUP(Q374,'Dados de consulta'!$A$2:$C$38,3,0),8))</f>
        <v>0</v>
      </c>
      <c r="BO374" s="97">
        <f>IF(OR(AY374="SÁB",AY374="DOM"),0,IFERROR(8-VLOOKUP(R374,'Dados de consulta'!$A$2:$C$38,3,0),8))</f>
        <v>0</v>
      </c>
      <c r="BP374" s="97">
        <f>IF(OR(AY374="SÁB",AY374="DOM"),0,IFERROR(8-VLOOKUP(S374,'Dados de consulta'!$A$2:$C$38,3,0),8))</f>
        <v>0</v>
      </c>
      <c r="BQ374" s="113">
        <f>IFERROR(6-VLOOKUP(T374,'Dados de consulta'!$A$2:$C$38,3,0)+2,6)</f>
        <v>6</v>
      </c>
      <c r="BR374" s="114">
        <f t="shared" si="154"/>
        <v>0</v>
      </c>
      <c r="BS374">
        <f t="shared" si="130"/>
        <v>0</v>
      </c>
      <c r="BU374">
        <f>IFERROR(8-VLOOKUP(U374,'Dados de consulta'!$A:$D,3,0),8)</f>
        <v>8</v>
      </c>
      <c r="BV374">
        <f>IFERROR(8-VLOOKUP(V374,'Dados de consulta'!$A:$D,3,0),8)</f>
        <v>8</v>
      </c>
      <c r="BW374">
        <f t="shared" si="155"/>
        <v>16</v>
      </c>
    </row>
    <row r="375" spans="1:75" ht="15" hidden="1" x14ac:dyDescent="0.2">
      <c r="A375" s="98">
        <v>42498</v>
      </c>
      <c r="B375" s="129" t="str">
        <f t="shared" si="132"/>
        <v>dom</v>
      </c>
      <c r="C375" s="132"/>
      <c r="D375" s="132"/>
      <c r="E375" s="132"/>
      <c r="F375" s="132"/>
      <c r="G375" s="132"/>
      <c r="H375" s="132"/>
      <c r="I375" s="132"/>
      <c r="J375" s="132">
        <v>18</v>
      </c>
      <c r="K375" s="132"/>
      <c r="L375" s="132"/>
      <c r="M375" s="132">
        <v>101</v>
      </c>
      <c r="N375" s="132"/>
      <c r="O375" s="132"/>
      <c r="P375" s="132"/>
      <c r="Q375" s="132"/>
      <c r="R375" s="132"/>
      <c r="S375" s="132"/>
      <c r="T375" s="132"/>
      <c r="U375" s="151"/>
      <c r="V375" s="151"/>
      <c r="W375" s="307" t="s">
        <v>193</v>
      </c>
      <c r="X375" s="308"/>
      <c r="Y375" s="38">
        <f t="shared" si="133"/>
        <v>0</v>
      </c>
      <c r="Z375" s="38">
        <f t="shared" si="134"/>
        <v>8</v>
      </c>
      <c r="AA375" s="38">
        <f t="shared" si="131"/>
        <v>0</v>
      </c>
      <c r="AB375" s="38">
        <f t="shared" si="142"/>
        <v>0</v>
      </c>
      <c r="AC375" s="38">
        <f t="shared" si="143"/>
        <v>0</v>
      </c>
      <c r="AD375" s="38">
        <f t="shared" si="144"/>
        <v>0</v>
      </c>
      <c r="AE375" s="38">
        <f t="shared" si="145"/>
        <v>0</v>
      </c>
      <c r="AF375" s="38">
        <f t="shared" si="146"/>
        <v>0</v>
      </c>
      <c r="AG375" s="33">
        <f t="shared" si="147"/>
        <v>0</v>
      </c>
      <c r="AH375" s="33">
        <f t="shared" si="148"/>
        <v>0</v>
      </c>
      <c r="AI375" s="33">
        <f t="shared" si="149"/>
        <v>0</v>
      </c>
      <c r="AJ375" s="33">
        <f t="shared" si="150"/>
        <v>0</v>
      </c>
      <c r="AK375" s="34">
        <f t="shared" si="151"/>
        <v>0</v>
      </c>
      <c r="AL375" s="35">
        <f t="shared" si="152"/>
        <v>0</v>
      </c>
      <c r="AM375" s="34">
        <f t="shared" si="135"/>
        <v>0</v>
      </c>
      <c r="AN375" s="36">
        <f t="shared" si="153"/>
        <v>0</v>
      </c>
      <c r="AO375" s="6">
        <f t="shared" si="136"/>
        <v>0</v>
      </c>
      <c r="AP375">
        <f t="shared" si="137"/>
        <v>8</v>
      </c>
      <c r="AQ375" s="6">
        <f t="shared" si="138"/>
        <v>0</v>
      </c>
      <c r="AR375" s="6">
        <f t="shared" si="139"/>
        <v>0</v>
      </c>
      <c r="AS375" s="6"/>
      <c r="AX375" s="95">
        <f t="shared" si="140"/>
        <v>42498</v>
      </c>
      <c r="AY375" s="96" t="str">
        <f t="shared" si="141"/>
        <v>dom</v>
      </c>
      <c r="AZ375" s="97">
        <f>IF(OR(AY375="SÁB",AY375="DOM"),0,IFERROR(8-VLOOKUP(C375,'Dados de consulta'!$A$2:$C$38,3,0),8))</f>
        <v>0</v>
      </c>
      <c r="BA375" s="97">
        <f>IF(OR(AY375="SÁB",AY375="DOM"),0,IFERROR(8-VLOOKUP(D375,'Dados de consulta'!$A$2:$C$38,3,0),8))</f>
        <v>0</v>
      </c>
      <c r="BB375" s="97">
        <f>IF(OR(AY375="SÁB",AY375="DOM"),0,IFERROR(8-VLOOKUP(E375,'Dados de consulta'!$A$2:$C$38,3,0),8))</f>
        <v>0</v>
      </c>
      <c r="BC375" s="97">
        <f>IF(OR(AY375="SÁB",AY375="DOM"),0,IFERROR(8-VLOOKUP(F375,'Dados de consulta'!$A$2:$C$38,3,0),8))</f>
        <v>0</v>
      </c>
      <c r="BD375" s="97">
        <f>IF(OR(AY375="SÁB",AY375="DOM"),0,IFERROR(8-VLOOKUP(G375,'Dados de consulta'!$A$2:$C$38,3,0),8))</f>
        <v>0</v>
      </c>
      <c r="BE375" s="97">
        <f>IF(OR(AY375="SÁB",AY375="DOM"),0,IFERROR(8-VLOOKUP(H375,'Dados de consulta'!$A$2:$C$38,3,0),8))</f>
        <v>0</v>
      </c>
      <c r="BF375" s="97">
        <f>IF(OR(AY375="SÁB",AY375="DOM"),0,IFERROR(8-VLOOKUP(I375,'Dados de consulta'!$A$2:$C$38,3,0),8))</f>
        <v>0</v>
      </c>
      <c r="BG375" s="97">
        <f>IF(OR(AY375="SÁB",AY375="DOM"),0,IFERROR(8-VLOOKUP(J375,'Dados de consulta'!$A$2:$C$38,3,0),8))</f>
        <v>0</v>
      </c>
      <c r="BH375" s="97">
        <f>IF(OR(AY375="SÁB",AY375="DOM"),0,IFERROR(8-VLOOKUP(K375,'Dados de consulta'!$A$2:$C$38,3,0),8))</f>
        <v>0</v>
      </c>
      <c r="BI375" s="97">
        <f>IF(OR(AY375="SÁB",AY375="DOM"),0,IFERROR(8-VLOOKUP(L375,'Dados de consulta'!$A$2:$C$38,3,0),8))</f>
        <v>0</v>
      </c>
      <c r="BJ375" s="97">
        <f>IF(OR(AY375="SÁB",AY375="DOM"),0,IFERROR(8-VLOOKUP(M375,'Dados de consulta'!$A$2:$C$38,3,0),8))</f>
        <v>0</v>
      </c>
      <c r="BK375" s="97">
        <f>IF(OR(AY375="SÁB",AY375="DOM"),0,IFERROR(8-VLOOKUP(N375,'Dados de consulta'!$A$2:$C$38,3,0),8))</f>
        <v>0</v>
      </c>
      <c r="BL375" s="97">
        <f>IF(OR(AY375="SÁB",AY375="DOM"),0,IFERROR(8-VLOOKUP(O375,'Dados de consulta'!$A$2:$C$38,3,0),8))</f>
        <v>0</v>
      </c>
      <c r="BM375" s="97">
        <f>IF(OR(AY375="SÁB",AY375="DOM"),0,IFERROR(8-VLOOKUP(P375,'Dados de consulta'!$A$2:$C$38,3,0),8))</f>
        <v>0</v>
      </c>
      <c r="BN375" s="97">
        <f>IF(OR(AY375="SÁB",AY375="DOM"),0,IFERROR(8-VLOOKUP(Q375,'Dados de consulta'!$A$2:$C$38,3,0),8))</f>
        <v>0</v>
      </c>
      <c r="BO375" s="97">
        <f>IF(OR(AY375="SÁB",AY375="DOM"),0,IFERROR(8-VLOOKUP(R375,'Dados de consulta'!$A$2:$C$38,3,0),8))</f>
        <v>0</v>
      </c>
      <c r="BP375" s="97">
        <f>IF(OR(AY375="SÁB",AY375="DOM"),0,IFERROR(8-VLOOKUP(S375,'Dados de consulta'!$A$2:$C$38,3,0),8))</f>
        <v>0</v>
      </c>
      <c r="BQ375" s="113">
        <f>IFERROR(6-VLOOKUP(T375,'Dados de consulta'!$A$2:$C$38,3,0)+2,6)</f>
        <v>6</v>
      </c>
      <c r="BR375" s="114">
        <f t="shared" si="154"/>
        <v>0</v>
      </c>
      <c r="BS375">
        <f t="shared" si="130"/>
        <v>0</v>
      </c>
      <c r="BU375">
        <f>IFERROR(8-VLOOKUP(U375,'Dados de consulta'!$A:$D,3,0),8)</f>
        <v>8</v>
      </c>
      <c r="BV375">
        <f>IFERROR(8-VLOOKUP(V375,'Dados de consulta'!$A:$D,3,0),8)</f>
        <v>8</v>
      </c>
      <c r="BW375">
        <f t="shared" si="155"/>
        <v>16</v>
      </c>
    </row>
    <row r="376" spans="1:75" ht="15" hidden="1" x14ac:dyDescent="0.2">
      <c r="A376" s="98">
        <v>42499</v>
      </c>
      <c r="B376" s="129" t="str">
        <f t="shared" si="132"/>
        <v>seg</v>
      </c>
      <c r="C376" s="132"/>
      <c r="D376" s="132"/>
      <c r="E376" s="132">
        <v>8</v>
      </c>
      <c r="F376" s="132"/>
      <c r="G376" s="132"/>
      <c r="H376" s="132"/>
      <c r="I376" s="132"/>
      <c r="J376" s="132">
        <v>18</v>
      </c>
      <c r="K376" s="132"/>
      <c r="L376" s="132"/>
      <c r="M376" s="132">
        <v>101</v>
      </c>
      <c r="N376" s="132"/>
      <c r="O376" s="132"/>
      <c r="P376" s="132"/>
      <c r="Q376" s="132"/>
      <c r="R376" s="132"/>
      <c r="S376" s="132"/>
      <c r="T376" s="132"/>
      <c r="U376" s="151"/>
      <c r="V376" s="151"/>
      <c r="W376" s="307" t="s">
        <v>193</v>
      </c>
      <c r="X376" s="308"/>
      <c r="Y376" s="38">
        <f t="shared" si="133"/>
        <v>8</v>
      </c>
      <c r="Z376" s="38">
        <f t="shared" si="134"/>
        <v>8</v>
      </c>
      <c r="AA376" s="38">
        <f t="shared" si="131"/>
        <v>0</v>
      </c>
      <c r="AB376" s="38">
        <f t="shared" si="142"/>
        <v>0</v>
      </c>
      <c r="AC376" s="38">
        <f t="shared" si="143"/>
        <v>0</v>
      </c>
      <c r="AD376" s="38">
        <f t="shared" si="144"/>
        <v>0</v>
      </c>
      <c r="AE376" s="38">
        <f t="shared" si="145"/>
        <v>0</v>
      </c>
      <c r="AF376" s="38">
        <f t="shared" si="146"/>
        <v>0</v>
      </c>
      <c r="AG376" s="33">
        <f t="shared" si="147"/>
        <v>8</v>
      </c>
      <c r="AH376" s="33">
        <f t="shared" si="148"/>
        <v>8</v>
      </c>
      <c r="AI376" s="33">
        <f t="shared" si="149"/>
        <v>0</v>
      </c>
      <c r="AJ376" s="33">
        <f t="shared" si="150"/>
        <v>0</v>
      </c>
      <c r="AK376" s="34">
        <f t="shared" si="151"/>
        <v>5.6338028169014086E-2</v>
      </c>
      <c r="AL376" s="35">
        <f t="shared" si="152"/>
        <v>5.6338028169014086E-2</v>
      </c>
      <c r="AM376" s="34">
        <f t="shared" si="135"/>
        <v>0</v>
      </c>
      <c r="AN376" s="36">
        <f t="shared" si="153"/>
        <v>0</v>
      </c>
      <c r="AO376" s="6">
        <f t="shared" si="136"/>
        <v>0</v>
      </c>
      <c r="AP376">
        <f t="shared" si="137"/>
        <v>8</v>
      </c>
      <c r="AQ376" s="6">
        <f t="shared" si="138"/>
        <v>0</v>
      </c>
      <c r="AR376" s="6">
        <f t="shared" si="139"/>
        <v>0</v>
      </c>
      <c r="AS376" s="6"/>
      <c r="AX376" s="95">
        <f t="shared" si="140"/>
        <v>42499</v>
      </c>
      <c r="AY376" s="96" t="str">
        <f t="shared" si="141"/>
        <v>seg</v>
      </c>
      <c r="AZ376" s="97">
        <f>IF(OR(AY376="SÁB",AY376="DOM"),0,IFERROR(8-VLOOKUP(C376,'Dados de consulta'!$A$2:$C$38,3,0),8))</f>
        <v>8</v>
      </c>
      <c r="BA376" s="97">
        <f>IF(OR(AY376="SÁB",AY376="DOM"),0,IFERROR(8-VLOOKUP(D376,'Dados de consulta'!$A$2:$C$38,3,0),8))</f>
        <v>8</v>
      </c>
      <c r="BB376" s="97">
        <f>IF(OR(AY376="SÁB",AY376="DOM"),0,IFERROR(8-VLOOKUP(E376,'Dados de consulta'!$A$2:$C$38,3,0),8))</f>
        <v>0</v>
      </c>
      <c r="BC376" s="97">
        <f>IF(OR(AY376="SÁB",AY376="DOM"),0,IFERROR(8-VLOOKUP(F376,'Dados de consulta'!$A$2:$C$38,3,0),8))</f>
        <v>8</v>
      </c>
      <c r="BD376" s="97">
        <f>IF(OR(AY376="SÁB",AY376="DOM"),0,IFERROR(8-VLOOKUP(G376,'Dados de consulta'!$A$2:$C$38,3,0),8))</f>
        <v>8</v>
      </c>
      <c r="BE376" s="97">
        <f>IF(OR(AY376="SÁB",AY376="DOM"),0,IFERROR(8-VLOOKUP(H376,'Dados de consulta'!$A$2:$C$38,3,0),8))</f>
        <v>8</v>
      </c>
      <c r="BF376" s="97">
        <f>IF(OR(AY376="SÁB",AY376="DOM"),0,IFERROR(8-VLOOKUP(I376,'Dados de consulta'!$A$2:$C$38,3,0),8))</f>
        <v>8</v>
      </c>
      <c r="BG376" s="97">
        <f>IF(OR(AY376="SÁB",AY376="DOM"),0,IFERROR(8-VLOOKUP(J376,'Dados de consulta'!$A$2:$C$38,3,0),8))</f>
        <v>0</v>
      </c>
      <c r="BH376" s="97">
        <f>IF(OR(AY376="SÁB",AY376="DOM"),0,IFERROR(8-VLOOKUP(K376,'Dados de consulta'!$A$2:$C$38,3,0),8))</f>
        <v>8</v>
      </c>
      <c r="BI376" s="97">
        <f>IF(OR(AY376="SÁB",AY376="DOM"),0,IFERROR(8-VLOOKUP(L376,'Dados de consulta'!$A$2:$C$38,3,0),8))</f>
        <v>8</v>
      </c>
      <c r="BJ376" s="97">
        <f>IF(OR(AY376="SÁB",AY376="DOM"),0,IFERROR(8-VLOOKUP(M376,'Dados de consulta'!$A$2:$C$38,3,0),8))</f>
        <v>0</v>
      </c>
      <c r="BK376" s="97">
        <f>IF(OR(AY376="SÁB",AY376="DOM"),0,IFERROR(8-VLOOKUP(N376,'Dados de consulta'!$A$2:$C$38,3,0),8))</f>
        <v>8</v>
      </c>
      <c r="BL376" s="97">
        <f>IF(OR(AY376="SÁB",AY376="DOM"),0,IFERROR(8-VLOOKUP(O376,'Dados de consulta'!$A$2:$C$38,3,0),8))</f>
        <v>8</v>
      </c>
      <c r="BM376" s="97">
        <f>IF(OR(AY376="SÁB",AY376="DOM"),0,IFERROR(8-VLOOKUP(P376,'Dados de consulta'!$A$2:$C$38,3,0),8))</f>
        <v>8</v>
      </c>
      <c r="BN376" s="97">
        <f>IF(OR(AY376="SÁB",AY376="DOM"),0,IFERROR(8-VLOOKUP(Q376,'Dados de consulta'!$A$2:$C$38,3,0),8))</f>
        <v>8</v>
      </c>
      <c r="BO376" s="97">
        <f>IF(OR(AY376="SÁB",AY376="DOM"),0,IFERROR(8-VLOOKUP(R376,'Dados de consulta'!$A$2:$C$38,3,0),8))</f>
        <v>8</v>
      </c>
      <c r="BP376" s="97">
        <f>IF(OR(AY376="SÁB",AY376="DOM"),0,IFERROR(8-VLOOKUP(S376,'Dados de consulta'!$A$2:$C$38,3,0),8))</f>
        <v>8</v>
      </c>
      <c r="BQ376" s="113">
        <f>IFERROR(6-VLOOKUP(T376,'Dados de consulta'!$A$2:$C$38,3,0)+2,6)</f>
        <v>6</v>
      </c>
      <c r="BR376" s="114">
        <f t="shared" si="154"/>
        <v>118</v>
      </c>
      <c r="BS376">
        <f t="shared" si="130"/>
        <v>134</v>
      </c>
      <c r="BU376">
        <f>IFERROR(8-VLOOKUP(U376,'Dados de consulta'!$A:$D,3,0),8)</f>
        <v>8</v>
      </c>
      <c r="BV376">
        <f>IFERROR(8-VLOOKUP(V376,'Dados de consulta'!$A:$D,3,0),8)</f>
        <v>8</v>
      </c>
      <c r="BW376">
        <f t="shared" si="155"/>
        <v>16</v>
      </c>
    </row>
    <row r="377" spans="1:75" ht="15" hidden="1" x14ac:dyDescent="0.2">
      <c r="A377" s="98">
        <v>42500</v>
      </c>
      <c r="B377" s="129" t="str">
        <f t="shared" si="132"/>
        <v>ter</v>
      </c>
      <c r="C377" s="132"/>
      <c r="D377" s="132"/>
      <c r="E377" s="132">
        <v>8</v>
      </c>
      <c r="F377" s="132"/>
      <c r="G377" s="132"/>
      <c r="H377" s="132"/>
      <c r="I377" s="132"/>
      <c r="J377" s="132">
        <v>18</v>
      </c>
      <c r="K377" s="132"/>
      <c r="L377" s="132"/>
      <c r="M377" s="132">
        <v>101</v>
      </c>
      <c r="N377" s="132"/>
      <c r="O377" s="132"/>
      <c r="P377" s="132"/>
      <c r="Q377" s="132"/>
      <c r="R377" s="132"/>
      <c r="S377" s="132"/>
      <c r="T377" s="132"/>
      <c r="U377" s="151"/>
      <c r="V377" s="151"/>
      <c r="W377" s="307" t="s">
        <v>193</v>
      </c>
      <c r="X377" s="308"/>
      <c r="Y377" s="38">
        <f t="shared" si="133"/>
        <v>8</v>
      </c>
      <c r="Z377" s="38">
        <f t="shared" si="134"/>
        <v>8</v>
      </c>
      <c r="AA377" s="38">
        <f t="shared" si="131"/>
        <v>0</v>
      </c>
      <c r="AB377" s="38">
        <f t="shared" si="142"/>
        <v>0</v>
      </c>
      <c r="AC377" s="38">
        <f t="shared" si="143"/>
        <v>0</v>
      </c>
      <c r="AD377" s="38">
        <f t="shared" si="144"/>
        <v>0</v>
      </c>
      <c r="AE377" s="38">
        <f t="shared" si="145"/>
        <v>0</v>
      </c>
      <c r="AF377" s="38">
        <f t="shared" si="146"/>
        <v>0</v>
      </c>
      <c r="AG377" s="33">
        <f t="shared" si="147"/>
        <v>8</v>
      </c>
      <c r="AH377" s="33">
        <f t="shared" si="148"/>
        <v>8</v>
      </c>
      <c r="AI377" s="33">
        <f t="shared" si="149"/>
        <v>0</v>
      </c>
      <c r="AJ377" s="33">
        <f t="shared" si="150"/>
        <v>0</v>
      </c>
      <c r="AK377" s="34">
        <f t="shared" si="151"/>
        <v>5.6338028169014086E-2</v>
      </c>
      <c r="AL377" s="35">
        <f t="shared" si="152"/>
        <v>5.6338028169014086E-2</v>
      </c>
      <c r="AM377" s="34">
        <f t="shared" si="135"/>
        <v>0</v>
      </c>
      <c r="AN377" s="36">
        <f t="shared" si="153"/>
        <v>0</v>
      </c>
      <c r="AO377" s="6">
        <f t="shared" si="136"/>
        <v>0</v>
      </c>
      <c r="AP377">
        <f t="shared" si="137"/>
        <v>8</v>
      </c>
      <c r="AQ377" s="6">
        <f t="shared" si="138"/>
        <v>0</v>
      </c>
      <c r="AR377" s="6">
        <f t="shared" si="139"/>
        <v>0</v>
      </c>
      <c r="AS377" s="6"/>
      <c r="AX377" s="95">
        <f t="shared" si="140"/>
        <v>42500</v>
      </c>
      <c r="AY377" s="96" t="str">
        <f t="shared" si="141"/>
        <v>ter</v>
      </c>
      <c r="AZ377" s="97">
        <f>IF(OR(AY377="SÁB",AY377="DOM"),0,IFERROR(8-VLOOKUP(C377,'Dados de consulta'!$A$2:$C$38,3,0),8))</f>
        <v>8</v>
      </c>
      <c r="BA377" s="97">
        <f>IF(OR(AY377="SÁB",AY377="DOM"),0,IFERROR(8-VLOOKUP(D377,'Dados de consulta'!$A$2:$C$38,3,0),8))</f>
        <v>8</v>
      </c>
      <c r="BB377" s="97">
        <f>IF(OR(AY377="SÁB",AY377="DOM"),0,IFERROR(8-VLOOKUP(E377,'Dados de consulta'!$A$2:$C$38,3,0),8))</f>
        <v>0</v>
      </c>
      <c r="BC377" s="97">
        <f>IF(OR(AY377="SÁB",AY377="DOM"),0,IFERROR(8-VLOOKUP(F377,'Dados de consulta'!$A$2:$C$38,3,0),8))</f>
        <v>8</v>
      </c>
      <c r="BD377" s="97">
        <f>IF(OR(AY377="SÁB",AY377="DOM"),0,IFERROR(8-VLOOKUP(G377,'Dados de consulta'!$A$2:$C$38,3,0),8))</f>
        <v>8</v>
      </c>
      <c r="BE377" s="97">
        <f>IF(OR(AY377="SÁB",AY377="DOM"),0,IFERROR(8-VLOOKUP(H377,'Dados de consulta'!$A$2:$C$38,3,0),8))</f>
        <v>8</v>
      </c>
      <c r="BF377" s="97">
        <f>IF(OR(AY377="SÁB",AY377="DOM"),0,IFERROR(8-VLOOKUP(I377,'Dados de consulta'!$A$2:$C$38,3,0),8))</f>
        <v>8</v>
      </c>
      <c r="BG377" s="97">
        <f>IF(OR(AY377="SÁB",AY377="DOM"),0,IFERROR(8-VLOOKUP(J377,'Dados de consulta'!$A$2:$C$38,3,0),8))</f>
        <v>0</v>
      </c>
      <c r="BH377" s="97">
        <f>IF(OR(AY377="SÁB",AY377="DOM"),0,IFERROR(8-VLOOKUP(K377,'Dados de consulta'!$A$2:$C$38,3,0),8))</f>
        <v>8</v>
      </c>
      <c r="BI377" s="97">
        <f>IF(OR(AY377="SÁB",AY377="DOM"),0,IFERROR(8-VLOOKUP(L377,'Dados de consulta'!$A$2:$C$38,3,0),8))</f>
        <v>8</v>
      </c>
      <c r="BJ377" s="97">
        <f>IF(OR(AY377="SÁB",AY377="DOM"),0,IFERROR(8-VLOOKUP(M377,'Dados de consulta'!$A$2:$C$38,3,0),8))</f>
        <v>0</v>
      </c>
      <c r="BK377" s="97">
        <f>IF(OR(AY377="SÁB",AY377="DOM"),0,IFERROR(8-VLOOKUP(N377,'Dados de consulta'!$A$2:$C$38,3,0),8))</f>
        <v>8</v>
      </c>
      <c r="BL377" s="97">
        <f>IF(OR(AY377="SÁB",AY377="DOM"),0,IFERROR(8-VLOOKUP(O377,'Dados de consulta'!$A$2:$C$38,3,0),8))</f>
        <v>8</v>
      </c>
      <c r="BM377" s="97">
        <f>IF(OR(AY377="SÁB",AY377="DOM"),0,IFERROR(8-VLOOKUP(P377,'Dados de consulta'!$A$2:$C$38,3,0),8))</f>
        <v>8</v>
      </c>
      <c r="BN377" s="97">
        <f>IF(OR(AY377="SÁB",AY377="DOM"),0,IFERROR(8-VLOOKUP(Q377,'Dados de consulta'!$A$2:$C$38,3,0),8))</f>
        <v>8</v>
      </c>
      <c r="BO377" s="97">
        <f>IF(OR(AY377="SÁB",AY377="DOM"),0,IFERROR(8-VLOOKUP(R377,'Dados de consulta'!$A$2:$C$38,3,0),8))</f>
        <v>8</v>
      </c>
      <c r="BP377" s="97">
        <f>IF(OR(AY377="SÁB",AY377="DOM"),0,IFERROR(8-VLOOKUP(S377,'Dados de consulta'!$A$2:$C$38,3,0),8))</f>
        <v>8</v>
      </c>
      <c r="BQ377" s="113">
        <f>IFERROR(6-VLOOKUP(T377,'Dados de consulta'!$A$2:$C$38,3,0)+2,6)</f>
        <v>6</v>
      </c>
      <c r="BR377" s="114">
        <f t="shared" si="154"/>
        <v>118</v>
      </c>
      <c r="BS377">
        <f t="shared" si="130"/>
        <v>134</v>
      </c>
      <c r="BU377">
        <f>IFERROR(8-VLOOKUP(U377,'Dados de consulta'!$A:$D,3,0),8)</f>
        <v>8</v>
      </c>
      <c r="BV377">
        <f>IFERROR(8-VLOOKUP(V377,'Dados de consulta'!$A:$D,3,0),8)</f>
        <v>8</v>
      </c>
      <c r="BW377">
        <f t="shared" si="155"/>
        <v>16</v>
      </c>
    </row>
    <row r="378" spans="1:75" ht="15" hidden="1" x14ac:dyDescent="0.2">
      <c r="A378" s="98">
        <v>42501</v>
      </c>
      <c r="B378" s="129" t="str">
        <f t="shared" si="132"/>
        <v>qua</v>
      </c>
      <c r="C378" s="132"/>
      <c r="D378" s="132"/>
      <c r="E378" s="132">
        <v>8</v>
      </c>
      <c r="F378" s="132"/>
      <c r="G378" s="132"/>
      <c r="H378" s="132"/>
      <c r="I378" s="132"/>
      <c r="J378" s="132">
        <v>18</v>
      </c>
      <c r="K378" s="132"/>
      <c r="L378" s="132"/>
      <c r="M378" s="132">
        <v>101</v>
      </c>
      <c r="N378" s="132"/>
      <c r="O378" s="132"/>
      <c r="P378" s="132"/>
      <c r="Q378" s="132"/>
      <c r="R378" s="132"/>
      <c r="S378" s="132"/>
      <c r="T378" s="132"/>
      <c r="U378" s="151"/>
      <c r="V378" s="151"/>
      <c r="W378" s="307" t="s">
        <v>193</v>
      </c>
      <c r="X378" s="308"/>
      <c r="Y378" s="38">
        <f t="shared" si="133"/>
        <v>8</v>
      </c>
      <c r="Z378" s="38">
        <f t="shared" si="134"/>
        <v>8</v>
      </c>
      <c r="AA378" s="38">
        <f t="shared" si="131"/>
        <v>0</v>
      </c>
      <c r="AB378" s="38">
        <f t="shared" si="142"/>
        <v>0</v>
      </c>
      <c r="AC378" s="38">
        <f t="shared" si="143"/>
        <v>0</v>
      </c>
      <c r="AD378" s="38">
        <f t="shared" si="144"/>
        <v>0</v>
      </c>
      <c r="AE378" s="38">
        <f t="shared" si="145"/>
        <v>0</v>
      </c>
      <c r="AF378" s="38">
        <f t="shared" si="146"/>
        <v>0</v>
      </c>
      <c r="AG378" s="33">
        <f t="shared" si="147"/>
        <v>8</v>
      </c>
      <c r="AH378" s="33">
        <f t="shared" si="148"/>
        <v>8</v>
      </c>
      <c r="AI378" s="33">
        <f t="shared" si="149"/>
        <v>0</v>
      </c>
      <c r="AJ378" s="33">
        <f t="shared" si="150"/>
        <v>0</v>
      </c>
      <c r="AK378" s="34">
        <f t="shared" si="151"/>
        <v>5.6338028169014086E-2</v>
      </c>
      <c r="AL378" s="35">
        <f t="shared" si="152"/>
        <v>5.6338028169014086E-2</v>
      </c>
      <c r="AM378" s="34">
        <f t="shared" si="135"/>
        <v>0</v>
      </c>
      <c r="AN378" s="36">
        <f t="shared" si="153"/>
        <v>0</v>
      </c>
      <c r="AO378" s="6">
        <f t="shared" si="136"/>
        <v>0</v>
      </c>
      <c r="AP378">
        <f t="shared" si="137"/>
        <v>8</v>
      </c>
      <c r="AQ378" s="6">
        <f t="shared" si="138"/>
        <v>0</v>
      </c>
      <c r="AR378" s="6">
        <f t="shared" si="139"/>
        <v>0</v>
      </c>
      <c r="AS378" s="6"/>
      <c r="AX378" s="95">
        <f t="shared" si="140"/>
        <v>42501</v>
      </c>
      <c r="AY378" s="96" t="str">
        <f t="shared" si="141"/>
        <v>qua</v>
      </c>
      <c r="AZ378" s="97">
        <f>IF(OR(AY378="SÁB",AY378="DOM"),0,IFERROR(8-VLOOKUP(C378,'Dados de consulta'!$A$2:$C$38,3,0),8))</f>
        <v>8</v>
      </c>
      <c r="BA378" s="97">
        <f>IF(OR(AY378="SÁB",AY378="DOM"),0,IFERROR(8-VLOOKUP(D378,'Dados de consulta'!$A$2:$C$38,3,0),8))</f>
        <v>8</v>
      </c>
      <c r="BB378" s="97">
        <f>IF(OR(AY378="SÁB",AY378="DOM"),0,IFERROR(8-VLOOKUP(E378,'Dados de consulta'!$A$2:$C$38,3,0),8))</f>
        <v>0</v>
      </c>
      <c r="BC378" s="97">
        <f>IF(OR(AY378="SÁB",AY378="DOM"),0,IFERROR(8-VLOOKUP(F378,'Dados de consulta'!$A$2:$C$38,3,0),8))</f>
        <v>8</v>
      </c>
      <c r="BD378" s="97">
        <f>IF(OR(AY378="SÁB",AY378="DOM"),0,IFERROR(8-VLOOKUP(G378,'Dados de consulta'!$A$2:$C$38,3,0),8))</f>
        <v>8</v>
      </c>
      <c r="BE378" s="97">
        <f>IF(OR(AY378="SÁB",AY378="DOM"),0,IFERROR(8-VLOOKUP(H378,'Dados de consulta'!$A$2:$C$38,3,0),8))</f>
        <v>8</v>
      </c>
      <c r="BF378" s="97">
        <f>IF(OR(AY378="SÁB",AY378="DOM"),0,IFERROR(8-VLOOKUP(I378,'Dados de consulta'!$A$2:$C$38,3,0),8))</f>
        <v>8</v>
      </c>
      <c r="BG378" s="97">
        <f>IF(OR(AY378="SÁB",AY378="DOM"),0,IFERROR(8-VLOOKUP(J378,'Dados de consulta'!$A$2:$C$38,3,0),8))</f>
        <v>0</v>
      </c>
      <c r="BH378" s="97">
        <f>IF(OR(AY378="SÁB",AY378="DOM"),0,IFERROR(8-VLOOKUP(K378,'Dados de consulta'!$A$2:$C$38,3,0),8))</f>
        <v>8</v>
      </c>
      <c r="BI378" s="97">
        <f>IF(OR(AY378="SÁB",AY378="DOM"),0,IFERROR(8-VLOOKUP(L378,'Dados de consulta'!$A$2:$C$38,3,0),8))</f>
        <v>8</v>
      </c>
      <c r="BJ378" s="97">
        <f>IF(OR(AY378="SÁB",AY378="DOM"),0,IFERROR(8-VLOOKUP(M378,'Dados de consulta'!$A$2:$C$38,3,0),8))</f>
        <v>0</v>
      </c>
      <c r="BK378" s="97">
        <f>IF(OR(AY378="SÁB",AY378="DOM"),0,IFERROR(8-VLOOKUP(N378,'Dados de consulta'!$A$2:$C$38,3,0),8))</f>
        <v>8</v>
      </c>
      <c r="BL378" s="97">
        <f>IF(OR(AY378="SÁB",AY378="DOM"),0,IFERROR(8-VLOOKUP(O378,'Dados de consulta'!$A$2:$C$38,3,0),8))</f>
        <v>8</v>
      </c>
      <c r="BM378" s="97">
        <f>IF(OR(AY378="SÁB",AY378="DOM"),0,IFERROR(8-VLOOKUP(P378,'Dados de consulta'!$A$2:$C$38,3,0),8))</f>
        <v>8</v>
      </c>
      <c r="BN378" s="97">
        <f>IF(OR(AY378="SÁB",AY378="DOM"),0,IFERROR(8-VLOOKUP(Q378,'Dados de consulta'!$A$2:$C$38,3,0),8))</f>
        <v>8</v>
      </c>
      <c r="BO378" s="97">
        <f>IF(OR(AY378="SÁB",AY378="DOM"),0,IFERROR(8-VLOOKUP(R378,'Dados de consulta'!$A$2:$C$38,3,0),8))</f>
        <v>8</v>
      </c>
      <c r="BP378" s="97">
        <f>IF(OR(AY378="SÁB",AY378="DOM"),0,IFERROR(8-VLOOKUP(S378,'Dados de consulta'!$A$2:$C$38,3,0),8))</f>
        <v>8</v>
      </c>
      <c r="BQ378" s="113">
        <f>IFERROR(6-VLOOKUP(T378,'Dados de consulta'!$A$2:$C$38,3,0)+2,6)</f>
        <v>6</v>
      </c>
      <c r="BR378" s="114">
        <f t="shared" si="154"/>
        <v>118</v>
      </c>
      <c r="BS378">
        <f t="shared" si="130"/>
        <v>134</v>
      </c>
      <c r="BU378">
        <f>IFERROR(8-VLOOKUP(U378,'Dados de consulta'!$A:$D,3,0),8)</f>
        <v>8</v>
      </c>
      <c r="BV378">
        <f>IFERROR(8-VLOOKUP(V378,'Dados de consulta'!$A:$D,3,0),8)</f>
        <v>8</v>
      </c>
      <c r="BW378">
        <f t="shared" si="155"/>
        <v>16</v>
      </c>
    </row>
    <row r="379" spans="1:75" ht="15" hidden="1" x14ac:dyDescent="0.2">
      <c r="A379" s="98">
        <v>42502</v>
      </c>
      <c r="B379" s="129" t="str">
        <f t="shared" si="132"/>
        <v>qui</v>
      </c>
      <c r="C379" s="132" t="s">
        <v>195</v>
      </c>
      <c r="D379" s="132" t="s">
        <v>195</v>
      </c>
      <c r="E379" s="132">
        <v>8</v>
      </c>
      <c r="F379" s="132" t="s">
        <v>195</v>
      </c>
      <c r="G379" s="132" t="s">
        <v>195</v>
      </c>
      <c r="H379" s="132"/>
      <c r="I379" s="132"/>
      <c r="J379" s="132"/>
      <c r="K379" s="132" t="s">
        <v>195</v>
      </c>
      <c r="L379" s="132" t="s">
        <v>195</v>
      </c>
      <c r="M379" s="132">
        <v>101</v>
      </c>
      <c r="N379" s="132" t="s">
        <v>195</v>
      </c>
      <c r="O379" s="132" t="s">
        <v>195</v>
      </c>
      <c r="P379" s="132" t="s">
        <v>195</v>
      </c>
      <c r="Q379" s="132" t="s">
        <v>195</v>
      </c>
      <c r="R379" s="132"/>
      <c r="S379" s="132" t="s">
        <v>195</v>
      </c>
      <c r="T379" s="132"/>
      <c r="U379" s="151" t="s">
        <v>195</v>
      </c>
      <c r="V379" s="151"/>
      <c r="W379" s="307" t="s">
        <v>193</v>
      </c>
      <c r="X379" s="308"/>
      <c r="Y379" s="38">
        <f t="shared" si="133"/>
        <v>8</v>
      </c>
      <c r="Z379" s="38">
        <f t="shared" si="134"/>
        <v>0</v>
      </c>
      <c r="AA379" s="38">
        <f t="shared" si="131"/>
        <v>0</v>
      </c>
      <c r="AB379" s="38">
        <f t="shared" si="142"/>
        <v>44</v>
      </c>
      <c r="AC379" s="38">
        <f t="shared" si="143"/>
        <v>0</v>
      </c>
      <c r="AD379" s="38">
        <f t="shared" si="144"/>
        <v>0</v>
      </c>
      <c r="AE379" s="38">
        <f t="shared" si="145"/>
        <v>0</v>
      </c>
      <c r="AF379" s="38">
        <f t="shared" si="146"/>
        <v>0</v>
      </c>
      <c r="AG379" s="33">
        <f t="shared" si="147"/>
        <v>8</v>
      </c>
      <c r="AH379" s="33">
        <f t="shared" si="148"/>
        <v>0</v>
      </c>
      <c r="AI379" s="33">
        <f t="shared" si="149"/>
        <v>0</v>
      </c>
      <c r="AJ379" s="33">
        <f t="shared" si="150"/>
        <v>44</v>
      </c>
      <c r="AK379" s="34">
        <f t="shared" si="151"/>
        <v>5.6338028169014086E-2</v>
      </c>
      <c r="AL379" s="35">
        <f t="shared" si="152"/>
        <v>0</v>
      </c>
      <c r="AM379" s="34">
        <f t="shared" si="135"/>
        <v>0</v>
      </c>
      <c r="AN379" s="36">
        <f t="shared" si="153"/>
        <v>0.30985915492957744</v>
      </c>
      <c r="AO379" s="6">
        <f t="shared" si="136"/>
        <v>0</v>
      </c>
      <c r="AP379">
        <f t="shared" si="137"/>
        <v>8</v>
      </c>
      <c r="AQ379" s="6">
        <f t="shared" si="138"/>
        <v>0</v>
      </c>
      <c r="AR379" s="6">
        <f t="shared" si="139"/>
        <v>0</v>
      </c>
      <c r="AS379" s="6"/>
      <c r="AX379" s="95">
        <f t="shared" si="140"/>
        <v>42502</v>
      </c>
      <c r="AY379" s="96" t="str">
        <f t="shared" si="141"/>
        <v>qui</v>
      </c>
      <c r="AZ379" s="97">
        <f>IF(OR(AY379="SÁB",AY379="DOM"),0,IFERROR(8-VLOOKUP(C379,'Dados de consulta'!$A$2:$C$38,3,0),8))</f>
        <v>4</v>
      </c>
      <c r="BA379" s="97">
        <f>IF(OR(AY379="SÁB",AY379="DOM"),0,IFERROR(8-VLOOKUP(D379,'Dados de consulta'!$A$2:$C$38,3,0),8))</f>
        <v>4</v>
      </c>
      <c r="BB379" s="97">
        <f>IF(OR(AY379="SÁB",AY379="DOM"),0,IFERROR(8-VLOOKUP(E379,'Dados de consulta'!$A$2:$C$38,3,0),8))</f>
        <v>0</v>
      </c>
      <c r="BC379" s="97">
        <f>IF(OR(AY379="SÁB",AY379="DOM"),0,IFERROR(8-VLOOKUP(F379,'Dados de consulta'!$A$2:$C$38,3,0),8))</f>
        <v>4</v>
      </c>
      <c r="BD379" s="97">
        <f>IF(OR(AY379="SÁB",AY379="DOM"),0,IFERROR(8-VLOOKUP(G379,'Dados de consulta'!$A$2:$C$38,3,0),8))</f>
        <v>4</v>
      </c>
      <c r="BE379" s="97">
        <f>IF(OR(AY379="SÁB",AY379="DOM"),0,IFERROR(8-VLOOKUP(H379,'Dados de consulta'!$A$2:$C$38,3,0),8))</f>
        <v>8</v>
      </c>
      <c r="BF379" s="97">
        <f>IF(OR(AY379="SÁB",AY379="DOM"),0,IFERROR(8-VLOOKUP(I379,'Dados de consulta'!$A$2:$C$38,3,0),8))</f>
        <v>8</v>
      </c>
      <c r="BG379" s="97">
        <f>IF(OR(AY379="SÁB",AY379="DOM"),0,IFERROR(8-VLOOKUP(J379,'Dados de consulta'!$A$2:$C$38,3,0),8))</f>
        <v>8</v>
      </c>
      <c r="BH379" s="97">
        <f>IF(OR(AY379="SÁB",AY379="DOM"),0,IFERROR(8-VLOOKUP(K379,'Dados de consulta'!$A$2:$C$38,3,0),8))</f>
        <v>4</v>
      </c>
      <c r="BI379" s="97">
        <f>IF(OR(AY379="SÁB",AY379="DOM"),0,IFERROR(8-VLOOKUP(L379,'Dados de consulta'!$A$2:$C$38,3,0),8))</f>
        <v>4</v>
      </c>
      <c r="BJ379" s="97">
        <f>IF(OR(AY379="SÁB",AY379="DOM"),0,IFERROR(8-VLOOKUP(M379,'Dados de consulta'!$A$2:$C$38,3,0),8))</f>
        <v>0</v>
      </c>
      <c r="BK379" s="97">
        <f>IF(OR(AY379="SÁB",AY379="DOM"),0,IFERROR(8-VLOOKUP(N379,'Dados de consulta'!$A$2:$C$38,3,0),8))</f>
        <v>4</v>
      </c>
      <c r="BL379" s="97">
        <f>IF(OR(AY379="SÁB",AY379="DOM"),0,IFERROR(8-VLOOKUP(O379,'Dados de consulta'!$A$2:$C$38,3,0),8))</f>
        <v>4</v>
      </c>
      <c r="BM379" s="97">
        <f>IF(OR(AY379="SÁB",AY379="DOM"),0,IFERROR(8-VLOOKUP(P379,'Dados de consulta'!$A$2:$C$38,3,0),8))</f>
        <v>4</v>
      </c>
      <c r="BN379" s="97">
        <f>IF(OR(AY379="SÁB",AY379="DOM"),0,IFERROR(8-VLOOKUP(Q379,'Dados de consulta'!$A$2:$C$38,3,0),8))</f>
        <v>4</v>
      </c>
      <c r="BO379" s="97">
        <f>IF(OR(AY379="SÁB",AY379="DOM"),0,IFERROR(8-VLOOKUP(R379,'Dados de consulta'!$A$2:$C$38,3,0),8))</f>
        <v>8</v>
      </c>
      <c r="BP379" s="97">
        <f>IF(OR(AY379="SÁB",AY379="DOM"),0,IFERROR(8-VLOOKUP(S379,'Dados de consulta'!$A$2:$C$38,3,0),8))</f>
        <v>4</v>
      </c>
      <c r="BQ379" s="113">
        <f>IFERROR(6-VLOOKUP(T379,'Dados de consulta'!$A$2:$C$38,3,0)+2,6)</f>
        <v>6</v>
      </c>
      <c r="BR379" s="114">
        <f t="shared" si="154"/>
        <v>82</v>
      </c>
      <c r="BS379">
        <f t="shared" si="130"/>
        <v>134</v>
      </c>
      <c r="BU379">
        <f>IFERROR(8-VLOOKUP(U379,'Dados de consulta'!$A:$D,3,0),8)</f>
        <v>4</v>
      </c>
      <c r="BV379">
        <f>IFERROR(8-VLOOKUP(V379,'Dados de consulta'!$A:$D,3,0),8)</f>
        <v>8</v>
      </c>
      <c r="BW379">
        <f t="shared" si="155"/>
        <v>12</v>
      </c>
    </row>
    <row r="380" spans="1:75" ht="15" hidden="1" x14ac:dyDescent="0.2">
      <c r="A380" s="98">
        <v>42503</v>
      </c>
      <c r="B380" s="129" t="str">
        <f t="shared" si="132"/>
        <v>sex</v>
      </c>
      <c r="C380" s="132"/>
      <c r="D380" s="132"/>
      <c r="E380" s="132">
        <v>8</v>
      </c>
      <c r="F380" s="132"/>
      <c r="G380" s="132"/>
      <c r="H380" s="132"/>
      <c r="I380" s="132"/>
      <c r="J380" s="132">
        <v>18</v>
      </c>
      <c r="K380" s="132"/>
      <c r="L380" s="132"/>
      <c r="M380" s="132">
        <v>101</v>
      </c>
      <c r="N380" s="132"/>
      <c r="O380" s="132"/>
      <c r="P380" s="132">
        <v>8</v>
      </c>
      <c r="Q380" s="132"/>
      <c r="R380" s="132"/>
      <c r="S380" s="132"/>
      <c r="T380" s="132"/>
      <c r="U380" s="151"/>
      <c r="V380" s="151"/>
      <c r="W380" s="307" t="s">
        <v>193</v>
      </c>
      <c r="X380" s="308"/>
      <c r="Y380" s="38">
        <f t="shared" si="133"/>
        <v>16</v>
      </c>
      <c r="Z380" s="38">
        <f t="shared" si="134"/>
        <v>8</v>
      </c>
      <c r="AA380" s="38">
        <f t="shared" si="131"/>
        <v>0</v>
      </c>
      <c r="AB380" s="38">
        <f t="shared" si="142"/>
        <v>0</v>
      </c>
      <c r="AC380" s="38">
        <f t="shared" si="143"/>
        <v>0</v>
      </c>
      <c r="AD380" s="38">
        <f t="shared" si="144"/>
        <v>0</v>
      </c>
      <c r="AE380" s="38">
        <f t="shared" si="145"/>
        <v>0</v>
      </c>
      <c r="AF380" s="38">
        <f t="shared" si="146"/>
        <v>0</v>
      </c>
      <c r="AG380" s="33">
        <f t="shared" si="147"/>
        <v>16</v>
      </c>
      <c r="AH380" s="33">
        <f t="shared" si="148"/>
        <v>8</v>
      </c>
      <c r="AI380" s="33">
        <f t="shared" si="149"/>
        <v>0</v>
      </c>
      <c r="AJ380" s="33">
        <f t="shared" si="150"/>
        <v>0</v>
      </c>
      <c r="AK380" s="34">
        <f t="shared" si="151"/>
        <v>0.11267605633802817</v>
      </c>
      <c r="AL380" s="35">
        <f t="shared" si="152"/>
        <v>5.6338028169014086E-2</v>
      </c>
      <c r="AM380" s="34">
        <f t="shared" si="135"/>
        <v>0</v>
      </c>
      <c r="AN380" s="36">
        <f t="shared" si="153"/>
        <v>0</v>
      </c>
      <c r="AO380" s="6">
        <f t="shared" si="136"/>
        <v>0</v>
      </c>
      <c r="AP380">
        <f t="shared" si="137"/>
        <v>8</v>
      </c>
      <c r="AQ380" s="6">
        <f t="shared" si="138"/>
        <v>0</v>
      </c>
      <c r="AR380" s="6">
        <f t="shared" si="139"/>
        <v>0</v>
      </c>
      <c r="AS380" s="6"/>
      <c r="AX380" s="95">
        <f t="shared" si="140"/>
        <v>42503</v>
      </c>
      <c r="AY380" s="96" t="str">
        <f t="shared" si="141"/>
        <v>sex</v>
      </c>
      <c r="AZ380" s="97">
        <f>IF(OR(AY380="SÁB",AY380="DOM"),0,IFERROR(8-VLOOKUP(C380,'Dados de consulta'!$A$2:$C$38,3,0),8))</f>
        <v>8</v>
      </c>
      <c r="BA380" s="97">
        <f>IF(OR(AY380="SÁB",AY380="DOM"),0,IFERROR(8-VLOOKUP(D380,'Dados de consulta'!$A$2:$C$38,3,0),8))</f>
        <v>8</v>
      </c>
      <c r="BB380" s="97">
        <f>IF(OR(AY380="SÁB",AY380="DOM"),0,IFERROR(8-VLOOKUP(E380,'Dados de consulta'!$A$2:$C$38,3,0),8))</f>
        <v>0</v>
      </c>
      <c r="BC380" s="97">
        <f>IF(OR(AY380="SÁB",AY380="DOM"),0,IFERROR(8-VLOOKUP(F380,'Dados de consulta'!$A$2:$C$38,3,0),8))</f>
        <v>8</v>
      </c>
      <c r="BD380" s="97">
        <f>IF(OR(AY380="SÁB",AY380="DOM"),0,IFERROR(8-VLOOKUP(G380,'Dados de consulta'!$A$2:$C$38,3,0),8))</f>
        <v>8</v>
      </c>
      <c r="BE380" s="97">
        <f>IF(OR(AY380="SÁB",AY380="DOM"),0,IFERROR(8-VLOOKUP(H380,'Dados de consulta'!$A$2:$C$38,3,0),8))</f>
        <v>8</v>
      </c>
      <c r="BF380" s="97">
        <f>IF(OR(AY380="SÁB",AY380="DOM"),0,IFERROR(8-VLOOKUP(I380,'Dados de consulta'!$A$2:$C$38,3,0),8))</f>
        <v>8</v>
      </c>
      <c r="BG380" s="97">
        <f>IF(OR(AY380="SÁB",AY380="DOM"),0,IFERROR(8-VLOOKUP(J380,'Dados de consulta'!$A$2:$C$38,3,0),8))</f>
        <v>0</v>
      </c>
      <c r="BH380" s="97">
        <f>IF(OR(AY380="SÁB",AY380="DOM"),0,IFERROR(8-VLOOKUP(K380,'Dados de consulta'!$A$2:$C$38,3,0),8))</f>
        <v>8</v>
      </c>
      <c r="BI380" s="97">
        <f>IF(OR(AY380="SÁB",AY380="DOM"),0,IFERROR(8-VLOOKUP(L380,'Dados de consulta'!$A$2:$C$38,3,0),8))</f>
        <v>8</v>
      </c>
      <c r="BJ380" s="97">
        <f>IF(OR(AY380="SÁB",AY380="DOM"),0,IFERROR(8-VLOOKUP(M380,'Dados de consulta'!$A$2:$C$38,3,0),8))</f>
        <v>0</v>
      </c>
      <c r="BK380" s="97">
        <f>IF(OR(AY380="SÁB",AY380="DOM"),0,IFERROR(8-VLOOKUP(N380,'Dados de consulta'!$A$2:$C$38,3,0),8))</f>
        <v>8</v>
      </c>
      <c r="BL380" s="97">
        <f>IF(OR(AY380="SÁB",AY380="DOM"),0,IFERROR(8-VLOOKUP(O380,'Dados de consulta'!$A$2:$C$38,3,0),8))</f>
        <v>8</v>
      </c>
      <c r="BM380" s="97">
        <f>IF(OR(AY380="SÁB",AY380="DOM"),0,IFERROR(8-VLOOKUP(P380,'Dados de consulta'!$A$2:$C$38,3,0),8))</f>
        <v>0</v>
      </c>
      <c r="BN380" s="97">
        <f>IF(OR(AY380="SÁB",AY380="DOM"),0,IFERROR(8-VLOOKUP(Q380,'Dados de consulta'!$A$2:$C$38,3,0),8))</f>
        <v>8</v>
      </c>
      <c r="BO380" s="97">
        <f>IF(OR(AY380="SÁB",AY380="DOM"),0,IFERROR(8-VLOOKUP(R380,'Dados de consulta'!$A$2:$C$38,3,0),8))</f>
        <v>8</v>
      </c>
      <c r="BP380" s="97">
        <f>IF(OR(AY380="SÁB",AY380="DOM"),0,IFERROR(8-VLOOKUP(S380,'Dados de consulta'!$A$2:$C$38,3,0),8))</f>
        <v>8</v>
      </c>
      <c r="BQ380" s="113">
        <f>IFERROR(6-VLOOKUP(T380,'Dados de consulta'!$A$2:$C$38,3,0)+2,6)</f>
        <v>6</v>
      </c>
      <c r="BR380" s="114">
        <f t="shared" si="154"/>
        <v>110</v>
      </c>
      <c r="BS380">
        <f t="shared" si="130"/>
        <v>134</v>
      </c>
      <c r="BU380">
        <f>IFERROR(8-VLOOKUP(U380,'Dados de consulta'!$A:$D,3,0),8)</f>
        <v>8</v>
      </c>
      <c r="BV380">
        <f>IFERROR(8-VLOOKUP(V380,'Dados de consulta'!$A:$D,3,0),8)</f>
        <v>8</v>
      </c>
      <c r="BW380">
        <f t="shared" si="155"/>
        <v>16</v>
      </c>
    </row>
    <row r="381" spans="1:75" ht="15" hidden="1" x14ac:dyDescent="0.2">
      <c r="A381" s="98">
        <v>42504</v>
      </c>
      <c r="B381" s="129" t="str">
        <f t="shared" si="132"/>
        <v>sáb</v>
      </c>
      <c r="C381" s="132"/>
      <c r="D381" s="132"/>
      <c r="E381" s="132"/>
      <c r="F381" s="132"/>
      <c r="G381" s="132"/>
      <c r="H381" s="132"/>
      <c r="I381" s="132"/>
      <c r="J381" s="132">
        <v>18</v>
      </c>
      <c r="K381" s="132"/>
      <c r="L381" s="132"/>
      <c r="M381" s="132">
        <v>101</v>
      </c>
      <c r="N381" s="132"/>
      <c r="O381" s="132"/>
      <c r="P381" s="132"/>
      <c r="Q381" s="132"/>
      <c r="R381" s="132"/>
      <c r="S381" s="132"/>
      <c r="T381" s="132"/>
      <c r="U381" s="151"/>
      <c r="V381" s="151"/>
      <c r="W381" s="307" t="s">
        <v>193</v>
      </c>
      <c r="X381" s="308"/>
      <c r="Y381" s="38">
        <f t="shared" si="133"/>
        <v>0</v>
      </c>
      <c r="Z381" s="38">
        <f t="shared" si="134"/>
        <v>8</v>
      </c>
      <c r="AA381" s="38">
        <f t="shared" si="131"/>
        <v>0</v>
      </c>
      <c r="AB381" s="38">
        <f t="shared" si="142"/>
        <v>0</v>
      </c>
      <c r="AC381" s="38">
        <f t="shared" si="143"/>
        <v>0</v>
      </c>
      <c r="AD381" s="38">
        <f t="shared" si="144"/>
        <v>0</v>
      </c>
      <c r="AE381" s="38">
        <f t="shared" si="145"/>
        <v>0</v>
      </c>
      <c r="AF381" s="38">
        <f t="shared" si="146"/>
        <v>0</v>
      </c>
      <c r="AG381" s="33">
        <f t="shared" si="147"/>
        <v>0</v>
      </c>
      <c r="AH381" s="33">
        <f t="shared" si="148"/>
        <v>0</v>
      </c>
      <c r="AI381" s="33">
        <f t="shared" si="149"/>
        <v>0</v>
      </c>
      <c r="AJ381" s="33">
        <f t="shared" si="150"/>
        <v>0</v>
      </c>
      <c r="AK381" s="34">
        <f t="shared" si="151"/>
        <v>0</v>
      </c>
      <c r="AL381" s="35">
        <f t="shared" si="152"/>
        <v>0</v>
      </c>
      <c r="AM381" s="34">
        <f t="shared" si="135"/>
        <v>0</v>
      </c>
      <c r="AN381" s="36">
        <f t="shared" si="153"/>
        <v>0</v>
      </c>
      <c r="AO381" s="6">
        <f t="shared" si="136"/>
        <v>0</v>
      </c>
      <c r="AP381">
        <f t="shared" si="137"/>
        <v>8</v>
      </c>
      <c r="AQ381" s="6">
        <f t="shared" si="138"/>
        <v>0</v>
      </c>
      <c r="AR381" s="6">
        <f t="shared" si="139"/>
        <v>0</v>
      </c>
      <c r="AS381" s="6"/>
      <c r="AX381" s="95">
        <f t="shared" si="140"/>
        <v>42504</v>
      </c>
      <c r="AY381" s="96" t="str">
        <f t="shared" si="141"/>
        <v>sáb</v>
      </c>
      <c r="AZ381" s="97">
        <f>IF(OR(AY381="SÁB",AY381="DOM"),0,IFERROR(8-VLOOKUP(C381,'Dados de consulta'!$A$2:$C$38,3,0),8))</f>
        <v>0</v>
      </c>
      <c r="BA381" s="97">
        <f>IF(OR(AY381="SÁB",AY381="DOM"),0,IFERROR(8-VLOOKUP(D381,'Dados de consulta'!$A$2:$C$38,3,0),8))</f>
        <v>0</v>
      </c>
      <c r="BB381" s="97">
        <f>IF(OR(AY381="SÁB",AY381="DOM"),0,IFERROR(8-VLOOKUP(E381,'Dados de consulta'!$A$2:$C$38,3,0),8))</f>
        <v>0</v>
      </c>
      <c r="BC381" s="97">
        <f>IF(OR(AY381="SÁB",AY381="DOM"),0,IFERROR(8-VLOOKUP(F381,'Dados de consulta'!$A$2:$C$38,3,0),8))</f>
        <v>0</v>
      </c>
      <c r="BD381" s="97">
        <f>IF(OR(AY381="SÁB",AY381="DOM"),0,IFERROR(8-VLOOKUP(G381,'Dados de consulta'!$A$2:$C$38,3,0),8))</f>
        <v>0</v>
      </c>
      <c r="BE381" s="97">
        <f>IF(OR(AY381="SÁB",AY381="DOM"),0,IFERROR(8-VLOOKUP(H381,'Dados de consulta'!$A$2:$C$38,3,0),8))</f>
        <v>0</v>
      </c>
      <c r="BF381" s="97">
        <f>IF(OR(AY381="SÁB",AY381="DOM"),0,IFERROR(8-VLOOKUP(I381,'Dados de consulta'!$A$2:$C$38,3,0),8))</f>
        <v>0</v>
      </c>
      <c r="BG381" s="97">
        <f>IF(OR(AY381="SÁB",AY381="DOM"),0,IFERROR(8-VLOOKUP(J381,'Dados de consulta'!$A$2:$C$38,3,0),8))</f>
        <v>0</v>
      </c>
      <c r="BH381" s="97">
        <f>IF(OR(AY381="SÁB",AY381="DOM"),0,IFERROR(8-VLOOKUP(K381,'Dados de consulta'!$A$2:$C$38,3,0),8))</f>
        <v>0</v>
      </c>
      <c r="BI381" s="97">
        <f>IF(OR(AY381="SÁB",AY381="DOM"),0,IFERROR(8-VLOOKUP(L381,'Dados de consulta'!$A$2:$C$38,3,0),8))</f>
        <v>0</v>
      </c>
      <c r="BJ381" s="97">
        <f>IF(OR(AY381="SÁB",AY381="DOM"),0,IFERROR(8-VLOOKUP(M381,'Dados de consulta'!$A$2:$C$38,3,0),8))</f>
        <v>0</v>
      </c>
      <c r="BK381" s="97">
        <f>IF(OR(AY381="SÁB",AY381="DOM"),0,IFERROR(8-VLOOKUP(N381,'Dados de consulta'!$A$2:$C$38,3,0),8))</f>
        <v>0</v>
      </c>
      <c r="BL381" s="97">
        <f>IF(OR(AY381="SÁB",AY381="DOM"),0,IFERROR(8-VLOOKUP(O381,'Dados de consulta'!$A$2:$C$38,3,0),8))</f>
        <v>0</v>
      </c>
      <c r="BM381" s="97">
        <f>IF(OR(AY381="SÁB",AY381="DOM"),0,IFERROR(8-VLOOKUP(P381,'Dados de consulta'!$A$2:$C$38,3,0),8))</f>
        <v>0</v>
      </c>
      <c r="BN381" s="97">
        <f>IF(OR(AY381="SÁB",AY381="DOM"),0,IFERROR(8-VLOOKUP(Q381,'Dados de consulta'!$A$2:$C$38,3,0),8))</f>
        <v>0</v>
      </c>
      <c r="BO381" s="97">
        <f>IF(OR(AY381="SÁB",AY381="DOM"),0,IFERROR(8-VLOOKUP(R381,'Dados de consulta'!$A$2:$C$38,3,0),8))</f>
        <v>0</v>
      </c>
      <c r="BP381" s="97">
        <f>IF(OR(AY381="SÁB",AY381="DOM"),0,IFERROR(8-VLOOKUP(S381,'Dados de consulta'!$A$2:$C$38,3,0),8))</f>
        <v>0</v>
      </c>
      <c r="BQ381" s="113">
        <f>IFERROR(6-VLOOKUP(T381,'Dados de consulta'!$A$2:$C$38,3,0)+2,6)</f>
        <v>6</v>
      </c>
      <c r="BR381" s="114">
        <f t="shared" si="154"/>
        <v>0</v>
      </c>
      <c r="BS381">
        <f t="shared" si="130"/>
        <v>0</v>
      </c>
      <c r="BU381">
        <f>IFERROR(8-VLOOKUP(U381,'Dados de consulta'!$A:$D,3,0),8)</f>
        <v>8</v>
      </c>
      <c r="BV381">
        <f>IFERROR(8-VLOOKUP(V381,'Dados de consulta'!$A:$D,3,0),8)</f>
        <v>8</v>
      </c>
      <c r="BW381">
        <f t="shared" si="155"/>
        <v>16</v>
      </c>
    </row>
    <row r="382" spans="1:75" ht="15" hidden="1" x14ac:dyDescent="0.2">
      <c r="A382" s="98">
        <v>42505</v>
      </c>
      <c r="B382" s="129" t="str">
        <f t="shared" si="132"/>
        <v>dom</v>
      </c>
      <c r="C382" s="132"/>
      <c r="D382" s="132"/>
      <c r="E382" s="132"/>
      <c r="F382" s="132"/>
      <c r="G382" s="132"/>
      <c r="H382" s="132"/>
      <c r="I382" s="132"/>
      <c r="J382" s="132">
        <v>18</v>
      </c>
      <c r="K382" s="132"/>
      <c r="L382" s="132"/>
      <c r="M382" s="132">
        <v>101</v>
      </c>
      <c r="N382" s="132"/>
      <c r="O382" s="132"/>
      <c r="P382" s="132"/>
      <c r="Q382" s="132"/>
      <c r="R382" s="132"/>
      <c r="S382" s="132"/>
      <c r="T382" s="132"/>
      <c r="U382" s="151"/>
      <c r="V382" s="151"/>
      <c r="W382" s="307" t="s">
        <v>193</v>
      </c>
      <c r="X382" s="308"/>
      <c r="Y382" s="38">
        <f t="shared" si="133"/>
        <v>0</v>
      </c>
      <c r="Z382" s="38">
        <f t="shared" si="134"/>
        <v>8</v>
      </c>
      <c r="AA382" s="38">
        <f t="shared" si="131"/>
        <v>0</v>
      </c>
      <c r="AB382" s="38">
        <f t="shared" si="142"/>
        <v>0</v>
      </c>
      <c r="AC382" s="38">
        <f t="shared" si="143"/>
        <v>0</v>
      </c>
      <c r="AD382" s="38">
        <f t="shared" si="144"/>
        <v>0</v>
      </c>
      <c r="AE382" s="38">
        <f t="shared" si="145"/>
        <v>0</v>
      </c>
      <c r="AF382" s="38">
        <f t="shared" si="146"/>
        <v>0</v>
      </c>
      <c r="AG382" s="33">
        <f t="shared" si="147"/>
        <v>0</v>
      </c>
      <c r="AH382" s="33">
        <f t="shared" si="148"/>
        <v>0</v>
      </c>
      <c r="AI382" s="33">
        <f t="shared" si="149"/>
        <v>0</v>
      </c>
      <c r="AJ382" s="33">
        <f t="shared" si="150"/>
        <v>0</v>
      </c>
      <c r="AK382" s="34">
        <f t="shared" si="151"/>
        <v>0</v>
      </c>
      <c r="AL382" s="35">
        <f t="shared" si="152"/>
        <v>0</v>
      </c>
      <c r="AM382" s="34">
        <f t="shared" si="135"/>
        <v>0</v>
      </c>
      <c r="AN382" s="36">
        <f t="shared" si="153"/>
        <v>0</v>
      </c>
      <c r="AO382" s="6">
        <f t="shared" si="136"/>
        <v>0</v>
      </c>
      <c r="AP382">
        <f t="shared" si="137"/>
        <v>8</v>
      </c>
      <c r="AQ382" s="6">
        <f t="shared" si="138"/>
        <v>0</v>
      </c>
      <c r="AR382" s="6">
        <f t="shared" si="139"/>
        <v>0</v>
      </c>
      <c r="AS382" s="6"/>
      <c r="AX382" s="95">
        <f t="shared" si="140"/>
        <v>42505</v>
      </c>
      <c r="AY382" s="96" t="str">
        <f t="shared" si="141"/>
        <v>dom</v>
      </c>
      <c r="AZ382" s="97">
        <f>IF(OR(AY382="SÁB",AY382="DOM"),0,IFERROR(8-VLOOKUP(C382,'Dados de consulta'!$A$2:$C$38,3,0),8))</f>
        <v>0</v>
      </c>
      <c r="BA382" s="97">
        <f>IF(OR(AY382="SÁB",AY382="DOM"),0,IFERROR(8-VLOOKUP(D382,'Dados de consulta'!$A$2:$C$38,3,0),8))</f>
        <v>0</v>
      </c>
      <c r="BB382" s="97">
        <f>IF(OR(AY382="SÁB",AY382="DOM"),0,IFERROR(8-VLOOKUP(E382,'Dados de consulta'!$A$2:$C$38,3,0),8))</f>
        <v>0</v>
      </c>
      <c r="BC382" s="97">
        <f>IF(OR(AY382="SÁB",AY382="DOM"),0,IFERROR(8-VLOOKUP(F382,'Dados de consulta'!$A$2:$C$38,3,0),8))</f>
        <v>0</v>
      </c>
      <c r="BD382" s="97">
        <f>IF(OR(AY382="SÁB",AY382="DOM"),0,IFERROR(8-VLOOKUP(G382,'Dados de consulta'!$A$2:$C$38,3,0),8))</f>
        <v>0</v>
      </c>
      <c r="BE382" s="97">
        <f>IF(OR(AY382="SÁB",AY382="DOM"),0,IFERROR(8-VLOOKUP(H382,'Dados de consulta'!$A$2:$C$38,3,0),8))</f>
        <v>0</v>
      </c>
      <c r="BF382" s="97">
        <f>IF(OR(AY382="SÁB",AY382="DOM"),0,IFERROR(8-VLOOKUP(I382,'Dados de consulta'!$A$2:$C$38,3,0),8))</f>
        <v>0</v>
      </c>
      <c r="BG382" s="97">
        <f>IF(OR(AY382="SÁB",AY382="DOM"),0,IFERROR(8-VLOOKUP(J382,'Dados de consulta'!$A$2:$C$38,3,0),8))</f>
        <v>0</v>
      </c>
      <c r="BH382" s="97">
        <f>IF(OR(AY382="SÁB",AY382="DOM"),0,IFERROR(8-VLOOKUP(K382,'Dados de consulta'!$A$2:$C$38,3,0),8))</f>
        <v>0</v>
      </c>
      <c r="BI382" s="97">
        <f>IF(OR(AY382="SÁB",AY382="DOM"),0,IFERROR(8-VLOOKUP(L382,'Dados de consulta'!$A$2:$C$38,3,0),8))</f>
        <v>0</v>
      </c>
      <c r="BJ382" s="97">
        <f>IF(OR(AY382="SÁB",AY382="DOM"),0,IFERROR(8-VLOOKUP(M382,'Dados de consulta'!$A$2:$C$38,3,0),8))</f>
        <v>0</v>
      </c>
      <c r="BK382" s="97">
        <f>IF(OR(AY382="SÁB",AY382="DOM"),0,IFERROR(8-VLOOKUP(N382,'Dados de consulta'!$A$2:$C$38,3,0),8))</f>
        <v>0</v>
      </c>
      <c r="BL382" s="97">
        <f>IF(OR(AY382="SÁB",AY382="DOM"),0,IFERROR(8-VLOOKUP(O382,'Dados de consulta'!$A$2:$C$38,3,0),8))</f>
        <v>0</v>
      </c>
      <c r="BM382" s="97">
        <f>IF(OR(AY382="SÁB",AY382="DOM"),0,IFERROR(8-VLOOKUP(P382,'Dados de consulta'!$A$2:$C$38,3,0),8))</f>
        <v>0</v>
      </c>
      <c r="BN382" s="97">
        <f>IF(OR(AY382="SÁB",AY382="DOM"),0,IFERROR(8-VLOOKUP(Q382,'Dados de consulta'!$A$2:$C$38,3,0),8))</f>
        <v>0</v>
      </c>
      <c r="BO382" s="97">
        <f>IF(OR(AY382="SÁB",AY382="DOM"),0,IFERROR(8-VLOOKUP(R382,'Dados de consulta'!$A$2:$C$38,3,0),8))</f>
        <v>0</v>
      </c>
      <c r="BP382" s="97">
        <f>IF(OR(AY382="SÁB",AY382="DOM"),0,IFERROR(8-VLOOKUP(S382,'Dados de consulta'!$A$2:$C$38,3,0),8))</f>
        <v>0</v>
      </c>
      <c r="BQ382" s="113">
        <f>IFERROR(6-VLOOKUP(T382,'Dados de consulta'!$A$2:$C$38,3,0)+2,6)</f>
        <v>6</v>
      </c>
      <c r="BR382" s="114">
        <f t="shared" si="154"/>
        <v>0</v>
      </c>
      <c r="BS382">
        <f t="shared" ref="BS382:BS445" si="156">IF(R383=17,0,IF(OR(AY382="SÁB",AY382="DOM"),0,((COUNT(AZ382:BQ382)-1)*8+6)-SUM(AO382:AR382)))</f>
        <v>0</v>
      </c>
      <c r="BU382">
        <f>IFERROR(8-VLOOKUP(U382,'Dados de consulta'!$A:$D,3,0),8)</f>
        <v>8</v>
      </c>
      <c r="BV382">
        <f>IFERROR(8-VLOOKUP(V382,'Dados de consulta'!$A:$D,3,0),8)</f>
        <v>8</v>
      </c>
      <c r="BW382">
        <f t="shared" si="155"/>
        <v>16</v>
      </c>
    </row>
    <row r="383" spans="1:75" ht="15" hidden="1" x14ac:dyDescent="0.2">
      <c r="A383" s="98">
        <v>42506</v>
      </c>
      <c r="B383" s="129" t="str">
        <f t="shared" si="132"/>
        <v>seg</v>
      </c>
      <c r="C383" s="132">
        <v>6</v>
      </c>
      <c r="D383" s="132">
        <v>6</v>
      </c>
      <c r="E383" s="132">
        <v>8</v>
      </c>
      <c r="F383" s="132">
        <v>6</v>
      </c>
      <c r="G383" s="132">
        <v>6</v>
      </c>
      <c r="H383" s="132">
        <v>6</v>
      </c>
      <c r="I383" s="132"/>
      <c r="J383" s="132">
        <v>18</v>
      </c>
      <c r="K383" s="132">
        <v>6</v>
      </c>
      <c r="L383" s="132">
        <v>6</v>
      </c>
      <c r="M383" s="132">
        <v>101</v>
      </c>
      <c r="N383" s="132">
        <v>6</v>
      </c>
      <c r="O383" s="132">
        <v>6</v>
      </c>
      <c r="P383" s="132">
        <v>6</v>
      </c>
      <c r="Q383" s="132">
        <v>6</v>
      </c>
      <c r="R383" s="132"/>
      <c r="S383" s="132">
        <v>6</v>
      </c>
      <c r="T383" s="132">
        <v>6</v>
      </c>
      <c r="U383" s="151">
        <v>6</v>
      </c>
      <c r="V383" s="151">
        <v>6</v>
      </c>
      <c r="W383" s="307" t="s">
        <v>193</v>
      </c>
      <c r="X383" s="308"/>
      <c r="Y383" s="38">
        <f t="shared" si="133"/>
        <v>8</v>
      </c>
      <c r="Z383" s="38">
        <f t="shared" si="134"/>
        <v>8</v>
      </c>
      <c r="AA383" s="38">
        <f t="shared" si="131"/>
        <v>0</v>
      </c>
      <c r="AB383" s="38">
        <f t="shared" si="142"/>
        <v>96</v>
      </c>
      <c r="AC383" s="38">
        <f t="shared" si="143"/>
        <v>0</v>
      </c>
      <c r="AD383" s="38">
        <f t="shared" si="144"/>
        <v>0</v>
      </c>
      <c r="AE383" s="38">
        <f t="shared" si="145"/>
        <v>0</v>
      </c>
      <c r="AF383" s="38">
        <f t="shared" si="146"/>
        <v>6</v>
      </c>
      <c r="AG383" s="33">
        <f t="shared" si="147"/>
        <v>8</v>
      </c>
      <c r="AH383" s="33">
        <f t="shared" si="148"/>
        <v>8</v>
      </c>
      <c r="AI383" s="33">
        <f t="shared" si="149"/>
        <v>0</v>
      </c>
      <c r="AJ383" s="33">
        <f t="shared" si="150"/>
        <v>102</v>
      </c>
      <c r="AK383" s="34">
        <f t="shared" si="151"/>
        <v>5.6338028169014086E-2</v>
      </c>
      <c r="AL383" s="35">
        <f t="shared" si="152"/>
        <v>5.6338028169014086E-2</v>
      </c>
      <c r="AM383" s="34">
        <f t="shared" si="135"/>
        <v>0</v>
      </c>
      <c r="AN383" s="36">
        <f t="shared" si="153"/>
        <v>0.71830985915492962</v>
      </c>
      <c r="AO383" s="6">
        <f t="shared" si="136"/>
        <v>0</v>
      </c>
      <c r="AP383">
        <f t="shared" si="137"/>
        <v>8</v>
      </c>
      <c r="AQ383" s="6">
        <f t="shared" si="138"/>
        <v>0</v>
      </c>
      <c r="AR383" s="6">
        <f t="shared" si="139"/>
        <v>0</v>
      </c>
      <c r="AS383" s="6"/>
      <c r="AX383" s="95">
        <f t="shared" si="140"/>
        <v>42506</v>
      </c>
      <c r="AY383" s="96" t="str">
        <f t="shared" si="141"/>
        <v>seg</v>
      </c>
      <c r="AZ383" s="97">
        <f>IF(OR(AY383="SÁB",AY383="DOM"),0,IFERROR(8-VLOOKUP(C383,'Dados de consulta'!$A$2:$C$38,3,0),8))</f>
        <v>0</v>
      </c>
      <c r="BA383" s="97">
        <f>IF(OR(AY383="SÁB",AY383="DOM"),0,IFERROR(8-VLOOKUP(D383,'Dados de consulta'!$A$2:$C$38,3,0),8))</f>
        <v>0</v>
      </c>
      <c r="BB383" s="97">
        <f>IF(OR(AY383="SÁB",AY383="DOM"),0,IFERROR(8-VLOOKUP(E383,'Dados de consulta'!$A$2:$C$38,3,0),8))</f>
        <v>0</v>
      </c>
      <c r="BC383" s="97">
        <f>IF(OR(AY383="SÁB",AY383="DOM"),0,IFERROR(8-VLOOKUP(F383,'Dados de consulta'!$A$2:$C$38,3,0),8))</f>
        <v>0</v>
      </c>
      <c r="BD383" s="97">
        <f>IF(OR(AY383="SÁB",AY383="DOM"),0,IFERROR(8-VLOOKUP(G383,'Dados de consulta'!$A$2:$C$38,3,0),8))</f>
        <v>0</v>
      </c>
      <c r="BE383" s="97">
        <f>IF(OR(AY383="SÁB",AY383="DOM"),0,IFERROR(8-VLOOKUP(H383,'Dados de consulta'!$A$2:$C$38,3,0),8))</f>
        <v>0</v>
      </c>
      <c r="BF383" s="97">
        <f>IF(OR(AY383="SÁB",AY383="DOM"),0,IFERROR(8-VLOOKUP(I383,'Dados de consulta'!$A$2:$C$38,3,0),8))</f>
        <v>8</v>
      </c>
      <c r="BG383" s="97">
        <f>IF(OR(AY383="SÁB",AY383="DOM"),0,IFERROR(8-VLOOKUP(J383,'Dados de consulta'!$A$2:$C$38,3,0),8))</f>
        <v>0</v>
      </c>
      <c r="BH383" s="97">
        <f>IF(OR(AY383="SÁB",AY383="DOM"),0,IFERROR(8-VLOOKUP(K383,'Dados de consulta'!$A$2:$C$38,3,0),8))</f>
        <v>0</v>
      </c>
      <c r="BI383" s="97">
        <f>IF(OR(AY383="SÁB",AY383="DOM"),0,IFERROR(8-VLOOKUP(L383,'Dados de consulta'!$A$2:$C$38,3,0),8))</f>
        <v>0</v>
      </c>
      <c r="BJ383" s="97">
        <f>IF(OR(AY383="SÁB",AY383="DOM"),0,IFERROR(8-VLOOKUP(M383,'Dados de consulta'!$A$2:$C$38,3,0),8))</f>
        <v>0</v>
      </c>
      <c r="BK383" s="97">
        <f>IF(OR(AY383="SÁB",AY383="DOM"),0,IFERROR(8-VLOOKUP(N383,'Dados de consulta'!$A$2:$C$38,3,0),8))</f>
        <v>0</v>
      </c>
      <c r="BL383" s="97">
        <f>IF(OR(AY383="SÁB",AY383="DOM"),0,IFERROR(8-VLOOKUP(O383,'Dados de consulta'!$A$2:$C$38,3,0),8))</f>
        <v>0</v>
      </c>
      <c r="BM383" s="97">
        <f>IF(OR(AY383="SÁB",AY383="DOM"),0,IFERROR(8-VLOOKUP(P383,'Dados de consulta'!$A$2:$C$38,3,0),8))</f>
        <v>0</v>
      </c>
      <c r="BN383" s="97">
        <f>IF(OR(AY383="SÁB",AY383="DOM"),0,IFERROR(8-VLOOKUP(Q383,'Dados de consulta'!$A$2:$C$38,3,0),8))</f>
        <v>0</v>
      </c>
      <c r="BO383" s="97">
        <f>IF(OR(AY383="SÁB",AY383="DOM"),0,IFERROR(8-VLOOKUP(R383,'Dados de consulta'!$A$2:$C$38,3,0),8))</f>
        <v>8</v>
      </c>
      <c r="BP383" s="97">
        <f>IF(OR(AY383="SÁB",AY383="DOM"),0,IFERROR(8-VLOOKUP(S383,'Dados de consulta'!$A$2:$C$38,3,0),8))</f>
        <v>0</v>
      </c>
      <c r="BQ383" s="113">
        <f>IFERROR(6-VLOOKUP(T383,'Dados de consulta'!$A$2:$C$38,3,0)+2,6)</f>
        <v>0</v>
      </c>
      <c r="BR383" s="114">
        <f t="shared" si="154"/>
        <v>16</v>
      </c>
      <c r="BS383">
        <f t="shared" si="156"/>
        <v>134</v>
      </c>
      <c r="BU383">
        <f>IFERROR(8-VLOOKUP(U383,'Dados de consulta'!$A:$D,3,0),8)</f>
        <v>0</v>
      </c>
      <c r="BV383">
        <f>IFERROR(8-VLOOKUP(V383,'Dados de consulta'!$A:$D,3,0),8)</f>
        <v>0</v>
      </c>
      <c r="BW383">
        <f t="shared" si="155"/>
        <v>0</v>
      </c>
    </row>
    <row r="384" spans="1:75" ht="15" hidden="1" x14ac:dyDescent="0.2">
      <c r="A384" s="98">
        <v>42507</v>
      </c>
      <c r="B384" s="129" t="str">
        <f t="shared" si="132"/>
        <v>ter</v>
      </c>
      <c r="C384" s="132">
        <v>6</v>
      </c>
      <c r="D384" s="132">
        <v>6</v>
      </c>
      <c r="E384" s="132">
        <v>8</v>
      </c>
      <c r="F384" s="132">
        <v>6</v>
      </c>
      <c r="G384" s="132">
        <v>6</v>
      </c>
      <c r="H384" s="132">
        <v>6</v>
      </c>
      <c r="I384" s="132"/>
      <c r="J384" s="132">
        <v>6</v>
      </c>
      <c r="K384" s="132">
        <v>6</v>
      </c>
      <c r="L384" s="132">
        <v>6</v>
      </c>
      <c r="M384" s="132">
        <v>101</v>
      </c>
      <c r="N384" s="132">
        <v>6</v>
      </c>
      <c r="O384" s="132">
        <v>6</v>
      </c>
      <c r="P384" s="132">
        <v>6</v>
      </c>
      <c r="Q384" s="132">
        <v>6</v>
      </c>
      <c r="R384" s="132">
        <v>6</v>
      </c>
      <c r="S384" s="132">
        <v>6</v>
      </c>
      <c r="T384" s="132">
        <v>6</v>
      </c>
      <c r="U384" s="151">
        <v>6</v>
      </c>
      <c r="V384" s="151">
        <v>6</v>
      </c>
      <c r="W384" s="307" t="s">
        <v>193</v>
      </c>
      <c r="X384" s="308"/>
      <c r="Y384" s="38">
        <f t="shared" si="133"/>
        <v>8</v>
      </c>
      <c r="Z384" s="38">
        <f t="shared" si="134"/>
        <v>0</v>
      </c>
      <c r="AA384" s="38">
        <f t="shared" si="131"/>
        <v>0</v>
      </c>
      <c r="AB384" s="38">
        <f t="shared" si="142"/>
        <v>112</v>
      </c>
      <c r="AC384" s="38">
        <f t="shared" si="143"/>
        <v>0</v>
      </c>
      <c r="AD384" s="38">
        <f t="shared" si="144"/>
        <v>0</v>
      </c>
      <c r="AE384" s="38">
        <f t="shared" si="145"/>
        <v>0</v>
      </c>
      <c r="AF384" s="38">
        <f t="shared" si="146"/>
        <v>6</v>
      </c>
      <c r="AG384" s="33">
        <f t="shared" si="147"/>
        <v>8</v>
      </c>
      <c r="AH384" s="33">
        <f t="shared" si="148"/>
        <v>0</v>
      </c>
      <c r="AI384" s="33">
        <f t="shared" si="149"/>
        <v>0</v>
      </c>
      <c r="AJ384" s="33">
        <f t="shared" si="150"/>
        <v>118</v>
      </c>
      <c r="AK384" s="34">
        <f t="shared" si="151"/>
        <v>5.6338028169014086E-2</v>
      </c>
      <c r="AL384" s="35">
        <f t="shared" si="152"/>
        <v>0</v>
      </c>
      <c r="AM384" s="34">
        <f t="shared" si="135"/>
        <v>0</v>
      </c>
      <c r="AN384" s="36">
        <f t="shared" si="153"/>
        <v>0.83098591549295775</v>
      </c>
      <c r="AO384" s="6">
        <f t="shared" si="136"/>
        <v>0</v>
      </c>
      <c r="AP384">
        <f t="shared" si="137"/>
        <v>8</v>
      </c>
      <c r="AQ384" s="6">
        <f t="shared" si="138"/>
        <v>0</v>
      </c>
      <c r="AR384" s="6">
        <f t="shared" si="139"/>
        <v>0</v>
      </c>
      <c r="AS384" s="6"/>
      <c r="AX384" s="95">
        <f t="shared" si="140"/>
        <v>42507</v>
      </c>
      <c r="AY384" s="96" t="str">
        <f t="shared" si="141"/>
        <v>ter</v>
      </c>
      <c r="AZ384" s="97">
        <f>IF(OR(AY384="SÁB",AY384="DOM"),0,IFERROR(8-VLOOKUP(C384,'Dados de consulta'!$A$2:$C$38,3,0),8))</f>
        <v>0</v>
      </c>
      <c r="BA384" s="97">
        <f>IF(OR(AY384="SÁB",AY384="DOM"),0,IFERROR(8-VLOOKUP(D384,'Dados de consulta'!$A$2:$C$38,3,0),8))</f>
        <v>0</v>
      </c>
      <c r="BB384" s="97">
        <f>IF(OR(AY384="SÁB",AY384="DOM"),0,IFERROR(8-VLOOKUP(E384,'Dados de consulta'!$A$2:$C$38,3,0),8))</f>
        <v>0</v>
      </c>
      <c r="BC384" s="97">
        <f>IF(OR(AY384="SÁB",AY384="DOM"),0,IFERROR(8-VLOOKUP(F384,'Dados de consulta'!$A$2:$C$38,3,0),8))</f>
        <v>0</v>
      </c>
      <c r="BD384" s="97">
        <f>IF(OR(AY384="SÁB",AY384="DOM"),0,IFERROR(8-VLOOKUP(G384,'Dados de consulta'!$A$2:$C$38,3,0),8))</f>
        <v>0</v>
      </c>
      <c r="BE384" s="97">
        <f>IF(OR(AY384="SÁB",AY384="DOM"),0,IFERROR(8-VLOOKUP(H384,'Dados de consulta'!$A$2:$C$38,3,0),8))</f>
        <v>0</v>
      </c>
      <c r="BF384" s="97">
        <f>IF(OR(AY384="SÁB",AY384="DOM"),0,IFERROR(8-VLOOKUP(I384,'Dados de consulta'!$A$2:$C$38,3,0),8))</f>
        <v>8</v>
      </c>
      <c r="BG384" s="97">
        <f>IF(OR(AY384="SÁB",AY384="DOM"),0,IFERROR(8-VLOOKUP(J384,'Dados de consulta'!$A$2:$C$38,3,0),8))</f>
        <v>0</v>
      </c>
      <c r="BH384" s="97">
        <f>IF(OR(AY384="SÁB",AY384="DOM"),0,IFERROR(8-VLOOKUP(K384,'Dados de consulta'!$A$2:$C$38,3,0),8))</f>
        <v>0</v>
      </c>
      <c r="BI384" s="97">
        <f>IF(OR(AY384="SÁB",AY384="DOM"),0,IFERROR(8-VLOOKUP(L384,'Dados de consulta'!$A$2:$C$38,3,0),8))</f>
        <v>0</v>
      </c>
      <c r="BJ384" s="97">
        <f>IF(OR(AY384="SÁB",AY384="DOM"),0,IFERROR(8-VLOOKUP(M384,'Dados de consulta'!$A$2:$C$38,3,0),8))</f>
        <v>0</v>
      </c>
      <c r="BK384" s="97">
        <f>IF(OR(AY384="SÁB",AY384="DOM"),0,IFERROR(8-VLOOKUP(N384,'Dados de consulta'!$A$2:$C$38,3,0),8))</f>
        <v>0</v>
      </c>
      <c r="BL384" s="97">
        <f>IF(OR(AY384="SÁB",AY384="DOM"),0,IFERROR(8-VLOOKUP(O384,'Dados de consulta'!$A$2:$C$38,3,0),8))</f>
        <v>0</v>
      </c>
      <c r="BM384" s="97">
        <f>IF(OR(AY384="SÁB",AY384="DOM"),0,IFERROR(8-VLOOKUP(P384,'Dados de consulta'!$A$2:$C$38,3,0),8))</f>
        <v>0</v>
      </c>
      <c r="BN384" s="97">
        <f>IF(OR(AY384="SÁB",AY384="DOM"),0,IFERROR(8-VLOOKUP(Q384,'Dados de consulta'!$A$2:$C$38,3,0),8))</f>
        <v>0</v>
      </c>
      <c r="BO384" s="97">
        <f>IF(OR(AY384="SÁB",AY384="DOM"),0,IFERROR(8-VLOOKUP(R384,'Dados de consulta'!$A$2:$C$38,3,0),8))</f>
        <v>0</v>
      </c>
      <c r="BP384" s="97">
        <f>IF(OR(AY384="SÁB",AY384="DOM"),0,IFERROR(8-VLOOKUP(S384,'Dados de consulta'!$A$2:$C$38,3,0),8))</f>
        <v>0</v>
      </c>
      <c r="BQ384" s="113">
        <f>IFERROR(6-VLOOKUP(T384,'Dados de consulta'!$A$2:$C$38,3,0)+2,6)</f>
        <v>0</v>
      </c>
      <c r="BR384" s="114">
        <f t="shared" si="154"/>
        <v>8</v>
      </c>
      <c r="BS384">
        <f t="shared" si="156"/>
        <v>134</v>
      </c>
      <c r="BU384">
        <f>IFERROR(8-VLOOKUP(U384,'Dados de consulta'!$A:$D,3,0),8)</f>
        <v>0</v>
      </c>
      <c r="BV384">
        <f>IFERROR(8-VLOOKUP(V384,'Dados de consulta'!$A:$D,3,0),8)</f>
        <v>0</v>
      </c>
      <c r="BW384">
        <f t="shared" si="155"/>
        <v>0</v>
      </c>
    </row>
    <row r="385" spans="1:75" ht="15" hidden="1" x14ac:dyDescent="0.2">
      <c r="A385" s="98">
        <v>42508</v>
      </c>
      <c r="B385" s="129" t="str">
        <f t="shared" si="132"/>
        <v>qua</v>
      </c>
      <c r="C385" s="132">
        <v>6</v>
      </c>
      <c r="D385" s="132">
        <v>6</v>
      </c>
      <c r="E385" s="132">
        <v>8</v>
      </c>
      <c r="F385" s="132">
        <v>6</v>
      </c>
      <c r="G385" s="132">
        <v>6</v>
      </c>
      <c r="H385" s="132">
        <v>6</v>
      </c>
      <c r="I385" s="132"/>
      <c r="J385" s="132">
        <v>6</v>
      </c>
      <c r="K385" s="132">
        <v>6</v>
      </c>
      <c r="L385" s="132">
        <v>6</v>
      </c>
      <c r="M385" s="132">
        <v>101</v>
      </c>
      <c r="N385" s="132">
        <v>6</v>
      </c>
      <c r="O385" s="132">
        <v>6</v>
      </c>
      <c r="P385" s="132">
        <v>6</v>
      </c>
      <c r="Q385" s="132">
        <v>6</v>
      </c>
      <c r="R385" s="132">
        <v>6</v>
      </c>
      <c r="S385" s="132">
        <v>6</v>
      </c>
      <c r="T385" s="132">
        <v>6</v>
      </c>
      <c r="U385" s="151">
        <v>6</v>
      </c>
      <c r="V385" s="151">
        <v>18</v>
      </c>
      <c r="W385" s="307" t="s">
        <v>193</v>
      </c>
      <c r="X385" s="308"/>
      <c r="Y385" s="38">
        <f t="shared" si="133"/>
        <v>8</v>
      </c>
      <c r="Z385" s="38">
        <f t="shared" si="134"/>
        <v>0</v>
      </c>
      <c r="AA385" s="38">
        <f t="shared" ref="AA385:AA448" si="157">(COUNTIF(C385:S385,28)+COUNTIF(C385:S385,"28P")/2+COUNTIF(C385:S385,29))*8</f>
        <v>0</v>
      </c>
      <c r="AB385" s="38">
        <f t="shared" si="142"/>
        <v>112</v>
      </c>
      <c r="AC385" s="38">
        <f t="shared" si="143"/>
        <v>0</v>
      </c>
      <c r="AD385" s="38">
        <f t="shared" si="144"/>
        <v>0</v>
      </c>
      <c r="AE385" s="38">
        <f t="shared" si="145"/>
        <v>0</v>
      </c>
      <c r="AF385" s="38">
        <f t="shared" si="146"/>
        <v>6</v>
      </c>
      <c r="AG385" s="33">
        <f t="shared" si="147"/>
        <v>8</v>
      </c>
      <c r="AH385" s="33">
        <f t="shared" si="148"/>
        <v>0</v>
      </c>
      <c r="AI385" s="33">
        <f t="shared" si="149"/>
        <v>0</v>
      </c>
      <c r="AJ385" s="33">
        <f t="shared" si="150"/>
        <v>118</v>
      </c>
      <c r="AK385" s="34">
        <f t="shared" si="151"/>
        <v>5.6338028169014086E-2</v>
      </c>
      <c r="AL385" s="35">
        <f t="shared" si="152"/>
        <v>0</v>
      </c>
      <c r="AM385" s="34">
        <f t="shared" si="135"/>
        <v>0</v>
      </c>
      <c r="AN385" s="36">
        <f t="shared" si="153"/>
        <v>0.83098591549295775</v>
      </c>
      <c r="AO385" s="6">
        <f t="shared" si="136"/>
        <v>0</v>
      </c>
      <c r="AP385">
        <f t="shared" si="137"/>
        <v>8</v>
      </c>
      <c r="AQ385" s="6">
        <f t="shared" si="138"/>
        <v>0</v>
      </c>
      <c r="AR385" s="6">
        <f t="shared" si="139"/>
        <v>0</v>
      </c>
      <c r="AS385" s="6"/>
      <c r="AX385" s="95">
        <f t="shared" si="140"/>
        <v>42508</v>
      </c>
      <c r="AY385" s="96" t="str">
        <f t="shared" si="141"/>
        <v>qua</v>
      </c>
      <c r="AZ385" s="97">
        <f>IF(OR(AY385="SÁB",AY385="DOM"),0,IFERROR(8-VLOOKUP(C385,'Dados de consulta'!$A$2:$C$38,3,0),8))</f>
        <v>0</v>
      </c>
      <c r="BA385" s="97">
        <f>IF(OR(AY385="SÁB",AY385="DOM"),0,IFERROR(8-VLOOKUP(D385,'Dados de consulta'!$A$2:$C$38,3,0),8))</f>
        <v>0</v>
      </c>
      <c r="BB385" s="97">
        <f>IF(OR(AY385="SÁB",AY385="DOM"),0,IFERROR(8-VLOOKUP(E385,'Dados de consulta'!$A$2:$C$38,3,0),8))</f>
        <v>0</v>
      </c>
      <c r="BC385" s="97">
        <f>IF(OR(AY385="SÁB",AY385="DOM"),0,IFERROR(8-VLOOKUP(F385,'Dados de consulta'!$A$2:$C$38,3,0),8))</f>
        <v>0</v>
      </c>
      <c r="BD385" s="97">
        <f>IF(OR(AY385="SÁB",AY385="DOM"),0,IFERROR(8-VLOOKUP(G385,'Dados de consulta'!$A$2:$C$38,3,0),8))</f>
        <v>0</v>
      </c>
      <c r="BE385" s="97">
        <f>IF(OR(AY385="SÁB",AY385="DOM"),0,IFERROR(8-VLOOKUP(H385,'Dados de consulta'!$A$2:$C$38,3,0),8))</f>
        <v>0</v>
      </c>
      <c r="BF385" s="97">
        <f>IF(OR(AY385="SÁB",AY385="DOM"),0,IFERROR(8-VLOOKUP(I385,'Dados de consulta'!$A$2:$C$38,3,0),8))</f>
        <v>8</v>
      </c>
      <c r="BG385" s="97">
        <f>IF(OR(AY385="SÁB",AY385="DOM"),0,IFERROR(8-VLOOKUP(J385,'Dados de consulta'!$A$2:$C$38,3,0),8))</f>
        <v>0</v>
      </c>
      <c r="BH385" s="97">
        <f>IF(OR(AY385="SÁB",AY385="DOM"),0,IFERROR(8-VLOOKUP(K385,'Dados de consulta'!$A$2:$C$38,3,0),8))</f>
        <v>0</v>
      </c>
      <c r="BI385" s="97">
        <f>IF(OR(AY385="SÁB",AY385="DOM"),0,IFERROR(8-VLOOKUP(L385,'Dados de consulta'!$A$2:$C$38,3,0),8))</f>
        <v>0</v>
      </c>
      <c r="BJ385" s="97">
        <f>IF(OR(AY385="SÁB",AY385="DOM"),0,IFERROR(8-VLOOKUP(M385,'Dados de consulta'!$A$2:$C$38,3,0),8))</f>
        <v>0</v>
      </c>
      <c r="BK385" s="97">
        <f>IF(OR(AY385="SÁB",AY385="DOM"),0,IFERROR(8-VLOOKUP(N385,'Dados de consulta'!$A$2:$C$38,3,0),8))</f>
        <v>0</v>
      </c>
      <c r="BL385" s="97">
        <f>IF(OR(AY385="SÁB",AY385="DOM"),0,IFERROR(8-VLOOKUP(O385,'Dados de consulta'!$A$2:$C$38,3,0),8))</f>
        <v>0</v>
      </c>
      <c r="BM385" s="97">
        <f>IF(OR(AY385="SÁB",AY385="DOM"),0,IFERROR(8-VLOOKUP(P385,'Dados de consulta'!$A$2:$C$38,3,0),8))</f>
        <v>0</v>
      </c>
      <c r="BN385" s="97">
        <f>IF(OR(AY385="SÁB",AY385="DOM"),0,IFERROR(8-VLOOKUP(Q385,'Dados de consulta'!$A$2:$C$38,3,0),8))</f>
        <v>0</v>
      </c>
      <c r="BO385" s="97">
        <f>IF(OR(AY385="SÁB",AY385="DOM"),0,IFERROR(8-VLOOKUP(R385,'Dados de consulta'!$A$2:$C$38,3,0),8))</f>
        <v>0</v>
      </c>
      <c r="BP385" s="97">
        <f>IF(OR(AY385="SÁB",AY385="DOM"),0,IFERROR(8-VLOOKUP(S385,'Dados de consulta'!$A$2:$C$38,3,0),8))</f>
        <v>0</v>
      </c>
      <c r="BQ385" s="113">
        <f>IFERROR(6-VLOOKUP(T385,'Dados de consulta'!$A$2:$C$38,3,0)+2,6)</f>
        <v>0</v>
      </c>
      <c r="BR385" s="114">
        <f t="shared" si="154"/>
        <v>8</v>
      </c>
      <c r="BS385">
        <f t="shared" si="156"/>
        <v>134</v>
      </c>
      <c r="BU385">
        <f>IFERROR(8-VLOOKUP(U385,'Dados de consulta'!$A:$D,3,0),8)</f>
        <v>0</v>
      </c>
      <c r="BV385">
        <f>IFERROR(8-VLOOKUP(V385,'Dados de consulta'!$A:$D,3,0),8)</f>
        <v>0</v>
      </c>
      <c r="BW385">
        <f t="shared" si="155"/>
        <v>0</v>
      </c>
    </row>
    <row r="386" spans="1:75" ht="15" hidden="1" x14ac:dyDescent="0.2">
      <c r="A386" s="98">
        <v>42509</v>
      </c>
      <c r="B386" s="129" t="str">
        <f t="shared" ref="B386:B449" si="158">TEXT(A386,"ddd")</f>
        <v>qui</v>
      </c>
      <c r="C386" s="132">
        <v>6</v>
      </c>
      <c r="D386" s="132">
        <v>6</v>
      </c>
      <c r="E386" s="132">
        <v>8</v>
      </c>
      <c r="F386" s="132">
        <v>6</v>
      </c>
      <c r="G386" s="132">
        <v>6</v>
      </c>
      <c r="H386" s="132">
        <v>6</v>
      </c>
      <c r="I386" s="132"/>
      <c r="J386" s="132">
        <v>6</v>
      </c>
      <c r="K386" s="132">
        <v>6</v>
      </c>
      <c r="L386" s="132">
        <v>6</v>
      </c>
      <c r="M386" s="132">
        <v>101</v>
      </c>
      <c r="N386" s="132">
        <v>6</v>
      </c>
      <c r="O386" s="132">
        <v>6</v>
      </c>
      <c r="P386" s="132">
        <v>6</v>
      </c>
      <c r="Q386" s="132">
        <v>6</v>
      </c>
      <c r="R386" s="132">
        <v>6</v>
      </c>
      <c r="S386" s="132">
        <v>6</v>
      </c>
      <c r="T386" s="132">
        <v>6</v>
      </c>
      <c r="U386" s="151">
        <v>6</v>
      </c>
      <c r="V386" s="151">
        <v>18</v>
      </c>
      <c r="W386" s="307" t="s">
        <v>193</v>
      </c>
      <c r="X386" s="308"/>
      <c r="Y386" s="38">
        <f t="shared" ref="Y386:Y449" si="159">(COUNTIF(C386:S386,4)+COUNTIF(C386:S386,8)+COUNTIF(C386:S386,"8P")/2+COUNTIF(C386:S386,9)+COUNTIF(C386:S386,"9P")/2+COUNTIF(C386:S386,14))*8</f>
        <v>8</v>
      </c>
      <c r="Z386" s="38">
        <f t="shared" ref="Z386:Z449" si="160">(COUNTIF(C386:S386,1)+COUNTIF(C386:S386,2)+COUNTIF(C386:S386,3)+COUNTIF(C386:S386,5)+COUNTIF(C386:S386,10)+COUNTIF(C386:S386,13)+COUNTIF(C386:S386,"13P")/2+COUNTIF(C386:S386,15)+COUNTIF(C386:S386,18)+COUNTIF(C386:S386,20)+COUNTIF(C386:S386,22)+COUNTIF(C386:S386,23)+COUNTIF(C386:S386,24)+COUNTIF(C386:S386,25)+COUNTIF(C386:S386,26)+COUNTIF(C386:S386,99))*8</f>
        <v>0</v>
      </c>
      <c r="AA386" s="38">
        <f t="shared" si="157"/>
        <v>0</v>
      </c>
      <c r="AB386" s="38">
        <f t="shared" si="142"/>
        <v>112</v>
      </c>
      <c r="AC386" s="38">
        <f t="shared" si="143"/>
        <v>0</v>
      </c>
      <c r="AD386" s="38">
        <f t="shared" si="144"/>
        <v>0</v>
      </c>
      <c r="AE386" s="38">
        <f t="shared" si="145"/>
        <v>0</v>
      </c>
      <c r="AF386" s="38">
        <f t="shared" si="146"/>
        <v>6</v>
      </c>
      <c r="AG386" s="33">
        <f t="shared" si="147"/>
        <v>8</v>
      </c>
      <c r="AH386" s="33">
        <f t="shared" si="148"/>
        <v>0</v>
      </c>
      <c r="AI386" s="33">
        <f t="shared" si="149"/>
        <v>0</v>
      </c>
      <c r="AJ386" s="33">
        <f t="shared" si="150"/>
        <v>118</v>
      </c>
      <c r="AK386" s="34">
        <f t="shared" si="151"/>
        <v>5.6338028169014086E-2</v>
      </c>
      <c r="AL386" s="35">
        <f t="shared" si="152"/>
        <v>0</v>
      </c>
      <c r="AM386" s="34">
        <f t="shared" ref="AM386:AM449" si="161">(AA386+AE386)/(COUNTA($C$1:$S$1)*8+COUNTA($T$1:$T$1)*6)</f>
        <v>0</v>
      </c>
      <c r="AN386" s="36">
        <f t="shared" si="153"/>
        <v>0.83098591549295775</v>
      </c>
      <c r="AO386" s="6">
        <f t="shared" ref="AO386:AO449" si="162">COUNTIF(C386:S386,100)*8</f>
        <v>0</v>
      </c>
      <c r="AP386">
        <f t="shared" ref="AP386:AP449" si="163">COUNTIF(C386:S386,101)*8</f>
        <v>8</v>
      </c>
      <c r="AQ386" s="6">
        <f t="shared" ref="AQ386:AQ449" si="164">COUNTIF(T386:T386,101)*6</f>
        <v>0</v>
      </c>
      <c r="AR386" s="6">
        <f t="shared" ref="AR386:AR449" si="165">COUNTIF(T386:T386,100)*6</f>
        <v>0</v>
      </c>
      <c r="AS386" s="6"/>
      <c r="AX386" s="95">
        <f t="shared" ref="AX386:AX449" si="166">A386</f>
        <v>42509</v>
      </c>
      <c r="AY386" s="96" t="str">
        <f t="shared" ref="AY386:AY449" si="167">B386</f>
        <v>qui</v>
      </c>
      <c r="AZ386" s="97">
        <f>IF(OR(AY386="SÁB",AY386="DOM"),0,IFERROR(8-VLOOKUP(C386,'Dados de consulta'!$A$2:$C$38,3,0),8))</f>
        <v>0</v>
      </c>
      <c r="BA386" s="97">
        <f>IF(OR(AY386="SÁB",AY386="DOM"),0,IFERROR(8-VLOOKUP(D386,'Dados de consulta'!$A$2:$C$38,3,0),8))</f>
        <v>0</v>
      </c>
      <c r="BB386" s="97">
        <f>IF(OR(AY386="SÁB",AY386="DOM"),0,IFERROR(8-VLOOKUP(E386,'Dados de consulta'!$A$2:$C$38,3,0),8))</f>
        <v>0</v>
      </c>
      <c r="BC386" s="97">
        <f>IF(OR(AY386="SÁB",AY386="DOM"),0,IFERROR(8-VLOOKUP(F386,'Dados de consulta'!$A$2:$C$38,3,0),8))</f>
        <v>0</v>
      </c>
      <c r="BD386" s="97">
        <f>IF(OR(AY386="SÁB",AY386="DOM"),0,IFERROR(8-VLOOKUP(G386,'Dados de consulta'!$A$2:$C$38,3,0),8))</f>
        <v>0</v>
      </c>
      <c r="BE386" s="97">
        <f>IF(OR(AY386="SÁB",AY386="DOM"),0,IFERROR(8-VLOOKUP(H386,'Dados de consulta'!$A$2:$C$38,3,0),8))</f>
        <v>0</v>
      </c>
      <c r="BF386" s="97">
        <f>IF(OR(AY386="SÁB",AY386="DOM"),0,IFERROR(8-VLOOKUP(I386,'Dados de consulta'!$A$2:$C$38,3,0),8))</f>
        <v>8</v>
      </c>
      <c r="BG386" s="97">
        <f>IF(OR(AY386="SÁB",AY386="DOM"),0,IFERROR(8-VLOOKUP(J386,'Dados de consulta'!$A$2:$C$38,3,0),8))</f>
        <v>0</v>
      </c>
      <c r="BH386" s="97">
        <f>IF(OR(AY386="SÁB",AY386="DOM"),0,IFERROR(8-VLOOKUP(K386,'Dados de consulta'!$A$2:$C$38,3,0),8))</f>
        <v>0</v>
      </c>
      <c r="BI386" s="97">
        <f>IF(OR(AY386="SÁB",AY386="DOM"),0,IFERROR(8-VLOOKUP(L386,'Dados de consulta'!$A$2:$C$38,3,0),8))</f>
        <v>0</v>
      </c>
      <c r="BJ386" s="97">
        <f>IF(OR(AY386="SÁB",AY386="DOM"),0,IFERROR(8-VLOOKUP(M386,'Dados de consulta'!$A$2:$C$38,3,0),8))</f>
        <v>0</v>
      </c>
      <c r="BK386" s="97">
        <f>IF(OR(AY386="SÁB",AY386="DOM"),0,IFERROR(8-VLOOKUP(N386,'Dados de consulta'!$A$2:$C$38,3,0),8))</f>
        <v>0</v>
      </c>
      <c r="BL386" s="97">
        <f>IF(OR(AY386="SÁB",AY386="DOM"),0,IFERROR(8-VLOOKUP(O386,'Dados de consulta'!$A$2:$C$38,3,0),8))</f>
        <v>0</v>
      </c>
      <c r="BM386" s="97">
        <f>IF(OR(AY386="SÁB",AY386="DOM"),0,IFERROR(8-VLOOKUP(P386,'Dados de consulta'!$A$2:$C$38,3,0),8))</f>
        <v>0</v>
      </c>
      <c r="BN386" s="97">
        <f>IF(OR(AY386="SÁB",AY386="DOM"),0,IFERROR(8-VLOOKUP(Q386,'Dados de consulta'!$A$2:$C$38,3,0),8))</f>
        <v>0</v>
      </c>
      <c r="BO386" s="97">
        <f>IF(OR(AY386="SÁB",AY386="DOM"),0,IFERROR(8-VLOOKUP(R386,'Dados de consulta'!$A$2:$C$38,3,0),8))</f>
        <v>0</v>
      </c>
      <c r="BP386" s="97">
        <f>IF(OR(AY386="SÁB",AY386="DOM"),0,IFERROR(8-VLOOKUP(S386,'Dados de consulta'!$A$2:$C$38,3,0),8))</f>
        <v>0</v>
      </c>
      <c r="BQ386" s="113">
        <f>IFERROR(6-VLOOKUP(T386,'Dados de consulta'!$A$2:$C$38,3,0)+2,6)</f>
        <v>0</v>
      </c>
      <c r="BR386" s="114">
        <f t="shared" si="154"/>
        <v>8</v>
      </c>
      <c r="BS386">
        <f t="shared" si="156"/>
        <v>134</v>
      </c>
      <c r="BU386">
        <f>IFERROR(8-VLOOKUP(U386,'Dados de consulta'!$A:$D,3,0),8)</f>
        <v>0</v>
      </c>
      <c r="BV386">
        <f>IFERROR(8-VLOOKUP(V386,'Dados de consulta'!$A:$D,3,0),8)</f>
        <v>0</v>
      </c>
      <c r="BW386">
        <f t="shared" si="155"/>
        <v>0</v>
      </c>
    </row>
    <row r="387" spans="1:75" ht="15" hidden="1" x14ac:dyDescent="0.2">
      <c r="A387" s="98">
        <v>42510</v>
      </c>
      <c r="B387" s="129" t="str">
        <f t="shared" si="158"/>
        <v>sex</v>
      </c>
      <c r="C387" s="132">
        <v>6</v>
      </c>
      <c r="D387" s="132">
        <v>6</v>
      </c>
      <c r="E387" s="132">
        <v>8</v>
      </c>
      <c r="F387" s="132">
        <v>6</v>
      </c>
      <c r="G387" s="132">
        <v>6</v>
      </c>
      <c r="H387" s="132">
        <v>6</v>
      </c>
      <c r="I387" s="132"/>
      <c r="J387" s="132">
        <v>6</v>
      </c>
      <c r="K387" s="132">
        <v>6</v>
      </c>
      <c r="L387" s="132">
        <v>6</v>
      </c>
      <c r="M387" s="132">
        <v>101</v>
      </c>
      <c r="N387" s="132">
        <v>6</v>
      </c>
      <c r="O387" s="132">
        <v>6</v>
      </c>
      <c r="P387" s="132">
        <v>8</v>
      </c>
      <c r="Q387" s="132">
        <v>6</v>
      </c>
      <c r="R387" s="132">
        <v>8</v>
      </c>
      <c r="S387" s="132">
        <v>6</v>
      </c>
      <c r="T387" s="132">
        <v>6</v>
      </c>
      <c r="U387" s="151">
        <v>6</v>
      </c>
      <c r="V387" s="151">
        <v>18</v>
      </c>
      <c r="W387" s="307" t="s">
        <v>193</v>
      </c>
      <c r="X387" s="308"/>
      <c r="Y387" s="38">
        <f t="shared" si="159"/>
        <v>24</v>
      </c>
      <c r="Z387" s="38">
        <f t="shared" si="160"/>
        <v>0</v>
      </c>
      <c r="AA387" s="38">
        <f t="shared" si="157"/>
        <v>0</v>
      </c>
      <c r="AB387" s="38">
        <f t="shared" ref="AB387:AB450" si="168">(COUNTIF(C387:S387,6)+COUNTIF(C387:S387,"6P")/2+COUNTIF(C387:S387,7)+COUNTIF(C387:S387,11)+COUNTIF(C387:S387,12)+COUNTIF(C387:S387,19))*8</f>
        <v>96</v>
      </c>
      <c r="AC387" s="38">
        <f t="shared" ref="AC387:AC450" si="169">(COUNTIF(T387,4)+COUNTIF(T387,8)+COUNTIF(T387,"8P")+COUNTIF(T387,9)+COUNTIF(T387,"9P")+COUNTIF(T387,14))*6</f>
        <v>0</v>
      </c>
      <c r="AD387" s="38">
        <f t="shared" ref="AD387:AD450" si="170">(COUNTIF(T387,1)+COUNTIF(T387,2)+COUNTIF(T387,3)+COUNTIF(T387,5)+COUNTIF(T387,10)+COUNTIF(T387,13)+COUNTIF(T387,"13P")+COUNTIF(T387,15)+COUNTIF(T387,16)+COUNTIF(T387,18)+COUNTIF(T387,20)+COUNTIF(T387,21)+COUNTIF(T387,22)+COUNTIF(T387,23)+COUNTIF(T387,24)+COUNTIF(T387,25)+COUNTIF(T387,26)+COUNTIF(T387,99))*6</f>
        <v>0</v>
      </c>
      <c r="AE387" s="38">
        <f t="shared" ref="AE387:AE450" si="171">(COUNTIF(T387,28)+COUNTIF(T387,"28P")+COUNTIF(T387,29))*6</f>
        <v>0</v>
      </c>
      <c r="AF387" s="38">
        <f t="shared" ref="AF387:AF450" si="172">(COUNTIF(T387,6)+COUNTIF(T387,"6P")+COUNTIF(T387,7)+COUNTIF(T387,11)+COUNTIF(T387,12))*6</f>
        <v>6</v>
      </c>
      <c r="AG387" s="33">
        <f t="shared" ref="AG387:AG450" si="173">IF(OR(B387="SÁB",B387="DOM"),0,Y387+AC387)</f>
        <v>24</v>
      </c>
      <c r="AH387" s="33">
        <f t="shared" ref="AH387:AH450" si="174">IF(OR(B387="SÁB",B387="DOM"),0,Z387+AD387)</f>
        <v>0</v>
      </c>
      <c r="AI387" s="33">
        <f t="shared" ref="AI387:AI450" si="175">IF(OR(B387="SÁB",B387="DOM"),0,AA387+AE387)</f>
        <v>0</v>
      </c>
      <c r="AJ387" s="33">
        <f t="shared" ref="AJ387:AJ450" si="176">IF(OR(B387="SÁB",B387="DOM"),0,AB387+AF387)</f>
        <v>102</v>
      </c>
      <c r="AK387" s="34">
        <f t="shared" ref="AK387:AK450" si="177">AG387/(COUNTA($C$1:$S$1)*8+6)</f>
        <v>0.16901408450704225</v>
      </c>
      <c r="AL387" s="35">
        <f t="shared" ref="AL387:AL450" si="178">AH387/(COUNTA($C$1:$S$1)*8+6)</f>
        <v>0</v>
      </c>
      <c r="AM387" s="34">
        <f t="shared" si="161"/>
        <v>0</v>
      </c>
      <c r="AN387" s="36">
        <f t="shared" ref="AN387:AN450" si="179">AJ387/(COUNTA($C$1:$S$1)*8+6)</f>
        <v>0.71830985915492962</v>
      </c>
      <c r="AO387" s="6">
        <f t="shared" si="162"/>
        <v>0</v>
      </c>
      <c r="AP387">
        <f t="shared" si="163"/>
        <v>8</v>
      </c>
      <c r="AQ387" s="6">
        <f t="shared" si="164"/>
        <v>0</v>
      </c>
      <c r="AR387" s="6">
        <f t="shared" si="165"/>
        <v>0</v>
      </c>
      <c r="AS387" s="6"/>
      <c r="AX387" s="95">
        <f t="shared" si="166"/>
        <v>42510</v>
      </c>
      <c r="AY387" s="96" t="str">
        <f t="shared" si="167"/>
        <v>sex</v>
      </c>
      <c r="AZ387" s="97">
        <f>IF(OR(AY387="SÁB",AY387="DOM"),0,IFERROR(8-VLOOKUP(C387,'Dados de consulta'!$A$2:$C$38,3,0),8))</f>
        <v>0</v>
      </c>
      <c r="BA387" s="97">
        <f>IF(OR(AY387="SÁB",AY387="DOM"),0,IFERROR(8-VLOOKUP(D387,'Dados de consulta'!$A$2:$C$38,3,0),8))</f>
        <v>0</v>
      </c>
      <c r="BB387" s="97">
        <f>IF(OR(AY387="SÁB",AY387="DOM"),0,IFERROR(8-VLOOKUP(E387,'Dados de consulta'!$A$2:$C$38,3,0),8))</f>
        <v>0</v>
      </c>
      <c r="BC387" s="97">
        <f>IF(OR(AY387="SÁB",AY387="DOM"),0,IFERROR(8-VLOOKUP(F387,'Dados de consulta'!$A$2:$C$38,3,0),8))</f>
        <v>0</v>
      </c>
      <c r="BD387" s="97">
        <f>IF(OR(AY387="SÁB",AY387="DOM"),0,IFERROR(8-VLOOKUP(G387,'Dados de consulta'!$A$2:$C$38,3,0),8))</f>
        <v>0</v>
      </c>
      <c r="BE387" s="97">
        <f>IF(OR(AY387="SÁB",AY387="DOM"),0,IFERROR(8-VLOOKUP(H387,'Dados de consulta'!$A$2:$C$38,3,0),8))</f>
        <v>0</v>
      </c>
      <c r="BF387" s="97">
        <f>IF(OR(AY387="SÁB",AY387="DOM"),0,IFERROR(8-VLOOKUP(I387,'Dados de consulta'!$A$2:$C$38,3,0),8))</f>
        <v>8</v>
      </c>
      <c r="BG387" s="97">
        <f>IF(OR(AY387="SÁB",AY387="DOM"),0,IFERROR(8-VLOOKUP(J387,'Dados de consulta'!$A$2:$C$38,3,0),8))</f>
        <v>0</v>
      </c>
      <c r="BH387" s="97">
        <f>IF(OR(AY387="SÁB",AY387="DOM"),0,IFERROR(8-VLOOKUP(K387,'Dados de consulta'!$A$2:$C$38,3,0),8))</f>
        <v>0</v>
      </c>
      <c r="BI387" s="97">
        <f>IF(OR(AY387="SÁB",AY387="DOM"),0,IFERROR(8-VLOOKUP(L387,'Dados de consulta'!$A$2:$C$38,3,0),8))</f>
        <v>0</v>
      </c>
      <c r="BJ387" s="97">
        <f>IF(OR(AY387="SÁB",AY387="DOM"),0,IFERROR(8-VLOOKUP(M387,'Dados de consulta'!$A$2:$C$38,3,0),8))</f>
        <v>0</v>
      </c>
      <c r="BK387" s="97">
        <f>IF(OR(AY387="SÁB",AY387="DOM"),0,IFERROR(8-VLOOKUP(N387,'Dados de consulta'!$A$2:$C$38,3,0),8))</f>
        <v>0</v>
      </c>
      <c r="BL387" s="97">
        <f>IF(OR(AY387="SÁB",AY387="DOM"),0,IFERROR(8-VLOOKUP(O387,'Dados de consulta'!$A$2:$C$38,3,0),8))</f>
        <v>0</v>
      </c>
      <c r="BM387" s="97">
        <f>IF(OR(AY387="SÁB",AY387="DOM"),0,IFERROR(8-VLOOKUP(P387,'Dados de consulta'!$A$2:$C$38,3,0),8))</f>
        <v>0</v>
      </c>
      <c r="BN387" s="97">
        <f>IF(OR(AY387="SÁB",AY387="DOM"),0,IFERROR(8-VLOOKUP(Q387,'Dados de consulta'!$A$2:$C$38,3,0),8))</f>
        <v>0</v>
      </c>
      <c r="BO387" s="97">
        <f>IF(OR(AY387="SÁB",AY387="DOM"),0,IFERROR(8-VLOOKUP(R387,'Dados de consulta'!$A$2:$C$38,3,0),8))</f>
        <v>0</v>
      </c>
      <c r="BP387" s="97">
        <f>IF(OR(AY387="SÁB",AY387="DOM"),0,IFERROR(8-VLOOKUP(S387,'Dados de consulta'!$A$2:$C$38,3,0),8))</f>
        <v>0</v>
      </c>
      <c r="BQ387" s="113">
        <f>IFERROR(6-VLOOKUP(T387,'Dados de consulta'!$A$2:$C$38,3,0)+2,6)</f>
        <v>0</v>
      </c>
      <c r="BR387" s="114">
        <f t="shared" ref="BR387:BR450" si="180">IF(OR(AY387="SÁB",AY387="DOM"),0,SUM(AZ387:BQ387))</f>
        <v>8</v>
      </c>
      <c r="BS387">
        <f t="shared" si="156"/>
        <v>134</v>
      </c>
      <c r="BU387">
        <f>IFERROR(8-VLOOKUP(U387,'Dados de consulta'!$A:$D,3,0),8)</f>
        <v>0</v>
      </c>
      <c r="BV387">
        <f>IFERROR(8-VLOOKUP(V387,'Dados de consulta'!$A:$D,3,0),8)</f>
        <v>0</v>
      </c>
      <c r="BW387">
        <f t="shared" ref="BW387:BW450" si="181">BU387+BV387</f>
        <v>0</v>
      </c>
    </row>
    <row r="388" spans="1:75" ht="15" hidden="1" x14ac:dyDescent="0.2">
      <c r="A388" s="98">
        <v>42511</v>
      </c>
      <c r="B388" s="129" t="str">
        <f t="shared" si="158"/>
        <v>sáb</v>
      </c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>
        <v>101</v>
      </c>
      <c r="N388" s="132"/>
      <c r="O388" s="132"/>
      <c r="P388" s="132"/>
      <c r="Q388" s="132"/>
      <c r="R388" s="132"/>
      <c r="S388" s="132"/>
      <c r="T388" s="132"/>
      <c r="U388" s="151"/>
      <c r="V388" s="151">
        <v>18</v>
      </c>
      <c r="W388" s="307" t="s">
        <v>193</v>
      </c>
      <c r="X388" s="308"/>
      <c r="Y388" s="38">
        <f t="shared" si="159"/>
        <v>0</v>
      </c>
      <c r="Z388" s="38">
        <f t="shared" si="160"/>
        <v>0</v>
      </c>
      <c r="AA388" s="38">
        <f t="shared" si="157"/>
        <v>0</v>
      </c>
      <c r="AB388" s="38">
        <f t="shared" si="168"/>
        <v>0</v>
      </c>
      <c r="AC388" s="38">
        <f t="shared" si="169"/>
        <v>0</v>
      </c>
      <c r="AD388" s="38">
        <f t="shared" si="170"/>
        <v>0</v>
      </c>
      <c r="AE388" s="38">
        <f t="shared" si="171"/>
        <v>0</v>
      </c>
      <c r="AF388" s="38">
        <f t="shared" si="172"/>
        <v>0</v>
      </c>
      <c r="AG388" s="33">
        <f t="shared" si="173"/>
        <v>0</v>
      </c>
      <c r="AH388" s="33">
        <f t="shared" si="174"/>
        <v>0</v>
      </c>
      <c r="AI388" s="33">
        <f t="shared" si="175"/>
        <v>0</v>
      </c>
      <c r="AJ388" s="33">
        <f t="shared" si="176"/>
        <v>0</v>
      </c>
      <c r="AK388" s="34">
        <f t="shared" si="177"/>
        <v>0</v>
      </c>
      <c r="AL388" s="35">
        <f t="shared" si="178"/>
        <v>0</v>
      </c>
      <c r="AM388" s="34">
        <f t="shared" si="161"/>
        <v>0</v>
      </c>
      <c r="AN388" s="36">
        <f t="shared" si="179"/>
        <v>0</v>
      </c>
      <c r="AO388" s="6">
        <f t="shared" si="162"/>
        <v>0</v>
      </c>
      <c r="AP388">
        <f t="shared" si="163"/>
        <v>8</v>
      </c>
      <c r="AQ388" s="6">
        <f t="shared" si="164"/>
        <v>0</v>
      </c>
      <c r="AR388" s="6">
        <f t="shared" si="165"/>
        <v>0</v>
      </c>
      <c r="AS388" s="6"/>
      <c r="AX388" s="95">
        <f t="shared" si="166"/>
        <v>42511</v>
      </c>
      <c r="AY388" s="96" t="str">
        <f t="shared" si="167"/>
        <v>sáb</v>
      </c>
      <c r="AZ388" s="97">
        <f>IF(OR(AY388="SÁB",AY388="DOM"),0,IFERROR(8-VLOOKUP(C388,'Dados de consulta'!$A$2:$C$38,3,0),8))</f>
        <v>0</v>
      </c>
      <c r="BA388" s="97">
        <f>IF(OR(AY388="SÁB",AY388="DOM"),0,IFERROR(8-VLOOKUP(D388,'Dados de consulta'!$A$2:$C$38,3,0),8))</f>
        <v>0</v>
      </c>
      <c r="BB388" s="97">
        <f>IF(OR(AY388="SÁB",AY388="DOM"),0,IFERROR(8-VLOOKUP(E388,'Dados de consulta'!$A$2:$C$38,3,0),8))</f>
        <v>0</v>
      </c>
      <c r="BC388" s="97">
        <f>IF(OR(AY388="SÁB",AY388="DOM"),0,IFERROR(8-VLOOKUP(F388,'Dados de consulta'!$A$2:$C$38,3,0),8))</f>
        <v>0</v>
      </c>
      <c r="BD388" s="97">
        <f>IF(OR(AY388="SÁB",AY388="DOM"),0,IFERROR(8-VLOOKUP(G388,'Dados de consulta'!$A$2:$C$38,3,0),8))</f>
        <v>0</v>
      </c>
      <c r="BE388" s="97">
        <f>IF(OR(AY388="SÁB",AY388="DOM"),0,IFERROR(8-VLOOKUP(H388,'Dados de consulta'!$A$2:$C$38,3,0),8))</f>
        <v>0</v>
      </c>
      <c r="BF388" s="97">
        <f>IF(OR(AY388="SÁB",AY388="DOM"),0,IFERROR(8-VLOOKUP(I388,'Dados de consulta'!$A$2:$C$38,3,0),8))</f>
        <v>0</v>
      </c>
      <c r="BG388" s="97">
        <f>IF(OR(AY388="SÁB",AY388="DOM"),0,IFERROR(8-VLOOKUP(J388,'Dados de consulta'!$A$2:$C$38,3,0),8))</f>
        <v>0</v>
      </c>
      <c r="BH388" s="97">
        <f>IF(OR(AY388="SÁB",AY388="DOM"),0,IFERROR(8-VLOOKUP(K388,'Dados de consulta'!$A$2:$C$38,3,0),8))</f>
        <v>0</v>
      </c>
      <c r="BI388" s="97">
        <f>IF(OR(AY388="SÁB",AY388="DOM"),0,IFERROR(8-VLOOKUP(L388,'Dados de consulta'!$A$2:$C$38,3,0),8))</f>
        <v>0</v>
      </c>
      <c r="BJ388" s="97">
        <f>IF(OR(AY388="SÁB",AY388="DOM"),0,IFERROR(8-VLOOKUP(M388,'Dados de consulta'!$A$2:$C$38,3,0),8))</f>
        <v>0</v>
      </c>
      <c r="BK388" s="97">
        <f>IF(OR(AY388="SÁB",AY388="DOM"),0,IFERROR(8-VLOOKUP(N388,'Dados de consulta'!$A$2:$C$38,3,0),8))</f>
        <v>0</v>
      </c>
      <c r="BL388" s="97">
        <f>IF(OR(AY388="SÁB",AY388="DOM"),0,IFERROR(8-VLOOKUP(O388,'Dados de consulta'!$A$2:$C$38,3,0),8))</f>
        <v>0</v>
      </c>
      <c r="BM388" s="97">
        <f>IF(OR(AY388="SÁB",AY388="DOM"),0,IFERROR(8-VLOOKUP(P388,'Dados de consulta'!$A$2:$C$38,3,0),8))</f>
        <v>0</v>
      </c>
      <c r="BN388" s="97">
        <f>IF(OR(AY388="SÁB",AY388="DOM"),0,IFERROR(8-VLOOKUP(Q388,'Dados de consulta'!$A$2:$C$38,3,0),8))</f>
        <v>0</v>
      </c>
      <c r="BO388" s="97">
        <f>IF(OR(AY388="SÁB",AY388="DOM"),0,IFERROR(8-VLOOKUP(R388,'Dados de consulta'!$A$2:$C$38,3,0),8))</f>
        <v>0</v>
      </c>
      <c r="BP388" s="97">
        <f>IF(OR(AY388="SÁB",AY388="DOM"),0,IFERROR(8-VLOOKUP(S388,'Dados de consulta'!$A$2:$C$38,3,0),8))</f>
        <v>0</v>
      </c>
      <c r="BQ388" s="113">
        <f>IFERROR(6-VLOOKUP(T388,'Dados de consulta'!$A$2:$C$38,3,0)+2,6)</f>
        <v>6</v>
      </c>
      <c r="BR388" s="114">
        <f t="shared" si="180"/>
        <v>0</v>
      </c>
      <c r="BS388">
        <f t="shared" si="156"/>
        <v>0</v>
      </c>
      <c r="BU388">
        <f>IFERROR(8-VLOOKUP(U388,'Dados de consulta'!$A:$D,3,0),8)</f>
        <v>8</v>
      </c>
      <c r="BV388">
        <f>IFERROR(8-VLOOKUP(V388,'Dados de consulta'!$A:$D,3,0),8)</f>
        <v>0</v>
      </c>
      <c r="BW388">
        <f t="shared" si="181"/>
        <v>8</v>
      </c>
    </row>
    <row r="389" spans="1:75" ht="15" hidden="1" x14ac:dyDescent="0.2">
      <c r="A389" s="98">
        <v>42512</v>
      </c>
      <c r="B389" s="129" t="str">
        <f t="shared" si="158"/>
        <v>dom</v>
      </c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>
        <v>101</v>
      </c>
      <c r="N389" s="132"/>
      <c r="O389" s="132"/>
      <c r="P389" s="132"/>
      <c r="Q389" s="132"/>
      <c r="R389" s="132"/>
      <c r="S389" s="132"/>
      <c r="T389" s="132"/>
      <c r="U389" s="151"/>
      <c r="V389" s="151">
        <v>18</v>
      </c>
      <c r="W389" s="307" t="s">
        <v>193</v>
      </c>
      <c r="X389" s="308"/>
      <c r="Y389" s="38">
        <f t="shared" si="159"/>
        <v>0</v>
      </c>
      <c r="Z389" s="38">
        <f t="shared" si="160"/>
        <v>0</v>
      </c>
      <c r="AA389" s="38">
        <f t="shared" si="157"/>
        <v>0</v>
      </c>
      <c r="AB389" s="38">
        <f t="shared" si="168"/>
        <v>0</v>
      </c>
      <c r="AC389" s="38">
        <f t="shared" si="169"/>
        <v>0</v>
      </c>
      <c r="AD389" s="38">
        <f t="shared" si="170"/>
        <v>0</v>
      </c>
      <c r="AE389" s="38">
        <f t="shared" si="171"/>
        <v>0</v>
      </c>
      <c r="AF389" s="38">
        <f t="shared" si="172"/>
        <v>0</v>
      </c>
      <c r="AG389" s="33">
        <f t="shared" si="173"/>
        <v>0</v>
      </c>
      <c r="AH389" s="33">
        <f t="shared" si="174"/>
        <v>0</v>
      </c>
      <c r="AI389" s="33">
        <f t="shared" si="175"/>
        <v>0</v>
      </c>
      <c r="AJ389" s="33">
        <f t="shared" si="176"/>
        <v>0</v>
      </c>
      <c r="AK389" s="34">
        <f t="shared" si="177"/>
        <v>0</v>
      </c>
      <c r="AL389" s="35">
        <f t="shared" si="178"/>
        <v>0</v>
      </c>
      <c r="AM389" s="34">
        <f t="shared" si="161"/>
        <v>0</v>
      </c>
      <c r="AN389" s="36">
        <f t="shared" si="179"/>
        <v>0</v>
      </c>
      <c r="AO389" s="6">
        <f t="shared" si="162"/>
        <v>0</v>
      </c>
      <c r="AP389">
        <f t="shared" si="163"/>
        <v>8</v>
      </c>
      <c r="AQ389" s="6">
        <f t="shared" si="164"/>
        <v>0</v>
      </c>
      <c r="AR389" s="6">
        <f t="shared" si="165"/>
        <v>0</v>
      </c>
      <c r="AS389" s="6"/>
      <c r="AX389" s="95">
        <f t="shared" si="166"/>
        <v>42512</v>
      </c>
      <c r="AY389" s="96" t="str">
        <f t="shared" si="167"/>
        <v>dom</v>
      </c>
      <c r="AZ389" s="97">
        <f>IF(OR(AY389="SÁB",AY389="DOM"),0,IFERROR(8-VLOOKUP(C389,'Dados de consulta'!$A$2:$C$38,3,0),8))</f>
        <v>0</v>
      </c>
      <c r="BA389" s="97">
        <f>IF(OR(AY389="SÁB",AY389="DOM"),0,IFERROR(8-VLOOKUP(D389,'Dados de consulta'!$A$2:$C$38,3,0),8))</f>
        <v>0</v>
      </c>
      <c r="BB389" s="97">
        <f>IF(OR(AY389="SÁB",AY389="DOM"),0,IFERROR(8-VLOOKUP(E389,'Dados de consulta'!$A$2:$C$38,3,0),8))</f>
        <v>0</v>
      </c>
      <c r="BC389" s="97">
        <f>IF(OR(AY389="SÁB",AY389="DOM"),0,IFERROR(8-VLOOKUP(F389,'Dados de consulta'!$A$2:$C$38,3,0),8))</f>
        <v>0</v>
      </c>
      <c r="BD389" s="97">
        <f>IF(OR(AY389="SÁB",AY389="DOM"),0,IFERROR(8-VLOOKUP(G389,'Dados de consulta'!$A$2:$C$38,3,0),8))</f>
        <v>0</v>
      </c>
      <c r="BE389" s="97">
        <f>IF(OR(AY389="SÁB",AY389="DOM"),0,IFERROR(8-VLOOKUP(H389,'Dados de consulta'!$A$2:$C$38,3,0),8))</f>
        <v>0</v>
      </c>
      <c r="BF389" s="97">
        <f>IF(OR(AY389="SÁB",AY389="DOM"),0,IFERROR(8-VLOOKUP(I389,'Dados de consulta'!$A$2:$C$38,3,0),8))</f>
        <v>0</v>
      </c>
      <c r="BG389" s="97">
        <f>IF(OR(AY389="SÁB",AY389="DOM"),0,IFERROR(8-VLOOKUP(J389,'Dados de consulta'!$A$2:$C$38,3,0),8))</f>
        <v>0</v>
      </c>
      <c r="BH389" s="97">
        <f>IF(OR(AY389="SÁB",AY389="DOM"),0,IFERROR(8-VLOOKUP(K389,'Dados de consulta'!$A$2:$C$38,3,0),8))</f>
        <v>0</v>
      </c>
      <c r="BI389" s="97">
        <f>IF(OR(AY389="SÁB",AY389="DOM"),0,IFERROR(8-VLOOKUP(L389,'Dados de consulta'!$A$2:$C$38,3,0),8))</f>
        <v>0</v>
      </c>
      <c r="BJ389" s="97">
        <f>IF(OR(AY389="SÁB",AY389="DOM"),0,IFERROR(8-VLOOKUP(M389,'Dados de consulta'!$A$2:$C$38,3,0),8))</f>
        <v>0</v>
      </c>
      <c r="BK389" s="97">
        <f>IF(OR(AY389="SÁB",AY389="DOM"),0,IFERROR(8-VLOOKUP(N389,'Dados de consulta'!$A$2:$C$38,3,0),8))</f>
        <v>0</v>
      </c>
      <c r="BL389" s="97">
        <f>IF(OR(AY389="SÁB",AY389="DOM"),0,IFERROR(8-VLOOKUP(O389,'Dados de consulta'!$A$2:$C$38,3,0),8))</f>
        <v>0</v>
      </c>
      <c r="BM389" s="97">
        <f>IF(OR(AY389="SÁB",AY389="DOM"),0,IFERROR(8-VLOOKUP(P389,'Dados de consulta'!$A$2:$C$38,3,0),8))</f>
        <v>0</v>
      </c>
      <c r="BN389" s="97">
        <f>IF(OR(AY389="SÁB",AY389="DOM"),0,IFERROR(8-VLOOKUP(Q389,'Dados de consulta'!$A$2:$C$38,3,0),8))</f>
        <v>0</v>
      </c>
      <c r="BO389" s="97">
        <f>IF(OR(AY389="SÁB",AY389="DOM"),0,IFERROR(8-VLOOKUP(R389,'Dados de consulta'!$A$2:$C$38,3,0),8))</f>
        <v>0</v>
      </c>
      <c r="BP389" s="97">
        <f>IF(OR(AY389="SÁB",AY389="DOM"),0,IFERROR(8-VLOOKUP(S389,'Dados de consulta'!$A$2:$C$38,3,0),8))</f>
        <v>0</v>
      </c>
      <c r="BQ389" s="113">
        <f>IFERROR(6-VLOOKUP(T389,'Dados de consulta'!$A$2:$C$38,3,0)+2,6)</f>
        <v>6</v>
      </c>
      <c r="BR389" s="114">
        <f t="shared" si="180"/>
        <v>0</v>
      </c>
      <c r="BS389">
        <f t="shared" si="156"/>
        <v>0</v>
      </c>
      <c r="BU389">
        <f>IFERROR(8-VLOOKUP(U389,'Dados de consulta'!$A:$D,3,0),8)</f>
        <v>8</v>
      </c>
      <c r="BV389">
        <f>IFERROR(8-VLOOKUP(V389,'Dados de consulta'!$A:$D,3,0),8)</f>
        <v>0</v>
      </c>
      <c r="BW389">
        <f t="shared" si="181"/>
        <v>8</v>
      </c>
    </row>
    <row r="390" spans="1:75" ht="15" hidden="1" x14ac:dyDescent="0.2">
      <c r="A390" s="98">
        <v>42513</v>
      </c>
      <c r="B390" s="129" t="str">
        <f t="shared" si="158"/>
        <v>seg</v>
      </c>
      <c r="C390" s="132">
        <v>6</v>
      </c>
      <c r="D390" s="132">
        <v>6</v>
      </c>
      <c r="E390" s="132">
        <v>8</v>
      </c>
      <c r="F390" s="132">
        <v>6</v>
      </c>
      <c r="G390" s="132">
        <v>6</v>
      </c>
      <c r="H390" s="132">
        <v>6</v>
      </c>
      <c r="I390" s="132"/>
      <c r="J390" s="132">
        <v>6</v>
      </c>
      <c r="K390" s="132">
        <v>6</v>
      </c>
      <c r="L390" s="132">
        <v>6</v>
      </c>
      <c r="M390" s="132">
        <v>101</v>
      </c>
      <c r="N390" s="132">
        <v>6</v>
      </c>
      <c r="O390" s="132">
        <v>6</v>
      </c>
      <c r="P390" s="132">
        <v>6</v>
      </c>
      <c r="Q390" s="132">
        <v>6</v>
      </c>
      <c r="R390" s="132"/>
      <c r="S390" s="132">
        <v>6</v>
      </c>
      <c r="T390" s="132">
        <v>6</v>
      </c>
      <c r="U390" s="132">
        <v>6</v>
      </c>
      <c r="V390" s="151">
        <v>18</v>
      </c>
      <c r="W390" s="307" t="s">
        <v>193</v>
      </c>
      <c r="X390" s="308"/>
      <c r="Y390" s="38">
        <f t="shared" si="159"/>
        <v>8</v>
      </c>
      <c r="Z390" s="38">
        <f t="shared" si="160"/>
        <v>0</v>
      </c>
      <c r="AA390" s="38">
        <f t="shared" si="157"/>
        <v>0</v>
      </c>
      <c r="AB390" s="38">
        <f t="shared" si="168"/>
        <v>104</v>
      </c>
      <c r="AC390" s="38">
        <f t="shared" si="169"/>
        <v>0</v>
      </c>
      <c r="AD390" s="38">
        <f t="shared" si="170"/>
        <v>0</v>
      </c>
      <c r="AE390" s="38">
        <f t="shared" si="171"/>
        <v>0</v>
      </c>
      <c r="AF390" s="38">
        <f t="shared" si="172"/>
        <v>6</v>
      </c>
      <c r="AG390" s="33">
        <f t="shared" si="173"/>
        <v>8</v>
      </c>
      <c r="AH390" s="33">
        <f t="shared" si="174"/>
        <v>0</v>
      </c>
      <c r="AI390" s="33">
        <f t="shared" si="175"/>
        <v>0</v>
      </c>
      <c r="AJ390" s="33">
        <f t="shared" si="176"/>
        <v>110</v>
      </c>
      <c r="AK390" s="34">
        <f t="shared" si="177"/>
        <v>5.6338028169014086E-2</v>
      </c>
      <c r="AL390" s="35">
        <f t="shared" si="178"/>
        <v>0</v>
      </c>
      <c r="AM390" s="34">
        <f t="shared" si="161"/>
        <v>0</v>
      </c>
      <c r="AN390" s="36">
        <f t="shared" si="179"/>
        <v>0.77464788732394363</v>
      </c>
      <c r="AO390" s="6">
        <f t="shared" si="162"/>
        <v>0</v>
      </c>
      <c r="AP390">
        <f t="shared" si="163"/>
        <v>8</v>
      </c>
      <c r="AQ390" s="6">
        <f t="shared" si="164"/>
        <v>0</v>
      </c>
      <c r="AR390" s="6">
        <f t="shared" si="165"/>
        <v>0</v>
      </c>
      <c r="AS390" s="6"/>
      <c r="AX390" s="95">
        <f t="shared" si="166"/>
        <v>42513</v>
      </c>
      <c r="AY390" s="96" t="str">
        <f t="shared" si="167"/>
        <v>seg</v>
      </c>
      <c r="AZ390" s="97">
        <f>IF(OR(AY390="SÁB",AY390="DOM"),0,IFERROR(8-VLOOKUP(C390,'Dados de consulta'!$A$2:$C$38,3,0),8))</f>
        <v>0</v>
      </c>
      <c r="BA390" s="97">
        <f>IF(OR(AY390="SÁB",AY390="DOM"),0,IFERROR(8-VLOOKUP(D390,'Dados de consulta'!$A$2:$C$38,3,0),8))</f>
        <v>0</v>
      </c>
      <c r="BB390" s="97">
        <f>IF(OR(AY390="SÁB",AY390="DOM"),0,IFERROR(8-VLOOKUP(E390,'Dados de consulta'!$A$2:$C$38,3,0),8))</f>
        <v>0</v>
      </c>
      <c r="BC390" s="97">
        <f>IF(OR(AY390="SÁB",AY390="DOM"),0,IFERROR(8-VLOOKUP(F390,'Dados de consulta'!$A$2:$C$38,3,0),8))</f>
        <v>0</v>
      </c>
      <c r="BD390" s="97">
        <f>IF(OR(AY390="SÁB",AY390="DOM"),0,IFERROR(8-VLOOKUP(G390,'Dados de consulta'!$A$2:$C$38,3,0),8))</f>
        <v>0</v>
      </c>
      <c r="BE390" s="97">
        <f>IF(OR(AY390="SÁB",AY390="DOM"),0,IFERROR(8-VLOOKUP(H390,'Dados de consulta'!$A$2:$C$38,3,0),8))</f>
        <v>0</v>
      </c>
      <c r="BF390" s="97">
        <f>IF(OR(AY390="SÁB",AY390="DOM"),0,IFERROR(8-VLOOKUP(I390,'Dados de consulta'!$A$2:$C$38,3,0),8))</f>
        <v>8</v>
      </c>
      <c r="BG390" s="97">
        <f>IF(OR(AY390="SÁB",AY390="DOM"),0,IFERROR(8-VLOOKUP(J390,'Dados de consulta'!$A$2:$C$38,3,0),8))</f>
        <v>0</v>
      </c>
      <c r="BH390" s="97">
        <f>IF(OR(AY390="SÁB",AY390="DOM"),0,IFERROR(8-VLOOKUP(K390,'Dados de consulta'!$A$2:$C$38,3,0),8))</f>
        <v>0</v>
      </c>
      <c r="BI390" s="97">
        <f>IF(OR(AY390="SÁB",AY390="DOM"),0,IFERROR(8-VLOOKUP(L390,'Dados de consulta'!$A$2:$C$38,3,0),8))</f>
        <v>0</v>
      </c>
      <c r="BJ390" s="97">
        <f>IF(OR(AY390="SÁB",AY390="DOM"),0,IFERROR(8-VLOOKUP(M390,'Dados de consulta'!$A$2:$C$38,3,0),8))</f>
        <v>0</v>
      </c>
      <c r="BK390" s="97">
        <f>IF(OR(AY390="SÁB",AY390="DOM"),0,IFERROR(8-VLOOKUP(N390,'Dados de consulta'!$A$2:$C$38,3,0),8))</f>
        <v>0</v>
      </c>
      <c r="BL390" s="97">
        <f>IF(OR(AY390="SÁB",AY390="DOM"),0,IFERROR(8-VLOOKUP(O390,'Dados de consulta'!$A$2:$C$38,3,0),8))</f>
        <v>0</v>
      </c>
      <c r="BM390" s="97">
        <f>IF(OR(AY390="SÁB",AY390="DOM"),0,IFERROR(8-VLOOKUP(P390,'Dados de consulta'!$A$2:$C$38,3,0),8))</f>
        <v>0</v>
      </c>
      <c r="BN390" s="97">
        <f>IF(OR(AY390="SÁB",AY390="DOM"),0,IFERROR(8-VLOOKUP(Q390,'Dados de consulta'!$A$2:$C$38,3,0),8))</f>
        <v>0</v>
      </c>
      <c r="BO390" s="97">
        <f>IF(OR(AY390="SÁB",AY390="DOM"),0,IFERROR(8-VLOOKUP(R390,'Dados de consulta'!$A$2:$C$38,3,0),8))</f>
        <v>8</v>
      </c>
      <c r="BP390" s="97">
        <f>IF(OR(AY390="SÁB",AY390="DOM"),0,IFERROR(8-VLOOKUP(S390,'Dados de consulta'!$A$2:$C$38,3,0),8))</f>
        <v>0</v>
      </c>
      <c r="BQ390" s="113">
        <f>IFERROR(6-VLOOKUP(T390,'Dados de consulta'!$A$2:$C$38,3,0)+2,6)</f>
        <v>0</v>
      </c>
      <c r="BR390" s="114">
        <f t="shared" si="180"/>
        <v>16</v>
      </c>
      <c r="BS390">
        <f t="shared" si="156"/>
        <v>134</v>
      </c>
      <c r="BU390">
        <f>IFERROR(8-VLOOKUP(U390,'Dados de consulta'!$A:$D,3,0),8)</f>
        <v>0</v>
      </c>
      <c r="BV390">
        <f>IFERROR(8-VLOOKUP(V390,'Dados de consulta'!$A:$D,3,0),8)</f>
        <v>0</v>
      </c>
      <c r="BW390">
        <f t="shared" si="181"/>
        <v>0</v>
      </c>
    </row>
    <row r="391" spans="1:75" ht="15" hidden="1" x14ac:dyDescent="0.2">
      <c r="A391" s="98">
        <v>42514</v>
      </c>
      <c r="B391" s="129" t="str">
        <f t="shared" si="158"/>
        <v>ter</v>
      </c>
      <c r="C391" s="132">
        <v>6</v>
      </c>
      <c r="D391" s="132">
        <v>6</v>
      </c>
      <c r="E391" s="132">
        <v>8</v>
      </c>
      <c r="F391" s="132">
        <v>6</v>
      </c>
      <c r="G391" s="132">
        <v>6</v>
      </c>
      <c r="H391" s="132">
        <v>6</v>
      </c>
      <c r="I391" s="132"/>
      <c r="J391" s="132">
        <v>6</v>
      </c>
      <c r="K391" s="132">
        <v>6</v>
      </c>
      <c r="L391" s="132">
        <v>6</v>
      </c>
      <c r="M391" s="132">
        <v>101</v>
      </c>
      <c r="N391" s="132">
        <v>6</v>
      </c>
      <c r="O391" s="132">
        <v>6</v>
      </c>
      <c r="P391" s="132">
        <v>6</v>
      </c>
      <c r="Q391" s="132">
        <v>6</v>
      </c>
      <c r="R391" s="132"/>
      <c r="S391" s="132">
        <v>6</v>
      </c>
      <c r="T391" s="132">
        <v>6</v>
      </c>
      <c r="U391" s="132">
        <v>6</v>
      </c>
      <c r="V391" s="151">
        <v>18</v>
      </c>
      <c r="W391" s="307" t="s">
        <v>193</v>
      </c>
      <c r="X391" s="308"/>
      <c r="Y391" s="38">
        <f t="shared" si="159"/>
        <v>8</v>
      </c>
      <c r="Z391" s="38">
        <f t="shared" si="160"/>
        <v>0</v>
      </c>
      <c r="AA391" s="38">
        <f t="shared" si="157"/>
        <v>0</v>
      </c>
      <c r="AB391" s="38">
        <f t="shared" si="168"/>
        <v>104</v>
      </c>
      <c r="AC391" s="38">
        <f t="shared" si="169"/>
        <v>0</v>
      </c>
      <c r="AD391" s="38">
        <f t="shared" si="170"/>
        <v>0</v>
      </c>
      <c r="AE391" s="38">
        <f t="shared" si="171"/>
        <v>0</v>
      </c>
      <c r="AF391" s="38">
        <f t="shared" si="172"/>
        <v>6</v>
      </c>
      <c r="AG391" s="33">
        <f t="shared" si="173"/>
        <v>8</v>
      </c>
      <c r="AH391" s="33">
        <f t="shared" si="174"/>
        <v>0</v>
      </c>
      <c r="AI391" s="33">
        <f t="shared" si="175"/>
        <v>0</v>
      </c>
      <c r="AJ391" s="33">
        <f t="shared" si="176"/>
        <v>110</v>
      </c>
      <c r="AK391" s="34">
        <f t="shared" si="177"/>
        <v>5.6338028169014086E-2</v>
      </c>
      <c r="AL391" s="35">
        <f t="shared" si="178"/>
        <v>0</v>
      </c>
      <c r="AM391" s="34">
        <f t="shared" si="161"/>
        <v>0</v>
      </c>
      <c r="AN391" s="36">
        <f t="shared" si="179"/>
        <v>0.77464788732394363</v>
      </c>
      <c r="AO391" s="6">
        <f t="shared" si="162"/>
        <v>0</v>
      </c>
      <c r="AP391">
        <f t="shared" si="163"/>
        <v>8</v>
      </c>
      <c r="AQ391" s="6">
        <f t="shared" si="164"/>
        <v>0</v>
      </c>
      <c r="AR391" s="6">
        <f t="shared" si="165"/>
        <v>0</v>
      </c>
      <c r="AS391" s="6"/>
      <c r="AX391" s="95">
        <f t="shared" si="166"/>
        <v>42514</v>
      </c>
      <c r="AY391" s="96" t="str">
        <f t="shared" si="167"/>
        <v>ter</v>
      </c>
      <c r="AZ391" s="97">
        <f>IF(OR(AY391="SÁB",AY391="DOM"),0,IFERROR(8-VLOOKUP(C391,'Dados de consulta'!$A$2:$C$38,3,0),8))</f>
        <v>0</v>
      </c>
      <c r="BA391" s="97">
        <f>IF(OR(AY391="SÁB",AY391="DOM"),0,IFERROR(8-VLOOKUP(D391,'Dados de consulta'!$A$2:$C$38,3,0),8))</f>
        <v>0</v>
      </c>
      <c r="BB391" s="97">
        <f>IF(OR(AY391="SÁB",AY391="DOM"),0,IFERROR(8-VLOOKUP(E391,'Dados de consulta'!$A$2:$C$38,3,0),8))</f>
        <v>0</v>
      </c>
      <c r="BC391" s="97">
        <f>IF(OR(AY391="SÁB",AY391="DOM"),0,IFERROR(8-VLOOKUP(F391,'Dados de consulta'!$A$2:$C$38,3,0),8))</f>
        <v>0</v>
      </c>
      <c r="BD391" s="97">
        <f>IF(OR(AY391="SÁB",AY391="DOM"),0,IFERROR(8-VLOOKUP(G391,'Dados de consulta'!$A$2:$C$38,3,0),8))</f>
        <v>0</v>
      </c>
      <c r="BE391" s="97">
        <f>IF(OR(AY391="SÁB",AY391="DOM"),0,IFERROR(8-VLOOKUP(H391,'Dados de consulta'!$A$2:$C$38,3,0),8))</f>
        <v>0</v>
      </c>
      <c r="BF391" s="97">
        <f>IF(OR(AY391="SÁB",AY391="DOM"),0,IFERROR(8-VLOOKUP(I391,'Dados de consulta'!$A$2:$C$38,3,0),8))</f>
        <v>8</v>
      </c>
      <c r="BG391" s="97">
        <f>IF(OR(AY391="SÁB",AY391="DOM"),0,IFERROR(8-VLOOKUP(J391,'Dados de consulta'!$A$2:$C$38,3,0),8))</f>
        <v>0</v>
      </c>
      <c r="BH391" s="97">
        <f>IF(OR(AY391="SÁB",AY391="DOM"),0,IFERROR(8-VLOOKUP(K391,'Dados de consulta'!$A$2:$C$38,3,0),8))</f>
        <v>0</v>
      </c>
      <c r="BI391" s="97">
        <f>IF(OR(AY391="SÁB",AY391="DOM"),0,IFERROR(8-VLOOKUP(L391,'Dados de consulta'!$A$2:$C$38,3,0),8))</f>
        <v>0</v>
      </c>
      <c r="BJ391" s="97">
        <f>IF(OR(AY391="SÁB",AY391="DOM"),0,IFERROR(8-VLOOKUP(M391,'Dados de consulta'!$A$2:$C$38,3,0),8))</f>
        <v>0</v>
      </c>
      <c r="BK391" s="97">
        <f>IF(OR(AY391="SÁB",AY391="DOM"),0,IFERROR(8-VLOOKUP(N391,'Dados de consulta'!$A$2:$C$38,3,0),8))</f>
        <v>0</v>
      </c>
      <c r="BL391" s="97">
        <f>IF(OR(AY391="SÁB",AY391="DOM"),0,IFERROR(8-VLOOKUP(O391,'Dados de consulta'!$A$2:$C$38,3,0),8))</f>
        <v>0</v>
      </c>
      <c r="BM391" s="97">
        <f>IF(OR(AY391="SÁB",AY391="DOM"),0,IFERROR(8-VLOOKUP(P391,'Dados de consulta'!$A$2:$C$38,3,0),8))</f>
        <v>0</v>
      </c>
      <c r="BN391" s="97">
        <f>IF(OR(AY391="SÁB",AY391="DOM"),0,IFERROR(8-VLOOKUP(Q391,'Dados de consulta'!$A$2:$C$38,3,0),8))</f>
        <v>0</v>
      </c>
      <c r="BO391" s="97">
        <f>IF(OR(AY391="SÁB",AY391="DOM"),0,IFERROR(8-VLOOKUP(R391,'Dados de consulta'!$A$2:$C$38,3,0),8))</f>
        <v>8</v>
      </c>
      <c r="BP391" s="97">
        <f>IF(OR(AY391="SÁB",AY391="DOM"),0,IFERROR(8-VLOOKUP(S391,'Dados de consulta'!$A$2:$C$38,3,0),8))</f>
        <v>0</v>
      </c>
      <c r="BQ391" s="113">
        <f>IFERROR(6-VLOOKUP(T391,'Dados de consulta'!$A$2:$C$38,3,0)+2,6)</f>
        <v>0</v>
      </c>
      <c r="BR391" s="114">
        <f t="shared" si="180"/>
        <v>16</v>
      </c>
      <c r="BS391">
        <f t="shared" si="156"/>
        <v>134</v>
      </c>
      <c r="BU391">
        <f>IFERROR(8-VLOOKUP(U391,'Dados de consulta'!$A:$D,3,0),8)</f>
        <v>0</v>
      </c>
      <c r="BV391">
        <f>IFERROR(8-VLOOKUP(V391,'Dados de consulta'!$A:$D,3,0),8)</f>
        <v>0</v>
      </c>
      <c r="BW391">
        <f t="shared" si="181"/>
        <v>0</v>
      </c>
    </row>
    <row r="392" spans="1:75" ht="15" hidden="1" x14ac:dyDescent="0.2">
      <c r="A392" s="98">
        <v>42515</v>
      </c>
      <c r="B392" s="129" t="str">
        <f t="shared" si="158"/>
        <v>qua</v>
      </c>
      <c r="C392" s="132">
        <v>6</v>
      </c>
      <c r="D392" s="132">
        <v>6</v>
      </c>
      <c r="E392" s="132">
        <v>8</v>
      </c>
      <c r="F392" s="132">
        <v>6</v>
      </c>
      <c r="G392" s="132">
        <v>6</v>
      </c>
      <c r="H392" s="132">
        <v>6</v>
      </c>
      <c r="I392" s="132"/>
      <c r="J392" s="132">
        <v>6</v>
      </c>
      <c r="K392" s="132">
        <v>6</v>
      </c>
      <c r="L392" s="132">
        <v>6</v>
      </c>
      <c r="M392" s="132">
        <v>101</v>
      </c>
      <c r="N392" s="132">
        <v>6</v>
      </c>
      <c r="O392" s="132">
        <v>6</v>
      </c>
      <c r="P392" s="132">
        <v>6</v>
      </c>
      <c r="Q392" s="132">
        <v>6</v>
      </c>
      <c r="R392" s="132"/>
      <c r="S392" s="132">
        <v>6</v>
      </c>
      <c r="T392" s="132">
        <v>6</v>
      </c>
      <c r="U392" s="132">
        <v>6</v>
      </c>
      <c r="V392" s="151">
        <v>18</v>
      </c>
      <c r="W392" s="307" t="s">
        <v>193</v>
      </c>
      <c r="X392" s="308"/>
      <c r="Y392" s="38">
        <f t="shared" si="159"/>
        <v>8</v>
      </c>
      <c r="Z392" s="38">
        <f t="shared" si="160"/>
        <v>0</v>
      </c>
      <c r="AA392" s="38">
        <f t="shared" si="157"/>
        <v>0</v>
      </c>
      <c r="AB392" s="38">
        <f t="shared" si="168"/>
        <v>104</v>
      </c>
      <c r="AC392" s="38">
        <f t="shared" si="169"/>
        <v>0</v>
      </c>
      <c r="AD392" s="38">
        <f t="shared" si="170"/>
        <v>0</v>
      </c>
      <c r="AE392" s="38">
        <f t="shared" si="171"/>
        <v>0</v>
      </c>
      <c r="AF392" s="38">
        <f t="shared" si="172"/>
        <v>6</v>
      </c>
      <c r="AG392" s="33">
        <f t="shared" si="173"/>
        <v>8</v>
      </c>
      <c r="AH392" s="33">
        <f t="shared" si="174"/>
        <v>0</v>
      </c>
      <c r="AI392" s="33">
        <f t="shared" si="175"/>
        <v>0</v>
      </c>
      <c r="AJ392" s="33">
        <f t="shared" si="176"/>
        <v>110</v>
      </c>
      <c r="AK392" s="34">
        <f t="shared" si="177"/>
        <v>5.6338028169014086E-2</v>
      </c>
      <c r="AL392" s="35">
        <f t="shared" si="178"/>
        <v>0</v>
      </c>
      <c r="AM392" s="34">
        <f t="shared" si="161"/>
        <v>0</v>
      </c>
      <c r="AN392" s="36">
        <f t="shared" si="179"/>
        <v>0.77464788732394363</v>
      </c>
      <c r="AO392" s="6">
        <f t="shared" si="162"/>
        <v>0</v>
      </c>
      <c r="AP392">
        <f t="shared" si="163"/>
        <v>8</v>
      </c>
      <c r="AQ392" s="6">
        <f t="shared" si="164"/>
        <v>0</v>
      </c>
      <c r="AR392" s="6">
        <f t="shared" si="165"/>
        <v>0</v>
      </c>
      <c r="AS392" s="6"/>
      <c r="AX392" s="95">
        <f t="shared" si="166"/>
        <v>42515</v>
      </c>
      <c r="AY392" s="96" t="str">
        <f t="shared" si="167"/>
        <v>qua</v>
      </c>
      <c r="AZ392" s="97">
        <f>IF(OR(AY392="SÁB",AY392="DOM"),0,IFERROR(8-VLOOKUP(C392,'Dados de consulta'!$A$2:$C$38,3,0),8))</f>
        <v>0</v>
      </c>
      <c r="BA392" s="97">
        <f>IF(OR(AY392="SÁB",AY392="DOM"),0,IFERROR(8-VLOOKUP(D392,'Dados de consulta'!$A$2:$C$38,3,0),8))</f>
        <v>0</v>
      </c>
      <c r="BB392" s="97">
        <f>IF(OR(AY392="SÁB",AY392="DOM"),0,IFERROR(8-VLOOKUP(E392,'Dados de consulta'!$A$2:$C$38,3,0),8))</f>
        <v>0</v>
      </c>
      <c r="BC392" s="97">
        <f>IF(OR(AY392="SÁB",AY392="DOM"),0,IFERROR(8-VLOOKUP(F392,'Dados de consulta'!$A$2:$C$38,3,0),8))</f>
        <v>0</v>
      </c>
      <c r="BD392" s="97">
        <f>IF(OR(AY392="SÁB",AY392="DOM"),0,IFERROR(8-VLOOKUP(G392,'Dados de consulta'!$A$2:$C$38,3,0),8))</f>
        <v>0</v>
      </c>
      <c r="BE392" s="97">
        <f>IF(OR(AY392="SÁB",AY392="DOM"),0,IFERROR(8-VLOOKUP(H392,'Dados de consulta'!$A$2:$C$38,3,0),8))</f>
        <v>0</v>
      </c>
      <c r="BF392" s="97">
        <f>IF(OR(AY392="SÁB",AY392="DOM"),0,IFERROR(8-VLOOKUP(I392,'Dados de consulta'!$A$2:$C$38,3,0),8))</f>
        <v>8</v>
      </c>
      <c r="BG392" s="97">
        <f>IF(OR(AY392="SÁB",AY392="DOM"),0,IFERROR(8-VLOOKUP(J392,'Dados de consulta'!$A$2:$C$38,3,0),8))</f>
        <v>0</v>
      </c>
      <c r="BH392" s="97">
        <f>IF(OR(AY392="SÁB",AY392="DOM"),0,IFERROR(8-VLOOKUP(K392,'Dados de consulta'!$A$2:$C$38,3,0),8))</f>
        <v>0</v>
      </c>
      <c r="BI392" s="97">
        <f>IF(OR(AY392="SÁB",AY392="DOM"),0,IFERROR(8-VLOOKUP(L392,'Dados de consulta'!$A$2:$C$38,3,0),8))</f>
        <v>0</v>
      </c>
      <c r="BJ392" s="97">
        <f>IF(OR(AY392="SÁB",AY392="DOM"),0,IFERROR(8-VLOOKUP(M392,'Dados de consulta'!$A$2:$C$38,3,0),8))</f>
        <v>0</v>
      </c>
      <c r="BK392" s="97">
        <f>IF(OR(AY392="SÁB",AY392="DOM"),0,IFERROR(8-VLOOKUP(N392,'Dados de consulta'!$A$2:$C$38,3,0),8))</f>
        <v>0</v>
      </c>
      <c r="BL392" s="97">
        <f>IF(OR(AY392="SÁB",AY392="DOM"),0,IFERROR(8-VLOOKUP(O392,'Dados de consulta'!$A$2:$C$38,3,0),8))</f>
        <v>0</v>
      </c>
      <c r="BM392" s="97">
        <f>IF(OR(AY392="SÁB",AY392="DOM"),0,IFERROR(8-VLOOKUP(P392,'Dados de consulta'!$A$2:$C$38,3,0),8))</f>
        <v>0</v>
      </c>
      <c r="BN392" s="97">
        <f>IF(OR(AY392="SÁB",AY392="DOM"),0,IFERROR(8-VLOOKUP(Q392,'Dados de consulta'!$A$2:$C$38,3,0),8))</f>
        <v>0</v>
      </c>
      <c r="BO392" s="97">
        <f>IF(OR(AY392="SÁB",AY392="DOM"),0,IFERROR(8-VLOOKUP(R392,'Dados de consulta'!$A$2:$C$38,3,0),8))</f>
        <v>8</v>
      </c>
      <c r="BP392" s="97">
        <f>IF(OR(AY392="SÁB",AY392="DOM"),0,IFERROR(8-VLOOKUP(S392,'Dados de consulta'!$A$2:$C$38,3,0),8))</f>
        <v>0</v>
      </c>
      <c r="BQ392" s="113">
        <f>IFERROR(6-VLOOKUP(T392,'Dados de consulta'!$A$2:$C$38,3,0)+2,6)</f>
        <v>0</v>
      </c>
      <c r="BR392" s="114">
        <f t="shared" si="180"/>
        <v>16</v>
      </c>
      <c r="BS392">
        <f t="shared" si="156"/>
        <v>0</v>
      </c>
      <c r="BU392">
        <f>IFERROR(8-VLOOKUP(U392,'Dados de consulta'!$A:$D,3,0),8)</f>
        <v>0</v>
      </c>
      <c r="BV392">
        <f>IFERROR(8-VLOOKUP(V392,'Dados de consulta'!$A:$D,3,0),8)</f>
        <v>0</v>
      </c>
      <c r="BW392">
        <f t="shared" si="181"/>
        <v>0</v>
      </c>
    </row>
    <row r="393" spans="1:75" ht="15" hidden="1" x14ac:dyDescent="0.2">
      <c r="A393" s="98">
        <v>42516</v>
      </c>
      <c r="B393" s="129" t="str">
        <f t="shared" si="158"/>
        <v>qui</v>
      </c>
      <c r="C393" s="132">
        <v>17</v>
      </c>
      <c r="D393" s="132">
        <v>17</v>
      </c>
      <c r="E393" s="132">
        <v>17</v>
      </c>
      <c r="F393" s="132">
        <v>17</v>
      </c>
      <c r="G393" s="132">
        <v>17</v>
      </c>
      <c r="H393" s="132">
        <v>17</v>
      </c>
      <c r="I393" s="132">
        <v>17</v>
      </c>
      <c r="J393" s="132">
        <v>17</v>
      </c>
      <c r="K393" s="132">
        <v>17</v>
      </c>
      <c r="L393" s="132">
        <v>17</v>
      </c>
      <c r="M393" s="132">
        <v>17</v>
      </c>
      <c r="N393" s="132">
        <v>17</v>
      </c>
      <c r="O393" s="132">
        <v>17</v>
      </c>
      <c r="P393" s="132">
        <v>17</v>
      </c>
      <c r="Q393" s="132">
        <v>17</v>
      </c>
      <c r="R393" s="132">
        <v>17</v>
      </c>
      <c r="S393" s="132">
        <v>17</v>
      </c>
      <c r="T393" s="132">
        <v>17</v>
      </c>
      <c r="U393" s="132">
        <v>17</v>
      </c>
      <c r="V393" s="132">
        <v>17</v>
      </c>
      <c r="W393" s="307" t="s">
        <v>193</v>
      </c>
      <c r="X393" s="308"/>
      <c r="Y393" s="38">
        <f t="shared" si="159"/>
        <v>0</v>
      </c>
      <c r="Z393" s="38">
        <f t="shared" si="160"/>
        <v>0</v>
      </c>
      <c r="AA393" s="38">
        <f t="shared" si="157"/>
        <v>0</v>
      </c>
      <c r="AB393" s="38">
        <f t="shared" si="168"/>
        <v>0</v>
      </c>
      <c r="AC393" s="38">
        <f t="shared" si="169"/>
        <v>0</v>
      </c>
      <c r="AD393" s="38">
        <f t="shared" si="170"/>
        <v>0</v>
      </c>
      <c r="AE393" s="38">
        <f t="shared" si="171"/>
        <v>0</v>
      </c>
      <c r="AF393" s="38">
        <f t="shared" si="172"/>
        <v>0</v>
      </c>
      <c r="AG393" s="33">
        <f t="shared" si="173"/>
        <v>0</v>
      </c>
      <c r="AH393" s="33">
        <f t="shared" si="174"/>
        <v>0</v>
      </c>
      <c r="AI393" s="33">
        <f t="shared" si="175"/>
        <v>0</v>
      </c>
      <c r="AJ393" s="33">
        <f t="shared" si="176"/>
        <v>0</v>
      </c>
      <c r="AK393" s="34">
        <f t="shared" si="177"/>
        <v>0</v>
      </c>
      <c r="AL393" s="35">
        <f t="shared" si="178"/>
        <v>0</v>
      </c>
      <c r="AM393" s="34">
        <f t="shared" si="161"/>
        <v>0</v>
      </c>
      <c r="AN393" s="36">
        <f t="shared" si="179"/>
        <v>0</v>
      </c>
      <c r="AO393" s="6">
        <f t="shared" si="162"/>
        <v>0</v>
      </c>
      <c r="AP393">
        <f t="shared" si="163"/>
        <v>0</v>
      </c>
      <c r="AQ393" s="6">
        <f t="shared" si="164"/>
        <v>0</v>
      </c>
      <c r="AR393" s="6">
        <f t="shared" si="165"/>
        <v>0</v>
      </c>
      <c r="AS393" s="6"/>
      <c r="AX393" s="95">
        <f t="shared" si="166"/>
        <v>42516</v>
      </c>
      <c r="AY393" s="96" t="str">
        <f t="shared" si="167"/>
        <v>qui</v>
      </c>
      <c r="AZ393" s="97">
        <f>IF(OR(AY393="SÁB",AY393="DOM"),0,IFERROR(8-VLOOKUP(C393,'Dados de consulta'!$A$2:$C$38,3,0),8))</f>
        <v>0</v>
      </c>
      <c r="BA393" s="97">
        <f>IF(OR(AY393="SÁB",AY393="DOM"),0,IFERROR(8-VLOOKUP(D393,'Dados de consulta'!$A$2:$C$38,3,0),8))</f>
        <v>0</v>
      </c>
      <c r="BB393" s="97">
        <f>IF(OR(AY393="SÁB",AY393="DOM"),0,IFERROR(8-VLOOKUP(E393,'Dados de consulta'!$A$2:$C$38,3,0),8))</f>
        <v>0</v>
      </c>
      <c r="BC393" s="97">
        <f>IF(OR(AY393="SÁB",AY393="DOM"),0,IFERROR(8-VLOOKUP(F393,'Dados de consulta'!$A$2:$C$38,3,0),8))</f>
        <v>0</v>
      </c>
      <c r="BD393" s="97">
        <f>IF(OR(AY393="SÁB",AY393="DOM"),0,IFERROR(8-VLOOKUP(G393,'Dados de consulta'!$A$2:$C$38,3,0),8))</f>
        <v>0</v>
      </c>
      <c r="BE393" s="97">
        <f>IF(OR(AY393="SÁB",AY393="DOM"),0,IFERROR(8-VLOOKUP(H393,'Dados de consulta'!$A$2:$C$38,3,0),8))</f>
        <v>0</v>
      </c>
      <c r="BF393" s="97">
        <f>IF(OR(AY393="SÁB",AY393="DOM"),0,IFERROR(8-VLOOKUP(I393,'Dados de consulta'!$A$2:$C$38,3,0),8))</f>
        <v>0</v>
      </c>
      <c r="BG393" s="97">
        <f>IF(OR(AY393="SÁB",AY393="DOM"),0,IFERROR(8-VLOOKUP(J393,'Dados de consulta'!$A$2:$C$38,3,0),8))</f>
        <v>0</v>
      </c>
      <c r="BH393" s="97">
        <f>IF(OR(AY393="SÁB",AY393="DOM"),0,IFERROR(8-VLOOKUP(K393,'Dados de consulta'!$A$2:$C$38,3,0),8))</f>
        <v>0</v>
      </c>
      <c r="BI393" s="97">
        <f>IF(OR(AY393="SÁB",AY393="DOM"),0,IFERROR(8-VLOOKUP(L393,'Dados de consulta'!$A$2:$C$38,3,0),8))</f>
        <v>0</v>
      </c>
      <c r="BJ393" s="97">
        <f>IF(OR(AY393="SÁB",AY393="DOM"),0,IFERROR(8-VLOOKUP(M393,'Dados de consulta'!$A$2:$C$38,3,0),8))</f>
        <v>0</v>
      </c>
      <c r="BK393" s="97">
        <f>IF(OR(AY393="SÁB",AY393="DOM"),0,IFERROR(8-VLOOKUP(N393,'Dados de consulta'!$A$2:$C$38,3,0),8))</f>
        <v>0</v>
      </c>
      <c r="BL393" s="97">
        <f>IF(OR(AY393="SÁB",AY393="DOM"),0,IFERROR(8-VLOOKUP(O393,'Dados de consulta'!$A$2:$C$38,3,0),8))</f>
        <v>0</v>
      </c>
      <c r="BM393" s="97">
        <f>IF(OR(AY393="SÁB",AY393="DOM"),0,IFERROR(8-VLOOKUP(P393,'Dados de consulta'!$A$2:$C$38,3,0),8))</f>
        <v>0</v>
      </c>
      <c r="BN393" s="97">
        <f>IF(OR(AY393="SÁB",AY393="DOM"),0,IFERROR(8-VLOOKUP(Q393,'Dados de consulta'!$A$2:$C$38,3,0),8))</f>
        <v>0</v>
      </c>
      <c r="BO393" s="97">
        <f>IF(OR(AY393="SÁB",AY393="DOM"),0,IFERROR(8-VLOOKUP(R393,'Dados de consulta'!$A$2:$C$38,3,0),8))</f>
        <v>0</v>
      </c>
      <c r="BP393" s="97">
        <f>IF(OR(AY393="SÁB",AY393="DOM"),0,IFERROR(8-VLOOKUP(S393,'Dados de consulta'!$A$2:$C$38,3,0),8))</f>
        <v>0</v>
      </c>
      <c r="BQ393" s="113">
        <f>IFERROR(6-VLOOKUP(T393,'Dados de consulta'!$A$2:$C$38,3,0)+2,6)</f>
        <v>0</v>
      </c>
      <c r="BR393" s="114">
        <f t="shared" si="180"/>
        <v>0</v>
      </c>
      <c r="BS393">
        <f t="shared" si="156"/>
        <v>142</v>
      </c>
      <c r="BU393">
        <f>IFERROR(8-VLOOKUP(U393,'Dados de consulta'!$A:$D,3,0),8)</f>
        <v>0</v>
      </c>
      <c r="BV393">
        <f>IFERROR(8-VLOOKUP(V393,'Dados de consulta'!$A:$D,3,0),8)</f>
        <v>0</v>
      </c>
      <c r="BW393">
        <f t="shared" si="181"/>
        <v>0</v>
      </c>
    </row>
    <row r="394" spans="1:75" ht="15" hidden="1" x14ac:dyDescent="0.2">
      <c r="A394" s="98">
        <v>42517</v>
      </c>
      <c r="B394" s="129" t="str">
        <f t="shared" si="158"/>
        <v>sex</v>
      </c>
      <c r="C394" s="132">
        <v>6</v>
      </c>
      <c r="D394" s="132">
        <v>6</v>
      </c>
      <c r="E394" s="132">
        <v>8</v>
      </c>
      <c r="F394" s="132">
        <v>6</v>
      </c>
      <c r="G394" s="132">
        <v>6</v>
      </c>
      <c r="H394" s="132">
        <v>6</v>
      </c>
      <c r="I394" s="132"/>
      <c r="J394" s="132">
        <v>6</v>
      </c>
      <c r="K394" s="132">
        <v>6</v>
      </c>
      <c r="L394" s="132">
        <v>6</v>
      </c>
      <c r="M394" s="132">
        <v>101</v>
      </c>
      <c r="N394" s="132">
        <v>6</v>
      </c>
      <c r="O394" s="132">
        <v>6</v>
      </c>
      <c r="P394" s="132">
        <v>8</v>
      </c>
      <c r="Q394" s="132">
        <v>6</v>
      </c>
      <c r="R394" s="132">
        <v>1</v>
      </c>
      <c r="S394" s="132">
        <v>6</v>
      </c>
      <c r="T394" s="132">
        <v>6</v>
      </c>
      <c r="U394" s="132">
        <v>6</v>
      </c>
      <c r="V394" s="151">
        <v>18</v>
      </c>
      <c r="W394" s="307" t="s">
        <v>193</v>
      </c>
      <c r="X394" s="308"/>
      <c r="Y394" s="38">
        <f t="shared" si="159"/>
        <v>16</v>
      </c>
      <c r="Z394" s="38">
        <f t="shared" si="160"/>
        <v>8</v>
      </c>
      <c r="AA394" s="38">
        <f t="shared" si="157"/>
        <v>0</v>
      </c>
      <c r="AB394" s="38">
        <f t="shared" si="168"/>
        <v>96</v>
      </c>
      <c r="AC394" s="38">
        <f t="shared" si="169"/>
        <v>0</v>
      </c>
      <c r="AD394" s="38">
        <f t="shared" si="170"/>
        <v>0</v>
      </c>
      <c r="AE394" s="38">
        <f t="shared" si="171"/>
        <v>0</v>
      </c>
      <c r="AF394" s="38">
        <f t="shared" si="172"/>
        <v>6</v>
      </c>
      <c r="AG394" s="33">
        <f t="shared" si="173"/>
        <v>16</v>
      </c>
      <c r="AH394" s="33">
        <f t="shared" si="174"/>
        <v>8</v>
      </c>
      <c r="AI394" s="33">
        <f t="shared" si="175"/>
        <v>0</v>
      </c>
      <c r="AJ394" s="33">
        <f t="shared" si="176"/>
        <v>102</v>
      </c>
      <c r="AK394" s="34">
        <f t="shared" si="177"/>
        <v>0.11267605633802817</v>
      </c>
      <c r="AL394" s="35">
        <f t="shared" si="178"/>
        <v>5.6338028169014086E-2</v>
      </c>
      <c r="AM394" s="34">
        <f t="shared" si="161"/>
        <v>0</v>
      </c>
      <c r="AN394" s="36">
        <f t="shared" si="179"/>
        <v>0.71830985915492962</v>
      </c>
      <c r="AO394" s="6">
        <f t="shared" si="162"/>
        <v>0</v>
      </c>
      <c r="AP394">
        <f t="shared" si="163"/>
        <v>8</v>
      </c>
      <c r="AQ394" s="6">
        <f t="shared" si="164"/>
        <v>0</v>
      </c>
      <c r="AR394" s="6">
        <f t="shared" si="165"/>
        <v>0</v>
      </c>
      <c r="AS394" s="6"/>
      <c r="AX394" s="95">
        <f t="shared" si="166"/>
        <v>42517</v>
      </c>
      <c r="AY394" s="96" t="str">
        <f t="shared" si="167"/>
        <v>sex</v>
      </c>
      <c r="AZ394" s="97">
        <f>IF(OR(AY394="SÁB",AY394="DOM"),0,IFERROR(8-VLOOKUP(C394,'Dados de consulta'!$A$2:$C$38,3,0),8))</f>
        <v>0</v>
      </c>
      <c r="BA394" s="97">
        <f>IF(OR(AY394="SÁB",AY394="DOM"),0,IFERROR(8-VLOOKUP(D394,'Dados de consulta'!$A$2:$C$38,3,0),8))</f>
        <v>0</v>
      </c>
      <c r="BB394" s="97">
        <f>IF(OR(AY394="SÁB",AY394="DOM"),0,IFERROR(8-VLOOKUP(E394,'Dados de consulta'!$A$2:$C$38,3,0),8))</f>
        <v>0</v>
      </c>
      <c r="BC394" s="97">
        <f>IF(OR(AY394="SÁB",AY394="DOM"),0,IFERROR(8-VLOOKUP(F394,'Dados de consulta'!$A$2:$C$38,3,0),8))</f>
        <v>0</v>
      </c>
      <c r="BD394" s="97">
        <f>IF(OR(AY394="SÁB",AY394="DOM"),0,IFERROR(8-VLOOKUP(G394,'Dados de consulta'!$A$2:$C$38,3,0),8))</f>
        <v>0</v>
      </c>
      <c r="BE394" s="97">
        <f>IF(OR(AY394="SÁB",AY394="DOM"),0,IFERROR(8-VLOOKUP(H394,'Dados de consulta'!$A$2:$C$38,3,0),8))</f>
        <v>0</v>
      </c>
      <c r="BF394" s="97">
        <f>IF(OR(AY394="SÁB",AY394="DOM"),0,IFERROR(8-VLOOKUP(I394,'Dados de consulta'!$A$2:$C$38,3,0),8))</f>
        <v>8</v>
      </c>
      <c r="BG394" s="97">
        <f>IF(OR(AY394="SÁB",AY394="DOM"),0,IFERROR(8-VLOOKUP(J394,'Dados de consulta'!$A$2:$C$38,3,0),8))</f>
        <v>0</v>
      </c>
      <c r="BH394" s="97">
        <f>IF(OR(AY394="SÁB",AY394="DOM"),0,IFERROR(8-VLOOKUP(K394,'Dados de consulta'!$A$2:$C$38,3,0),8))</f>
        <v>0</v>
      </c>
      <c r="BI394" s="97">
        <f>IF(OR(AY394="SÁB",AY394="DOM"),0,IFERROR(8-VLOOKUP(L394,'Dados de consulta'!$A$2:$C$38,3,0),8))</f>
        <v>0</v>
      </c>
      <c r="BJ394" s="97">
        <f>IF(OR(AY394="SÁB",AY394="DOM"),0,IFERROR(8-VLOOKUP(M394,'Dados de consulta'!$A$2:$C$38,3,0),8))</f>
        <v>0</v>
      </c>
      <c r="BK394" s="97">
        <f>IF(OR(AY394="SÁB",AY394="DOM"),0,IFERROR(8-VLOOKUP(N394,'Dados de consulta'!$A$2:$C$38,3,0),8))</f>
        <v>0</v>
      </c>
      <c r="BL394" s="97">
        <f>IF(OR(AY394="SÁB",AY394="DOM"),0,IFERROR(8-VLOOKUP(O394,'Dados de consulta'!$A$2:$C$38,3,0),8))</f>
        <v>0</v>
      </c>
      <c r="BM394" s="97">
        <f>IF(OR(AY394="SÁB",AY394="DOM"),0,IFERROR(8-VLOOKUP(P394,'Dados de consulta'!$A$2:$C$38,3,0),8))</f>
        <v>0</v>
      </c>
      <c r="BN394" s="97">
        <f>IF(OR(AY394="SÁB",AY394="DOM"),0,IFERROR(8-VLOOKUP(Q394,'Dados de consulta'!$A$2:$C$38,3,0),8))</f>
        <v>0</v>
      </c>
      <c r="BO394" s="97">
        <f>IF(OR(AY394="SÁB",AY394="DOM"),0,IFERROR(8-VLOOKUP(R394,'Dados de consulta'!$A$2:$C$38,3,0),8))</f>
        <v>0</v>
      </c>
      <c r="BP394" s="97">
        <f>IF(OR(AY394="SÁB",AY394="DOM"),0,IFERROR(8-VLOOKUP(S394,'Dados de consulta'!$A$2:$C$38,3,0),8))</f>
        <v>0</v>
      </c>
      <c r="BQ394" s="113">
        <f>IFERROR(6-VLOOKUP(T394,'Dados de consulta'!$A$2:$C$38,3,0)+2,6)</f>
        <v>0</v>
      </c>
      <c r="BR394" s="114">
        <f t="shared" si="180"/>
        <v>8</v>
      </c>
      <c r="BS394">
        <f t="shared" si="156"/>
        <v>134</v>
      </c>
      <c r="BU394">
        <f>IFERROR(8-VLOOKUP(U394,'Dados de consulta'!$A:$D,3,0),8)</f>
        <v>0</v>
      </c>
      <c r="BV394">
        <f>IFERROR(8-VLOOKUP(V394,'Dados de consulta'!$A:$D,3,0),8)</f>
        <v>0</v>
      </c>
      <c r="BW394">
        <f t="shared" si="181"/>
        <v>0</v>
      </c>
    </row>
    <row r="395" spans="1:75" ht="15" hidden="1" x14ac:dyDescent="0.2">
      <c r="A395" s="98">
        <v>42518</v>
      </c>
      <c r="B395" s="129" t="str">
        <f t="shared" si="158"/>
        <v>sáb</v>
      </c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>
        <v>101</v>
      </c>
      <c r="N395" s="132"/>
      <c r="O395" s="132"/>
      <c r="P395" s="132"/>
      <c r="Q395" s="132"/>
      <c r="R395" s="132"/>
      <c r="S395" s="132"/>
      <c r="T395" s="132"/>
      <c r="U395" s="151"/>
      <c r="V395" s="151"/>
      <c r="W395" s="307" t="s">
        <v>193</v>
      </c>
      <c r="X395" s="308"/>
      <c r="Y395" s="38">
        <f t="shared" si="159"/>
        <v>0</v>
      </c>
      <c r="Z395" s="38">
        <f t="shared" si="160"/>
        <v>0</v>
      </c>
      <c r="AA395" s="38">
        <f t="shared" si="157"/>
        <v>0</v>
      </c>
      <c r="AB395" s="38">
        <f t="shared" si="168"/>
        <v>0</v>
      </c>
      <c r="AC395" s="38">
        <f t="shared" si="169"/>
        <v>0</v>
      </c>
      <c r="AD395" s="38">
        <f t="shared" si="170"/>
        <v>0</v>
      </c>
      <c r="AE395" s="38">
        <f t="shared" si="171"/>
        <v>0</v>
      </c>
      <c r="AF395" s="38">
        <f t="shared" si="172"/>
        <v>0</v>
      </c>
      <c r="AG395" s="33">
        <f t="shared" si="173"/>
        <v>0</v>
      </c>
      <c r="AH395" s="33">
        <f t="shared" si="174"/>
        <v>0</v>
      </c>
      <c r="AI395" s="33">
        <f t="shared" si="175"/>
        <v>0</v>
      </c>
      <c r="AJ395" s="33">
        <f t="shared" si="176"/>
        <v>0</v>
      </c>
      <c r="AK395" s="34">
        <f t="shared" si="177"/>
        <v>0</v>
      </c>
      <c r="AL395" s="35">
        <f t="shared" si="178"/>
        <v>0</v>
      </c>
      <c r="AM395" s="34">
        <f t="shared" si="161"/>
        <v>0</v>
      </c>
      <c r="AN395" s="36">
        <f t="shared" si="179"/>
        <v>0</v>
      </c>
      <c r="AO395" s="6">
        <f t="shared" si="162"/>
        <v>0</v>
      </c>
      <c r="AP395">
        <f t="shared" si="163"/>
        <v>8</v>
      </c>
      <c r="AQ395" s="6">
        <f t="shared" si="164"/>
        <v>0</v>
      </c>
      <c r="AR395" s="6">
        <f t="shared" si="165"/>
        <v>0</v>
      </c>
      <c r="AS395" s="6"/>
      <c r="AX395" s="95">
        <f t="shared" si="166"/>
        <v>42518</v>
      </c>
      <c r="AY395" s="96" t="str">
        <f t="shared" si="167"/>
        <v>sáb</v>
      </c>
      <c r="AZ395" s="97">
        <f>IF(OR(AY395="SÁB",AY395="DOM"),0,IFERROR(8-VLOOKUP(C395,'Dados de consulta'!$A$2:$C$38,3,0),8))</f>
        <v>0</v>
      </c>
      <c r="BA395" s="97">
        <f>IF(OR(AY395="SÁB",AY395="DOM"),0,IFERROR(8-VLOOKUP(D395,'Dados de consulta'!$A$2:$C$38,3,0),8))</f>
        <v>0</v>
      </c>
      <c r="BB395" s="97">
        <f>IF(OR(AY395="SÁB",AY395="DOM"),0,IFERROR(8-VLOOKUP(E395,'Dados de consulta'!$A$2:$C$38,3,0),8))</f>
        <v>0</v>
      </c>
      <c r="BC395" s="97">
        <f>IF(OR(AY395="SÁB",AY395="DOM"),0,IFERROR(8-VLOOKUP(F395,'Dados de consulta'!$A$2:$C$38,3,0),8))</f>
        <v>0</v>
      </c>
      <c r="BD395" s="97">
        <f>IF(OR(AY395="SÁB",AY395="DOM"),0,IFERROR(8-VLOOKUP(G395,'Dados de consulta'!$A$2:$C$38,3,0),8))</f>
        <v>0</v>
      </c>
      <c r="BE395" s="97">
        <f>IF(OR(AY395="SÁB",AY395="DOM"),0,IFERROR(8-VLOOKUP(H395,'Dados de consulta'!$A$2:$C$38,3,0),8))</f>
        <v>0</v>
      </c>
      <c r="BF395" s="97">
        <f>IF(OR(AY395="SÁB",AY395="DOM"),0,IFERROR(8-VLOOKUP(I395,'Dados de consulta'!$A$2:$C$38,3,0),8))</f>
        <v>0</v>
      </c>
      <c r="BG395" s="97">
        <f>IF(OR(AY395="SÁB",AY395="DOM"),0,IFERROR(8-VLOOKUP(J395,'Dados de consulta'!$A$2:$C$38,3,0),8))</f>
        <v>0</v>
      </c>
      <c r="BH395" s="97">
        <f>IF(OR(AY395="SÁB",AY395="DOM"),0,IFERROR(8-VLOOKUP(K395,'Dados de consulta'!$A$2:$C$38,3,0),8))</f>
        <v>0</v>
      </c>
      <c r="BI395" s="97">
        <f>IF(OR(AY395="SÁB",AY395="DOM"),0,IFERROR(8-VLOOKUP(L395,'Dados de consulta'!$A$2:$C$38,3,0),8))</f>
        <v>0</v>
      </c>
      <c r="BJ395" s="97">
        <f>IF(OR(AY395="SÁB",AY395="DOM"),0,IFERROR(8-VLOOKUP(M395,'Dados de consulta'!$A$2:$C$38,3,0),8))</f>
        <v>0</v>
      </c>
      <c r="BK395" s="97">
        <f>IF(OR(AY395="SÁB",AY395="DOM"),0,IFERROR(8-VLOOKUP(N395,'Dados de consulta'!$A$2:$C$38,3,0),8))</f>
        <v>0</v>
      </c>
      <c r="BL395" s="97">
        <f>IF(OR(AY395="SÁB",AY395="DOM"),0,IFERROR(8-VLOOKUP(O395,'Dados de consulta'!$A$2:$C$38,3,0),8))</f>
        <v>0</v>
      </c>
      <c r="BM395" s="97">
        <f>IF(OR(AY395="SÁB",AY395="DOM"),0,IFERROR(8-VLOOKUP(P395,'Dados de consulta'!$A$2:$C$38,3,0),8))</f>
        <v>0</v>
      </c>
      <c r="BN395" s="97">
        <f>IF(OR(AY395="SÁB",AY395="DOM"),0,IFERROR(8-VLOOKUP(Q395,'Dados de consulta'!$A$2:$C$38,3,0),8))</f>
        <v>0</v>
      </c>
      <c r="BO395" s="97">
        <f>IF(OR(AY395="SÁB",AY395="DOM"),0,IFERROR(8-VLOOKUP(R395,'Dados de consulta'!$A$2:$C$38,3,0),8))</f>
        <v>0</v>
      </c>
      <c r="BP395" s="97">
        <f>IF(OR(AY395="SÁB",AY395="DOM"),0,IFERROR(8-VLOOKUP(S395,'Dados de consulta'!$A$2:$C$38,3,0),8))</f>
        <v>0</v>
      </c>
      <c r="BQ395" s="113">
        <f>IFERROR(6-VLOOKUP(T395,'Dados de consulta'!$A$2:$C$38,3,0)+2,6)</f>
        <v>6</v>
      </c>
      <c r="BR395" s="114">
        <f t="shared" si="180"/>
        <v>0</v>
      </c>
      <c r="BS395">
        <f t="shared" si="156"/>
        <v>0</v>
      </c>
      <c r="BU395">
        <f>IFERROR(8-VLOOKUP(U395,'Dados de consulta'!$A:$D,3,0),8)</f>
        <v>8</v>
      </c>
      <c r="BV395">
        <f>IFERROR(8-VLOOKUP(V395,'Dados de consulta'!$A:$D,3,0),8)</f>
        <v>8</v>
      </c>
      <c r="BW395">
        <f t="shared" si="181"/>
        <v>16</v>
      </c>
    </row>
    <row r="396" spans="1:75" ht="15" hidden="1" x14ac:dyDescent="0.2">
      <c r="A396" s="98">
        <v>42519</v>
      </c>
      <c r="B396" s="129" t="str">
        <f t="shared" si="158"/>
        <v>dom</v>
      </c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>
        <v>101</v>
      </c>
      <c r="N396" s="132"/>
      <c r="O396" s="132"/>
      <c r="P396" s="132"/>
      <c r="Q396" s="132"/>
      <c r="R396" s="132"/>
      <c r="S396" s="132"/>
      <c r="T396" s="132"/>
      <c r="U396" s="151"/>
      <c r="V396" s="151"/>
      <c r="W396" s="307" t="s">
        <v>193</v>
      </c>
      <c r="X396" s="308"/>
      <c r="Y396" s="38">
        <f t="shared" si="159"/>
        <v>0</v>
      </c>
      <c r="Z396" s="38">
        <f t="shared" si="160"/>
        <v>0</v>
      </c>
      <c r="AA396" s="38">
        <f t="shared" si="157"/>
        <v>0</v>
      </c>
      <c r="AB396" s="38">
        <f t="shared" si="168"/>
        <v>0</v>
      </c>
      <c r="AC396" s="38">
        <f t="shared" si="169"/>
        <v>0</v>
      </c>
      <c r="AD396" s="38">
        <f t="shared" si="170"/>
        <v>0</v>
      </c>
      <c r="AE396" s="38">
        <f t="shared" si="171"/>
        <v>0</v>
      </c>
      <c r="AF396" s="38">
        <f t="shared" si="172"/>
        <v>0</v>
      </c>
      <c r="AG396" s="33">
        <f t="shared" si="173"/>
        <v>0</v>
      </c>
      <c r="AH396" s="33">
        <f t="shared" si="174"/>
        <v>0</v>
      </c>
      <c r="AI396" s="33">
        <f t="shared" si="175"/>
        <v>0</v>
      </c>
      <c r="AJ396" s="33">
        <f t="shared" si="176"/>
        <v>0</v>
      </c>
      <c r="AK396" s="34">
        <f t="shared" si="177"/>
        <v>0</v>
      </c>
      <c r="AL396" s="35">
        <f t="shared" si="178"/>
        <v>0</v>
      </c>
      <c r="AM396" s="34">
        <f t="shared" si="161"/>
        <v>0</v>
      </c>
      <c r="AN396" s="36">
        <f t="shared" si="179"/>
        <v>0</v>
      </c>
      <c r="AO396" s="6">
        <f t="shared" si="162"/>
        <v>0</v>
      </c>
      <c r="AP396">
        <f t="shared" si="163"/>
        <v>8</v>
      </c>
      <c r="AQ396" s="6">
        <f t="shared" si="164"/>
        <v>0</v>
      </c>
      <c r="AR396" s="6">
        <f t="shared" si="165"/>
        <v>0</v>
      </c>
      <c r="AS396" s="6"/>
      <c r="AX396" s="95">
        <f t="shared" si="166"/>
        <v>42519</v>
      </c>
      <c r="AY396" s="96" t="str">
        <f t="shared" si="167"/>
        <v>dom</v>
      </c>
      <c r="AZ396" s="97">
        <f>IF(OR(AY396="SÁB",AY396="DOM"),0,IFERROR(8-VLOOKUP(C396,'Dados de consulta'!$A$2:$C$38,3,0),8))</f>
        <v>0</v>
      </c>
      <c r="BA396" s="97">
        <f>IF(OR(AY396="SÁB",AY396="DOM"),0,IFERROR(8-VLOOKUP(D396,'Dados de consulta'!$A$2:$C$38,3,0),8))</f>
        <v>0</v>
      </c>
      <c r="BB396" s="97">
        <f>IF(OR(AY396="SÁB",AY396="DOM"),0,IFERROR(8-VLOOKUP(E396,'Dados de consulta'!$A$2:$C$38,3,0),8))</f>
        <v>0</v>
      </c>
      <c r="BC396" s="97">
        <f>IF(OR(AY396="SÁB",AY396="DOM"),0,IFERROR(8-VLOOKUP(F396,'Dados de consulta'!$A$2:$C$38,3,0),8))</f>
        <v>0</v>
      </c>
      <c r="BD396" s="97">
        <f>IF(OR(AY396="SÁB",AY396="DOM"),0,IFERROR(8-VLOOKUP(G396,'Dados de consulta'!$A$2:$C$38,3,0),8))</f>
        <v>0</v>
      </c>
      <c r="BE396" s="97">
        <f>IF(OR(AY396="SÁB",AY396="DOM"),0,IFERROR(8-VLOOKUP(H396,'Dados de consulta'!$A$2:$C$38,3,0),8))</f>
        <v>0</v>
      </c>
      <c r="BF396" s="97">
        <f>IF(OR(AY396="SÁB",AY396="DOM"),0,IFERROR(8-VLOOKUP(I396,'Dados de consulta'!$A$2:$C$38,3,0),8))</f>
        <v>0</v>
      </c>
      <c r="BG396" s="97">
        <f>IF(OR(AY396="SÁB",AY396="DOM"),0,IFERROR(8-VLOOKUP(J396,'Dados de consulta'!$A$2:$C$38,3,0),8))</f>
        <v>0</v>
      </c>
      <c r="BH396" s="97">
        <f>IF(OR(AY396="SÁB",AY396="DOM"),0,IFERROR(8-VLOOKUP(K396,'Dados de consulta'!$A$2:$C$38,3,0),8))</f>
        <v>0</v>
      </c>
      <c r="BI396" s="97">
        <f>IF(OR(AY396="SÁB",AY396="DOM"),0,IFERROR(8-VLOOKUP(L396,'Dados de consulta'!$A$2:$C$38,3,0),8))</f>
        <v>0</v>
      </c>
      <c r="BJ396" s="97">
        <f>IF(OR(AY396="SÁB",AY396="DOM"),0,IFERROR(8-VLOOKUP(M396,'Dados de consulta'!$A$2:$C$38,3,0),8))</f>
        <v>0</v>
      </c>
      <c r="BK396" s="97">
        <f>IF(OR(AY396="SÁB",AY396="DOM"),0,IFERROR(8-VLOOKUP(N396,'Dados de consulta'!$A$2:$C$38,3,0),8))</f>
        <v>0</v>
      </c>
      <c r="BL396" s="97">
        <f>IF(OR(AY396="SÁB",AY396="DOM"),0,IFERROR(8-VLOOKUP(O396,'Dados de consulta'!$A$2:$C$38,3,0),8))</f>
        <v>0</v>
      </c>
      <c r="BM396" s="97">
        <f>IF(OR(AY396="SÁB",AY396="DOM"),0,IFERROR(8-VLOOKUP(P396,'Dados de consulta'!$A$2:$C$38,3,0),8))</f>
        <v>0</v>
      </c>
      <c r="BN396" s="97">
        <f>IF(OR(AY396="SÁB",AY396="DOM"),0,IFERROR(8-VLOOKUP(Q396,'Dados de consulta'!$A$2:$C$38,3,0),8))</f>
        <v>0</v>
      </c>
      <c r="BO396" s="97">
        <f>IF(OR(AY396="SÁB",AY396="DOM"),0,IFERROR(8-VLOOKUP(R396,'Dados de consulta'!$A$2:$C$38,3,0),8))</f>
        <v>0</v>
      </c>
      <c r="BP396" s="97">
        <f>IF(OR(AY396="SÁB",AY396="DOM"),0,IFERROR(8-VLOOKUP(S396,'Dados de consulta'!$A$2:$C$38,3,0),8))</f>
        <v>0</v>
      </c>
      <c r="BQ396" s="113">
        <f>IFERROR(6-VLOOKUP(T396,'Dados de consulta'!$A$2:$C$38,3,0)+2,6)</f>
        <v>6</v>
      </c>
      <c r="BR396" s="114">
        <f t="shared" si="180"/>
        <v>0</v>
      </c>
      <c r="BS396">
        <f t="shared" si="156"/>
        <v>0</v>
      </c>
      <c r="BU396">
        <f>IFERROR(8-VLOOKUP(U396,'Dados de consulta'!$A:$D,3,0),8)</f>
        <v>8</v>
      </c>
      <c r="BV396">
        <f>IFERROR(8-VLOOKUP(V396,'Dados de consulta'!$A:$D,3,0),8)</f>
        <v>8</v>
      </c>
      <c r="BW396">
        <f t="shared" si="181"/>
        <v>16</v>
      </c>
    </row>
    <row r="397" spans="1:75" ht="15" hidden="1" x14ac:dyDescent="0.2">
      <c r="A397" s="98">
        <v>42520</v>
      </c>
      <c r="B397" s="129" t="str">
        <f t="shared" si="158"/>
        <v>seg</v>
      </c>
      <c r="C397" s="132">
        <v>6</v>
      </c>
      <c r="D397" s="132">
        <v>6</v>
      </c>
      <c r="E397" s="132">
        <v>6</v>
      </c>
      <c r="F397" s="132">
        <v>6</v>
      </c>
      <c r="G397" s="132">
        <v>6</v>
      </c>
      <c r="H397" s="132">
        <v>6</v>
      </c>
      <c r="I397" s="132"/>
      <c r="J397" s="132">
        <v>6</v>
      </c>
      <c r="K397" s="132">
        <v>6</v>
      </c>
      <c r="L397" s="132">
        <v>18</v>
      </c>
      <c r="M397" s="132">
        <v>101</v>
      </c>
      <c r="N397" s="132">
        <v>6</v>
      </c>
      <c r="O397" s="132">
        <v>6</v>
      </c>
      <c r="P397" s="132">
        <v>6</v>
      </c>
      <c r="Q397" s="132">
        <v>6</v>
      </c>
      <c r="R397" s="132">
        <v>18</v>
      </c>
      <c r="S397" s="132">
        <v>6</v>
      </c>
      <c r="T397" s="132">
        <v>6</v>
      </c>
      <c r="U397" s="132">
        <v>6</v>
      </c>
      <c r="V397" s="132">
        <v>6</v>
      </c>
      <c r="W397" s="307" t="s">
        <v>193</v>
      </c>
      <c r="X397" s="308"/>
      <c r="Y397" s="38">
        <f t="shared" si="159"/>
        <v>0</v>
      </c>
      <c r="Z397" s="38">
        <f t="shared" si="160"/>
        <v>16</v>
      </c>
      <c r="AA397" s="38">
        <f t="shared" si="157"/>
        <v>0</v>
      </c>
      <c r="AB397" s="38">
        <f t="shared" si="168"/>
        <v>104</v>
      </c>
      <c r="AC397" s="38">
        <f t="shared" si="169"/>
        <v>0</v>
      </c>
      <c r="AD397" s="38">
        <f t="shared" si="170"/>
        <v>0</v>
      </c>
      <c r="AE397" s="38">
        <f t="shared" si="171"/>
        <v>0</v>
      </c>
      <c r="AF397" s="38">
        <f t="shared" si="172"/>
        <v>6</v>
      </c>
      <c r="AG397" s="33">
        <f t="shared" si="173"/>
        <v>0</v>
      </c>
      <c r="AH397" s="33">
        <f t="shared" si="174"/>
        <v>16</v>
      </c>
      <c r="AI397" s="33">
        <f t="shared" si="175"/>
        <v>0</v>
      </c>
      <c r="AJ397" s="33">
        <f t="shared" si="176"/>
        <v>110</v>
      </c>
      <c r="AK397" s="34">
        <f t="shared" si="177"/>
        <v>0</v>
      </c>
      <c r="AL397" s="35">
        <f t="shared" si="178"/>
        <v>0.11267605633802817</v>
      </c>
      <c r="AM397" s="34">
        <f t="shared" si="161"/>
        <v>0</v>
      </c>
      <c r="AN397" s="36">
        <f t="shared" si="179"/>
        <v>0.77464788732394363</v>
      </c>
      <c r="AO397" s="6">
        <f t="shared" si="162"/>
        <v>0</v>
      </c>
      <c r="AP397">
        <f t="shared" si="163"/>
        <v>8</v>
      </c>
      <c r="AQ397" s="6">
        <f t="shared" si="164"/>
        <v>0</v>
      </c>
      <c r="AR397" s="6">
        <f t="shared" si="165"/>
        <v>0</v>
      </c>
      <c r="AS397" s="6"/>
      <c r="AX397" s="95">
        <f t="shared" si="166"/>
        <v>42520</v>
      </c>
      <c r="AY397" s="96" t="str">
        <f t="shared" si="167"/>
        <v>seg</v>
      </c>
      <c r="AZ397" s="97">
        <f>IF(OR(AY397="SÁB",AY397="DOM"),0,IFERROR(8-VLOOKUP(C397,'Dados de consulta'!$A$2:$C$38,3,0),8))</f>
        <v>0</v>
      </c>
      <c r="BA397" s="97">
        <f>IF(OR(AY397="SÁB",AY397="DOM"),0,IFERROR(8-VLOOKUP(D397,'Dados de consulta'!$A$2:$C$38,3,0),8))</f>
        <v>0</v>
      </c>
      <c r="BB397" s="97">
        <f>IF(OR(AY397="SÁB",AY397="DOM"),0,IFERROR(8-VLOOKUP(E397,'Dados de consulta'!$A$2:$C$38,3,0),8))</f>
        <v>0</v>
      </c>
      <c r="BC397" s="97">
        <f>IF(OR(AY397="SÁB",AY397="DOM"),0,IFERROR(8-VLOOKUP(F397,'Dados de consulta'!$A$2:$C$38,3,0),8))</f>
        <v>0</v>
      </c>
      <c r="BD397" s="97">
        <f>IF(OR(AY397="SÁB",AY397="DOM"),0,IFERROR(8-VLOOKUP(G397,'Dados de consulta'!$A$2:$C$38,3,0),8))</f>
        <v>0</v>
      </c>
      <c r="BE397" s="97">
        <f>IF(OR(AY397="SÁB",AY397="DOM"),0,IFERROR(8-VLOOKUP(H397,'Dados de consulta'!$A$2:$C$38,3,0),8))</f>
        <v>0</v>
      </c>
      <c r="BF397" s="97">
        <f>IF(OR(AY397="SÁB",AY397="DOM"),0,IFERROR(8-VLOOKUP(I397,'Dados de consulta'!$A$2:$C$38,3,0),8))</f>
        <v>8</v>
      </c>
      <c r="BG397" s="97">
        <f>IF(OR(AY397="SÁB",AY397="DOM"),0,IFERROR(8-VLOOKUP(J397,'Dados de consulta'!$A$2:$C$38,3,0),8))</f>
        <v>0</v>
      </c>
      <c r="BH397" s="97">
        <f>IF(OR(AY397="SÁB",AY397="DOM"),0,IFERROR(8-VLOOKUP(K397,'Dados de consulta'!$A$2:$C$38,3,0),8))</f>
        <v>0</v>
      </c>
      <c r="BI397" s="97">
        <f>IF(OR(AY397="SÁB",AY397="DOM"),0,IFERROR(8-VLOOKUP(L397,'Dados de consulta'!$A$2:$C$38,3,0),8))</f>
        <v>0</v>
      </c>
      <c r="BJ397" s="97">
        <f>IF(OR(AY397="SÁB",AY397="DOM"),0,IFERROR(8-VLOOKUP(M397,'Dados de consulta'!$A$2:$C$38,3,0),8))</f>
        <v>0</v>
      </c>
      <c r="BK397" s="97">
        <f>IF(OR(AY397="SÁB",AY397="DOM"),0,IFERROR(8-VLOOKUP(N397,'Dados de consulta'!$A$2:$C$38,3,0),8))</f>
        <v>0</v>
      </c>
      <c r="BL397" s="97">
        <f>IF(OR(AY397="SÁB",AY397="DOM"),0,IFERROR(8-VLOOKUP(O397,'Dados de consulta'!$A$2:$C$38,3,0),8))</f>
        <v>0</v>
      </c>
      <c r="BM397" s="97">
        <f>IF(OR(AY397="SÁB",AY397="DOM"),0,IFERROR(8-VLOOKUP(P397,'Dados de consulta'!$A$2:$C$38,3,0),8))</f>
        <v>0</v>
      </c>
      <c r="BN397" s="97">
        <f>IF(OR(AY397="SÁB",AY397="DOM"),0,IFERROR(8-VLOOKUP(Q397,'Dados de consulta'!$A$2:$C$38,3,0),8))</f>
        <v>0</v>
      </c>
      <c r="BO397" s="97">
        <f>IF(OR(AY397="SÁB",AY397="DOM"),0,IFERROR(8-VLOOKUP(R397,'Dados de consulta'!$A$2:$C$38,3,0),8))</f>
        <v>0</v>
      </c>
      <c r="BP397" s="97">
        <f>IF(OR(AY397="SÁB",AY397="DOM"),0,IFERROR(8-VLOOKUP(S397,'Dados de consulta'!$A$2:$C$38,3,0),8))</f>
        <v>0</v>
      </c>
      <c r="BQ397" s="113">
        <f>IFERROR(6-VLOOKUP(T397,'Dados de consulta'!$A$2:$C$38,3,0)+2,6)</f>
        <v>0</v>
      </c>
      <c r="BR397" s="114">
        <f t="shared" si="180"/>
        <v>8</v>
      </c>
      <c r="BS397">
        <f t="shared" si="156"/>
        <v>134</v>
      </c>
      <c r="BU397">
        <f>IFERROR(8-VLOOKUP(U397,'Dados de consulta'!$A:$D,3,0),8)</f>
        <v>0</v>
      </c>
      <c r="BV397">
        <f>IFERROR(8-VLOOKUP(V397,'Dados de consulta'!$A:$D,3,0),8)</f>
        <v>0</v>
      </c>
      <c r="BW397">
        <f t="shared" si="181"/>
        <v>0</v>
      </c>
    </row>
    <row r="398" spans="1:75" ht="15" hidden="1" x14ac:dyDescent="0.2">
      <c r="A398" s="98">
        <v>42521</v>
      </c>
      <c r="B398" s="129" t="str">
        <f t="shared" si="158"/>
        <v>ter</v>
      </c>
      <c r="C398" s="132">
        <v>6</v>
      </c>
      <c r="D398" s="132">
        <v>6</v>
      </c>
      <c r="E398" s="132">
        <v>6</v>
      </c>
      <c r="F398" s="132">
        <v>6</v>
      </c>
      <c r="G398" s="132">
        <v>6</v>
      </c>
      <c r="H398" s="132">
        <v>6</v>
      </c>
      <c r="I398" s="132"/>
      <c r="J398" s="132">
        <v>6</v>
      </c>
      <c r="K398" s="132">
        <v>6</v>
      </c>
      <c r="L398" s="132">
        <v>18</v>
      </c>
      <c r="M398" s="132">
        <v>101</v>
      </c>
      <c r="N398" s="132">
        <v>6</v>
      </c>
      <c r="O398" s="132">
        <v>6</v>
      </c>
      <c r="P398" s="132">
        <v>6</v>
      </c>
      <c r="Q398" s="132">
        <v>6</v>
      </c>
      <c r="R398" s="132">
        <v>18</v>
      </c>
      <c r="S398" s="132">
        <v>6</v>
      </c>
      <c r="T398" s="132">
        <v>6</v>
      </c>
      <c r="U398" s="132">
        <v>6</v>
      </c>
      <c r="V398" s="132">
        <v>6</v>
      </c>
      <c r="W398" s="307" t="s">
        <v>193</v>
      </c>
      <c r="X398" s="308"/>
      <c r="Y398" s="38">
        <f t="shared" si="159"/>
        <v>0</v>
      </c>
      <c r="Z398" s="38">
        <f t="shared" si="160"/>
        <v>16</v>
      </c>
      <c r="AA398" s="38">
        <f t="shared" si="157"/>
        <v>0</v>
      </c>
      <c r="AB398" s="38">
        <f t="shared" si="168"/>
        <v>104</v>
      </c>
      <c r="AC398" s="38">
        <f t="shared" si="169"/>
        <v>0</v>
      </c>
      <c r="AD398" s="38">
        <f t="shared" si="170"/>
        <v>0</v>
      </c>
      <c r="AE398" s="38">
        <f t="shared" si="171"/>
        <v>0</v>
      </c>
      <c r="AF398" s="38">
        <f t="shared" si="172"/>
        <v>6</v>
      </c>
      <c r="AG398" s="33">
        <f t="shared" si="173"/>
        <v>0</v>
      </c>
      <c r="AH398" s="33">
        <f t="shared" si="174"/>
        <v>16</v>
      </c>
      <c r="AI398" s="33">
        <f t="shared" si="175"/>
        <v>0</v>
      </c>
      <c r="AJ398" s="33">
        <f t="shared" si="176"/>
        <v>110</v>
      </c>
      <c r="AK398" s="34">
        <f t="shared" si="177"/>
        <v>0</v>
      </c>
      <c r="AL398" s="35">
        <f t="shared" si="178"/>
        <v>0.11267605633802817</v>
      </c>
      <c r="AM398" s="34">
        <f t="shared" si="161"/>
        <v>0</v>
      </c>
      <c r="AN398" s="36">
        <f t="shared" si="179"/>
        <v>0.77464788732394363</v>
      </c>
      <c r="AO398" s="6">
        <f t="shared" si="162"/>
        <v>0</v>
      </c>
      <c r="AP398">
        <f t="shared" si="163"/>
        <v>8</v>
      </c>
      <c r="AQ398" s="6">
        <f t="shared" si="164"/>
        <v>0</v>
      </c>
      <c r="AR398" s="6">
        <f t="shared" si="165"/>
        <v>0</v>
      </c>
      <c r="AS398" s="6"/>
      <c r="AX398" s="95">
        <f t="shared" si="166"/>
        <v>42521</v>
      </c>
      <c r="AY398" s="96" t="str">
        <f t="shared" si="167"/>
        <v>ter</v>
      </c>
      <c r="AZ398" s="97">
        <f>IF(OR(AY398="SÁB",AY398="DOM"),0,IFERROR(8-VLOOKUP(C398,'Dados de consulta'!$A$2:$C$38,3,0),8))</f>
        <v>0</v>
      </c>
      <c r="BA398" s="97">
        <f>IF(OR(AY398="SÁB",AY398="DOM"),0,IFERROR(8-VLOOKUP(D398,'Dados de consulta'!$A$2:$C$38,3,0),8))</f>
        <v>0</v>
      </c>
      <c r="BB398" s="97">
        <f>IF(OR(AY398="SÁB",AY398="DOM"),0,IFERROR(8-VLOOKUP(E398,'Dados de consulta'!$A$2:$C$38,3,0),8))</f>
        <v>0</v>
      </c>
      <c r="BC398" s="97">
        <f>IF(OR(AY398="SÁB",AY398="DOM"),0,IFERROR(8-VLOOKUP(F398,'Dados de consulta'!$A$2:$C$38,3,0),8))</f>
        <v>0</v>
      </c>
      <c r="BD398" s="97">
        <f>IF(OR(AY398="SÁB",AY398="DOM"),0,IFERROR(8-VLOOKUP(G398,'Dados de consulta'!$A$2:$C$38,3,0),8))</f>
        <v>0</v>
      </c>
      <c r="BE398" s="97">
        <f>IF(OR(AY398="SÁB",AY398="DOM"),0,IFERROR(8-VLOOKUP(H398,'Dados de consulta'!$A$2:$C$38,3,0),8))</f>
        <v>0</v>
      </c>
      <c r="BF398" s="97">
        <f>IF(OR(AY398="SÁB",AY398="DOM"),0,IFERROR(8-VLOOKUP(I398,'Dados de consulta'!$A$2:$C$38,3,0),8))</f>
        <v>8</v>
      </c>
      <c r="BG398" s="97">
        <f>IF(OR(AY398="SÁB",AY398="DOM"),0,IFERROR(8-VLOOKUP(J398,'Dados de consulta'!$A$2:$C$38,3,0),8))</f>
        <v>0</v>
      </c>
      <c r="BH398" s="97">
        <f>IF(OR(AY398="SÁB",AY398="DOM"),0,IFERROR(8-VLOOKUP(K398,'Dados de consulta'!$A$2:$C$38,3,0),8))</f>
        <v>0</v>
      </c>
      <c r="BI398" s="97">
        <f>IF(OR(AY398="SÁB",AY398="DOM"),0,IFERROR(8-VLOOKUP(L398,'Dados de consulta'!$A$2:$C$38,3,0),8))</f>
        <v>0</v>
      </c>
      <c r="BJ398" s="97">
        <f>IF(OR(AY398="SÁB",AY398="DOM"),0,IFERROR(8-VLOOKUP(M398,'Dados de consulta'!$A$2:$C$38,3,0),8))</f>
        <v>0</v>
      </c>
      <c r="BK398" s="97">
        <f>IF(OR(AY398="SÁB",AY398="DOM"),0,IFERROR(8-VLOOKUP(N398,'Dados de consulta'!$A$2:$C$38,3,0),8))</f>
        <v>0</v>
      </c>
      <c r="BL398" s="97">
        <f>IF(OR(AY398="SÁB",AY398="DOM"),0,IFERROR(8-VLOOKUP(O398,'Dados de consulta'!$A$2:$C$38,3,0),8))</f>
        <v>0</v>
      </c>
      <c r="BM398" s="97">
        <f>IF(OR(AY398="SÁB",AY398="DOM"),0,IFERROR(8-VLOOKUP(P398,'Dados de consulta'!$A$2:$C$38,3,0),8))</f>
        <v>0</v>
      </c>
      <c r="BN398" s="97">
        <f>IF(OR(AY398="SÁB",AY398="DOM"),0,IFERROR(8-VLOOKUP(Q398,'Dados de consulta'!$A$2:$C$38,3,0),8))</f>
        <v>0</v>
      </c>
      <c r="BO398" s="97">
        <f>IF(OR(AY398="SÁB",AY398="DOM"),0,IFERROR(8-VLOOKUP(R398,'Dados de consulta'!$A$2:$C$38,3,0),8))</f>
        <v>0</v>
      </c>
      <c r="BP398" s="97">
        <f>IF(OR(AY398="SÁB",AY398="DOM"),0,IFERROR(8-VLOOKUP(S398,'Dados de consulta'!$A$2:$C$38,3,0),8))</f>
        <v>0</v>
      </c>
      <c r="BQ398" s="113">
        <f>IFERROR(6-VLOOKUP(T398,'Dados de consulta'!$A$2:$C$38,3,0)+2,6)</f>
        <v>0</v>
      </c>
      <c r="BR398" s="114">
        <f t="shared" si="180"/>
        <v>8</v>
      </c>
      <c r="BS398">
        <f t="shared" si="156"/>
        <v>134</v>
      </c>
      <c r="BU398">
        <f>IFERROR(8-VLOOKUP(U398,'Dados de consulta'!$A:$D,3,0),8)</f>
        <v>0</v>
      </c>
      <c r="BV398">
        <f>IFERROR(8-VLOOKUP(V398,'Dados de consulta'!$A:$D,3,0),8)</f>
        <v>0</v>
      </c>
      <c r="BW398">
        <f t="shared" si="181"/>
        <v>0</v>
      </c>
    </row>
    <row r="399" spans="1:75" ht="15" x14ac:dyDescent="0.2">
      <c r="A399" s="98">
        <v>42522</v>
      </c>
      <c r="B399" s="129" t="str">
        <f t="shared" si="158"/>
        <v>qua</v>
      </c>
      <c r="C399" s="132">
        <v>6</v>
      </c>
      <c r="D399" s="132">
        <v>6</v>
      </c>
      <c r="E399" s="132">
        <v>6</v>
      </c>
      <c r="F399" s="132">
        <v>6</v>
      </c>
      <c r="G399" s="132">
        <v>6</v>
      </c>
      <c r="H399" s="132">
        <v>6</v>
      </c>
      <c r="I399" s="132"/>
      <c r="J399" s="132">
        <v>6</v>
      </c>
      <c r="K399" s="132">
        <v>6</v>
      </c>
      <c r="L399" s="132">
        <v>18</v>
      </c>
      <c r="M399" s="132">
        <v>101</v>
      </c>
      <c r="N399" s="132">
        <v>6</v>
      </c>
      <c r="O399" s="132">
        <v>6</v>
      </c>
      <c r="P399" s="132"/>
      <c r="Q399" s="132">
        <v>6</v>
      </c>
      <c r="R399" s="132">
        <v>18</v>
      </c>
      <c r="S399" s="132">
        <v>6</v>
      </c>
      <c r="T399" s="132"/>
      <c r="U399" s="132">
        <v>6</v>
      </c>
      <c r="V399" s="132">
        <v>6</v>
      </c>
      <c r="W399" s="307" t="s">
        <v>193</v>
      </c>
      <c r="X399" s="308"/>
      <c r="Y399" s="38">
        <f t="shared" si="159"/>
        <v>0</v>
      </c>
      <c r="Z399" s="38">
        <f t="shared" si="160"/>
        <v>16</v>
      </c>
      <c r="AA399" s="38">
        <f t="shared" si="157"/>
        <v>0</v>
      </c>
      <c r="AB399" s="38">
        <f t="shared" si="168"/>
        <v>96</v>
      </c>
      <c r="AC399" s="38">
        <f t="shared" si="169"/>
        <v>0</v>
      </c>
      <c r="AD399" s="38">
        <f t="shared" si="170"/>
        <v>0</v>
      </c>
      <c r="AE399" s="38">
        <f t="shared" si="171"/>
        <v>0</v>
      </c>
      <c r="AF399" s="38">
        <f t="shared" si="172"/>
        <v>0</v>
      </c>
      <c r="AG399" s="33">
        <f t="shared" si="173"/>
        <v>0</v>
      </c>
      <c r="AH399" s="33">
        <f t="shared" si="174"/>
        <v>16</v>
      </c>
      <c r="AI399" s="33">
        <f t="shared" si="175"/>
        <v>0</v>
      </c>
      <c r="AJ399" s="33">
        <f t="shared" si="176"/>
        <v>96</v>
      </c>
      <c r="AK399" s="34">
        <f t="shared" si="177"/>
        <v>0</v>
      </c>
      <c r="AL399" s="35">
        <f t="shared" si="178"/>
        <v>0.11267605633802817</v>
      </c>
      <c r="AM399" s="34">
        <f t="shared" si="161"/>
        <v>0</v>
      </c>
      <c r="AN399" s="36">
        <f t="shared" si="179"/>
        <v>0.676056338028169</v>
      </c>
      <c r="AO399" s="6">
        <f t="shared" si="162"/>
        <v>0</v>
      </c>
      <c r="AP399">
        <f t="shared" si="163"/>
        <v>8</v>
      </c>
      <c r="AQ399" s="6">
        <f t="shared" si="164"/>
        <v>0</v>
      </c>
      <c r="AR399" s="6">
        <f t="shared" si="165"/>
        <v>0</v>
      </c>
      <c r="AS399" s="6"/>
      <c r="AX399" s="95">
        <f t="shared" si="166"/>
        <v>42522</v>
      </c>
      <c r="AY399" s="96" t="str">
        <f t="shared" si="167"/>
        <v>qua</v>
      </c>
      <c r="AZ399" s="97">
        <f>IF(OR(AY399="SÁB",AY399="DOM"),0,IFERROR(8-VLOOKUP(C399,'Dados de consulta'!$A$2:$C$38,3,0),8))</f>
        <v>0</v>
      </c>
      <c r="BA399" s="97">
        <f>IF(OR(AY399="SÁB",AY399="DOM"),0,IFERROR(8-VLOOKUP(D399,'Dados de consulta'!$A$2:$C$38,3,0),8))</f>
        <v>0</v>
      </c>
      <c r="BB399" s="97">
        <f>IF(OR(AY399="SÁB",AY399="DOM"),0,IFERROR(8-VLOOKUP(E399,'Dados de consulta'!$A$2:$C$38,3,0),8))</f>
        <v>0</v>
      </c>
      <c r="BC399" s="97">
        <f>IF(OR(AY399="SÁB",AY399="DOM"),0,IFERROR(8-VLOOKUP(F399,'Dados de consulta'!$A$2:$C$38,3,0),8))</f>
        <v>0</v>
      </c>
      <c r="BD399" s="97">
        <f>IF(OR(AY399="SÁB",AY399="DOM"),0,IFERROR(8-VLOOKUP(G399,'Dados de consulta'!$A$2:$C$38,3,0),8))</f>
        <v>0</v>
      </c>
      <c r="BE399" s="97">
        <f>IF(OR(AY399="SÁB",AY399="DOM"),0,IFERROR(8-VLOOKUP(H399,'Dados de consulta'!$A$2:$C$38,3,0),8))</f>
        <v>0</v>
      </c>
      <c r="BF399" s="97">
        <f>IF(OR(AY399="SÁB",AY399="DOM"),0,IFERROR(8-VLOOKUP(I399,'Dados de consulta'!$A$2:$C$38,3,0),8))</f>
        <v>8</v>
      </c>
      <c r="BG399" s="97">
        <f>IF(OR(AY399="SÁB",AY399="DOM"),0,IFERROR(8-VLOOKUP(J399,'Dados de consulta'!$A$2:$C$38,3,0),8))</f>
        <v>0</v>
      </c>
      <c r="BH399" s="97">
        <f>IF(OR(AY399="SÁB",AY399="DOM"),0,IFERROR(8-VLOOKUP(K399,'Dados de consulta'!$A$2:$C$38,3,0),8))</f>
        <v>0</v>
      </c>
      <c r="BI399" s="97">
        <f>IF(OR(AY399="SÁB",AY399="DOM"),0,IFERROR(8-VLOOKUP(L399,'Dados de consulta'!$A$2:$C$38,3,0),8))</f>
        <v>0</v>
      </c>
      <c r="BJ399" s="97">
        <f>IF(OR(AY399="SÁB",AY399="DOM"),0,IFERROR(8-VLOOKUP(M399,'Dados de consulta'!$A$2:$C$38,3,0),8))</f>
        <v>0</v>
      </c>
      <c r="BK399" s="97">
        <f>IF(OR(AY399="SÁB",AY399="DOM"),0,IFERROR(8-VLOOKUP(N399,'Dados de consulta'!$A$2:$C$38,3,0),8))</f>
        <v>0</v>
      </c>
      <c r="BL399" s="97">
        <f>IF(OR(AY399="SÁB",AY399="DOM"),0,IFERROR(8-VLOOKUP(O399,'Dados de consulta'!$A$2:$C$38,3,0),8))</f>
        <v>0</v>
      </c>
      <c r="BM399" s="97">
        <f>IF(OR(AY399="SÁB",AY399="DOM"),0,IFERROR(8-VLOOKUP(P399,'Dados de consulta'!$A$2:$C$38,3,0),8))</f>
        <v>8</v>
      </c>
      <c r="BN399" s="97">
        <f>IF(OR(AY399="SÁB",AY399="DOM"),0,IFERROR(8-VLOOKUP(Q399,'Dados de consulta'!$A$2:$C$38,3,0),8))</f>
        <v>0</v>
      </c>
      <c r="BO399" s="97">
        <f>IF(OR(AY399="SÁB",AY399="DOM"),0,IFERROR(8-VLOOKUP(R399,'Dados de consulta'!$A$2:$C$38,3,0),8))</f>
        <v>0</v>
      </c>
      <c r="BP399" s="97">
        <f>IF(OR(AY399="SÁB",AY399="DOM"),0,IFERROR(8-VLOOKUP(S399,'Dados de consulta'!$A$2:$C$38,3,0),8))</f>
        <v>0</v>
      </c>
      <c r="BQ399" s="113">
        <f>IFERROR(6-VLOOKUP(T399,'Dados de consulta'!$A$2:$C$38,3,0)+2,6)</f>
        <v>6</v>
      </c>
      <c r="BR399" s="114">
        <f t="shared" si="180"/>
        <v>22</v>
      </c>
      <c r="BS399">
        <f t="shared" si="156"/>
        <v>134</v>
      </c>
      <c r="BU399">
        <f>IFERROR(8-VLOOKUP(U399,'Dados de consulta'!$A:$D,3,0),8)</f>
        <v>0</v>
      </c>
      <c r="BV399">
        <f>IFERROR(8-VLOOKUP(V399,'Dados de consulta'!$A:$D,3,0),8)</f>
        <v>0</v>
      </c>
      <c r="BW399">
        <f t="shared" si="181"/>
        <v>0</v>
      </c>
    </row>
    <row r="400" spans="1:75" ht="15" x14ac:dyDescent="0.2">
      <c r="A400" s="98">
        <v>42523</v>
      </c>
      <c r="B400" s="129" t="str">
        <f t="shared" si="158"/>
        <v>qui</v>
      </c>
      <c r="C400" s="132">
        <v>6</v>
      </c>
      <c r="D400" s="132">
        <v>6</v>
      </c>
      <c r="E400" s="132">
        <v>6</v>
      </c>
      <c r="F400" s="132">
        <v>6</v>
      </c>
      <c r="G400" s="132">
        <v>6</v>
      </c>
      <c r="H400" s="132">
        <v>6</v>
      </c>
      <c r="I400" s="132"/>
      <c r="J400" s="132">
        <v>6</v>
      </c>
      <c r="K400" s="132">
        <v>6</v>
      </c>
      <c r="L400" s="132">
        <v>18</v>
      </c>
      <c r="M400" s="132">
        <v>101</v>
      </c>
      <c r="N400" s="132">
        <v>6</v>
      </c>
      <c r="O400" s="132">
        <v>6</v>
      </c>
      <c r="P400" s="132"/>
      <c r="Q400" s="132">
        <v>6</v>
      </c>
      <c r="R400" s="132">
        <v>18</v>
      </c>
      <c r="S400" s="132">
        <v>6</v>
      </c>
      <c r="T400" s="132"/>
      <c r="U400" s="132">
        <v>6</v>
      </c>
      <c r="V400" s="132">
        <v>6</v>
      </c>
      <c r="W400" s="307" t="s">
        <v>193</v>
      </c>
      <c r="X400" s="308"/>
      <c r="Y400" s="38">
        <f t="shared" si="159"/>
        <v>0</v>
      </c>
      <c r="Z400" s="38">
        <f t="shared" si="160"/>
        <v>16</v>
      </c>
      <c r="AA400" s="38">
        <f t="shared" si="157"/>
        <v>0</v>
      </c>
      <c r="AB400" s="38">
        <f t="shared" si="168"/>
        <v>96</v>
      </c>
      <c r="AC400" s="38">
        <f t="shared" si="169"/>
        <v>0</v>
      </c>
      <c r="AD400" s="38">
        <f t="shared" si="170"/>
        <v>0</v>
      </c>
      <c r="AE400" s="38">
        <f t="shared" si="171"/>
        <v>0</v>
      </c>
      <c r="AF400" s="38">
        <f t="shared" si="172"/>
        <v>0</v>
      </c>
      <c r="AG400" s="33">
        <f t="shared" si="173"/>
        <v>0</v>
      </c>
      <c r="AH400" s="33">
        <f t="shared" si="174"/>
        <v>16</v>
      </c>
      <c r="AI400" s="33">
        <f t="shared" si="175"/>
        <v>0</v>
      </c>
      <c r="AJ400" s="33">
        <f t="shared" si="176"/>
        <v>96</v>
      </c>
      <c r="AK400" s="34">
        <f t="shared" si="177"/>
        <v>0</v>
      </c>
      <c r="AL400" s="35">
        <f t="shared" si="178"/>
        <v>0.11267605633802817</v>
      </c>
      <c r="AM400" s="34">
        <f t="shared" si="161"/>
        <v>0</v>
      </c>
      <c r="AN400" s="36">
        <f t="shared" si="179"/>
        <v>0.676056338028169</v>
      </c>
      <c r="AO400" s="6">
        <f t="shared" si="162"/>
        <v>0</v>
      </c>
      <c r="AP400">
        <f t="shared" si="163"/>
        <v>8</v>
      </c>
      <c r="AQ400" s="6">
        <f t="shared" si="164"/>
        <v>0</v>
      </c>
      <c r="AR400" s="6">
        <f t="shared" si="165"/>
        <v>0</v>
      </c>
      <c r="AS400" s="6"/>
      <c r="AX400" s="95">
        <f t="shared" si="166"/>
        <v>42523</v>
      </c>
      <c r="AY400" s="96" t="str">
        <f t="shared" si="167"/>
        <v>qui</v>
      </c>
      <c r="AZ400" s="97">
        <f>IF(OR(AY400="SÁB",AY400="DOM"),0,IFERROR(8-VLOOKUP(C400,'Dados de consulta'!$A$2:$C$38,3,0),8))</f>
        <v>0</v>
      </c>
      <c r="BA400" s="97">
        <f>IF(OR(AY400="SÁB",AY400="DOM"),0,IFERROR(8-VLOOKUP(D400,'Dados de consulta'!$A$2:$C$38,3,0),8))</f>
        <v>0</v>
      </c>
      <c r="BB400" s="97">
        <f>IF(OR(AY400="SÁB",AY400="DOM"),0,IFERROR(8-VLOOKUP(E400,'Dados de consulta'!$A$2:$C$38,3,0),8))</f>
        <v>0</v>
      </c>
      <c r="BC400" s="97">
        <f>IF(OR(AY400="SÁB",AY400="DOM"),0,IFERROR(8-VLOOKUP(F400,'Dados de consulta'!$A$2:$C$38,3,0),8))</f>
        <v>0</v>
      </c>
      <c r="BD400" s="97">
        <f>IF(OR(AY400="SÁB",AY400="DOM"),0,IFERROR(8-VLOOKUP(G400,'Dados de consulta'!$A$2:$C$38,3,0),8))</f>
        <v>0</v>
      </c>
      <c r="BE400" s="97">
        <f>IF(OR(AY400="SÁB",AY400="DOM"),0,IFERROR(8-VLOOKUP(H400,'Dados de consulta'!$A$2:$C$38,3,0),8))</f>
        <v>0</v>
      </c>
      <c r="BF400" s="97">
        <f>IF(OR(AY400="SÁB",AY400="DOM"),0,IFERROR(8-VLOOKUP(I400,'Dados de consulta'!$A$2:$C$38,3,0),8))</f>
        <v>8</v>
      </c>
      <c r="BG400" s="97">
        <f>IF(OR(AY400="SÁB",AY400="DOM"),0,IFERROR(8-VLOOKUP(J400,'Dados de consulta'!$A$2:$C$38,3,0),8))</f>
        <v>0</v>
      </c>
      <c r="BH400" s="97">
        <f>IF(OR(AY400="SÁB",AY400="DOM"),0,IFERROR(8-VLOOKUP(K400,'Dados de consulta'!$A$2:$C$38,3,0),8))</f>
        <v>0</v>
      </c>
      <c r="BI400" s="97">
        <f>IF(OR(AY400="SÁB",AY400="DOM"),0,IFERROR(8-VLOOKUP(L400,'Dados de consulta'!$A$2:$C$38,3,0),8))</f>
        <v>0</v>
      </c>
      <c r="BJ400" s="97">
        <f>IF(OR(AY400="SÁB",AY400="DOM"),0,IFERROR(8-VLOOKUP(M400,'Dados de consulta'!$A$2:$C$38,3,0),8))</f>
        <v>0</v>
      </c>
      <c r="BK400" s="97">
        <f>IF(OR(AY400="SÁB",AY400="DOM"),0,IFERROR(8-VLOOKUP(N400,'Dados de consulta'!$A$2:$C$38,3,0),8))</f>
        <v>0</v>
      </c>
      <c r="BL400" s="97">
        <f>IF(OR(AY400="SÁB",AY400="DOM"),0,IFERROR(8-VLOOKUP(O400,'Dados de consulta'!$A$2:$C$38,3,0),8))</f>
        <v>0</v>
      </c>
      <c r="BM400" s="97">
        <f>IF(OR(AY400="SÁB",AY400="DOM"),0,IFERROR(8-VLOOKUP(P400,'Dados de consulta'!$A$2:$C$38,3,0),8))</f>
        <v>8</v>
      </c>
      <c r="BN400" s="97">
        <f>IF(OR(AY400="SÁB",AY400="DOM"),0,IFERROR(8-VLOOKUP(Q400,'Dados de consulta'!$A$2:$C$38,3,0),8))</f>
        <v>0</v>
      </c>
      <c r="BO400" s="97">
        <f>IF(OR(AY400="SÁB",AY400="DOM"),0,IFERROR(8-VLOOKUP(R400,'Dados de consulta'!$A$2:$C$38,3,0),8))</f>
        <v>0</v>
      </c>
      <c r="BP400" s="97">
        <f>IF(OR(AY400="SÁB",AY400="DOM"),0,IFERROR(8-VLOOKUP(S400,'Dados de consulta'!$A$2:$C$38,3,0),8))</f>
        <v>0</v>
      </c>
      <c r="BQ400" s="113">
        <f>IFERROR(6-VLOOKUP(T400,'Dados de consulta'!$A$2:$C$38,3,0)+2,6)</f>
        <v>6</v>
      </c>
      <c r="BR400" s="114">
        <f t="shared" si="180"/>
        <v>22</v>
      </c>
      <c r="BS400">
        <f t="shared" si="156"/>
        <v>134</v>
      </c>
      <c r="BU400">
        <f>IFERROR(8-VLOOKUP(U400,'Dados de consulta'!$A:$D,3,0),8)</f>
        <v>0</v>
      </c>
      <c r="BV400">
        <f>IFERROR(8-VLOOKUP(V400,'Dados de consulta'!$A:$D,3,0),8)</f>
        <v>0</v>
      </c>
      <c r="BW400">
        <f t="shared" si="181"/>
        <v>0</v>
      </c>
    </row>
    <row r="401" spans="1:75" ht="15" x14ac:dyDescent="0.2">
      <c r="A401" s="98">
        <v>42524</v>
      </c>
      <c r="B401" s="129" t="str">
        <f t="shared" si="158"/>
        <v>sex</v>
      </c>
      <c r="C401" s="132">
        <v>6</v>
      </c>
      <c r="D401" s="132">
        <v>6</v>
      </c>
      <c r="E401" s="132">
        <v>6</v>
      </c>
      <c r="F401" s="132">
        <v>6</v>
      </c>
      <c r="G401" s="132">
        <v>6</v>
      </c>
      <c r="H401" s="132">
        <v>6</v>
      </c>
      <c r="I401" s="132"/>
      <c r="J401" s="132">
        <v>6</v>
      </c>
      <c r="K401" s="132">
        <v>6</v>
      </c>
      <c r="L401" s="132">
        <v>18</v>
      </c>
      <c r="M401" s="132">
        <v>101</v>
      </c>
      <c r="N401" s="132">
        <v>6</v>
      </c>
      <c r="O401" s="132">
        <v>6</v>
      </c>
      <c r="P401" s="132">
        <v>8</v>
      </c>
      <c r="Q401" s="132">
        <v>6</v>
      </c>
      <c r="R401" s="132">
        <v>18</v>
      </c>
      <c r="S401" s="132">
        <v>6</v>
      </c>
      <c r="T401" s="132"/>
      <c r="U401" s="132">
        <v>6</v>
      </c>
      <c r="V401" s="132">
        <v>6</v>
      </c>
      <c r="W401" s="307" t="s">
        <v>193</v>
      </c>
      <c r="X401" s="308"/>
      <c r="Y401" s="38">
        <f t="shared" si="159"/>
        <v>8</v>
      </c>
      <c r="Z401" s="38">
        <f t="shared" si="160"/>
        <v>16</v>
      </c>
      <c r="AA401" s="38">
        <f t="shared" si="157"/>
        <v>0</v>
      </c>
      <c r="AB401" s="38">
        <f t="shared" si="168"/>
        <v>96</v>
      </c>
      <c r="AC401" s="38">
        <f t="shared" si="169"/>
        <v>0</v>
      </c>
      <c r="AD401" s="38">
        <f t="shared" si="170"/>
        <v>0</v>
      </c>
      <c r="AE401" s="38">
        <f t="shared" si="171"/>
        <v>0</v>
      </c>
      <c r="AF401" s="38">
        <f t="shared" si="172"/>
        <v>0</v>
      </c>
      <c r="AG401" s="33">
        <f t="shared" si="173"/>
        <v>8</v>
      </c>
      <c r="AH401" s="33">
        <f t="shared" si="174"/>
        <v>16</v>
      </c>
      <c r="AI401" s="33">
        <f t="shared" si="175"/>
        <v>0</v>
      </c>
      <c r="AJ401" s="33">
        <f t="shared" si="176"/>
        <v>96</v>
      </c>
      <c r="AK401" s="34">
        <f t="shared" si="177"/>
        <v>5.6338028169014086E-2</v>
      </c>
      <c r="AL401" s="35">
        <f t="shared" si="178"/>
        <v>0.11267605633802817</v>
      </c>
      <c r="AM401" s="34">
        <f t="shared" si="161"/>
        <v>0</v>
      </c>
      <c r="AN401" s="36">
        <f t="shared" si="179"/>
        <v>0.676056338028169</v>
      </c>
      <c r="AO401" s="6">
        <f t="shared" si="162"/>
        <v>0</v>
      </c>
      <c r="AP401">
        <f t="shared" si="163"/>
        <v>8</v>
      </c>
      <c r="AQ401" s="6">
        <f t="shared" si="164"/>
        <v>0</v>
      </c>
      <c r="AR401" s="6">
        <f t="shared" si="165"/>
        <v>0</v>
      </c>
      <c r="AS401" s="6"/>
      <c r="AX401" s="95">
        <f t="shared" si="166"/>
        <v>42524</v>
      </c>
      <c r="AY401" s="96" t="str">
        <f t="shared" si="167"/>
        <v>sex</v>
      </c>
      <c r="AZ401" s="97">
        <f>IF(OR(AY401="SÁB",AY401="DOM"),0,IFERROR(8-VLOOKUP(C401,'Dados de consulta'!$A$2:$C$38,3,0),8))</f>
        <v>0</v>
      </c>
      <c r="BA401" s="97">
        <f>IF(OR(AY401="SÁB",AY401="DOM"),0,IFERROR(8-VLOOKUP(D401,'Dados de consulta'!$A$2:$C$38,3,0),8))</f>
        <v>0</v>
      </c>
      <c r="BB401" s="97">
        <f>IF(OR(AY401="SÁB",AY401="DOM"),0,IFERROR(8-VLOOKUP(E401,'Dados de consulta'!$A$2:$C$38,3,0),8))</f>
        <v>0</v>
      </c>
      <c r="BC401" s="97">
        <f>IF(OR(AY401="SÁB",AY401="DOM"),0,IFERROR(8-VLOOKUP(F401,'Dados de consulta'!$A$2:$C$38,3,0),8))</f>
        <v>0</v>
      </c>
      <c r="BD401" s="97">
        <f>IF(OR(AY401="SÁB",AY401="DOM"),0,IFERROR(8-VLOOKUP(G401,'Dados de consulta'!$A$2:$C$38,3,0),8))</f>
        <v>0</v>
      </c>
      <c r="BE401" s="97">
        <f>IF(OR(AY401="SÁB",AY401="DOM"),0,IFERROR(8-VLOOKUP(H401,'Dados de consulta'!$A$2:$C$38,3,0),8))</f>
        <v>0</v>
      </c>
      <c r="BF401" s="97">
        <f>IF(OR(AY401="SÁB",AY401="DOM"),0,IFERROR(8-VLOOKUP(I401,'Dados de consulta'!$A$2:$C$38,3,0),8))</f>
        <v>8</v>
      </c>
      <c r="BG401" s="97">
        <f>IF(OR(AY401="SÁB",AY401="DOM"),0,IFERROR(8-VLOOKUP(J401,'Dados de consulta'!$A$2:$C$38,3,0),8))</f>
        <v>0</v>
      </c>
      <c r="BH401" s="97">
        <f>IF(OR(AY401="SÁB",AY401="DOM"),0,IFERROR(8-VLOOKUP(K401,'Dados de consulta'!$A$2:$C$38,3,0),8))</f>
        <v>0</v>
      </c>
      <c r="BI401" s="97">
        <f>IF(OR(AY401="SÁB",AY401="DOM"),0,IFERROR(8-VLOOKUP(L401,'Dados de consulta'!$A$2:$C$38,3,0),8))</f>
        <v>0</v>
      </c>
      <c r="BJ401" s="97">
        <f>IF(OR(AY401="SÁB",AY401="DOM"),0,IFERROR(8-VLOOKUP(M401,'Dados de consulta'!$A$2:$C$38,3,0),8))</f>
        <v>0</v>
      </c>
      <c r="BK401" s="97">
        <f>IF(OR(AY401="SÁB",AY401="DOM"),0,IFERROR(8-VLOOKUP(N401,'Dados de consulta'!$A$2:$C$38,3,0),8))</f>
        <v>0</v>
      </c>
      <c r="BL401" s="97">
        <f>IF(OR(AY401="SÁB",AY401="DOM"),0,IFERROR(8-VLOOKUP(O401,'Dados de consulta'!$A$2:$C$38,3,0),8))</f>
        <v>0</v>
      </c>
      <c r="BM401" s="97">
        <f>IF(OR(AY401="SÁB",AY401="DOM"),0,IFERROR(8-VLOOKUP(P401,'Dados de consulta'!$A$2:$C$38,3,0),8))</f>
        <v>0</v>
      </c>
      <c r="BN401" s="97">
        <f>IF(OR(AY401="SÁB",AY401="DOM"),0,IFERROR(8-VLOOKUP(Q401,'Dados de consulta'!$A$2:$C$38,3,0),8))</f>
        <v>0</v>
      </c>
      <c r="BO401" s="97">
        <f>IF(OR(AY401="SÁB",AY401="DOM"),0,IFERROR(8-VLOOKUP(R401,'Dados de consulta'!$A$2:$C$38,3,0),8))</f>
        <v>0</v>
      </c>
      <c r="BP401" s="97">
        <f>IF(OR(AY401="SÁB",AY401="DOM"),0,IFERROR(8-VLOOKUP(S401,'Dados de consulta'!$A$2:$C$38,3,0),8))</f>
        <v>0</v>
      </c>
      <c r="BQ401" s="113">
        <f>IFERROR(6-VLOOKUP(T401,'Dados de consulta'!$A$2:$C$38,3,0)+2,6)</f>
        <v>6</v>
      </c>
      <c r="BR401" s="114">
        <f t="shared" si="180"/>
        <v>14</v>
      </c>
      <c r="BS401">
        <f t="shared" si="156"/>
        <v>134</v>
      </c>
      <c r="BU401">
        <f>IFERROR(8-VLOOKUP(U401,'Dados de consulta'!$A:$D,3,0),8)</f>
        <v>0</v>
      </c>
      <c r="BV401">
        <f>IFERROR(8-VLOOKUP(V401,'Dados de consulta'!$A:$D,3,0),8)</f>
        <v>0</v>
      </c>
      <c r="BW401">
        <f t="shared" si="181"/>
        <v>0</v>
      </c>
    </row>
    <row r="402" spans="1:75" ht="15" x14ac:dyDescent="0.2">
      <c r="A402" s="98">
        <v>42525</v>
      </c>
      <c r="B402" s="129" t="str">
        <f t="shared" si="158"/>
        <v>sáb</v>
      </c>
      <c r="C402" s="132"/>
      <c r="D402" s="132"/>
      <c r="E402" s="132"/>
      <c r="F402" s="132"/>
      <c r="G402" s="132"/>
      <c r="H402" s="132"/>
      <c r="I402" s="132"/>
      <c r="J402" s="132"/>
      <c r="K402" s="132"/>
      <c r="L402" s="132">
        <v>18</v>
      </c>
      <c r="M402" s="132">
        <v>101</v>
      </c>
      <c r="N402" s="132"/>
      <c r="O402" s="132"/>
      <c r="P402" s="132"/>
      <c r="Q402" s="132"/>
      <c r="R402" s="132">
        <v>18</v>
      </c>
      <c r="S402" s="132"/>
      <c r="T402" s="132"/>
      <c r="U402" s="132"/>
      <c r="V402" s="132"/>
      <c r="W402" s="307" t="s">
        <v>193</v>
      </c>
      <c r="X402" s="308"/>
      <c r="Y402" s="38">
        <f t="shared" si="159"/>
        <v>0</v>
      </c>
      <c r="Z402" s="38">
        <f t="shared" si="160"/>
        <v>16</v>
      </c>
      <c r="AA402" s="38">
        <f t="shared" si="157"/>
        <v>0</v>
      </c>
      <c r="AB402" s="38">
        <f t="shared" si="168"/>
        <v>0</v>
      </c>
      <c r="AC402" s="38">
        <f t="shared" si="169"/>
        <v>0</v>
      </c>
      <c r="AD402" s="38">
        <f t="shared" si="170"/>
        <v>0</v>
      </c>
      <c r="AE402" s="38">
        <f t="shared" si="171"/>
        <v>0</v>
      </c>
      <c r="AF402" s="38">
        <f t="shared" si="172"/>
        <v>0</v>
      </c>
      <c r="AG402" s="33">
        <f t="shared" si="173"/>
        <v>0</v>
      </c>
      <c r="AH402" s="33">
        <f t="shared" si="174"/>
        <v>0</v>
      </c>
      <c r="AI402" s="33">
        <f t="shared" si="175"/>
        <v>0</v>
      </c>
      <c r="AJ402" s="33">
        <f t="shared" si="176"/>
        <v>0</v>
      </c>
      <c r="AK402" s="34">
        <f t="shared" si="177"/>
        <v>0</v>
      </c>
      <c r="AL402" s="35">
        <f t="shared" si="178"/>
        <v>0</v>
      </c>
      <c r="AM402" s="34">
        <f t="shared" si="161"/>
        <v>0</v>
      </c>
      <c r="AN402" s="36">
        <f t="shared" si="179"/>
        <v>0</v>
      </c>
      <c r="AO402" s="6">
        <f t="shared" si="162"/>
        <v>0</v>
      </c>
      <c r="AP402">
        <f t="shared" si="163"/>
        <v>8</v>
      </c>
      <c r="AQ402" s="6">
        <f t="shared" si="164"/>
        <v>0</v>
      </c>
      <c r="AR402" s="6">
        <f t="shared" si="165"/>
        <v>0</v>
      </c>
      <c r="AS402" s="6"/>
      <c r="AX402" s="95">
        <f t="shared" si="166"/>
        <v>42525</v>
      </c>
      <c r="AY402" s="96" t="str">
        <f t="shared" si="167"/>
        <v>sáb</v>
      </c>
      <c r="AZ402" s="97">
        <f>IF(OR(AY402="SÁB",AY402="DOM"),0,IFERROR(8-VLOOKUP(C402,'Dados de consulta'!$A$2:$C$38,3,0),8))</f>
        <v>0</v>
      </c>
      <c r="BA402" s="97">
        <f>IF(OR(AY402="SÁB",AY402="DOM"),0,IFERROR(8-VLOOKUP(D402,'Dados de consulta'!$A$2:$C$38,3,0),8))</f>
        <v>0</v>
      </c>
      <c r="BB402" s="97">
        <f>IF(OR(AY402="SÁB",AY402="DOM"),0,IFERROR(8-VLOOKUP(E402,'Dados de consulta'!$A$2:$C$38,3,0),8))</f>
        <v>0</v>
      </c>
      <c r="BC402" s="97">
        <f>IF(OR(AY402="SÁB",AY402="DOM"),0,IFERROR(8-VLOOKUP(F402,'Dados de consulta'!$A$2:$C$38,3,0),8))</f>
        <v>0</v>
      </c>
      <c r="BD402" s="97">
        <f>IF(OR(AY402="SÁB",AY402="DOM"),0,IFERROR(8-VLOOKUP(G402,'Dados de consulta'!$A$2:$C$38,3,0),8))</f>
        <v>0</v>
      </c>
      <c r="BE402" s="97">
        <f>IF(OR(AY402="SÁB",AY402="DOM"),0,IFERROR(8-VLOOKUP(H402,'Dados de consulta'!$A$2:$C$38,3,0),8))</f>
        <v>0</v>
      </c>
      <c r="BF402" s="97">
        <f>IF(OR(AY402="SÁB",AY402="DOM"),0,IFERROR(8-VLOOKUP(I402,'Dados de consulta'!$A$2:$C$38,3,0),8))</f>
        <v>0</v>
      </c>
      <c r="BG402" s="97">
        <f>IF(OR(AY402="SÁB",AY402="DOM"),0,IFERROR(8-VLOOKUP(J402,'Dados de consulta'!$A$2:$C$38,3,0),8))</f>
        <v>0</v>
      </c>
      <c r="BH402" s="97">
        <f>IF(OR(AY402="SÁB",AY402="DOM"),0,IFERROR(8-VLOOKUP(K402,'Dados de consulta'!$A$2:$C$38,3,0),8))</f>
        <v>0</v>
      </c>
      <c r="BI402" s="97">
        <f>IF(OR(AY402="SÁB",AY402="DOM"),0,IFERROR(8-VLOOKUP(L402,'Dados de consulta'!$A$2:$C$38,3,0),8))</f>
        <v>0</v>
      </c>
      <c r="BJ402" s="97">
        <f>IF(OR(AY402="SÁB",AY402="DOM"),0,IFERROR(8-VLOOKUP(M402,'Dados de consulta'!$A$2:$C$38,3,0),8))</f>
        <v>0</v>
      </c>
      <c r="BK402" s="97">
        <f>IF(OR(AY402="SÁB",AY402="DOM"),0,IFERROR(8-VLOOKUP(N402,'Dados de consulta'!$A$2:$C$38,3,0),8))</f>
        <v>0</v>
      </c>
      <c r="BL402" s="97">
        <f>IF(OR(AY402="SÁB",AY402="DOM"),0,IFERROR(8-VLOOKUP(O402,'Dados de consulta'!$A$2:$C$38,3,0),8))</f>
        <v>0</v>
      </c>
      <c r="BM402" s="97">
        <f>IF(OR(AY402="SÁB",AY402="DOM"),0,IFERROR(8-VLOOKUP(P402,'Dados de consulta'!$A$2:$C$38,3,0),8))</f>
        <v>0</v>
      </c>
      <c r="BN402" s="97">
        <f>IF(OR(AY402="SÁB",AY402="DOM"),0,IFERROR(8-VLOOKUP(Q402,'Dados de consulta'!$A$2:$C$38,3,0),8))</f>
        <v>0</v>
      </c>
      <c r="BO402" s="97">
        <f>IF(OR(AY402="SÁB",AY402="DOM"),0,IFERROR(8-VLOOKUP(R402,'Dados de consulta'!$A$2:$C$38,3,0),8))</f>
        <v>0</v>
      </c>
      <c r="BP402" s="97">
        <f>IF(OR(AY402="SÁB",AY402="DOM"),0,IFERROR(8-VLOOKUP(S402,'Dados de consulta'!$A$2:$C$38,3,0),8))</f>
        <v>0</v>
      </c>
      <c r="BQ402" s="113">
        <f>IFERROR(6-VLOOKUP(T402,'Dados de consulta'!$A$2:$C$38,3,0)+2,6)</f>
        <v>6</v>
      </c>
      <c r="BR402" s="114">
        <f t="shared" si="180"/>
        <v>0</v>
      </c>
      <c r="BS402">
        <f t="shared" si="156"/>
        <v>0</v>
      </c>
      <c r="BU402">
        <f>IFERROR(8-VLOOKUP(U402,'Dados de consulta'!$A:$D,3,0),8)</f>
        <v>8</v>
      </c>
      <c r="BV402">
        <f>IFERROR(8-VLOOKUP(V402,'Dados de consulta'!$A:$D,3,0),8)</f>
        <v>8</v>
      </c>
      <c r="BW402">
        <f t="shared" si="181"/>
        <v>16</v>
      </c>
    </row>
    <row r="403" spans="1:75" ht="15" x14ac:dyDescent="0.2">
      <c r="A403" s="98">
        <v>42526</v>
      </c>
      <c r="B403" s="129" t="str">
        <f t="shared" si="158"/>
        <v>dom</v>
      </c>
      <c r="C403" s="132"/>
      <c r="D403" s="132"/>
      <c r="E403" s="132"/>
      <c r="F403" s="132"/>
      <c r="G403" s="132"/>
      <c r="H403" s="132"/>
      <c r="I403" s="132"/>
      <c r="J403" s="132"/>
      <c r="K403" s="132"/>
      <c r="L403" s="132">
        <v>18</v>
      </c>
      <c r="M403" s="132">
        <v>101</v>
      </c>
      <c r="N403" s="132"/>
      <c r="O403" s="132"/>
      <c r="P403" s="132"/>
      <c r="Q403" s="132"/>
      <c r="R403" s="132">
        <v>18</v>
      </c>
      <c r="S403" s="132"/>
      <c r="T403" s="132"/>
      <c r="U403" s="132"/>
      <c r="V403" s="132"/>
      <c r="W403" s="307" t="s">
        <v>193</v>
      </c>
      <c r="X403" s="308"/>
      <c r="Y403" s="38">
        <f t="shared" si="159"/>
        <v>0</v>
      </c>
      <c r="Z403" s="38">
        <f t="shared" si="160"/>
        <v>16</v>
      </c>
      <c r="AA403" s="38">
        <f t="shared" si="157"/>
        <v>0</v>
      </c>
      <c r="AB403" s="38">
        <f t="shared" si="168"/>
        <v>0</v>
      </c>
      <c r="AC403" s="38">
        <f t="shared" si="169"/>
        <v>0</v>
      </c>
      <c r="AD403" s="38">
        <f t="shared" si="170"/>
        <v>0</v>
      </c>
      <c r="AE403" s="38">
        <f t="shared" si="171"/>
        <v>0</v>
      </c>
      <c r="AF403" s="38">
        <f t="shared" si="172"/>
        <v>0</v>
      </c>
      <c r="AG403" s="33">
        <f t="shared" si="173"/>
        <v>0</v>
      </c>
      <c r="AH403" s="33">
        <f t="shared" si="174"/>
        <v>0</v>
      </c>
      <c r="AI403" s="33">
        <f t="shared" si="175"/>
        <v>0</v>
      </c>
      <c r="AJ403" s="33">
        <f t="shared" si="176"/>
        <v>0</v>
      </c>
      <c r="AK403" s="34">
        <f t="shared" si="177"/>
        <v>0</v>
      </c>
      <c r="AL403" s="35">
        <f t="shared" si="178"/>
        <v>0</v>
      </c>
      <c r="AM403" s="34">
        <f t="shared" si="161"/>
        <v>0</v>
      </c>
      <c r="AN403" s="36">
        <f t="shared" si="179"/>
        <v>0</v>
      </c>
      <c r="AO403" s="6">
        <f t="shared" si="162"/>
        <v>0</v>
      </c>
      <c r="AP403">
        <f t="shared" si="163"/>
        <v>8</v>
      </c>
      <c r="AQ403" s="6">
        <f t="shared" si="164"/>
        <v>0</v>
      </c>
      <c r="AR403" s="6">
        <f t="shared" si="165"/>
        <v>0</v>
      </c>
      <c r="AS403" s="6"/>
      <c r="AX403" s="95">
        <f t="shared" si="166"/>
        <v>42526</v>
      </c>
      <c r="AY403" s="96" t="str">
        <f t="shared" si="167"/>
        <v>dom</v>
      </c>
      <c r="AZ403" s="97">
        <f>IF(OR(AY403="SÁB",AY403="DOM"),0,IFERROR(8-VLOOKUP(C403,'Dados de consulta'!$A$2:$C$38,3,0),8))</f>
        <v>0</v>
      </c>
      <c r="BA403" s="97">
        <f>IF(OR(AY403="SÁB",AY403="DOM"),0,IFERROR(8-VLOOKUP(D403,'Dados de consulta'!$A$2:$C$38,3,0),8))</f>
        <v>0</v>
      </c>
      <c r="BB403" s="97">
        <f>IF(OR(AY403="SÁB",AY403="DOM"),0,IFERROR(8-VLOOKUP(E403,'Dados de consulta'!$A$2:$C$38,3,0),8))</f>
        <v>0</v>
      </c>
      <c r="BC403" s="97">
        <f>IF(OR(AY403="SÁB",AY403="DOM"),0,IFERROR(8-VLOOKUP(F403,'Dados de consulta'!$A$2:$C$38,3,0),8))</f>
        <v>0</v>
      </c>
      <c r="BD403" s="97">
        <f>IF(OR(AY403="SÁB",AY403="DOM"),0,IFERROR(8-VLOOKUP(G403,'Dados de consulta'!$A$2:$C$38,3,0),8))</f>
        <v>0</v>
      </c>
      <c r="BE403" s="97">
        <f>IF(OR(AY403="SÁB",AY403="DOM"),0,IFERROR(8-VLOOKUP(H403,'Dados de consulta'!$A$2:$C$38,3,0),8))</f>
        <v>0</v>
      </c>
      <c r="BF403" s="97">
        <f>IF(OR(AY403="SÁB",AY403="DOM"),0,IFERROR(8-VLOOKUP(I403,'Dados de consulta'!$A$2:$C$38,3,0),8))</f>
        <v>0</v>
      </c>
      <c r="BG403" s="97">
        <f>IF(OR(AY403="SÁB",AY403="DOM"),0,IFERROR(8-VLOOKUP(J403,'Dados de consulta'!$A$2:$C$38,3,0),8))</f>
        <v>0</v>
      </c>
      <c r="BH403" s="97">
        <f>IF(OR(AY403="SÁB",AY403="DOM"),0,IFERROR(8-VLOOKUP(K403,'Dados de consulta'!$A$2:$C$38,3,0),8))</f>
        <v>0</v>
      </c>
      <c r="BI403" s="97">
        <f>IF(OR(AY403="SÁB",AY403="DOM"),0,IFERROR(8-VLOOKUP(L403,'Dados de consulta'!$A$2:$C$38,3,0),8))</f>
        <v>0</v>
      </c>
      <c r="BJ403" s="97">
        <f>IF(OR(AY403="SÁB",AY403="DOM"),0,IFERROR(8-VLOOKUP(M403,'Dados de consulta'!$A$2:$C$38,3,0),8))</f>
        <v>0</v>
      </c>
      <c r="BK403" s="97">
        <f>IF(OR(AY403="SÁB",AY403="DOM"),0,IFERROR(8-VLOOKUP(N403,'Dados de consulta'!$A$2:$C$38,3,0),8))</f>
        <v>0</v>
      </c>
      <c r="BL403" s="97">
        <f>IF(OR(AY403="SÁB",AY403="DOM"),0,IFERROR(8-VLOOKUP(O403,'Dados de consulta'!$A$2:$C$38,3,0),8))</f>
        <v>0</v>
      </c>
      <c r="BM403" s="97">
        <f>IF(OR(AY403="SÁB",AY403="DOM"),0,IFERROR(8-VLOOKUP(P403,'Dados de consulta'!$A$2:$C$38,3,0),8))</f>
        <v>0</v>
      </c>
      <c r="BN403" s="97">
        <f>IF(OR(AY403="SÁB",AY403="DOM"),0,IFERROR(8-VLOOKUP(Q403,'Dados de consulta'!$A$2:$C$38,3,0),8))</f>
        <v>0</v>
      </c>
      <c r="BO403" s="97">
        <f>IF(OR(AY403="SÁB",AY403="DOM"),0,IFERROR(8-VLOOKUP(R403,'Dados de consulta'!$A$2:$C$38,3,0),8))</f>
        <v>0</v>
      </c>
      <c r="BP403" s="97">
        <f>IF(OR(AY403="SÁB",AY403="DOM"),0,IFERROR(8-VLOOKUP(S403,'Dados de consulta'!$A$2:$C$38,3,0),8))</f>
        <v>0</v>
      </c>
      <c r="BQ403" s="113">
        <f>IFERROR(6-VLOOKUP(T403,'Dados de consulta'!$A$2:$C$38,3,0)+2,6)</f>
        <v>6</v>
      </c>
      <c r="BR403" s="114">
        <f t="shared" si="180"/>
        <v>0</v>
      </c>
      <c r="BS403">
        <f t="shared" si="156"/>
        <v>0</v>
      </c>
      <c r="BU403">
        <f>IFERROR(8-VLOOKUP(U403,'Dados de consulta'!$A:$D,3,0),8)</f>
        <v>8</v>
      </c>
      <c r="BV403">
        <f>IFERROR(8-VLOOKUP(V403,'Dados de consulta'!$A:$D,3,0),8)</f>
        <v>8</v>
      </c>
      <c r="BW403">
        <f t="shared" si="181"/>
        <v>16</v>
      </c>
    </row>
    <row r="404" spans="1:75" ht="15" x14ac:dyDescent="0.2">
      <c r="A404" s="98">
        <v>42527</v>
      </c>
      <c r="B404" s="129" t="str">
        <f t="shared" si="158"/>
        <v>seg</v>
      </c>
      <c r="C404" s="132">
        <v>6</v>
      </c>
      <c r="D404" s="132">
        <v>6</v>
      </c>
      <c r="E404" s="132">
        <v>6</v>
      </c>
      <c r="F404" s="132">
        <v>6</v>
      </c>
      <c r="G404" s="132">
        <v>6</v>
      </c>
      <c r="H404" s="132">
        <v>6</v>
      </c>
      <c r="I404" s="132"/>
      <c r="J404" s="132">
        <v>6</v>
      </c>
      <c r="K404" s="132">
        <v>6</v>
      </c>
      <c r="L404" s="132">
        <v>18</v>
      </c>
      <c r="M404" s="132">
        <v>101</v>
      </c>
      <c r="N404" s="132">
        <v>6</v>
      </c>
      <c r="O404" s="132">
        <v>6</v>
      </c>
      <c r="P404" s="132"/>
      <c r="Q404" s="132">
        <v>6</v>
      </c>
      <c r="R404" s="132">
        <v>18</v>
      </c>
      <c r="S404" s="132">
        <v>6</v>
      </c>
      <c r="T404" s="132"/>
      <c r="U404" s="132">
        <v>6</v>
      </c>
      <c r="V404" s="132">
        <v>6</v>
      </c>
      <c r="W404" s="307" t="s">
        <v>193</v>
      </c>
      <c r="X404" s="308"/>
      <c r="Y404" s="38">
        <f t="shared" si="159"/>
        <v>0</v>
      </c>
      <c r="Z404" s="38">
        <f t="shared" si="160"/>
        <v>16</v>
      </c>
      <c r="AA404" s="38">
        <f t="shared" si="157"/>
        <v>0</v>
      </c>
      <c r="AB404" s="38">
        <f t="shared" si="168"/>
        <v>96</v>
      </c>
      <c r="AC404" s="38">
        <f t="shared" si="169"/>
        <v>0</v>
      </c>
      <c r="AD404" s="38">
        <f t="shared" si="170"/>
        <v>0</v>
      </c>
      <c r="AE404" s="38">
        <f t="shared" si="171"/>
        <v>0</v>
      </c>
      <c r="AF404" s="38">
        <f t="shared" si="172"/>
        <v>0</v>
      </c>
      <c r="AG404" s="33">
        <f t="shared" si="173"/>
        <v>0</v>
      </c>
      <c r="AH404" s="33">
        <f t="shared" si="174"/>
        <v>16</v>
      </c>
      <c r="AI404" s="33">
        <f t="shared" si="175"/>
        <v>0</v>
      </c>
      <c r="AJ404" s="33">
        <f t="shared" si="176"/>
        <v>96</v>
      </c>
      <c r="AK404" s="34">
        <f t="shared" si="177"/>
        <v>0</v>
      </c>
      <c r="AL404" s="35">
        <f t="shared" si="178"/>
        <v>0.11267605633802817</v>
      </c>
      <c r="AM404" s="34">
        <f t="shared" si="161"/>
        <v>0</v>
      </c>
      <c r="AN404" s="36">
        <f t="shared" si="179"/>
        <v>0.676056338028169</v>
      </c>
      <c r="AO404" s="6">
        <f t="shared" si="162"/>
        <v>0</v>
      </c>
      <c r="AP404">
        <f t="shared" si="163"/>
        <v>8</v>
      </c>
      <c r="AQ404" s="6">
        <f t="shared" si="164"/>
        <v>0</v>
      </c>
      <c r="AR404" s="6">
        <f t="shared" si="165"/>
        <v>0</v>
      </c>
      <c r="AS404" s="6"/>
      <c r="AX404" s="95">
        <f t="shared" si="166"/>
        <v>42527</v>
      </c>
      <c r="AY404" s="96" t="str">
        <f t="shared" si="167"/>
        <v>seg</v>
      </c>
      <c r="AZ404" s="97">
        <f>IF(OR(AY404="SÁB",AY404="DOM"),0,IFERROR(8-VLOOKUP(C404,'Dados de consulta'!$A$2:$C$38,3,0),8))</f>
        <v>0</v>
      </c>
      <c r="BA404" s="97">
        <f>IF(OR(AY404="SÁB",AY404="DOM"),0,IFERROR(8-VLOOKUP(D404,'Dados de consulta'!$A$2:$C$38,3,0),8))</f>
        <v>0</v>
      </c>
      <c r="BB404" s="97">
        <f>IF(OR(AY404="SÁB",AY404="DOM"),0,IFERROR(8-VLOOKUP(E404,'Dados de consulta'!$A$2:$C$38,3,0),8))</f>
        <v>0</v>
      </c>
      <c r="BC404" s="97">
        <f>IF(OR(AY404="SÁB",AY404="DOM"),0,IFERROR(8-VLOOKUP(F404,'Dados de consulta'!$A$2:$C$38,3,0),8))</f>
        <v>0</v>
      </c>
      <c r="BD404" s="97">
        <f>IF(OR(AY404="SÁB",AY404="DOM"),0,IFERROR(8-VLOOKUP(G404,'Dados de consulta'!$A$2:$C$38,3,0),8))</f>
        <v>0</v>
      </c>
      <c r="BE404" s="97">
        <f>IF(OR(AY404="SÁB",AY404="DOM"),0,IFERROR(8-VLOOKUP(H404,'Dados de consulta'!$A$2:$C$38,3,0),8))</f>
        <v>0</v>
      </c>
      <c r="BF404" s="97">
        <f>IF(OR(AY404="SÁB",AY404="DOM"),0,IFERROR(8-VLOOKUP(I404,'Dados de consulta'!$A$2:$C$38,3,0),8))</f>
        <v>8</v>
      </c>
      <c r="BG404" s="97">
        <f>IF(OR(AY404="SÁB",AY404="DOM"),0,IFERROR(8-VLOOKUP(J404,'Dados de consulta'!$A$2:$C$38,3,0),8))</f>
        <v>0</v>
      </c>
      <c r="BH404" s="97">
        <f>IF(OR(AY404="SÁB",AY404="DOM"),0,IFERROR(8-VLOOKUP(K404,'Dados de consulta'!$A$2:$C$38,3,0),8))</f>
        <v>0</v>
      </c>
      <c r="BI404" s="97">
        <f>IF(OR(AY404="SÁB",AY404="DOM"),0,IFERROR(8-VLOOKUP(L404,'Dados de consulta'!$A$2:$C$38,3,0),8))</f>
        <v>0</v>
      </c>
      <c r="BJ404" s="97">
        <f>IF(OR(AY404="SÁB",AY404="DOM"),0,IFERROR(8-VLOOKUP(M404,'Dados de consulta'!$A$2:$C$38,3,0),8))</f>
        <v>0</v>
      </c>
      <c r="BK404" s="97">
        <f>IF(OR(AY404="SÁB",AY404="DOM"),0,IFERROR(8-VLOOKUP(N404,'Dados de consulta'!$A$2:$C$38,3,0),8))</f>
        <v>0</v>
      </c>
      <c r="BL404" s="97">
        <f>IF(OR(AY404="SÁB",AY404="DOM"),0,IFERROR(8-VLOOKUP(O404,'Dados de consulta'!$A$2:$C$38,3,0),8))</f>
        <v>0</v>
      </c>
      <c r="BM404" s="97">
        <f>IF(OR(AY404="SÁB",AY404="DOM"),0,IFERROR(8-VLOOKUP(P404,'Dados de consulta'!$A$2:$C$38,3,0),8))</f>
        <v>8</v>
      </c>
      <c r="BN404" s="97">
        <f>IF(OR(AY404="SÁB",AY404="DOM"),0,IFERROR(8-VLOOKUP(Q404,'Dados de consulta'!$A$2:$C$38,3,0),8))</f>
        <v>0</v>
      </c>
      <c r="BO404" s="97">
        <f>IF(OR(AY404="SÁB",AY404="DOM"),0,IFERROR(8-VLOOKUP(R404,'Dados de consulta'!$A$2:$C$38,3,0),8))</f>
        <v>0</v>
      </c>
      <c r="BP404" s="97">
        <f>IF(OR(AY404="SÁB",AY404="DOM"),0,IFERROR(8-VLOOKUP(S404,'Dados de consulta'!$A$2:$C$38,3,0),8))</f>
        <v>0</v>
      </c>
      <c r="BQ404" s="113">
        <f>IFERROR(6-VLOOKUP(T404,'Dados de consulta'!$A$2:$C$38,3,0)+2,6)</f>
        <v>6</v>
      </c>
      <c r="BR404" s="114">
        <f t="shared" si="180"/>
        <v>22</v>
      </c>
      <c r="BS404">
        <f t="shared" si="156"/>
        <v>134</v>
      </c>
      <c r="BU404">
        <f>IFERROR(8-VLOOKUP(U404,'Dados de consulta'!$A:$D,3,0),8)</f>
        <v>0</v>
      </c>
      <c r="BV404">
        <f>IFERROR(8-VLOOKUP(V404,'Dados de consulta'!$A:$D,3,0),8)</f>
        <v>0</v>
      </c>
      <c r="BW404">
        <f t="shared" si="181"/>
        <v>0</v>
      </c>
    </row>
    <row r="405" spans="1:75" ht="15" x14ac:dyDescent="0.2">
      <c r="A405" s="98">
        <v>42528</v>
      </c>
      <c r="B405" s="129" t="str">
        <f t="shared" si="158"/>
        <v>ter</v>
      </c>
      <c r="C405" s="132">
        <v>6</v>
      </c>
      <c r="D405" s="132">
        <v>6</v>
      </c>
      <c r="E405" s="132">
        <v>6</v>
      </c>
      <c r="F405" s="132">
        <v>6</v>
      </c>
      <c r="G405" s="132">
        <v>6</v>
      </c>
      <c r="H405" s="132">
        <v>6</v>
      </c>
      <c r="I405" s="132"/>
      <c r="J405" s="132">
        <v>6</v>
      </c>
      <c r="K405" s="132">
        <v>6</v>
      </c>
      <c r="L405" s="132">
        <v>18</v>
      </c>
      <c r="M405" s="132">
        <v>101</v>
      </c>
      <c r="N405" s="132">
        <v>6</v>
      </c>
      <c r="O405" s="132">
        <v>6</v>
      </c>
      <c r="P405" s="132"/>
      <c r="Q405" s="132">
        <v>6</v>
      </c>
      <c r="R405" s="132">
        <v>18</v>
      </c>
      <c r="S405" s="132">
        <v>6</v>
      </c>
      <c r="T405" s="132"/>
      <c r="U405" s="132">
        <v>6</v>
      </c>
      <c r="V405" s="132">
        <v>6</v>
      </c>
      <c r="W405" s="307" t="s">
        <v>193</v>
      </c>
      <c r="X405" s="308"/>
      <c r="Y405" s="38">
        <f t="shared" si="159"/>
        <v>0</v>
      </c>
      <c r="Z405" s="38">
        <f t="shared" si="160"/>
        <v>16</v>
      </c>
      <c r="AA405" s="38">
        <f t="shared" si="157"/>
        <v>0</v>
      </c>
      <c r="AB405" s="38">
        <f t="shared" si="168"/>
        <v>96</v>
      </c>
      <c r="AC405" s="38">
        <f t="shared" si="169"/>
        <v>0</v>
      </c>
      <c r="AD405" s="38">
        <f t="shared" si="170"/>
        <v>0</v>
      </c>
      <c r="AE405" s="38">
        <f t="shared" si="171"/>
        <v>0</v>
      </c>
      <c r="AF405" s="38">
        <f t="shared" si="172"/>
        <v>0</v>
      </c>
      <c r="AG405" s="33">
        <f t="shared" si="173"/>
        <v>0</v>
      </c>
      <c r="AH405" s="33">
        <f t="shared" si="174"/>
        <v>16</v>
      </c>
      <c r="AI405" s="33">
        <f t="shared" si="175"/>
        <v>0</v>
      </c>
      <c r="AJ405" s="33">
        <f t="shared" si="176"/>
        <v>96</v>
      </c>
      <c r="AK405" s="34">
        <f t="shared" si="177"/>
        <v>0</v>
      </c>
      <c r="AL405" s="35">
        <f t="shared" si="178"/>
        <v>0.11267605633802817</v>
      </c>
      <c r="AM405" s="34">
        <f t="shared" si="161"/>
        <v>0</v>
      </c>
      <c r="AN405" s="36">
        <f t="shared" si="179"/>
        <v>0.676056338028169</v>
      </c>
      <c r="AO405" s="6">
        <f t="shared" si="162"/>
        <v>0</v>
      </c>
      <c r="AP405">
        <f t="shared" si="163"/>
        <v>8</v>
      </c>
      <c r="AQ405" s="6">
        <f t="shared" si="164"/>
        <v>0</v>
      </c>
      <c r="AR405" s="6">
        <f t="shared" si="165"/>
        <v>0</v>
      </c>
      <c r="AS405" s="6"/>
      <c r="AX405" s="95">
        <f t="shared" si="166"/>
        <v>42528</v>
      </c>
      <c r="AY405" s="96" t="str">
        <f t="shared" si="167"/>
        <v>ter</v>
      </c>
      <c r="AZ405" s="97">
        <f>IF(OR(AY405="SÁB",AY405="DOM"),0,IFERROR(8-VLOOKUP(C405,'Dados de consulta'!$A$2:$C$38,3,0),8))</f>
        <v>0</v>
      </c>
      <c r="BA405" s="97">
        <f>IF(OR(AY405="SÁB",AY405="DOM"),0,IFERROR(8-VLOOKUP(D405,'Dados de consulta'!$A$2:$C$38,3,0),8))</f>
        <v>0</v>
      </c>
      <c r="BB405" s="97">
        <f>IF(OR(AY405="SÁB",AY405="DOM"),0,IFERROR(8-VLOOKUP(E405,'Dados de consulta'!$A$2:$C$38,3,0),8))</f>
        <v>0</v>
      </c>
      <c r="BC405" s="97">
        <f>IF(OR(AY405="SÁB",AY405="DOM"),0,IFERROR(8-VLOOKUP(F405,'Dados de consulta'!$A$2:$C$38,3,0),8))</f>
        <v>0</v>
      </c>
      <c r="BD405" s="97">
        <f>IF(OR(AY405="SÁB",AY405="DOM"),0,IFERROR(8-VLOOKUP(G405,'Dados de consulta'!$A$2:$C$38,3,0),8))</f>
        <v>0</v>
      </c>
      <c r="BE405" s="97">
        <f>IF(OR(AY405="SÁB",AY405="DOM"),0,IFERROR(8-VLOOKUP(H405,'Dados de consulta'!$A$2:$C$38,3,0),8))</f>
        <v>0</v>
      </c>
      <c r="BF405" s="97">
        <f>IF(OR(AY405="SÁB",AY405="DOM"),0,IFERROR(8-VLOOKUP(I405,'Dados de consulta'!$A$2:$C$38,3,0),8))</f>
        <v>8</v>
      </c>
      <c r="BG405" s="97">
        <f>IF(OR(AY405="SÁB",AY405="DOM"),0,IFERROR(8-VLOOKUP(J405,'Dados de consulta'!$A$2:$C$38,3,0),8))</f>
        <v>0</v>
      </c>
      <c r="BH405" s="97">
        <f>IF(OR(AY405="SÁB",AY405="DOM"),0,IFERROR(8-VLOOKUP(K405,'Dados de consulta'!$A$2:$C$38,3,0),8))</f>
        <v>0</v>
      </c>
      <c r="BI405" s="97">
        <f>IF(OR(AY405="SÁB",AY405="DOM"),0,IFERROR(8-VLOOKUP(L405,'Dados de consulta'!$A$2:$C$38,3,0),8))</f>
        <v>0</v>
      </c>
      <c r="BJ405" s="97">
        <f>IF(OR(AY405="SÁB",AY405="DOM"),0,IFERROR(8-VLOOKUP(M405,'Dados de consulta'!$A$2:$C$38,3,0),8))</f>
        <v>0</v>
      </c>
      <c r="BK405" s="97">
        <f>IF(OR(AY405="SÁB",AY405="DOM"),0,IFERROR(8-VLOOKUP(N405,'Dados de consulta'!$A$2:$C$38,3,0),8))</f>
        <v>0</v>
      </c>
      <c r="BL405" s="97">
        <f>IF(OR(AY405="SÁB",AY405="DOM"),0,IFERROR(8-VLOOKUP(O405,'Dados de consulta'!$A$2:$C$38,3,0),8))</f>
        <v>0</v>
      </c>
      <c r="BM405" s="97">
        <f>IF(OR(AY405="SÁB",AY405="DOM"),0,IFERROR(8-VLOOKUP(P405,'Dados de consulta'!$A$2:$C$38,3,0),8))</f>
        <v>8</v>
      </c>
      <c r="BN405" s="97">
        <f>IF(OR(AY405="SÁB",AY405="DOM"),0,IFERROR(8-VLOOKUP(Q405,'Dados de consulta'!$A$2:$C$38,3,0),8))</f>
        <v>0</v>
      </c>
      <c r="BO405" s="97">
        <f>IF(OR(AY405="SÁB",AY405="DOM"),0,IFERROR(8-VLOOKUP(R405,'Dados de consulta'!$A$2:$C$38,3,0),8))</f>
        <v>0</v>
      </c>
      <c r="BP405" s="97">
        <f>IF(OR(AY405="SÁB",AY405="DOM"),0,IFERROR(8-VLOOKUP(S405,'Dados de consulta'!$A$2:$C$38,3,0),8))</f>
        <v>0</v>
      </c>
      <c r="BQ405" s="113">
        <f>IFERROR(6-VLOOKUP(T405,'Dados de consulta'!$A$2:$C$38,3,0)+2,6)</f>
        <v>6</v>
      </c>
      <c r="BR405" s="114">
        <f t="shared" si="180"/>
        <v>22</v>
      </c>
      <c r="BS405">
        <f t="shared" si="156"/>
        <v>134</v>
      </c>
      <c r="BU405">
        <f>IFERROR(8-VLOOKUP(U405,'Dados de consulta'!$A:$D,3,0),8)</f>
        <v>0</v>
      </c>
      <c r="BV405">
        <f>IFERROR(8-VLOOKUP(V405,'Dados de consulta'!$A:$D,3,0),8)</f>
        <v>0</v>
      </c>
      <c r="BW405">
        <f t="shared" si="181"/>
        <v>0</v>
      </c>
    </row>
    <row r="406" spans="1:75" ht="15" x14ac:dyDescent="0.2">
      <c r="A406" s="98">
        <v>42529</v>
      </c>
      <c r="B406" s="129" t="str">
        <f t="shared" si="158"/>
        <v>qua</v>
      </c>
      <c r="C406" s="132">
        <v>6</v>
      </c>
      <c r="D406" s="132">
        <v>6</v>
      </c>
      <c r="E406" s="132">
        <v>6</v>
      </c>
      <c r="F406" s="132">
        <v>6</v>
      </c>
      <c r="G406" s="132">
        <v>6</v>
      </c>
      <c r="H406" s="132">
        <v>6</v>
      </c>
      <c r="I406" s="132"/>
      <c r="J406" s="132">
        <v>6</v>
      </c>
      <c r="K406" s="132">
        <v>6</v>
      </c>
      <c r="L406" s="132">
        <v>18</v>
      </c>
      <c r="M406" s="132">
        <v>101</v>
      </c>
      <c r="N406" s="132">
        <v>6</v>
      </c>
      <c r="O406" s="132">
        <v>6</v>
      </c>
      <c r="P406" s="132"/>
      <c r="Q406" s="132">
        <v>6</v>
      </c>
      <c r="R406" s="132">
        <v>18</v>
      </c>
      <c r="S406" s="132">
        <v>6</v>
      </c>
      <c r="T406" s="132"/>
      <c r="U406" s="132">
        <v>6</v>
      </c>
      <c r="V406" s="132">
        <v>6</v>
      </c>
      <c r="W406" s="307" t="s">
        <v>193</v>
      </c>
      <c r="X406" s="308"/>
      <c r="Y406" s="38">
        <f t="shared" si="159"/>
        <v>0</v>
      </c>
      <c r="Z406" s="38">
        <f t="shared" si="160"/>
        <v>16</v>
      </c>
      <c r="AA406" s="38">
        <f t="shared" si="157"/>
        <v>0</v>
      </c>
      <c r="AB406" s="38">
        <f t="shared" si="168"/>
        <v>96</v>
      </c>
      <c r="AC406" s="38">
        <f t="shared" si="169"/>
        <v>0</v>
      </c>
      <c r="AD406" s="38">
        <f t="shared" si="170"/>
        <v>0</v>
      </c>
      <c r="AE406" s="38">
        <f t="shared" si="171"/>
        <v>0</v>
      </c>
      <c r="AF406" s="38">
        <f t="shared" si="172"/>
        <v>0</v>
      </c>
      <c r="AG406" s="33">
        <f t="shared" si="173"/>
        <v>0</v>
      </c>
      <c r="AH406" s="33">
        <f t="shared" si="174"/>
        <v>16</v>
      </c>
      <c r="AI406" s="33">
        <f t="shared" si="175"/>
        <v>0</v>
      </c>
      <c r="AJ406" s="33">
        <f t="shared" si="176"/>
        <v>96</v>
      </c>
      <c r="AK406" s="34">
        <f t="shared" si="177"/>
        <v>0</v>
      </c>
      <c r="AL406" s="35">
        <f t="shared" si="178"/>
        <v>0.11267605633802817</v>
      </c>
      <c r="AM406" s="34">
        <f t="shared" si="161"/>
        <v>0</v>
      </c>
      <c r="AN406" s="36">
        <f t="shared" si="179"/>
        <v>0.676056338028169</v>
      </c>
      <c r="AO406" s="6">
        <f t="shared" si="162"/>
        <v>0</v>
      </c>
      <c r="AP406">
        <f t="shared" si="163"/>
        <v>8</v>
      </c>
      <c r="AQ406" s="6">
        <f t="shared" si="164"/>
        <v>0</v>
      </c>
      <c r="AR406" s="6">
        <f t="shared" si="165"/>
        <v>0</v>
      </c>
      <c r="AS406" s="6"/>
      <c r="AX406" s="95">
        <f t="shared" si="166"/>
        <v>42529</v>
      </c>
      <c r="AY406" s="96" t="str">
        <f t="shared" si="167"/>
        <v>qua</v>
      </c>
      <c r="AZ406" s="97">
        <f>IF(OR(AY406="SÁB",AY406="DOM"),0,IFERROR(8-VLOOKUP(C406,'Dados de consulta'!$A$2:$C$38,3,0),8))</f>
        <v>0</v>
      </c>
      <c r="BA406" s="97">
        <f>IF(OR(AY406="SÁB",AY406="DOM"),0,IFERROR(8-VLOOKUP(D406,'Dados de consulta'!$A$2:$C$38,3,0),8))</f>
        <v>0</v>
      </c>
      <c r="BB406" s="97">
        <f>IF(OR(AY406="SÁB",AY406="DOM"),0,IFERROR(8-VLOOKUP(E406,'Dados de consulta'!$A$2:$C$38,3,0),8))</f>
        <v>0</v>
      </c>
      <c r="BC406" s="97">
        <f>IF(OR(AY406="SÁB",AY406="DOM"),0,IFERROR(8-VLOOKUP(F406,'Dados de consulta'!$A$2:$C$38,3,0),8))</f>
        <v>0</v>
      </c>
      <c r="BD406" s="97">
        <f>IF(OR(AY406="SÁB",AY406="DOM"),0,IFERROR(8-VLOOKUP(G406,'Dados de consulta'!$A$2:$C$38,3,0),8))</f>
        <v>0</v>
      </c>
      <c r="BE406" s="97">
        <f>IF(OR(AY406="SÁB",AY406="DOM"),0,IFERROR(8-VLOOKUP(H406,'Dados de consulta'!$A$2:$C$38,3,0),8))</f>
        <v>0</v>
      </c>
      <c r="BF406" s="97">
        <f>IF(OR(AY406="SÁB",AY406="DOM"),0,IFERROR(8-VLOOKUP(I406,'Dados de consulta'!$A$2:$C$38,3,0),8))</f>
        <v>8</v>
      </c>
      <c r="BG406" s="97">
        <f>IF(OR(AY406="SÁB",AY406="DOM"),0,IFERROR(8-VLOOKUP(J406,'Dados de consulta'!$A$2:$C$38,3,0),8))</f>
        <v>0</v>
      </c>
      <c r="BH406" s="97">
        <f>IF(OR(AY406="SÁB",AY406="DOM"),0,IFERROR(8-VLOOKUP(K406,'Dados de consulta'!$A$2:$C$38,3,0),8))</f>
        <v>0</v>
      </c>
      <c r="BI406" s="97">
        <f>IF(OR(AY406="SÁB",AY406="DOM"),0,IFERROR(8-VLOOKUP(L406,'Dados de consulta'!$A$2:$C$38,3,0),8))</f>
        <v>0</v>
      </c>
      <c r="BJ406" s="97">
        <f>IF(OR(AY406="SÁB",AY406="DOM"),0,IFERROR(8-VLOOKUP(M406,'Dados de consulta'!$A$2:$C$38,3,0),8))</f>
        <v>0</v>
      </c>
      <c r="BK406" s="97">
        <f>IF(OR(AY406="SÁB",AY406="DOM"),0,IFERROR(8-VLOOKUP(N406,'Dados de consulta'!$A$2:$C$38,3,0),8))</f>
        <v>0</v>
      </c>
      <c r="BL406" s="97">
        <f>IF(OR(AY406="SÁB",AY406="DOM"),0,IFERROR(8-VLOOKUP(O406,'Dados de consulta'!$A$2:$C$38,3,0),8))</f>
        <v>0</v>
      </c>
      <c r="BM406" s="97">
        <f>IF(OR(AY406="SÁB",AY406="DOM"),0,IFERROR(8-VLOOKUP(P406,'Dados de consulta'!$A$2:$C$38,3,0),8))</f>
        <v>8</v>
      </c>
      <c r="BN406" s="97">
        <f>IF(OR(AY406="SÁB",AY406="DOM"),0,IFERROR(8-VLOOKUP(Q406,'Dados de consulta'!$A$2:$C$38,3,0),8))</f>
        <v>0</v>
      </c>
      <c r="BO406" s="97">
        <f>IF(OR(AY406="SÁB",AY406="DOM"),0,IFERROR(8-VLOOKUP(R406,'Dados de consulta'!$A$2:$C$38,3,0),8))</f>
        <v>0</v>
      </c>
      <c r="BP406" s="97">
        <f>IF(OR(AY406="SÁB",AY406="DOM"),0,IFERROR(8-VLOOKUP(S406,'Dados de consulta'!$A$2:$C$38,3,0),8))</f>
        <v>0</v>
      </c>
      <c r="BQ406" s="113">
        <f>IFERROR(6-VLOOKUP(T406,'Dados de consulta'!$A$2:$C$38,3,0)+2,6)</f>
        <v>6</v>
      </c>
      <c r="BR406" s="114">
        <f t="shared" si="180"/>
        <v>22</v>
      </c>
      <c r="BS406">
        <f t="shared" si="156"/>
        <v>134</v>
      </c>
      <c r="BU406">
        <f>IFERROR(8-VLOOKUP(U406,'Dados de consulta'!$A:$D,3,0),8)</f>
        <v>0</v>
      </c>
      <c r="BV406">
        <f>IFERROR(8-VLOOKUP(V406,'Dados de consulta'!$A:$D,3,0),8)</f>
        <v>0</v>
      </c>
      <c r="BW406">
        <f t="shared" si="181"/>
        <v>0</v>
      </c>
    </row>
    <row r="407" spans="1:75" ht="15" x14ac:dyDescent="0.2">
      <c r="A407" s="98">
        <v>42530</v>
      </c>
      <c r="B407" s="129" t="str">
        <f t="shared" si="158"/>
        <v>qui</v>
      </c>
      <c r="C407" s="132">
        <v>6</v>
      </c>
      <c r="D407" s="132">
        <v>6</v>
      </c>
      <c r="E407" s="132">
        <v>6</v>
      </c>
      <c r="F407" s="132">
        <v>6</v>
      </c>
      <c r="G407" s="132">
        <v>6</v>
      </c>
      <c r="H407" s="132">
        <v>6</v>
      </c>
      <c r="I407" s="132"/>
      <c r="J407" s="132">
        <v>6</v>
      </c>
      <c r="K407" s="132">
        <v>6</v>
      </c>
      <c r="L407" s="132">
        <v>18</v>
      </c>
      <c r="M407" s="132">
        <v>101</v>
      </c>
      <c r="N407" s="132">
        <v>6</v>
      </c>
      <c r="O407" s="132">
        <v>6</v>
      </c>
      <c r="P407" s="132"/>
      <c r="Q407" s="132">
        <v>6</v>
      </c>
      <c r="R407" s="132">
        <v>1</v>
      </c>
      <c r="S407" s="132">
        <v>6</v>
      </c>
      <c r="T407" s="132"/>
      <c r="U407" s="132">
        <v>6</v>
      </c>
      <c r="V407" s="132">
        <v>6</v>
      </c>
      <c r="W407" s="307" t="s">
        <v>193</v>
      </c>
      <c r="X407" s="308"/>
      <c r="Y407" s="38">
        <f t="shared" si="159"/>
        <v>0</v>
      </c>
      <c r="Z407" s="38">
        <f t="shared" si="160"/>
        <v>16</v>
      </c>
      <c r="AA407" s="38">
        <f t="shared" si="157"/>
        <v>0</v>
      </c>
      <c r="AB407" s="38">
        <f t="shared" si="168"/>
        <v>96</v>
      </c>
      <c r="AC407" s="38">
        <f t="shared" si="169"/>
        <v>0</v>
      </c>
      <c r="AD407" s="38">
        <f t="shared" si="170"/>
        <v>0</v>
      </c>
      <c r="AE407" s="38">
        <f t="shared" si="171"/>
        <v>0</v>
      </c>
      <c r="AF407" s="38">
        <f t="shared" si="172"/>
        <v>0</v>
      </c>
      <c r="AG407" s="33">
        <f t="shared" si="173"/>
        <v>0</v>
      </c>
      <c r="AH407" s="33">
        <f t="shared" si="174"/>
        <v>16</v>
      </c>
      <c r="AI407" s="33">
        <f t="shared" si="175"/>
        <v>0</v>
      </c>
      <c r="AJ407" s="33">
        <f t="shared" si="176"/>
        <v>96</v>
      </c>
      <c r="AK407" s="34">
        <f t="shared" si="177"/>
        <v>0</v>
      </c>
      <c r="AL407" s="35">
        <f t="shared" si="178"/>
        <v>0.11267605633802817</v>
      </c>
      <c r="AM407" s="34">
        <f t="shared" si="161"/>
        <v>0</v>
      </c>
      <c r="AN407" s="36">
        <f t="shared" si="179"/>
        <v>0.676056338028169</v>
      </c>
      <c r="AO407" s="6">
        <f t="shared" si="162"/>
        <v>0</v>
      </c>
      <c r="AP407">
        <f t="shared" si="163"/>
        <v>8</v>
      </c>
      <c r="AQ407" s="6">
        <f t="shared" si="164"/>
        <v>0</v>
      </c>
      <c r="AR407" s="6">
        <f t="shared" si="165"/>
        <v>0</v>
      </c>
      <c r="AS407" s="6"/>
      <c r="AX407" s="95">
        <f t="shared" si="166"/>
        <v>42530</v>
      </c>
      <c r="AY407" s="96" t="str">
        <f t="shared" si="167"/>
        <v>qui</v>
      </c>
      <c r="AZ407" s="97">
        <f>IF(OR(AY407="SÁB",AY407="DOM"),0,IFERROR(8-VLOOKUP(C407,'Dados de consulta'!$A$2:$C$38,3,0),8))</f>
        <v>0</v>
      </c>
      <c r="BA407" s="97">
        <f>IF(OR(AY407="SÁB",AY407="DOM"),0,IFERROR(8-VLOOKUP(D407,'Dados de consulta'!$A$2:$C$38,3,0),8))</f>
        <v>0</v>
      </c>
      <c r="BB407" s="97">
        <f>IF(OR(AY407="SÁB",AY407="DOM"),0,IFERROR(8-VLOOKUP(E407,'Dados de consulta'!$A$2:$C$38,3,0),8))</f>
        <v>0</v>
      </c>
      <c r="BC407" s="97">
        <f>IF(OR(AY407="SÁB",AY407="DOM"),0,IFERROR(8-VLOOKUP(F407,'Dados de consulta'!$A$2:$C$38,3,0),8))</f>
        <v>0</v>
      </c>
      <c r="BD407" s="97">
        <f>IF(OR(AY407="SÁB",AY407="DOM"),0,IFERROR(8-VLOOKUP(G407,'Dados de consulta'!$A$2:$C$38,3,0),8))</f>
        <v>0</v>
      </c>
      <c r="BE407" s="97">
        <f>IF(OR(AY407="SÁB",AY407="DOM"),0,IFERROR(8-VLOOKUP(H407,'Dados de consulta'!$A$2:$C$38,3,0),8))</f>
        <v>0</v>
      </c>
      <c r="BF407" s="97">
        <f>IF(OR(AY407="SÁB",AY407="DOM"),0,IFERROR(8-VLOOKUP(I407,'Dados de consulta'!$A$2:$C$38,3,0),8))</f>
        <v>8</v>
      </c>
      <c r="BG407" s="97">
        <f>IF(OR(AY407="SÁB",AY407="DOM"),0,IFERROR(8-VLOOKUP(J407,'Dados de consulta'!$A$2:$C$38,3,0),8))</f>
        <v>0</v>
      </c>
      <c r="BH407" s="97">
        <f>IF(OR(AY407="SÁB",AY407="DOM"),0,IFERROR(8-VLOOKUP(K407,'Dados de consulta'!$A$2:$C$38,3,0),8))</f>
        <v>0</v>
      </c>
      <c r="BI407" s="97">
        <f>IF(OR(AY407="SÁB",AY407="DOM"),0,IFERROR(8-VLOOKUP(L407,'Dados de consulta'!$A$2:$C$38,3,0),8))</f>
        <v>0</v>
      </c>
      <c r="BJ407" s="97">
        <f>IF(OR(AY407="SÁB",AY407="DOM"),0,IFERROR(8-VLOOKUP(M407,'Dados de consulta'!$A$2:$C$38,3,0),8))</f>
        <v>0</v>
      </c>
      <c r="BK407" s="97">
        <f>IF(OR(AY407="SÁB",AY407="DOM"),0,IFERROR(8-VLOOKUP(N407,'Dados de consulta'!$A$2:$C$38,3,0),8))</f>
        <v>0</v>
      </c>
      <c r="BL407" s="97">
        <f>IF(OR(AY407="SÁB",AY407="DOM"),0,IFERROR(8-VLOOKUP(O407,'Dados de consulta'!$A$2:$C$38,3,0),8))</f>
        <v>0</v>
      </c>
      <c r="BM407" s="97">
        <f>IF(OR(AY407="SÁB",AY407="DOM"),0,IFERROR(8-VLOOKUP(P407,'Dados de consulta'!$A$2:$C$38,3,0),8))</f>
        <v>8</v>
      </c>
      <c r="BN407" s="97">
        <f>IF(OR(AY407="SÁB",AY407="DOM"),0,IFERROR(8-VLOOKUP(Q407,'Dados de consulta'!$A$2:$C$38,3,0),8))</f>
        <v>0</v>
      </c>
      <c r="BO407" s="97">
        <f>IF(OR(AY407="SÁB",AY407="DOM"),0,IFERROR(8-VLOOKUP(R407,'Dados de consulta'!$A$2:$C$38,3,0),8))</f>
        <v>0</v>
      </c>
      <c r="BP407" s="97">
        <f>IF(OR(AY407="SÁB",AY407="DOM"),0,IFERROR(8-VLOOKUP(S407,'Dados de consulta'!$A$2:$C$38,3,0),8))</f>
        <v>0</v>
      </c>
      <c r="BQ407" s="113">
        <f>IFERROR(6-VLOOKUP(T407,'Dados de consulta'!$A$2:$C$38,3,0)+2,6)</f>
        <v>6</v>
      </c>
      <c r="BR407" s="114">
        <f t="shared" si="180"/>
        <v>22</v>
      </c>
      <c r="BS407">
        <f t="shared" si="156"/>
        <v>134</v>
      </c>
      <c r="BU407">
        <f>IFERROR(8-VLOOKUP(U407,'Dados de consulta'!$A:$D,3,0),8)</f>
        <v>0</v>
      </c>
      <c r="BV407">
        <f>IFERROR(8-VLOOKUP(V407,'Dados de consulta'!$A:$D,3,0),8)</f>
        <v>0</v>
      </c>
      <c r="BW407">
        <f t="shared" si="181"/>
        <v>0</v>
      </c>
    </row>
    <row r="408" spans="1:75" ht="15" x14ac:dyDescent="0.2">
      <c r="A408" s="98">
        <v>42531</v>
      </c>
      <c r="B408" s="129" t="str">
        <f t="shared" si="158"/>
        <v>sex</v>
      </c>
      <c r="C408" s="132">
        <v>6</v>
      </c>
      <c r="D408" s="132">
        <v>6</v>
      </c>
      <c r="E408" s="132">
        <v>6</v>
      </c>
      <c r="F408" s="132">
        <v>6</v>
      </c>
      <c r="G408" s="132">
        <v>6</v>
      </c>
      <c r="H408" s="132">
        <v>6</v>
      </c>
      <c r="I408" s="132"/>
      <c r="J408" s="132">
        <v>6</v>
      </c>
      <c r="K408" s="132">
        <v>6</v>
      </c>
      <c r="L408" s="132">
        <v>18</v>
      </c>
      <c r="M408" s="132">
        <v>101</v>
      </c>
      <c r="N408" s="132">
        <v>6</v>
      </c>
      <c r="O408" s="132">
        <v>6</v>
      </c>
      <c r="P408" s="132">
        <v>8</v>
      </c>
      <c r="Q408" s="132">
        <v>6</v>
      </c>
      <c r="R408" s="132">
        <v>1</v>
      </c>
      <c r="S408" s="132">
        <v>6</v>
      </c>
      <c r="T408" s="132"/>
      <c r="U408" s="132">
        <v>6</v>
      </c>
      <c r="V408" s="132">
        <v>6</v>
      </c>
      <c r="W408" s="307" t="s">
        <v>193</v>
      </c>
      <c r="X408" s="308"/>
      <c r="Y408" s="38">
        <f t="shared" si="159"/>
        <v>8</v>
      </c>
      <c r="Z408" s="38">
        <f t="shared" si="160"/>
        <v>16</v>
      </c>
      <c r="AA408" s="38">
        <f t="shared" si="157"/>
        <v>0</v>
      </c>
      <c r="AB408" s="38">
        <f t="shared" si="168"/>
        <v>96</v>
      </c>
      <c r="AC408" s="38">
        <f t="shared" si="169"/>
        <v>0</v>
      </c>
      <c r="AD408" s="38">
        <f t="shared" si="170"/>
        <v>0</v>
      </c>
      <c r="AE408" s="38">
        <f t="shared" si="171"/>
        <v>0</v>
      </c>
      <c r="AF408" s="38">
        <f t="shared" si="172"/>
        <v>0</v>
      </c>
      <c r="AG408" s="33">
        <f t="shared" si="173"/>
        <v>8</v>
      </c>
      <c r="AH408" s="33">
        <f t="shared" si="174"/>
        <v>16</v>
      </c>
      <c r="AI408" s="33">
        <f t="shared" si="175"/>
        <v>0</v>
      </c>
      <c r="AJ408" s="33">
        <f t="shared" si="176"/>
        <v>96</v>
      </c>
      <c r="AK408" s="34">
        <f t="shared" si="177"/>
        <v>5.6338028169014086E-2</v>
      </c>
      <c r="AL408" s="35">
        <f t="shared" si="178"/>
        <v>0.11267605633802817</v>
      </c>
      <c r="AM408" s="34">
        <f t="shared" si="161"/>
        <v>0</v>
      </c>
      <c r="AN408" s="36">
        <f t="shared" si="179"/>
        <v>0.676056338028169</v>
      </c>
      <c r="AO408" s="6">
        <f t="shared" si="162"/>
        <v>0</v>
      </c>
      <c r="AP408">
        <f t="shared" si="163"/>
        <v>8</v>
      </c>
      <c r="AQ408" s="6">
        <f t="shared" si="164"/>
        <v>0</v>
      </c>
      <c r="AR408" s="6">
        <f t="shared" si="165"/>
        <v>0</v>
      </c>
      <c r="AS408" s="6"/>
      <c r="AX408" s="95">
        <f t="shared" si="166"/>
        <v>42531</v>
      </c>
      <c r="AY408" s="96" t="str">
        <f t="shared" si="167"/>
        <v>sex</v>
      </c>
      <c r="AZ408" s="97">
        <f>IF(OR(AY408="SÁB",AY408="DOM"),0,IFERROR(8-VLOOKUP(C408,'Dados de consulta'!$A$2:$C$38,3,0),8))</f>
        <v>0</v>
      </c>
      <c r="BA408" s="97">
        <f>IF(OR(AY408="SÁB",AY408="DOM"),0,IFERROR(8-VLOOKUP(D408,'Dados de consulta'!$A$2:$C$38,3,0),8))</f>
        <v>0</v>
      </c>
      <c r="BB408" s="97">
        <f>IF(OR(AY408="SÁB",AY408="DOM"),0,IFERROR(8-VLOOKUP(E408,'Dados de consulta'!$A$2:$C$38,3,0),8))</f>
        <v>0</v>
      </c>
      <c r="BC408" s="97">
        <f>IF(OR(AY408="SÁB",AY408="DOM"),0,IFERROR(8-VLOOKUP(F408,'Dados de consulta'!$A$2:$C$38,3,0),8))</f>
        <v>0</v>
      </c>
      <c r="BD408" s="97">
        <f>IF(OR(AY408="SÁB",AY408="DOM"),0,IFERROR(8-VLOOKUP(G408,'Dados de consulta'!$A$2:$C$38,3,0),8))</f>
        <v>0</v>
      </c>
      <c r="BE408" s="97">
        <f>IF(OR(AY408="SÁB",AY408="DOM"),0,IFERROR(8-VLOOKUP(H408,'Dados de consulta'!$A$2:$C$38,3,0),8))</f>
        <v>0</v>
      </c>
      <c r="BF408" s="97">
        <f>IF(OR(AY408="SÁB",AY408="DOM"),0,IFERROR(8-VLOOKUP(I408,'Dados de consulta'!$A$2:$C$38,3,0),8))</f>
        <v>8</v>
      </c>
      <c r="BG408" s="97">
        <f>IF(OR(AY408="SÁB",AY408="DOM"),0,IFERROR(8-VLOOKUP(J408,'Dados de consulta'!$A$2:$C$38,3,0),8))</f>
        <v>0</v>
      </c>
      <c r="BH408" s="97">
        <f>IF(OR(AY408="SÁB",AY408="DOM"),0,IFERROR(8-VLOOKUP(K408,'Dados de consulta'!$A$2:$C$38,3,0),8))</f>
        <v>0</v>
      </c>
      <c r="BI408" s="97">
        <f>IF(OR(AY408="SÁB",AY408="DOM"),0,IFERROR(8-VLOOKUP(L408,'Dados de consulta'!$A$2:$C$38,3,0),8))</f>
        <v>0</v>
      </c>
      <c r="BJ408" s="97">
        <f>IF(OR(AY408="SÁB",AY408="DOM"),0,IFERROR(8-VLOOKUP(M408,'Dados de consulta'!$A$2:$C$38,3,0),8))</f>
        <v>0</v>
      </c>
      <c r="BK408" s="97">
        <f>IF(OR(AY408="SÁB",AY408="DOM"),0,IFERROR(8-VLOOKUP(N408,'Dados de consulta'!$A$2:$C$38,3,0),8))</f>
        <v>0</v>
      </c>
      <c r="BL408" s="97">
        <f>IF(OR(AY408="SÁB",AY408="DOM"),0,IFERROR(8-VLOOKUP(O408,'Dados de consulta'!$A$2:$C$38,3,0),8))</f>
        <v>0</v>
      </c>
      <c r="BM408" s="97">
        <f>IF(OR(AY408="SÁB",AY408="DOM"),0,IFERROR(8-VLOOKUP(P408,'Dados de consulta'!$A$2:$C$38,3,0),8))</f>
        <v>0</v>
      </c>
      <c r="BN408" s="97">
        <f>IF(OR(AY408="SÁB",AY408="DOM"),0,IFERROR(8-VLOOKUP(Q408,'Dados de consulta'!$A$2:$C$38,3,0),8))</f>
        <v>0</v>
      </c>
      <c r="BO408" s="97">
        <f>IF(OR(AY408="SÁB",AY408="DOM"),0,IFERROR(8-VLOOKUP(R408,'Dados de consulta'!$A$2:$C$38,3,0),8))</f>
        <v>0</v>
      </c>
      <c r="BP408" s="97">
        <f>IF(OR(AY408="SÁB",AY408="DOM"),0,IFERROR(8-VLOOKUP(S408,'Dados de consulta'!$A$2:$C$38,3,0),8))</f>
        <v>0</v>
      </c>
      <c r="BQ408" s="113">
        <f>IFERROR(6-VLOOKUP(T408,'Dados de consulta'!$A$2:$C$38,3,0)+2,6)</f>
        <v>6</v>
      </c>
      <c r="BR408" s="114">
        <f t="shared" si="180"/>
        <v>14</v>
      </c>
      <c r="BS408">
        <f t="shared" si="156"/>
        <v>134</v>
      </c>
      <c r="BU408">
        <f>IFERROR(8-VLOOKUP(U408,'Dados de consulta'!$A:$D,3,0),8)</f>
        <v>0</v>
      </c>
      <c r="BV408">
        <f>IFERROR(8-VLOOKUP(V408,'Dados de consulta'!$A:$D,3,0),8)</f>
        <v>0</v>
      </c>
      <c r="BW408">
        <f t="shared" si="181"/>
        <v>0</v>
      </c>
    </row>
    <row r="409" spans="1:75" ht="15" x14ac:dyDescent="0.2">
      <c r="A409" s="98">
        <v>42532</v>
      </c>
      <c r="B409" s="129" t="str">
        <f t="shared" si="158"/>
        <v>sáb</v>
      </c>
      <c r="C409" s="132"/>
      <c r="D409" s="132"/>
      <c r="E409" s="132"/>
      <c r="F409" s="132"/>
      <c r="G409" s="132"/>
      <c r="H409" s="132"/>
      <c r="I409" s="132"/>
      <c r="J409" s="132"/>
      <c r="K409" s="132"/>
      <c r="L409" s="132">
        <v>18</v>
      </c>
      <c r="M409" s="132">
        <v>101</v>
      </c>
      <c r="N409" s="132"/>
      <c r="O409" s="132"/>
      <c r="P409" s="132"/>
      <c r="Q409" s="132"/>
      <c r="R409" s="132"/>
      <c r="S409" s="132"/>
      <c r="T409" s="132"/>
      <c r="U409" s="132"/>
      <c r="V409" s="132"/>
      <c r="W409" s="307" t="s">
        <v>193</v>
      </c>
      <c r="X409" s="308"/>
      <c r="Y409" s="38">
        <f t="shared" si="159"/>
        <v>0</v>
      </c>
      <c r="Z409" s="38">
        <f t="shared" si="160"/>
        <v>8</v>
      </c>
      <c r="AA409" s="38">
        <f t="shared" si="157"/>
        <v>0</v>
      </c>
      <c r="AB409" s="38">
        <f t="shared" si="168"/>
        <v>0</v>
      </c>
      <c r="AC409" s="38">
        <f t="shared" si="169"/>
        <v>0</v>
      </c>
      <c r="AD409" s="38">
        <f t="shared" si="170"/>
        <v>0</v>
      </c>
      <c r="AE409" s="38">
        <f t="shared" si="171"/>
        <v>0</v>
      </c>
      <c r="AF409" s="38">
        <f t="shared" si="172"/>
        <v>0</v>
      </c>
      <c r="AG409" s="33">
        <f t="shared" si="173"/>
        <v>0</v>
      </c>
      <c r="AH409" s="33">
        <f t="shared" si="174"/>
        <v>0</v>
      </c>
      <c r="AI409" s="33">
        <f t="shared" si="175"/>
        <v>0</v>
      </c>
      <c r="AJ409" s="33">
        <f t="shared" si="176"/>
        <v>0</v>
      </c>
      <c r="AK409" s="34">
        <f t="shared" si="177"/>
        <v>0</v>
      </c>
      <c r="AL409" s="35">
        <f t="shared" si="178"/>
        <v>0</v>
      </c>
      <c r="AM409" s="34">
        <f t="shared" si="161"/>
        <v>0</v>
      </c>
      <c r="AN409" s="36">
        <f t="shared" si="179"/>
        <v>0</v>
      </c>
      <c r="AO409" s="6">
        <f t="shared" si="162"/>
        <v>0</v>
      </c>
      <c r="AP409">
        <f t="shared" si="163"/>
        <v>8</v>
      </c>
      <c r="AQ409" s="6">
        <f t="shared" si="164"/>
        <v>0</v>
      </c>
      <c r="AR409" s="6">
        <f t="shared" si="165"/>
        <v>0</v>
      </c>
      <c r="AS409" s="6"/>
      <c r="AX409" s="95">
        <f t="shared" si="166"/>
        <v>42532</v>
      </c>
      <c r="AY409" s="96" t="str">
        <f t="shared" si="167"/>
        <v>sáb</v>
      </c>
      <c r="AZ409" s="97">
        <f>IF(OR(AY409="SÁB",AY409="DOM"),0,IFERROR(8-VLOOKUP(C409,'Dados de consulta'!$A$2:$C$38,3,0),8))</f>
        <v>0</v>
      </c>
      <c r="BA409" s="97">
        <f>IF(OR(AY409="SÁB",AY409="DOM"),0,IFERROR(8-VLOOKUP(D409,'Dados de consulta'!$A$2:$C$38,3,0),8))</f>
        <v>0</v>
      </c>
      <c r="BB409" s="97">
        <f>IF(OR(AY409="SÁB",AY409="DOM"),0,IFERROR(8-VLOOKUP(E409,'Dados de consulta'!$A$2:$C$38,3,0),8))</f>
        <v>0</v>
      </c>
      <c r="BC409" s="97">
        <f>IF(OR(AY409="SÁB",AY409="DOM"),0,IFERROR(8-VLOOKUP(F409,'Dados de consulta'!$A$2:$C$38,3,0),8))</f>
        <v>0</v>
      </c>
      <c r="BD409" s="97">
        <f>IF(OR(AY409="SÁB",AY409="DOM"),0,IFERROR(8-VLOOKUP(G409,'Dados de consulta'!$A$2:$C$38,3,0),8))</f>
        <v>0</v>
      </c>
      <c r="BE409" s="97">
        <f>IF(OR(AY409="SÁB",AY409="DOM"),0,IFERROR(8-VLOOKUP(H409,'Dados de consulta'!$A$2:$C$38,3,0),8))</f>
        <v>0</v>
      </c>
      <c r="BF409" s="97">
        <f>IF(OR(AY409="SÁB",AY409="DOM"),0,IFERROR(8-VLOOKUP(I409,'Dados de consulta'!$A$2:$C$38,3,0),8))</f>
        <v>0</v>
      </c>
      <c r="BG409" s="97">
        <f>IF(OR(AY409="SÁB",AY409="DOM"),0,IFERROR(8-VLOOKUP(J409,'Dados de consulta'!$A$2:$C$38,3,0),8))</f>
        <v>0</v>
      </c>
      <c r="BH409" s="97">
        <f>IF(OR(AY409="SÁB",AY409="DOM"),0,IFERROR(8-VLOOKUP(K409,'Dados de consulta'!$A$2:$C$38,3,0),8))</f>
        <v>0</v>
      </c>
      <c r="BI409" s="97">
        <f>IF(OR(AY409="SÁB",AY409="DOM"),0,IFERROR(8-VLOOKUP(L409,'Dados de consulta'!$A$2:$C$38,3,0),8))</f>
        <v>0</v>
      </c>
      <c r="BJ409" s="97">
        <f>IF(OR(AY409="SÁB",AY409="DOM"),0,IFERROR(8-VLOOKUP(M409,'Dados de consulta'!$A$2:$C$38,3,0),8))</f>
        <v>0</v>
      </c>
      <c r="BK409" s="97">
        <f>IF(OR(AY409="SÁB",AY409="DOM"),0,IFERROR(8-VLOOKUP(N409,'Dados de consulta'!$A$2:$C$38,3,0),8))</f>
        <v>0</v>
      </c>
      <c r="BL409" s="97">
        <f>IF(OR(AY409="SÁB",AY409="DOM"),0,IFERROR(8-VLOOKUP(O409,'Dados de consulta'!$A$2:$C$38,3,0),8))</f>
        <v>0</v>
      </c>
      <c r="BM409" s="97">
        <f>IF(OR(AY409="SÁB",AY409="DOM"),0,IFERROR(8-VLOOKUP(P409,'Dados de consulta'!$A$2:$C$38,3,0),8))</f>
        <v>0</v>
      </c>
      <c r="BN409" s="97">
        <f>IF(OR(AY409="SÁB",AY409="DOM"),0,IFERROR(8-VLOOKUP(Q409,'Dados de consulta'!$A$2:$C$38,3,0),8))</f>
        <v>0</v>
      </c>
      <c r="BO409" s="97">
        <f>IF(OR(AY409="SÁB",AY409="DOM"),0,IFERROR(8-VLOOKUP(R409,'Dados de consulta'!$A$2:$C$38,3,0),8))</f>
        <v>0</v>
      </c>
      <c r="BP409" s="97">
        <f>IF(OR(AY409="SÁB",AY409="DOM"),0,IFERROR(8-VLOOKUP(S409,'Dados de consulta'!$A$2:$C$38,3,0),8))</f>
        <v>0</v>
      </c>
      <c r="BQ409" s="113">
        <f>IFERROR(6-VLOOKUP(T409,'Dados de consulta'!$A$2:$C$38,3,0)+2,6)</f>
        <v>6</v>
      </c>
      <c r="BR409" s="114">
        <f t="shared" si="180"/>
        <v>0</v>
      </c>
      <c r="BS409">
        <f t="shared" si="156"/>
        <v>0</v>
      </c>
      <c r="BU409">
        <f>IFERROR(8-VLOOKUP(U409,'Dados de consulta'!$A:$D,3,0),8)</f>
        <v>8</v>
      </c>
      <c r="BV409">
        <f>IFERROR(8-VLOOKUP(V409,'Dados de consulta'!$A:$D,3,0),8)</f>
        <v>8</v>
      </c>
      <c r="BW409">
        <f t="shared" si="181"/>
        <v>16</v>
      </c>
    </row>
    <row r="410" spans="1:75" ht="15" x14ac:dyDescent="0.2">
      <c r="A410" s="98">
        <v>42533</v>
      </c>
      <c r="B410" s="129" t="str">
        <f t="shared" si="158"/>
        <v>dom</v>
      </c>
      <c r="C410" s="132"/>
      <c r="D410" s="132"/>
      <c r="E410" s="132"/>
      <c r="F410" s="132"/>
      <c r="G410" s="132"/>
      <c r="H410" s="132"/>
      <c r="I410" s="132"/>
      <c r="J410" s="132"/>
      <c r="K410" s="132"/>
      <c r="L410" s="132">
        <v>18</v>
      </c>
      <c r="M410" s="132">
        <v>101</v>
      </c>
      <c r="N410" s="132"/>
      <c r="O410" s="132"/>
      <c r="P410" s="132"/>
      <c r="Q410" s="132"/>
      <c r="R410" s="132"/>
      <c r="S410" s="132"/>
      <c r="T410" s="132"/>
      <c r="U410" s="132"/>
      <c r="V410" s="132"/>
      <c r="W410" s="307" t="s">
        <v>193</v>
      </c>
      <c r="X410" s="308"/>
      <c r="Y410" s="38">
        <f t="shared" si="159"/>
        <v>0</v>
      </c>
      <c r="Z410" s="38">
        <f t="shared" si="160"/>
        <v>8</v>
      </c>
      <c r="AA410" s="38">
        <f t="shared" si="157"/>
        <v>0</v>
      </c>
      <c r="AB410" s="38">
        <f t="shared" si="168"/>
        <v>0</v>
      </c>
      <c r="AC410" s="38">
        <f t="shared" si="169"/>
        <v>0</v>
      </c>
      <c r="AD410" s="38">
        <f t="shared" si="170"/>
        <v>0</v>
      </c>
      <c r="AE410" s="38">
        <f t="shared" si="171"/>
        <v>0</v>
      </c>
      <c r="AF410" s="38">
        <f t="shared" si="172"/>
        <v>0</v>
      </c>
      <c r="AG410" s="33">
        <f t="shared" si="173"/>
        <v>0</v>
      </c>
      <c r="AH410" s="33">
        <f t="shared" si="174"/>
        <v>0</v>
      </c>
      <c r="AI410" s="33">
        <f t="shared" si="175"/>
        <v>0</v>
      </c>
      <c r="AJ410" s="33">
        <f t="shared" si="176"/>
        <v>0</v>
      </c>
      <c r="AK410" s="34">
        <f t="shared" si="177"/>
        <v>0</v>
      </c>
      <c r="AL410" s="35">
        <f t="shared" si="178"/>
        <v>0</v>
      </c>
      <c r="AM410" s="34">
        <f t="shared" si="161"/>
        <v>0</v>
      </c>
      <c r="AN410" s="36">
        <f t="shared" si="179"/>
        <v>0</v>
      </c>
      <c r="AO410" s="6">
        <f t="shared" si="162"/>
        <v>0</v>
      </c>
      <c r="AP410">
        <f t="shared" si="163"/>
        <v>8</v>
      </c>
      <c r="AQ410" s="6">
        <f t="shared" si="164"/>
        <v>0</v>
      </c>
      <c r="AR410" s="6">
        <f t="shared" si="165"/>
        <v>0</v>
      </c>
      <c r="AS410" s="6"/>
      <c r="AX410" s="95">
        <f t="shared" si="166"/>
        <v>42533</v>
      </c>
      <c r="AY410" s="96" t="str">
        <f t="shared" si="167"/>
        <v>dom</v>
      </c>
      <c r="AZ410" s="97">
        <f>IF(OR(AY410="SÁB",AY410="DOM"),0,IFERROR(8-VLOOKUP(C410,'Dados de consulta'!$A$2:$C$38,3,0),8))</f>
        <v>0</v>
      </c>
      <c r="BA410" s="97">
        <f>IF(OR(AY410="SÁB",AY410="DOM"),0,IFERROR(8-VLOOKUP(D410,'Dados de consulta'!$A$2:$C$38,3,0),8))</f>
        <v>0</v>
      </c>
      <c r="BB410" s="97">
        <f>IF(OR(AY410="SÁB",AY410="DOM"),0,IFERROR(8-VLOOKUP(E410,'Dados de consulta'!$A$2:$C$38,3,0),8))</f>
        <v>0</v>
      </c>
      <c r="BC410" s="97">
        <f>IF(OR(AY410="SÁB",AY410="DOM"),0,IFERROR(8-VLOOKUP(F410,'Dados de consulta'!$A$2:$C$38,3,0),8))</f>
        <v>0</v>
      </c>
      <c r="BD410" s="97">
        <f>IF(OR(AY410="SÁB",AY410="DOM"),0,IFERROR(8-VLOOKUP(G410,'Dados de consulta'!$A$2:$C$38,3,0),8))</f>
        <v>0</v>
      </c>
      <c r="BE410" s="97">
        <f>IF(OR(AY410="SÁB",AY410="DOM"),0,IFERROR(8-VLOOKUP(H410,'Dados de consulta'!$A$2:$C$38,3,0),8))</f>
        <v>0</v>
      </c>
      <c r="BF410" s="97">
        <f>IF(OR(AY410="SÁB",AY410="DOM"),0,IFERROR(8-VLOOKUP(I410,'Dados de consulta'!$A$2:$C$38,3,0),8))</f>
        <v>0</v>
      </c>
      <c r="BG410" s="97">
        <f>IF(OR(AY410="SÁB",AY410="DOM"),0,IFERROR(8-VLOOKUP(J410,'Dados de consulta'!$A$2:$C$38,3,0),8))</f>
        <v>0</v>
      </c>
      <c r="BH410" s="97">
        <f>IF(OR(AY410="SÁB",AY410="DOM"),0,IFERROR(8-VLOOKUP(K410,'Dados de consulta'!$A$2:$C$38,3,0),8))</f>
        <v>0</v>
      </c>
      <c r="BI410" s="97">
        <f>IF(OR(AY410="SÁB",AY410="DOM"),0,IFERROR(8-VLOOKUP(L410,'Dados de consulta'!$A$2:$C$38,3,0),8))</f>
        <v>0</v>
      </c>
      <c r="BJ410" s="97">
        <f>IF(OR(AY410="SÁB",AY410="DOM"),0,IFERROR(8-VLOOKUP(M410,'Dados de consulta'!$A$2:$C$38,3,0),8))</f>
        <v>0</v>
      </c>
      <c r="BK410" s="97">
        <f>IF(OR(AY410="SÁB",AY410="DOM"),0,IFERROR(8-VLOOKUP(N410,'Dados de consulta'!$A$2:$C$38,3,0),8))</f>
        <v>0</v>
      </c>
      <c r="BL410" s="97">
        <f>IF(OR(AY410="SÁB",AY410="DOM"),0,IFERROR(8-VLOOKUP(O410,'Dados de consulta'!$A$2:$C$38,3,0),8))</f>
        <v>0</v>
      </c>
      <c r="BM410" s="97">
        <f>IF(OR(AY410="SÁB",AY410="DOM"),0,IFERROR(8-VLOOKUP(P410,'Dados de consulta'!$A$2:$C$38,3,0),8))</f>
        <v>0</v>
      </c>
      <c r="BN410" s="97">
        <f>IF(OR(AY410="SÁB",AY410="DOM"),0,IFERROR(8-VLOOKUP(Q410,'Dados de consulta'!$A$2:$C$38,3,0),8))</f>
        <v>0</v>
      </c>
      <c r="BO410" s="97">
        <f>IF(OR(AY410="SÁB",AY410="DOM"),0,IFERROR(8-VLOOKUP(R410,'Dados de consulta'!$A$2:$C$38,3,0),8))</f>
        <v>0</v>
      </c>
      <c r="BP410" s="97">
        <f>IF(OR(AY410="SÁB",AY410="DOM"),0,IFERROR(8-VLOOKUP(S410,'Dados de consulta'!$A$2:$C$38,3,0),8))</f>
        <v>0</v>
      </c>
      <c r="BQ410" s="113">
        <f>IFERROR(6-VLOOKUP(T410,'Dados de consulta'!$A$2:$C$38,3,0)+2,6)</f>
        <v>6</v>
      </c>
      <c r="BR410" s="114">
        <f t="shared" si="180"/>
        <v>0</v>
      </c>
      <c r="BS410">
        <f t="shared" si="156"/>
        <v>0</v>
      </c>
      <c r="BU410">
        <f>IFERROR(8-VLOOKUP(U410,'Dados de consulta'!$A:$D,3,0),8)</f>
        <v>8</v>
      </c>
      <c r="BV410">
        <f>IFERROR(8-VLOOKUP(V410,'Dados de consulta'!$A:$D,3,0),8)</f>
        <v>8</v>
      </c>
      <c r="BW410">
        <f t="shared" si="181"/>
        <v>16</v>
      </c>
    </row>
    <row r="411" spans="1:75" ht="15" x14ac:dyDescent="0.2">
      <c r="A411" s="98">
        <v>42534</v>
      </c>
      <c r="B411" s="129" t="str">
        <f t="shared" si="158"/>
        <v>seg</v>
      </c>
      <c r="C411" s="132">
        <v>6</v>
      </c>
      <c r="D411" s="132">
        <v>6</v>
      </c>
      <c r="E411" s="132">
        <v>6</v>
      </c>
      <c r="F411" s="132">
        <v>6</v>
      </c>
      <c r="G411" s="132">
        <v>6</v>
      </c>
      <c r="H411" s="132">
        <v>6</v>
      </c>
      <c r="I411" s="132"/>
      <c r="J411" s="132">
        <v>6</v>
      </c>
      <c r="K411" s="132">
        <v>6</v>
      </c>
      <c r="L411" s="132">
        <v>18</v>
      </c>
      <c r="M411" s="132">
        <v>101</v>
      </c>
      <c r="N411" s="132">
        <v>6</v>
      </c>
      <c r="O411" s="132">
        <v>6</v>
      </c>
      <c r="P411" s="132"/>
      <c r="Q411" s="132">
        <v>6</v>
      </c>
      <c r="R411" s="132">
        <v>6</v>
      </c>
      <c r="S411" s="132">
        <v>6</v>
      </c>
      <c r="T411" s="132"/>
      <c r="U411" s="132">
        <v>6</v>
      </c>
      <c r="V411" s="132">
        <v>6</v>
      </c>
      <c r="W411" s="307" t="s">
        <v>193</v>
      </c>
      <c r="X411" s="308"/>
      <c r="Y411" s="38">
        <f t="shared" si="159"/>
        <v>0</v>
      </c>
      <c r="Z411" s="38">
        <f t="shared" si="160"/>
        <v>8</v>
      </c>
      <c r="AA411" s="38">
        <f t="shared" si="157"/>
        <v>0</v>
      </c>
      <c r="AB411" s="38">
        <f t="shared" si="168"/>
        <v>104</v>
      </c>
      <c r="AC411" s="38">
        <f t="shared" si="169"/>
        <v>0</v>
      </c>
      <c r="AD411" s="38">
        <f t="shared" si="170"/>
        <v>0</v>
      </c>
      <c r="AE411" s="38">
        <f t="shared" si="171"/>
        <v>0</v>
      </c>
      <c r="AF411" s="38">
        <f t="shared" si="172"/>
        <v>0</v>
      </c>
      <c r="AG411" s="33">
        <f t="shared" si="173"/>
        <v>0</v>
      </c>
      <c r="AH411" s="33">
        <f t="shared" si="174"/>
        <v>8</v>
      </c>
      <c r="AI411" s="33">
        <f t="shared" si="175"/>
        <v>0</v>
      </c>
      <c r="AJ411" s="33">
        <f t="shared" si="176"/>
        <v>104</v>
      </c>
      <c r="AK411" s="34">
        <f t="shared" si="177"/>
        <v>0</v>
      </c>
      <c r="AL411" s="35">
        <f t="shared" si="178"/>
        <v>5.6338028169014086E-2</v>
      </c>
      <c r="AM411" s="34">
        <f t="shared" si="161"/>
        <v>0</v>
      </c>
      <c r="AN411" s="36">
        <f t="shared" si="179"/>
        <v>0.73239436619718312</v>
      </c>
      <c r="AO411" s="6">
        <f t="shared" si="162"/>
        <v>0</v>
      </c>
      <c r="AP411">
        <f t="shared" si="163"/>
        <v>8</v>
      </c>
      <c r="AQ411" s="6">
        <f t="shared" si="164"/>
        <v>0</v>
      </c>
      <c r="AR411" s="6">
        <f t="shared" si="165"/>
        <v>0</v>
      </c>
      <c r="AS411" s="6"/>
      <c r="AX411" s="95">
        <f t="shared" si="166"/>
        <v>42534</v>
      </c>
      <c r="AY411" s="96" t="str">
        <f t="shared" si="167"/>
        <v>seg</v>
      </c>
      <c r="AZ411" s="97">
        <f>IF(OR(AY411="SÁB",AY411="DOM"),0,IFERROR(8-VLOOKUP(C411,'Dados de consulta'!$A$2:$C$38,3,0),8))</f>
        <v>0</v>
      </c>
      <c r="BA411" s="97">
        <f>IF(OR(AY411="SÁB",AY411="DOM"),0,IFERROR(8-VLOOKUP(D411,'Dados de consulta'!$A$2:$C$38,3,0),8))</f>
        <v>0</v>
      </c>
      <c r="BB411" s="97">
        <f>IF(OR(AY411="SÁB",AY411="DOM"),0,IFERROR(8-VLOOKUP(E411,'Dados de consulta'!$A$2:$C$38,3,0),8))</f>
        <v>0</v>
      </c>
      <c r="BC411" s="97">
        <f>IF(OR(AY411="SÁB",AY411="DOM"),0,IFERROR(8-VLOOKUP(F411,'Dados de consulta'!$A$2:$C$38,3,0),8))</f>
        <v>0</v>
      </c>
      <c r="BD411" s="97">
        <f>IF(OR(AY411="SÁB",AY411="DOM"),0,IFERROR(8-VLOOKUP(G411,'Dados de consulta'!$A$2:$C$38,3,0),8))</f>
        <v>0</v>
      </c>
      <c r="BE411" s="97">
        <f>IF(OR(AY411="SÁB",AY411="DOM"),0,IFERROR(8-VLOOKUP(H411,'Dados de consulta'!$A$2:$C$38,3,0),8))</f>
        <v>0</v>
      </c>
      <c r="BF411" s="97">
        <f>IF(OR(AY411="SÁB",AY411="DOM"),0,IFERROR(8-VLOOKUP(I411,'Dados de consulta'!$A$2:$C$38,3,0),8))</f>
        <v>8</v>
      </c>
      <c r="BG411" s="97">
        <f>IF(OR(AY411="SÁB",AY411="DOM"),0,IFERROR(8-VLOOKUP(J411,'Dados de consulta'!$A$2:$C$38,3,0),8))</f>
        <v>0</v>
      </c>
      <c r="BH411" s="97">
        <f>IF(OR(AY411="SÁB",AY411="DOM"),0,IFERROR(8-VLOOKUP(K411,'Dados de consulta'!$A$2:$C$38,3,0),8))</f>
        <v>0</v>
      </c>
      <c r="BI411" s="97">
        <f>IF(OR(AY411="SÁB",AY411="DOM"),0,IFERROR(8-VLOOKUP(L411,'Dados de consulta'!$A$2:$C$38,3,0),8))</f>
        <v>0</v>
      </c>
      <c r="BJ411" s="97">
        <f>IF(OR(AY411="SÁB",AY411="DOM"),0,IFERROR(8-VLOOKUP(M411,'Dados de consulta'!$A$2:$C$38,3,0),8))</f>
        <v>0</v>
      </c>
      <c r="BK411" s="97">
        <f>IF(OR(AY411="SÁB",AY411="DOM"),0,IFERROR(8-VLOOKUP(N411,'Dados de consulta'!$A$2:$C$38,3,0),8))</f>
        <v>0</v>
      </c>
      <c r="BL411" s="97">
        <f>IF(OR(AY411="SÁB",AY411="DOM"),0,IFERROR(8-VLOOKUP(O411,'Dados de consulta'!$A$2:$C$38,3,0),8))</f>
        <v>0</v>
      </c>
      <c r="BM411" s="97">
        <f>IF(OR(AY411="SÁB",AY411="DOM"),0,IFERROR(8-VLOOKUP(P411,'Dados de consulta'!$A$2:$C$38,3,0),8))</f>
        <v>8</v>
      </c>
      <c r="BN411" s="97">
        <f>IF(OR(AY411="SÁB",AY411="DOM"),0,IFERROR(8-VLOOKUP(Q411,'Dados de consulta'!$A$2:$C$38,3,0),8))</f>
        <v>0</v>
      </c>
      <c r="BO411" s="97">
        <f>IF(OR(AY411="SÁB",AY411="DOM"),0,IFERROR(8-VLOOKUP(R411,'Dados de consulta'!$A$2:$C$38,3,0),8))</f>
        <v>0</v>
      </c>
      <c r="BP411" s="97">
        <f>IF(OR(AY411="SÁB",AY411="DOM"),0,IFERROR(8-VLOOKUP(S411,'Dados de consulta'!$A$2:$C$38,3,0),8))</f>
        <v>0</v>
      </c>
      <c r="BQ411" s="113">
        <f>IFERROR(6-VLOOKUP(T411,'Dados de consulta'!$A$2:$C$38,3,0)+2,6)</f>
        <v>6</v>
      </c>
      <c r="BR411" s="114">
        <f t="shared" si="180"/>
        <v>22</v>
      </c>
      <c r="BS411">
        <f t="shared" si="156"/>
        <v>134</v>
      </c>
      <c r="BU411">
        <f>IFERROR(8-VLOOKUP(U411,'Dados de consulta'!$A:$D,3,0),8)</f>
        <v>0</v>
      </c>
      <c r="BV411">
        <f>IFERROR(8-VLOOKUP(V411,'Dados de consulta'!$A:$D,3,0),8)</f>
        <v>0</v>
      </c>
      <c r="BW411">
        <f t="shared" si="181"/>
        <v>0</v>
      </c>
    </row>
    <row r="412" spans="1:75" ht="15" x14ac:dyDescent="0.2">
      <c r="A412" s="98">
        <v>42535</v>
      </c>
      <c r="B412" s="129" t="str">
        <f t="shared" si="158"/>
        <v>ter</v>
      </c>
      <c r="C412" s="132">
        <v>6</v>
      </c>
      <c r="D412" s="132">
        <v>6</v>
      </c>
      <c r="E412" s="132">
        <v>6</v>
      </c>
      <c r="F412" s="132">
        <v>6</v>
      </c>
      <c r="G412" s="132">
        <v>6</v>
      </c>
      <c r="H412" s="132">
        <v>6</v>
      </c>
      <c r="I412" s="132"/>
      <c r="J412" s="132">
        <v>6</v>
      </c>
      <c r="K412" s="132">
        <v>6</v>
      </c>
      <c r="L412" s="132">
        <v>18</v>
      </c>
      <c r="M412" s="132">
        <v>101</v>
      </c>
      <c r="N412" s="132">
        <v>6</v>
      </c>
      <c r="O412" s="132">
        <v>6</v>
      </c>
      <c r="P412" s="132"/>
      <c r="Q412" s="132">
        <v>6</v>
      </c>
      <c r="R412" s="132">
        <v>6</v>
      </c>
      <c r="S412" s="132">
        <v>6</v>
      </c>
      <c r="T412" s="132"/>
      <c r="U412" s="132">
        <v>6</v>
      </c>
      <c r="V412" s="132">
        <v>6</v>
      </c>
      <c r="W412" s="307" t="s">
        <v>193</v>
      </c>
      <c r="X412" s="308"/>
      <c r="Y412" s="38">
        <f t="shared" si="159"/>
        <v>0</v>
      </c>
      <c r="Z412" s="38">
        <f t="shared" si="160"/>
        <v>8</v>
      </c>
      <c r="AA412" s="38">
        <f t="shared" si="157"/>
        <v>0</v>
      </c>
      <c r="AB412" s="38">
        <f t="shared" si="168"/>
        <v>104</v>
      </c>
      <c r="AC412" s="38">
        <f t="shared" si="169"/>
        <v>0</v>
      </c>
      <c r="AD412" s="38">
        <f t="shared" si="170"/>
        <v>0</v>
      </c>
      <c r="AE412" s="38">
        <f t="shared" si="171"/>
        <v>0</v>
      </c>
      <c r="AF412" s="38">
        <f t="shared" si="172"/>
        <v>0</v>
      </c>
      <c r="AG412" s="33">
        <f t="shared" si="173"/>
        <v>0</v>
      </c>
      <c r="AH412" s="33">
        <f t="shared" si="174"/>
        <v>8</v>
      </c>
      <c r="AI412" s="33">
        <f t="shared" si="175"/>
        <v>0</v>
      </c>
      <c r="AJ412" s="33">
        <f t="shared" si="176"/>
        <v>104</v>
      </c>
      <c r="AK412" s="34">
        <f t="shared" si="177"/>
        <v>0</v>
      </c>
      <c r="AL412" s="35">
        <f t="shared" si="178"/>
        <v>5.6338028169014086E-2</v>
      </c>
      <c r="AM412" s="34">
        <f t="shared" si="161"/>
        <v>0</v>
      </c>
      <c r="AN412" s="36">
        <f t="shared" si="179"/>
        <v>0.73239436619718312</v>
      </c>
      <c r="AO412" s="6">
        <f t="shared" si="162"/>
        <v>0</v>
      </c>
      <c r="AP412">
        <f t="shared" si="163"/>
        <v>8</v>
      </c>
      <c r="AQ412" s="6">
        <f t="shared" si="164"/>
        <v>0</v>
      </c>
      <c r="AR412" s="6">
        <f t="shared" si="165"/>
        <v>0</v>
      </c>
      <c r="AS412" s="6"/>
      <c r="AX412" s="95">
        <f t="shared" si="166"/>
        <v>42535</v>
      </c>
      <c r="AY412" s="96" t="str">
        <f t="shared" si="167"/>
        <v>ter</v>
      </c>
      <c r="AZ412" s="97">
        <f>IF(OR(AY412="SÁB",AY412="DOM"),0,IFERROR(8-VLOOKUP(C412,'Dados de consulta'!$A$2:$C$38,3,0),8))</f>
        <v>0</v>
      </c>
      <c r="BA412" s="97">
        <f>IF(OR(AY412="SÁB",AY412="DOM"),0,IFERROR(8-VLOOKUP(D412,'Dados de consulta'!$A$2:$C$38,3,0),8))</f>
        <v>0</v>
      </c>
      <c r="BB412" s="97">
        <f>IF(OR(AY412="SÁB",AY412="DOM"),0,IFERROR(8-VLOOKUP(E412,'Dados de consulta'!$A$2:$C$38,3,0),8))</f>
        <v>0</v>
      </c>
      <c r="BC412" s="97">
        <f>IF(OR(AY412="SÁB",AY412="DOM"),0,IFERROR(8-VLOOKUP(F412,'Dados de consulta'!$A$2:$C$38,3,0),8))</f>
        <v>0</v>
      </c>
      <c r="BD412" s="97">
        <f>IF(OR(AY412="SÁB",AY412="DOM"),0,IFERROR(8-VLOOKUP(G412,'Dados de consulta'!$A$2:$C$38,3,0),8))</f>
        <v>0</v>
      </c>
      <c r="BE412" s="97">
        <f>IF(OR(AY412="SÁB",AY412="DOM"),0,IFERROR(8-VLOOKUP(H412,'Dados de consulta'!$A$2:$C$38,3,0),8))</f>
        <v>0</v>
      </c>
      <c r="BF412" s="97">
        <f>IF(OR(AY412="SÁB",AY412="DOM"),0,IFERROR(8-VLOOKUP(I412,'Dados de consulta'!$A$2:$C$38,3,0),8))</f>
        <v>8</v>
      </c>
      <c r="BG412" s="97">
        <f>IF(OR(AY412="SÁB",AY412="DOM"),0,IFERROR(8-VLOOKUP(J412,'Dados de consulta'!$A$2:$C$38,3,0),8))</f>
        <v>0</v>
      </c>
      <c r="BH412" s="97">
        <f>IF(OR(AY412="SÁB",AY412="DOM"),0,IFERROR(8-VLOOKUP(K412,'Dados de consulta'!$A$2:$C$38,3,0),8))</f>
        <v>0</v>
      </c>
      <c r="BI412" s="97">
        <f>IF(OR(AY412="SÁB",AY412="DOM"),0,IFERROR(8-VLOOKUP(L412,'Dados de consulta'!$A$2:$C$38,3,0),8))</f>
        <v>0</v>
      </c>
      <c r="BJ412" s="97">
        <f>IF(OR(AY412="SÁB",AY412="DOM"),0,IFERROR(8-VLOOKUP(M412,'Dados de consulta'!$A$2:$C$38,3,0),8))</f>
        <v>0</v>
      </c>
      <c r="BK412" s="97">
        <f>IF(OR(AY412="SÁB",AY412="DOM"),0,IFERROR(8-VLOOKUP(N412,'Dados de consulta'!$A$2:$C$38,3,0),8))</f>
        <v>0</v>
      </c>
      <c r="BL412" s="97">
        <f>IF(OR(AY412="SÁB",AY412="DOM"),0,IFERROR(8-VLOOKUP(O412,'Dados de consulta'!$A$2:$C$38,3,0),8))</f>
        <v>0</v>
      </c>
      <c r="BM412" s="97">
        <f>IF(OR(AY412="SÁB",AY412="DOM"),0,IFERROR(8-VLOOKUP(P412,'Dados de consulta'!$A$2:$C$38,3,0),8))</f>
        <v>8</v>
      </c>
      <c r="BN412" s="97">
        <f>IF(OR(AY412="SÁB",AY412="DOM"),0,IFERROR(8-VLOOKUP(Q412,'Dados de consulta'!$A$2:$C$38,3,0),8))</f>
        <v>0</v>
      </c>
      <c r="BO412" s="97">
        <f>IF(OR(AY412="SÁB",AY412="DOM"),0,IFERROR(8-VLOOKUP(R412,'Dados de consulta'!$A$2:$C$38,3,0),8))</f>
        <v>0</v>
      </c>
      <c r="BP412" s="97">
        <f>IF(OR(AY412="SÁB",AY412="DOM"),0,IFERROR(8-VLOOKUP(S412,'Dados de consulta'!$A$2:$C$38,3,0),8))</f>
        <v>0</v>
      </c>
      <c r="BQ412" s="113">
        <f>IFERROR(6-VLOOKUP(T412,'Dados de consulta'!$A$2:$C$38,3,0)+2,6)</f>
        <v>6</v>
      </c>
      <c r="BR412" s="114">
        <f t="shared" si="180"/>
        <v>22</v>
      </c>
      <c r="BS412">
        <f t="shared" si="156"/>
        <v>134</v>
      </c>
      <c r="BU412">
        <f>IFERROR(8-VLOOKUP(U412,'Dados de consulta'!$A:$D,3,0),8)</f>
        <v>0</v>
      </c>
      <c r="BV412">
        <f>IFERROR(8-VLOOKUP(V412,'Dados de consulta'!$A:$D,3,0),8)</f>
        <v>0</v>
      </c>
      <c r="BW412">
        <f t="shared" si="181"/>
        <v>0</v>
      </c>
    </row>
    <row r="413" spans="1:75" ht="15" x14ac:dyDescent="0.2">
      <c r="A413" s="98">
        <v>42536</v>
      </c>
      <c r="B413" s="129" t="str">
        <f t="shared" si="158"/>
        <v>qua</v>
      </c>
      <c r="C413" s="132">
        <v>6</v>
      </c>
      <c r="D413" s="132">
        <v>6</v>
      </c>
      <c r="E413" s="132">
        <v>6</v>
      </c>
      <c r="F413" s="132">
        <v>6</v>
      </c>
      <c r="G413" s="132">
        <v>6</v>
      </c>
      <c r="H413" s="132">
        <v>6</v>
      </c>
      <c r="I413" s="132"/>
      <c r="J413" s="132">
        <v>6</v>
      </c>
      <c r="K413" s="132">
        <v>6</v>
      </c>
      <c r="L413" s="132">
        <v>18</v>
      </c>
      <c r="M413" s="132">
        <v>101</v>
      </c>
      <c r="N413" s="132">
        <v>6</v>
      </c>
      <c r="O413" s="132">
        <v>6</v>
      </c>
      <c r="P413" s="132"/>
      <c r="Q413" s="132">
        <v>6</v>
      </c>
      <c r="R413" s="132">
        <v>6</v>
      </c>
      <c r="S413" s="132">
        <v>6</v>
      </c>
      <c r="T413" s="132"/>
      <c r="U413" s="132">
        <v>6</v>
      </c>
      <c r="V413" s="132">
        <v>6</v>
      </c>
      <c r="W413" s="307" t="s">
        <v>193</v>
      </c>
      <c r="X413" s="308"/>
      <c r="Y413" s="38">
        <f t="shared" si="159"/>
        <v>0</v>
      </c>
      <c r="Z413" s="38">
        <f t="shared" si="160"/>
        <v>8</v>
      </c>
      <c r="AA413" s="38">
        <f t="shared" si="157"/>
        <v>0</v>
      </c>
      <c r="AB413" s="38">
        <f t="shared" si="168"/>
        <v>104</v>
      </c>
      <c r="AC413" s="38">
        <f t="shared" si="169"/>
        <v>0</v>
      </c>
      <c r="AD413" s="38">
        <f t="shared" si="170"/>
        <v>0</v>
      </c>
      <c r="AE413" s="38">
        <f t="shared" si="171"/>
        <v>0</v>
      </c>
      <c r="AF413" s="38">
        <f t="shared" si="172"/>
        <v>0</v>
      </c>
      <c r="AG413" s="33">
        <f t="shared" si="173"/>
        <v>0</v>
      </c>
      <c r="AH413" s="33">
        <f t="shared" si="174"/>
        <v>8</v>
      </c>
      <c r="AI413" s="33">
        <f t="shared" si="175"/>
        <v>0</v>
      </c>
      <c r="AJ413" s="33">
        <f t="shared" si="176"/>
        <v>104</v>
      </c>
      <c r="AK413" s="34">
        <f t="shared" si="177"/>
        <v>0</v>
      </c>
      <c r="AL413" s="35">
        <f t="shared" si="178"/>
        <v>5.6338028169014086E-2</v>
      </c>
      <c r="AM413" s="34">
        <f t="shared" si="161"/>
        <v>0</v>
      </c>
      <c r="AN413" s="36">
        <f t="shared" si="179"/>
        <v>0.73239436619718312</v>
      </c>
      <c r="AO413" s="6">
        <f t="shared" si="162"/>
        <v>0</v>
      </c>
      <c r="AP413">
        <f t="shared" si="163"/>
        <v>8</v>
      </c>
      <c r="AQ413" s="6">
        <f t="shared" si="164"/>
        <v>0</v>
      </c>
      <c r="AR413" s="6">
        <f t="shared" si="165"/>
        <v>0</v>
      </c>
      <c r="AS413" s="6"/>
      <c r="AX413" s="95">
        <f t="shared" si="166"/>
        <v>42536</v>
      </c>
      <c r="AY413" s="96" t="str">
        <f t="shared" si="167"/>
        <v>qua</v>
      </c>
      <c r="AZ413" s="97">
        <f>IF(OR(AY413="SÁB",AY413="DOM"),0,IFERROR(8-VLOOKUP(C413,'Dados de consulta'!$A$2:$C$38,3,0),8))</f>
        <v>0</v>
      </c>
      <c r="BA413" s="97">
        <f>IF(OR(AY413="SÁB",AY413="DOM"),0,IFERROR(8-VLOOKUP(D413,'Dados de consulta'!$A$2:$C$38,3,0),8))</f>
        <v>0</v>
      </c>
      <c r="BB413" s="97">
        <f>IF(OR(AY413="SÁB",AY413="DOM"),0,IFERROR(8-VLOOKUP(E413,'Dados de consulta'!$A$2:$C$38,3,0),8))</f>
        <v>0</v>
      </c>
      <c r="BC413" s="97">
        <f>IF(OR(AY413="SÁB",AY413="DOM"),0,IFERROR(8-VLOOKUP(F413,'Dados de consulta'!$A$2:$C$38,3,0),8))</f>
        <v>0</v>
      </c>
      <c r="BD413" s="97">
        <f>IF(OR(AY413="SÁB",AY413="DOM"),0,IFERROR(8-VLOOKUP(G413,'Dados de consulta'!$A$2:$C$38,3,0),8))</f>
        <v>0</v>
      </c>
      <c r="BE413" s="97">
        <f>IF(OR(AY413="SÁB",AY413="DOM"),0,IFERROR(8-VLOOKUP(H413,'Dados de consulta'!$A$2:$C$38,3,0),8))</f>
        <v>0</v>
      </c>
      <c r="BF413" s="97">
        <f>IF(OR(AY413="SÁB",AY413="DOM"),0,IFERROR(8-VLOOKUP(I413,'Dados de consulta'!$A$2:$C$38,3,0),8))</f>
        <v>8</v>
      </c>
      <c r="BG413" s="97">
        <f>IF(OR(AY413="SÁB",AY413="DOM"),0,IFERROR(8-VLOOKUP(J413,'Dados de consulta'!$A$2:$C$38,3,0),8))</f>
        <v>0</v>
      </c>
      <c r="BH413" s="97">
        <f>IF(OR(AY413="SÁB",AY413="DOM"),0,IFERROR(8-VLOOKUP(K413,'Dados de consulta'!$A$2:$C$38,3,0),8))</f>
        <v>0</v>
      </c>
      <c r="BI413" s="97">
        <f>IF(OR(AY413="SÁB",AY413="DOM"),0,IFERROR(8-VLOOKUP(L413,'Dados de consulta'!$A$2:$C$38,3,0),8))</f>
        <v>0</v>
      </c>
      <c r="BJ413" s="97">
        <f>IF(OR(AY413="SÁB",AY413="DOM"),0,IFERROR(8-VLOOKUP(M413,'Dados de consulta'!$A$2:$C$38,3,0),8))</f>
        <v>0</v>
      </c>
      <c r="BK413" s="97">
        <f>IF(OR(AY413="SÁB",AY413="DOM"),0,IFERROR(8-VLOOKUP(N413,'Dados de consulta'!$A$2:$C$38,3,0),8))</f>
        <v>0</v>
      </c>
      <c r="BL413" s="97">
        <f>IF(OR(AY413="SÁB",AY413="DOM"),0,IFERROR(8-VLOOKUP(O413,'Dados de consulta'!$A$2:$C$38,3,0),8))</f>
        <v>0</v>
      </c>
      <c r="BM413" s="97">
        <f>IF(OR(AY413="SÁB",AY413="DOM"),0,IFERROR(8-VLOOKUP(P413,'Dados de consulta'!$A$2:$C$38,3,0),8))</f>
        <v>8</v>
      </c>
      <c r="BN413" s="97">
        <f>IF(OR(AY413="SÁB",AY413="DOM"),0,IFERROR(8-VLOOKUP(Q413,'Dados de consulta'!$A$2:$C$38,3,0),8))</f>
        <v>0</v>
      </c>
      <c r="BO413" s="97">
        <f>IF(OR(AY413="SÁB",AY413="DOM"),0,IFERROR(8-VLOOKUP(R413,'Dados de consulta'!$A$2:$C$38,3,0),8))</f>
        <v>0</v>
      </c>
      <c r="BP413" s="97">
        <f>IF(OR(AY413="SÁB",AY413="DOM"),0,IFERROR(8-VLOOKUP(S413,'Dados de consulta'!$A$2:$C$38,3,0),8))</f>
        <v>0</v>
      </c>
      <c r="BQ413" s="113">
        <f>IFERROR(6-VLOOKUP(T413,'Dados de consulta'!$A$2:$C$38,3,0)+2,6)</f>
        <v>6</v>
      </c>
      <c r="BR413" s="114">
        <f t="shared" si="180"/>
        <v>22</v>
      </c>
      <c r="BS413">
        <f t="shared" si="156"/>
        <v>134</v>
      </c>
      <c r="BU413">
        <f>IFERROR(8-VLOOKUP(U413,'Dados de consulta'!$A:$D,3,0),8)</f>
        <v>0</v>
      </c>
      <c r="BV413">
        <f>IFERROR(8-VLOOKUP(V413,'Dados de consulta'!$A:$D,3,0),8)</f>
        <v>0</v>
      </c>
      <c r="BW413">
        <f t="shared" si="181"/>
        <v>0</v>
      </c>
    </row>
    <row r="414" spans="1:75" ht="15" x14ac:dyDescent="0.2">
      <c r="A414" s="98">
        <v>42537</v>
      </c>
      <c r="B414" s="129" t="str">
        <f t="shared" si="158"/>
        <v>qui</v>
      </c>
      <c r="C414" s="132">
        <v>6</v>
      </c>
      <c r="D414" s="132">
        <v>6</v>
      </c>
      <c r="E414" s="132">
        <v>6</v>
      </c>
      <c r="F414" s="132">
        <v>6</v>
      </c>
      <c r="G414" s="132">
        <v>6</v>
      </c>
      <c r="H414" s="132">
        <v>6</v>
      </c>
      <c r="I414" s="132"/>
      <c r="J414" s="132">
        <v>6</v>
      </c>
      <c r="K414" s="132"/>
      <c r="L414" s="132">
        <v>18</v>
      </c>
      <c r="M414" s="132">
        <v>101</v>
      </c>
      <c r="N414" s="132">
        <v>6</v>
      </c>
      <c r="O414" s="132">
        <v>6</v>
      </c>
      <c r="P414" s="132"/>
      <c r="Q414" s="132">
        <v>6</v>
      </c>
      <c r="R414" s="132"/>
      <c r="S414" s="132">
        <v>6</v>
      </c>
      <c r="T414" s="132"/>
      <c r="U414" s="132">
        <v>6</v>
      </c>
      <c r="V414" s="132">
        <v>6</v>
      </c>
      <c r="W414" s="307" t="s">
        <v>193</v>
      </c>
      <c r="X414" s="308"/>
      <c r="Y414" s="38">
        <f t="shared" si="159"/>
        <v>0</v>
      </c>
      <c r="Z414" s="38">
        <f t="shared" si="160"/>
        <v>8</v>
      </c>
      <c r="AA414" s="38">
        <f t="shared" si="157"/>
        <v>0</v>
      </c>
      <c r="AB414" s="38">
        <f t="shared" si="168"/>
        <v>88</v>
      </c>
      <c r="AC414" s="38">
        <f t="shared" si="169"/>
        <v>0</v>
      </c>
      <c r="AD414" s="38">
        <f t="shared" si="170"/>
        <v>0</v>
      </c>
      <c r="AE414" s="38">
        <f t="shared" si="171"/>
        <v>0</v>
      </c>
      <c r="AF414" s="38">
        <f t="shared" si="172"/>
        <v>0</v>
      </c>
      <c r="AG414" s="33">
        <f t="shared" si="173"/>
        <v>0</v>
      </c>
      <c r="AH414" s="33">
        <f t="shared" si="174"/>
        <v>8</v>
      </c>
      <c r="AI414" s="33">
        <f t="shared" si="175"/>
        <v>0</v>
      </c>
      <c r="AJ414" s="33">
        <f t="shared" si="176"/>
        <v>88</v>
      </c>
      <c r="AK414" s="34">
        <f t="shared" si="177"/>
        <v>0</v>
      </c>
      <c r="AL414" s="35">
        <f t="shared" si="178"/>
        <v>5.6338028169014086E-2</v>
      </c>
      <c r="AM414" s="34">
        <f t="shared" si="161"/>
        <v>0</v>
      </c>
      <c r="AN414" s="36">
        <f t="shared" si="179"/>
        <v>0.61971830985915488</v>
      </c>
      <c r="AO414" s="6">
        <f t="shared" si="162"/>
        <v>0</v>
      </c>
      <c r="AP414">
        <f t="shared" si="163"/>
        <v>8</v>
      </c>
      <c r="AQ414" s="6">
        <f t="shared" si="164"/>
        <v>0</v>
      </c>
      <c r="AR414" s="6">
        <f t="shared" si="165"/>
        <v>0</v>
      </c>
      <c r="AS414" s="6"/>
      <c r="AX414" s="95">
        <f t="shared" si="166"/>
        <v>42537</v>
      </c>
      <c r="AY414" s="96" t="str">
        <f t="shared" si="167"/>
        <v>qui</v>
      </c>
      <c r="AZ414" s="97">
        <f>IF(OR(AY414="SÁB",AY414="DOM"),0,IFERROR(8-VLOOKUP(C414,'Dados de consulta'!$A$2:$C$38,3,0),8))</f>
        <v>0</v>
      </c>
      <c r="BA414" s="97">
        <f>IF(OR(AY414="SÁB",AY414="DOM"),0,IFERROR(8-VLOOKUP(D414,'Dados de consulta'!$A$2:$C$38,3,0),8))</f>
        <v>0</v>
      </c>
      <c r="BB414" s="97">
        <f>IF(OR(AY414="SÁB",AY414="DOM"),0,IFERROR(8-VLOOKUP(E414,'Dados de consulta'!$A$2:$C$38,3,0),8))</f>
        <v>0</v>
      </c>
      <c r="BC414" s="97">
        <f>IF(OR(AY414="SÁB",AY414="DOM"),0,IFERROR(8-VLOOKUP(F414,'Dados de consulta'!$A$2:$C$38,3,0),8))</f>
        <v>0</v>
      </c>
      <c r="BD414" s="97">
        <f>IF(OR(AY414="SÁB",AY414="DOM"),0,IFERROR(8-VLOOKUP(G414,'Dados de consulta'!$A$2:$C$38,3,0),8))</f>
        <v>0</v>
      </c>
      <c r="BE414" s="97">
        <f>IF(OR(AY414="SÁB",AY414="DOM"),0,IFERROR(8-VLOOKUP(H414,'Dados de consulta'!$A$2:$C$38,3,0),8))</f>
        <v>0</v>
      </c>
      <c r="BF414" s="97">
        <f>IF(OR(AY414="SÁB",AY414="DOM"),0,IFERROR(8-VLOOKUP(I414,'Dados de consulta'!$A$2:$C$38,3,0),8))</f>
        <v>8</v>
      </c>
      <c r="BG414" s="97">
        <f>IF(OR(AY414="SÁB",AY414="DOM"),0,IFERROR(8-VLOOKUP(J414,'Dados de consulta'!$A$2:$C$38,3,0),8))</f>
        <v>0</v>
      </c>
      <c r="BH414" s="97">
        <f>IF(OR(AY414="SÁB",AY414="DOM"),0,IFERROR(8-VLOOKUP(K414,'Dados de consulta'!$A$2:$C$38,3,0),8))</f>
        <v>8</v>
      </c>
      <c r="BI414" s="97">
        <f>IF(OR(AY414="SÁB",AY414="DOM"),0,IFERROR(8-VLOOKUP(L414,'Dados de consulta'!$A$2:$C$38,3,0),8))</f>
        <v>0</v>
      </c>
      <c r="BJ414" s="97">
        <f>IF(OR(AY414="SÁB",AY414="DOM"),0,IFERROR(8-VLOOKUP(M414,'Dados de consulta'!$A$2:$C$38,3,0),8))</f>
        <v>0</v>
      </c>
      <c r="BK414" s="97">
        <f>IF(OR(AY414="SÁB",AY414="DOM"),0,IFERROR(8-VLOOKUP(N414,'Dados de consulta'!$A$2:$C$38,3,0),8))</f>
        <v>0</v>
      </c>
      <c r="BL414" s="97">
        <f>IF(OR(AY414="SÁB",AY414="DOM"),0,IFERROR(8-VLOOKUP(O414,'Dados de consulta'!$A$2:$C$38,3,0),8))</f>
        <v>0</v>
      </c>
      <c r="BM414" s="97">
        <f>IF(OR(AY414="SÁB",AY414="DOM"),0,IFERROR(8-VLOOKUP(P414,'Dados de consulta'!$A$2:$C$38,3,0),8))</f>
        <v>8</v>
      </c>
      <c r="BN414" s="97">
        <f>IF(OR(AY414="SÁB",AY414="DOM"),0,IFERROR(8-VLOOKUP(Q414,'Dados de consulta'!$A$2:$C$38,3,0),8))</f>
        <v>0</v>
      </c>
      <c r="BO414" s="97">
        <f>IF(OR(AY414="SÁB",AY414="DOM"),0,IFERROR(8-VLOOKUP(R414,'Dados de consulta'!$A$2:$C$38,3,0),8))</f>
        <v>8</v>
      </c>
      <c r="BP414" s="97">
        <f>IF(OR(AY414="SÁB",AY414="DOM"),0,IFERROR(8-VLOOKUP(S414,'Dados de consulta'!$A$2:$C$38,3,0),8))</f>
        <v>0</v>
      </c>
      <c r="BQ414" s="113">
        <f>IFERROR(6-VLOOKUP(T414,'Dados de consulta'!$A$2:$C$38,3,0)+2,6)</f>
        <v>6</v>
      </c>
      <c r="BR414" s="114">
        <f t="shared" si="180"/>
        <v>38</v>
      </c>
      <c r="BS414">
        <f t="shared" si="156"/>
        <v>134</v>
      </c>
      <c r="BU414">
        <f>IFERROR(8-VLOOKUP(U414,'Dados de consulta'!$A:$D,3,0),8)</f>
        <v>0</v>
      </c>
      <c r="BV414">
        <f>IFERROR(8-VLOOKUP(V414,'Dados de consulta'!$A:$D,3,0),8)</f>
        <v>0</v>
      </c>
      <c r="BW414">
        <f t="shared" si="181"/>
        <v>0</v>
      </c>
    </row>
    <row r="415" spans="1:75" ht="15" x14ac:dyDescent="0.2">
      <c r="A415" s="98">
        <v>42538</v>
      </c>
      <c r="B415" s="129" t="str">
        <f t="shared" si="158"/>
        <v>sex</v>
      </c>
      <c r="C415" s="132">
        <v>6</v>
      </c>
      <c r="D415" s="132">
        <v>6</v>
      </c>
      <c r="E415" s="132">
        <v>6</v>
      </c>
      <c r="F415" s="132">
        <v>6</v>
      </c>
      <c r="G415" s="132">
        <v>6</v>
      </c>
      <c r="H415" s="132">
        <v>6</v>
      </c>
      <c r="I415" s="132"/>
      <c r="J415" s="132">
        <v>6</v>
      </c>
      <c r="K415" s="132"/>
      <c r="L415" s="132">
        <v>18</v>
      </c>
      <c r="M415" s="132">
        <v>101</v>
      </c>
      <c r="N415" s="132">
        <v>6</v>
      </c>
      <c r="O415" s="132">
        <v>6</v>
      </c>
      <c r="P415" s="132">
        <v>8</v>
      </c>
      <c r="Q415" s="132">
        <v>6</v>
      </c>
      <c r="R415" s="132"/>
      <c r="S415" s="132">
        <v>6</v>
      </c>
      <c r="T415" s="132"/>
      <c r="U415" s="132">
        <v>6</v>
      </c>
      <c r="V415" s="132">
        <v>6</v>
      </c>
      <c r="W415" s="307" t="s">
        <v>193</v>
      </c>
      <c r="X415" s="308"/>
      <c r="Y415" s="38">
        <f t="shared" si="159"/>
        <v>8</v>
      </c>
      <c r="Z415" s="38">
        <f t="shared" si="160"/>
        <v>8</v>
      </c>
      <c r="AA415" s="38">
        <f t="shared" si="157"/>
        <v>0</v>
      </c>
      <c r="AB415" s="38">
        <f t="shared" si="168"/>
        <v>88</v>
      </c>
      <c r="AC415" s="38">
        <f t="shared" si="169"/>
        <v>0</v>
      </c>
      <c r="AD415" s="38">
        <f t="shared" si="170"/>
        <v>0</v>
      </c>
      <c r="AE415" s="38">
        <f t="shared" si="171"/>
        <v>0</v>
      </c>
      <c r="AF415" s="38">
        <f t="shared" si="172"/>
        <v>0</v>
      </c>
      <c r="AG415" s="33">
        <f t="shared" si="173"/>
        <v>8</v>
      </c>
      <c r="AH415" s="33">
        <f t="shared" si="174"/>
        <v>8</v>
      </c>
      <c r="AI415" s="33">
        <f t="shared" si="175"/>
        <v>0</v>
      </c>
      <c r="AJ415" s="33">
        <f t="shared" si="176"/>
        <v>88</v>
      </c>
      <c r="AK415" s="34">
        <f t="shared" si="177"/>
        <v>5.6338028169014086E-2</v>
      </c>
      <c r="AL415" s="35">
        <f t="shared" si="178"/>
        <v>5.6338028169014086E-2</v>
      </c>
      <c r="AM415" s="34">
        <f t="shared" si="161"/>
        <v>0</v>
      </c>
      <c r="AN415" s="36">
        <f t="shared" si="179"/>
        <v>0.61971830985915488</v>
      </c>
      <c r="AO415" s="6">
        <f t="shared" si="162"/>
        <v>0</v>
      </c>
      <c r="AP415">
        <f t="shared" si="163"/>
        <v>8</v>
      </c>
      <c r="AQ415" s="6">
        <f t="shared" si="164"/>
        <v>0</v>
      </c>
      <c r="AR415" s="6">
        <f t="shared" si="165"/>
        <v>0</v>
      </c>
      <c r="AS415" s="6"/>
      <c r="AX415" s="95">
        <f t="shared" si="166"/>
        <v>42538</v>
      </c>
      <c r="AY415" s="96" t="str">
        <f t="shared" si="167"/>
        <v>sex</v>
      </c>
      <c r="AZ415" s="97">
        <f>IF(OR(AY415="SÁB",AY415="DOM"),0,IFERROR(8-VLOOKUP(C415,'Dados de consulta'!$A$2:$C$38,3,0),8))</f>
        <v>0</v>
      </c>
      <c r="BA415" s="97">
        <f>IF(OR(AY415="SÁB",AY415="DOM"),0,IFERROR(8-VLOOKUP(D415,'Dados de consulta'!$A$2:$C$38,3,0),8))</f>
        <v>0</v>
      </c>
      <c r="BB415" s="97">
        <f>IF(OR(AY415="SÁB",AY415="DOM"),0,IFERROR(8-VLOOKUP(E415,'Dados de consulta'!$A$2:$C$38,3,0),8))</f>
        <v>0</v>
      </c>
      <c r="BC415" s="97">
        <f>IF(OR(AY415="SÁB",AY415="DOM"),0,IFERROR(8-VLOOKUP(F415,'Dados de consulta'!$A$2:$C$38,3,0),8))</f>
        <v>0</v>
      </c>
      <c r="BD415" s="97">
        <f>IF(OR(AY415="SÁB",AY415="DOM"),0,IFERROR(8-VLOOKUP(G415,'Dados de consulta'!$A$2:$C$38,3,0),8))</f>
        <v>0</v>
      </c>
      <c r="BE415" s="97">
        <f>IF(OR(AY415="SÁB",AY415="DOM"),0,IFERROR(8-VLOOKUP(H415,'Dados de consulta'!$A$2:$C$38,3,0),8))</f>
        <v>0</v>
      </c>
      <c r="BF415" s="97">
        <f>IF(OR(AY415="SÁB",AY415="DOM"),0,IFERROR(8-VLOOKUP(I415,'Dados de consulta'!$A$2:$C$38,3,0),8))</f>
        <v>8</v>
      </c>
      <c r="BG415" s="97">
        <f>IF(OR(AY415="SÁB",AY415="DOM"),0,IFERROR(8-VLOOKUP(J415,'Dados de consulta'!$A$2:$C$38,3,0),8))</f>
        <v>0</v>
      </c>
      <c r="BH415" s="97">
        <f>IF(OR(AY415="SÁB",AY415="DOM"),0,IFERROR(8-VLOOKUP(K415,'Dados de consulta'!$A$2:$C$38,3,0),8))</f>
        <v>8</v>
      </c>
      <c r="BI415" s="97">
        <f>IF(OR(AY415="SÁB",AY415="DOM"),0,IFERROR(8-VLOOKUP(L415,'Dados de consulta'!$A$2:$C$38,3,0),8))</f>
        <v>0</v>
      </c>
      <c r="BJ415" s="97">
        <f>IF(OR(AY415="SÁB",AY415="DOM"),0,IFERROR(8-VLOOKUP(M415,'Dados de consulta'!$A$2:$C$38,3,0),8))</f>
        <v>0</v>
      </c>
      <c r="BK415" s="97">
        <f>IF(OR(AY415="SÁB",AY415="DOM"),0,IFERROR(8-VLOOKUP(N415,'Dados de consulta'!$A$2:$C$38,3,0),8))</f>
        <v>0</v>
      </c>
      <c r="BL415" s="97">
        <f>IF(OR(AY415="SÁB",AY415="DOM"),0,IFERROR(8-VLOOKUP(O415,'Dados de consulta'!$A$2:$C$38,3,0),8))</f>
        <v>0</v>
      </c>
      <c r="BM415" s="97">
        <f>IF(OR(AY415="SÁB",AY415="DOM"),0,IFERROR(8-VLOOKUP(P415,'Dados de consulta'!$A$2:$C$38,3,0),8))</f>
        <v>0</v>
      </c>
      <c r="BN415" s="97">
        <f>IF(OR(AY415="SÁB",AY415="DOM"),0,IFERROR(8-VLOOKUP(Q415,'Dados de consulta'!$A$2:$C$38,3,0),8))</f>
        <v>0</v>
      </c>
      <c r="BO415" s="97">
        <f>IF(OR(AY415="SÁB",AY415="DOM"),0,IFERROR(8-VLOOKUP(R415,'Dados de consulta'!$A$2:$C$38,3,0),8))</f>
        <v>8</v>
      </c>
      <c r="BP415" s="97">
        <f>IF(OR(AY415="SÁB",AY415="DOM"),0,IFERROR(8-VLOOKUP(S415,'Dados de consulta'!$A$2:$C$38,3,0),8))</f>
        <v>0</v>
      </c>
      <c r="BQ415" s="113">
        <f>IFERROR(6-VLOOKUP(T415,'Dados de consulta'!$A$2:$C$38,3,0)+2,6)</f>
        <v>6</v>
      </c>
      <c r="BR415" s="114">
        <f t="shared" si="180"/>
        <v>30</v>
      </c>
      <c r="BS415">
        <f t="shared" si="156"/>
        <v>134</v>
      </c>
      <c r="BU415">
        <f>IFERROR(8-VLOOKUP(U415,'Dados de consulta'!$A:$D,3,0),8)</f>
        <v>0</v>
      </c>
      <c r="BV415">
        <f>IFERROR(8-VLOOKUP(V415,'Dados de consulta'!$A:$D,3,0),8)</f>
        <v>0</v>
      </c>
      <c r="BW415">
        <f t="shared" si="181"/>
        <v>0</v>
      </c>
    </row>
    <row r="416" spans="1:75" ht="15" x14ac:dyDescent="0.2">
      <c r="A416" s="98">
        <v>42539</v>
      </c>
      <c r="B416" s="129" t="str">
        <f t="shared" si="158"/>
        <v>sáb</v>
      </c>
      <c r="C416" s="132"/>
      <c r="D416" s="132"/>
      <c r="E416" s="132"/>
      <c r="F416" s="132"/>
      <c r="G416" s="132"/>
      <c r="H416" s="132"/>
      <c r="I416" s="132"/>
      <c r="J416" s="132"/>
      <c r="K416" s="132"/>
      <c r="L416" s="132">
        <v>18</v>
      </c>
      <c r="M416" s="132">
        <v>101</v>
      </c>
      <c r="N416" s="132"/>
      <c r="O416" s="132"/>
      <c r="P416" s="132"/>
      <c r="Q416" s="132"/>
      <c r="R416" s="132"/>
      <c r="S416" s="132"/>
      <c r="T416" s="132"/>
      <c r="U416" s="151"/>
      <c r="V416" s="151"/>
      <c r="W416" s="307" t="s">
        <v>193</v>
      </c>
      <c r="X416" s="308"/>
      <c r="Y416" s="38">
        <f t="shared" si="159"/>
        <v>0</v>
      </c>
      <c r="Z416" s="38">
        <f t="shared" si="160"/>
        <v>8</v>
      </c>
      <c r="AA416" s="38">
        <f t="shared" si="157"/>
        <v>0</v>
      </c>
      <c r="AB416" s="38">
        <f t="shared" si="168"/>
        <v>0</v>
      </c>
      <c r="AC416" s="38">
        <f t="shared" si="169"/>
        <v>0</v>
      </c>
      <c r="AD416" s="38">
        <f t="shared" si="170"/>
        <v>0</v>
      </c>
      <c r="AE416" s="38">
        <f t="shared" si="171"/>
        <v>0</v>
      </c>
      <c r="AF416" s="38">
        <f t="shared" si="172"/>
        <v>0</v>
      </c>
      <c r="AG416" s="33">
        <f t="shared" si="173"/>
        <v>0</v>
      </c>
      <c r="AH416" s="33">
        <f t="shared" si="174"/>
        <v>0</v>
      </c>
      <c r="AI416" s="33">
        <f t="shared" si="175"/>
        <v>0</v>
      </c>
      <c r="AJ416" s="33">
        <f t="shared" si="176"/>
        <v>0</v>
      </c>
      <c r="AK416" s="34">
        <f t="shared" si="177"/>
        <v>0</v>
      </c>
      <c r="AL416" s="35">
        <f t="shared" si="178"/>
        <v>0</v>
      </c>
      <c r="AM416" s="34">
        <f t="shared" si="161"/>
        <v>0</v>
      </c>
      <c r="AN416" s="36">
        <f t="shared" si="179"/>
        <v>0</v>
      </c>
      <c r="AO416" s="6">
        <f t="shared" si="162"/>
        <v>0</v>
      </c>
      <c r="AP416">
        <f t="shared" si="163"/>
        <v>8</v>
      </c>
      <c r="AQ416" s="6">
        <f t="shared" si="164"/>
        <v>0</v>
      </c>
      <c r="AR416" s="6">
        <f t="shared" si="165"/>
        <v>0</v>
      </c>
      <c r="AS416" s="6"/>
      <c r="AX416" s="95">
        <f t="shared" si="166"/>
        <v>42539</v>
      </c>
      <c r="AY416" s="96" t="str">
        <f t="shared" si="167"/>
        <v>sáb</v>
      </c>
      <c r="AZ416" s="97">
        <f>IF(OR(AY416="SÁB",AY416="DOM"),0,IFERROR(8-VLOOKUP(C416,'Dados de consulta'!$A$2:$C$38,3,0),8))</f>
        <v>0</v>
      </c>
      <c r="BA416" s="97">
        <f>IF(OR(AY416="SÁB",AY416="DOM"),0,IFERROR(8-VLOOKUP(D416,'Dados de consulta'!$A$2:$C$38,3,0),8))</f>
        <v>0</v>
      </c>
      <c r="BB416" s="97">
        <f>IF(OR(AY416="SÁB",AY416="DOM"),0,IFERROR(8-VLOOKUP(E416,'Dados de consulta'!$A$2:$C$38,3,0),8))</f>
        <v>0</v>
      </c>
      <c r="BC416" s="97">
        <f>IF(OR(AY416="SÁB",AY416="DOM"),0,IFERROR(8-VLOOKUP(F416,'Dados de consulta'!$A$2:$C$38,3,0),8))</f>
        <v>0</v>
      </c>
      <c r="BD416" s="97">
        <f>IF(OR(AY416="SÁB",AY416="DOM"),0,IFERROR(8-VLOOKUP(G416,'Dados de consulta'!$A$2:$C$38,3,0),8))</f>
        <v>0</v>
      </c>
      <c r="BE416" s="97">
        <f>IF(OR(AY416="SÁB",AY416="DOM"),0,IFERROR(8-VLOOKUP(H416,'Dados de consulta'!$A$2:$C$38,3,0),8))</f>
        <v>0</v>
      </c>
      <c r="BF416" s="97">
        <f>IF(OR(AY416="SÁB",AY416="DOM"),0,IFERROR(8-VLOOKUP(I416,'Dados de consulta'!$A$2:$C$38,3,0),8))</f>
        <v>0</v>
      </c>
      <c r="BG416" s="97">
        <f>IF(OR(AY416="SÁB",AY416="DOM"),0,IFERROR(8-VLOOKUP(J416,'Dados de consulta'!$A$2:$C$38,3,0),8))</f>
        <v>0</v>
      </c>
      <c r="BH416" s="97">
        <f>IF(OR(AY416="SÁB",AY416="DOM"),0,IFERROR(8-VLOOKUP(K416,'Dados de consulta'!$A$2:$C$38,3,0),8))</f>
        <v>0</v>
      </c>
      <c r="BI416" s="97">
        <f>IF(OR(AY416="SÁB",AY416="DOM"),0,IFERROR(8-VLOOKUP(L416,'Dados de consulta'!$A$2:$C$38,3,0),8))</f>
        <v>0</v>
      </c>
      <c r="BJ416" s="97">
        <f>IF(OR(AY416="SÁB",AY416="DOM"),0,IFERROR(8-VLOOKUP(M416,'Dados de consulta'!$A$2:$C$38,3,0),8))</f>
        <v>0</v>
      </c>
      <c r="BK416" s="97">
        <f>IF(OR(AY416="SÁB",AY416="DOM"),0,IFERROR(8-VLOOKUP(N416,'Dados de consulta'!$A$2:$C$38,3,0),8))</f>
        <v>0</v>
      </c>
      <c r="BL416" s="97">
        <f>IF(OR(AY416="SÁB",AY416="DOM"),0,IFERROR(8-VLOOKUP(O416,'Dados de consulta'!$A$2:$C$38,3,0),8))</f>
        <v>0</v>
      </c>
      <c r="BM416" s="97">
        <f>IF(OR(AY416="SÁB",AY416="DOM"),0,IFERROR(8-VLOOKUP(P416,'Dados de consulta'!$A$2:$C$38,3,0),8))</f>
        <v>0</v>
      </c>
      <c r="BN416" s="97">
        <f>IF(OR(AY416="SÁB",AY416="DOM"),0,IFERROR(8-VLOOKUP(Q416,'Dados de consulta'!$A$2:$C$38,3,0),8))</f>
        <v>0</v>
      </c>
      <c r="BO416" s="97">
        <f>IF(OR(AY416="SÁB",AY416="DOM"),0,IFERROR(8-VLOOKUP(R416,'Dados de consulta'!$A$2:$C$38,3,0),8))</f>
        <v>0</v>
      </c>
      <c r="BP416" s="97">
        <f>IF(OR(AY416="SÁB",AY416="DOM"),0,IFERROR(8-VLOOKUP(S416,'Dados de consulta'!$A$2:$C$38,3,0),8))</f>
        <v>0</v>
      </c>
      <c r="BQ416" s="113">
        <f>IFERROR(6-VLOOKUP(T416,'Dados de consulta'!$A$2:$C$38,3,0)+2,6)</f>
        <v>6</v>
      </c>
      <c r="BR416" s="114">
        <f t="shared" si="180"/>
        <v>0</v>
      </c>
      <c r="BS416">
        <f t="shared" si="156"/>
        <v>0</v>
      </c>
      <c r="BU416">
        <f>IFERROR(8-VLOOKUP(U416,'Dados de consulta'!$A:$D,3,0),8)</f>
        <v>8</v>
      </c>
      <c r="BV416">
        <f>IFERROR(8-VLOOKUP(V416,'Dados de consulta'!$A:$D,3,0),8)</f>
        <v>8</v>
      </c>
      <c r="BW416">
        <f t="shared" si="181"/>
        <v>16</v>
      </c>
    </row>
    <row r="417" spans="1:75" ht="15" x14ac:dyDescent="0.2">
      <c r="A417" s="98">
        <v>42540</v>
      </c>
      <c r="B417" s="129" t="str">
        <f t="shared" si="158"/>
        <v>dom</v>
      </c>
      <c r="C417" s="132"/>
      <c r="D417" s="132"/>
      <c r="E417" s="132"/>
      <c r="F417" s="132"/>
      <c r="G417" s="132"/>
      <c r="H417" s="132"/>
      <c r="I417" s="132"/>
      <c r="J417" s="132"/>
      <c r="K417" s="132"/>
      <c r="L417" s="132">
        <v>18</v>
      </c>
      <c r="M417" s="132">
        <v>101</v>
      </c>
      <c r="N417" s="132"/>
      <c r="O417" s="132"/>
      <c r="P417" s="132"/>
      <c r="Q417" s="132"/>
      <c r="R417" s="132"/>
      <c r="S417" s="132"/>
      <c r="T417" s="132"/>
      <c r="U417" s="151"/>
      <c r="V417" s="151"/>
      <c r="W417" s="307" t="s">
        <v>193</v>
      </c>
      <c r="X417" s="308"/>
      <c r="Y417" s="38">
        <f t="shared" si="159"/>
        <v>0</v>
      </c>
      <c r="Z417" s="38">
        <f t="shared" si="160"/>
        <v>8</v>
      </c>
      <c r="AA417" s="38">
        <f t="shared" si="157"/>
        <v>0</v>
      </c>
      <c r="AB417" s="38">
        <f t="shared" si="168"/>
        <v>0</v>
      </c>
      <c r="AC417" s="38">
        <f t="shared" si="169"/>
        <v>0</v>
      </c>
      <c r="AD417" s="38">
        <f t="shared" si="170"/>
        <v>0</v>
      </c>
      <c r="AE417" s="38">
        <f t="shared" si="171"/>
        <v>0</v>
      </c>
      <c r="AF417" s="38">
        <f t="shared" si="172"/>
        <v>0</v>
      </c>
      <c r="AG417" s="33">
        <f t="shared" si="173"/>
        <v>0</v>
      </c>
      <c r="AH417" s="33">
        <f t="shared" si="174"/>
        <v>0</v>
      </c>
      <c r="AI417" s="33">
        <f t="shared" si="175"/>
        <v>0</v>
      </c>
      <c r="AJ417" s="33">
        <f t="shared" si="176"/>
        <v>0</v>
      </c>
      <c r="AK417" s="34">
        <f t="shared" si="177"/>
        <v>0</v>
      </c>
      <c r="AL417" s="35">
        <f t="shared" si="178"/>
        <v>0</v>
      </c>
      <c r="AM417" s="34">
        <f t="shared" si="161"/>
        <v>0</v>
      </c>
      <c r="AN417" s="36">
        <f t="shared" si="179"/>
        <v>0</v>
      </c>
      <c r="AO417" s="6">
        <f t="shared" si="162"/>
        <v>0</v>
      </c>
      <c r="AP417">
        <f t="shared" si="163"/>
        <v>8</v>
      </c>
      <c r="AQ417" s="6">
        <f t="shared" si="164"/>
        <v>0</v>
      </c>
      <c r="AR417" s="6">
        <f t="shared" si="165"/>
        <v>0</v>
      </c>
      <c r="AS417" s="6"/>
      <c r="AX417" s="95">
        <f t="shared" si="166"/>
        <v>42540</v>
      </c>
      <c r="AY417" s="96" t="str">
        <f t="shared" si="167"/>
        <v>dom</v>
      </c>
      <c r="AZ417" s="97">
        <f>IF(OR(AY417="SÁB",AY417="DOM"),0,IFERROR(8-VLOOKUP(C417,'Dados de consulta'!$A$2:$C$38,3,0),8))</f>
        <v>0</v>
      </c>
      <c r="BA417" s="97">
        <f>IF(OR(AY417="SÁB",AY417="DOM"),0,IFERROR(8-VLOOKUP(D417,'Dados de consulta'!$A$2:$C$38,3,0),8))</f>
        <v>0</v>
      </c>
      <c r="BB417" s="97">
        <f>IF(OR(AY417="SÁB",AY417="DOM"),0,IFERROR(8-VLOOKUP(E417,'Dados de consulta'!$A$2:$C$38,3,0),8))</f>
        <v>0</v>
      </c>
      <c r="BC417" s="97">
        <f>IF(OR(AY417="SÁB",AY417="DOM"),0,IFERROR(8-VLOOKUP(F417,'Dados de consulta'!$A$2:$C$38,3,0),8))</f>
        <v>0</v>
      </c>
      <c r="BD417" s="97">
        <f>IF(OR(AY417="SÁB",AY417="DOM"),0,IFERROR(8-VLOOKUP(G417,'Dados de consulta'!$A$2:$C$38,3,0),8))</f>
        <v>0</v>
      </c>
      <c r="BE417" s="97">
        <f>IF(OR(AY417="SÁB",AY417="DOM"),0,IFERROR(8-VLOOKUP(H417,'Dados de consulta'!$A$2:$C$38,3,0),8))</f>
        <v>0</v>
      </c>
      <c r="BF417" s="97">
        <f>IF(OR(AY417="SÁB",AY417="DOM"),0,IFERROR(8-VLOOKUP(I417,'Dados de consulta'!$A$2:$C$38,3,0),8))</f>
        <v>0</v>
      </c>
      <c r="BG417" s="97">
        <f>IF(OR(AY417="SÁB",AY417="DOM"),0,IFERROR(8-VLOOKUP(J417,'Dados de consulta'!$A$2:$C$38,3,0),8))</f>
        <v>0</v>
      </c>
      <c r="BH417" s="97">
        <f>IF(OR(AY417="SÁB",AY417="DOM"),0,IFERROR(8-VLOOKUP(K417,'Dados de consulta'!$A$2:$C$38,3,0),8))</f>
        <v>0</v>
      </c>
      <c r="BI417" s="97">
        <f>IF(OR(AY417="SÁB",AY417="DOM"),0,IFERROR(8-VLOOKUP(L417,'Dados de consulta'!$A$2:$C$38,3,0),8))</f>
        <v>0</v>
      </c>
      <c r="BJ417" s="97">
        <f>IF(OR(AY417="SÁB",AY417="DOM"),0,IFERROR(8-VLOOKUP(M417,'Dados de consulta'!$A$2:$C$38,3,0),8))</f>
        <v>0</v>
      </c>
      <c r="BK417" s="97">
        <f>IF(OR(AY417="SÁB",AY417="DOM"),0,IFERROR(8-VLOOKUP(N417,'Dados de consulta'!$A$2:$C$38,3,0),8))</f>
        <v>0</v>
      </c>
      <c r="BL417" s="97">
        <f>IF(OR(AY417="SÁB",AY417="DOM"),0,IFERROR(8-VLOOKUP(O417,'Dados de consulta'!$A$2:$C$38,3,0),8))</f>
        <v>0</v>
      </c>
      <c r="BM417" s="97">
        <f>IF(OR(AY417="SÁB",AY417="DOM"),0,IFERROR(8-VLOOKUP(P417,'Dados de consulta'!$A$2:$C$38,3,0),8))</f>
        <v>0</v>
      </c>
      <c r="BN417" s="97">
        <f>IF(OR(AY417="SÁB",AY417="DOM"),0,IFERROR(8-VLOOKUP(Q417,'Dados de consulta'!$A$2:$C$38,3,0),8))</f>
        <v>0</v>
      </c>
      <c r="BO417" s="97">
        <f>IF(OR(AY417="SÁB",AY417="DOM"),0,IFERROR(8-VLOOKUP(R417,'Dados de consulta'!$A$2:$C$38,3,0),8))</f>
        <v>0</v>
      </c>
      <c r="BP417" s="97">
        <f>IF(OR(AY417="SÁB",AY417="DOM"),0,IFERROR(8-VLOOKUP(S417,'Dados de consulta'!$A$2:$C$38,3,0),8))</f>
        <v>0</v>
      </c>
      <c r="BQ417" s="113">
        <f>IFERROR(6-VLOOKUP(T417,'Dados de consulta'!$A$2:$C$38,3,0)+2,6)</f>
        <v>6</v>
      </c>
      <c r="BR417" s="114">
        <f t="shared" si="180"/>
        <v>0</v>
      </c>
      <c r="BS417">
        <f t="shared" si="156"/>
        <v>0</v>
      </c>
      <c r="BU417">
        <f>IFERROR(8-VLOOKUP(U417,'Dados de consulta'!$A:$D,3,0),8)</f>
        <v>8</v>
      </c>
      <c r="BV417">
        <f>IFERROR(8-VLOOKUP(V417,'Dados de consulta'!$A:$D,3,0),8)</f>
        <v>8</v>
      </c>
      <c r="BW417">
        <f t="shared" si="181"/>
        <v>16</v>
      </c>
    </row>
    <row r="418" spans="1:75" ht="15" x14ac:dyDescent="0.2">
      <c r="A418" s="98">
        <v>42541</v>
      </c>
      <c r="B418" s="129" t="str">
        <f t="shared" si="158"/>
        <v>seg</v>
      </c>
      <c r="C418" s="132">
        <v>6</v>
      </c>
      <c r="D418" s="132">
        <v>6</v>
      </c>
      <c r="E418" s="132">
        <v>6</v>
      </c>
      <c r="F418" s="132">
        <v>6</v>
      </c>
      <c r="G418" s="132">
        <v>6</v>
      </c>
      <c r="H418" s="132">
        <v>6</v>
      </c>
      <c r="I418" s="132"/>
      <c r="J418" s="132">
        <v>6</v>
      </c>
      <c r="K418" s="132"/>
      <c r="L418" s="132">
        <v>18</v>
      </c>
      <c r="M418" s="132">
        <v>101</v>
      </c>
      <c r="N418" s="132">
        <v>6</v>
      </c>
      <c r="O418" s="132">
        <v>6</v>
      </c>
      <c r="P418" s="132"/>
      <c r="Q418" s="132">
        <v>6</v>
      </c>
      <c r="R418" s="132"/>
      <c r="S418" s="132">
        <v>6</v>
      </c>
      <c r="T418" s="132"/>
      <c r="U418" s="132">
        <v>6</v>
      </c>
      <c r="V418" s="132">
        <v>6</v>
      </c>
      <c r="W418" s="307" t="s">
        <v>193</v>
      </c>
      <c r="X418" s="308"/>
      <c r="Y418" s="38">
        <f t="shared" si="159"/>
        <v>0</v>
      </c>
      <c r="Z418" s="38">
        <f t="shared" si="160"/>
        <v>8</v>
      </c>
      <c r="AA418" s="38">
        <f t="shared" si="157"/>
        <v>0</v>
      </c>
      <c r="AB418" s="38">
        <f t="shared" si="168"/>
        <v>88</v>
      </c>
      <c r="AC418" s="38">
        <f t="shared" si="169"/>
        <v>0</v>
      </c>
      <c r="AD418" s="38">
        <f t="shared" si="170"/>
        <v>0</v>
      </c>
      <c r="AE418" s="38">
        <f t="shared" si="171"/>
        <v>0</v>
      </c>
      <c r="AF418" s="38">
        <f t="shared" si="172"/>
        <v>0</v>
      </c>
      <c r="AG418" s="33">
        <f t="shared" si="173"/>
        <v>0</v>
      </c>
      <c r="AH418" s="33">
        <f t="shared" si="174"/>
        <v>8</v>
      </c>
      <c r="AI418" s="33">
        <f t="shared" si="175"/>
        <v>0</v>
      </c>
      <c r="AJ418" s="33">
        <f t="shared" si="176"/>
        <v>88</v>
      </c>
      <c r="AK418" s="34">
        <f t="shared" si="177"/>
        <v>0</v>
      </c>
      <c r="AL418" s="35">
        <f t="shared" si="178"/>
        <v>5.6338028169014086E-2</v>
      </c>
      <c r="AM418" s="34">
        <f t="shared" si="161"/>
        <v>0</v>
      </c>
      <c r="AN418" s="36">
        <f t="shared" si="179"/>
        <v>0.61971830985915488</v>
      </c>
      <c r="AO418" s="6">
        <f t="shared" si="162"/>
        <v>0</v>
      </c>
      <c r="AP418">
        <f t="shared" si="163"/>
        <v>8</v>
      </c>
      <c r="AQ418" s="6">
        <f t="shared" si="164"/>
        <v>0</v>
      </c>
      <c r="AR418" s="6">
        <f t="shared" si="165"/>
        <v>0</v>
      </c>
      <c r="AS418" s="6"/>
      <c r="AX418" s="95">
        <f t="shared" si="166"/>
        <v>42541</v>
      </c>
      <c r="AY418" s="96" t="str">
        <f t="shared" si="167"/>
        <v>seg</v>
      </c>
      <c r="AZ418" s="97">
        <f>IF(OR(AY418="SÁB",AY418="DOM"),0,IFERROR(8-VLOOKUP(C418,'Dados de consulta'!$A$2:$C$38,3,0),8))</f>
        <v>0</v>
      </c>
      <c r="BA418" s="97">
        <f>IF(OR(AY418="SÁB",AY418="DOM"),0,IFERROR(8-VLOOKUP(D418,'Dados de consulta'!$A$2:$C$38,3,0),8))</f>
        <v>0</v>
      </c>
      <c r="BB418" s="97">
        <f>IF(OR(AY418="SÁB",AY418="DOM"),0,IFERROR(8-VLOOKUP(E418,'Dados de consulta'!$A$2:$C$38,3,0),8))</f>
        <v>0</v>
      </c>
      <c r="BC418" s="97">
        <f>IF(OR(AY418="SÁB",AY418="DOM"),0,IFERROR(8-VLOOKUP(F418,'Dados de consulta'!$A$2:$C$38,3,0),8))</f>
        <v>0</v>
      </c>
      <c r="BD418" s="97">
        <f>IF(OR(AY418="SÁB",AY418="DOM"),0,IFERROR(8-VLOOKUP(G418,'Dados de consulta'!$A$2:$C$38,3,0),8))</f>
        <v>0</v>
      </c>
      <c r="BE418" s="97">
        <f>IF(OR(AY418="SÁB",AY418="DOM"),0,IFERROR(8-VLOOKUP(H418,'Dados de consulta'!$A$2:$C$38,3,0),8))</f>
        <v>0</v>
      </c>
      <c r="BF418" s="97">
        <f>IF(OR(AY418="SÁB",AY418="DOM"),0,IFERROR(8-VLOOKUP(I418,'Dados de consulta'!$A$2:$C$38,3,0),8))</f>
        <v>8</v>
      </c>
      <c r="BG418" s="97">
        <f>IF(OR(AY418="SÁB",AY418="DOM"),0,IFERROR(8-VLOOKUP(J418,'Dados de consulta'!$A$2:$C$38,3,0),8))</f>
        <v>0</v>
      </c>
      <c r="BH418" s="97">
        <f>IF(OR(AY418="SÁB",AY418="DOM"),0,IFERROR(8-VLOOKUP(K418,'Dados de consulta'!$A$2:$C$38,3,0),8))</f>
        <v>8</v>
      </c>
      <c r="BI418" s="97">
        <f>IF(OR(AY418="SÁB",AY418="DOM"),0,IFERROR(8-VLOOKUP(L418,'Dados de consulta'!$A$2:$C$38,3,0),8))</f>
        <v>0</v>
      </c>
      <c r="BJ418" s="97">
        <f>IF(OR(AY418="SÁB",AY418="DOM"),0,IFERROR(8-VLOOKUP(M418,'Dados de consulta'!$A$2:$C$38,3,0),8))</f>
        <v>0</v>
      </c>
      <c r="BK418" s="97">
        <f>IF(OR(AY418="SÁB",AY418="DOM"),0,IFERROR(8-VLOOKUP(N418,'Dados de consulta'!$A$2:$C$38,3,0),8))</f>
        <v>0</v>
      </c>
      <c r="BL418" s="97">
        <f>IF(OR(AY418="SÁB",AY418="DOM"),0,IFERROR(8-VLOOKUP(O418,'Dados de consulta'!$A$2:$C$38,3,0),8))</f>
        <v>0</v>
      </c>
      <c r="BM418" s="97">
        <f>IF(OR(AY418="SÁB",AY418="DOM"),0,IFERROR(8-VLOOKUP(P418,'Dados de consulta'!$A$2:$C$38,3,0),8))</f>
        <v>8</v>
      </c>
      <c r="BN418" s="97">
        <f>IF(OR(AY418="SÁB",AY418="DOM"),0,IFERROR(8-VLOOKUP(Q418,'Dados de consulta'!$A$2:$C$38,3,0),8))</f>
        <v>0</v>
      </c>
      <c r="BO418" s="97">
        <f>IF(OR(AY418="SÁB",AY418="DOM"),0,IFERROR(8-VLOOKUP(R418,'Dados de consulta'!$A$2:$C$38,3,0),8))</f>
        <v>8</v>
      </c>
      <c r="BP418" s="97">
        <f>IF(OR(AY418="SÁB",AY418="DOM"),0,IFERROR(8-VLOOKUP(S418,'Dados de consulta'!$A$2:$C$38,3,0),8))</f>
        <v>0</v>
      </c>
      <c r="BQ418" s="113">
        <f>IFERROR(6-VLOOKUP(T418,'Dados de consulta'!$A$2:$C$38,3,0)+2,6)</f>
        <v>6</v>
      </c>
      <c r="BR418" s="114">
        <f t="shared" si="180"/>
        <v>38</v>
      </c>
      <c r="BS418">
        <f t="shared" si="156"/>
        <v>134</v>
      </c>
      <c r="BU418">
        <f>IFERROR(8-VLOOKUP(U418,'Dados de consulta'!$A:$D,3,0),8)</f>
        <v>0</v>
      </c>
      <c r="BV418">
        <f>IFERROR(8-VLOOKUP(V418,'Dados de consulta'!$A:$D,3,0),8)</f>
        <v>0</v>
      </c>
      <c r="BW418">
        <f t="shared" si="181"/>
        <v>0</v>
      </c>
    </row>
    <row r="419" spans="1:75" ht="15" x14ac:dyDescent="0.2">
      <c r="A419" s="98">
        <v>42542</v>
      </c>
      <c r="B419" s="129" t="str">
        <f t="shared" si="158"/>
        <v>ter</v>
      </c>
      <c r="C419" s="132"/>
      <c r="D419" s="132"/>
      <c r="E419" s="132"/>
      <c r="F419" s="132"/>
      <c r="G419" s="132"/>
      <c r="H419" s="132"/>
      <c r="I419" s="132"/>
      <c r="J419" s="132"/>
      <c r="K419" s="132"/>
      <c r="L419" s="132">
        <v>18</v>
      </c>
      <c r="M419" s="132">
        <v>101</v>
      </c>
      <c r="N419" s="132"/>
      <c r="O419" s="132"/>
      <c r="P419" s="132"/>
      <c r="Q419" s="132"/>
      <c r="R419" s="132"/>
      <c r="S419" s="132"/>
      <c r="T419" s="132"/>
      <c r="U419" s="151"/>
      <c r="V419" s="151"/>
      <c r="W419" s="307" t="s">
        <v>193</v>
      </c>
      <c r="X419" s="308"/>
      <c r="Y419" s="38">
        <f t="shared" si="159"/>
        <v>0</v>
      </c>
      <c r="Z419" s="38">
        <f t="shared" si="160"/>
        <v>8</v>
      </c>
      <c r="AA419" s="38">
        <f t="shared" si="157"/>
        <v>0</v>
      </c>
      <c r="AB419" s="38">
        <f t="shared" si="168"/>
        <v>0</v>
      </c>
      <c r="AC419" s="38">
        <f t="shared" si="169"/>
        <v>0</v>
      </c>
      <c r="AD419" s="38">
        <f t="shared" si="170"/>
        <v>0</v>
      </c>
      <c r="AE419" s="38">
        <f t="shared" si="171"/>
        <v>0</v>
      </c>
      <c r="AF419" s="38">
        <f t="shared" si="172"/>
        <v>0</v>
      </c>
      <c r="AG419" s="33">
        <f t="shared" si="173"/>
        <v>0</v>
      </c>
      <c r="AH419" s="33">
        <f t="shared" si="174"/>
        <v>8</v>
      </c>
      <c r="AI419" s="33">
        <f t="shared" si="175"/>
        <v>0</v>
      </c>
      <c r="AJ419" s="33">
        <f t="shared" si="176"/>
        <v>0</v>
      </c>
      <c r="AK419" s="34">
        <f t="shared" si="177"/>
        <v>0</v>
      </c>
      <c r="AL419" s="35">
        <f t="shared" si="178"/>
        <v>5.6338028169014086E-2</v>
      </c>
      <c r="AM419" s="34">
        <f t="shared" si="161"/>
        <v>0</v>
      </c>
      <c r="AN419" s="36">
        <f t="shared" si="179"/>
        <v>0</v>
      </c>
      <c r="AO419" s="6">
        <f t="shared" si="162"/>
        <v>0</v>
      </c>
      <c r="AP419">
        <f t="shared" si="163"/>
        <v>8</v>
      </c>
      <c r="AQ419" s="6">
        <f t="shared" si="164"/>
        <v>0</v>
      </c>
      <c r="AR419" s="6">
        <f t="shared" si="165"/>
        <v>0</v>
      </c>
      <c r="AS419" s="6"/>
      <c r="AX419" s="95">
        <f t="shared" si="166"/>
        <v>42542</v>
      </c>
      <c r="AY419" s="96" t="str">
        <f t="shared" si="167"/>
        <v>ter</v>
      </c>
      <c r="AZ419" s="97">
        <f>IF(OR(AY419="SÁB",AY419="DOM"),0,IFERROR(8-VLOOKUP(C419,'Dados de consulta'!$A$2:$C$38,3,0),8))</f>
        <v>8</v>
      </c>
      <c r="BA419" s="97">
        <f>IF(OR(AY419="SÁB",AY419="DOM"),0,IFERROR(8-VLOOKUP(D419,'Dados de consulta'!$A$2:$C$38,3,0),8))</f>
        <v>8</v>
      </c>
      <c r="BB419" s="97">
        <f>IF(OR(AY419="SÁB",AY419="DOM"),0,IFERROR(8-VLOOKUP(E419,'Dados de consulta'!$A$2:$C$38,3,0),8))</f>
        <v>8</v>
      </c>
      <c r="BC419" s="97">
        <f>IF(OR(AY419="SÁB",AY419="DOM"),0,IFERROR(8-VLOOKUP(F419,'Dados de consulta'!$A$2:$C$38,3,0),8))</f>
        <v>8</v>
      </c>
      <c r="BD419" s="97">
        <f>IF(OR(AY419="SÁB",AY419="DOM"),0,IFERROR(8-VLOOKUP(G419,'Dados de consulta'!$A$2:$C$38,3,0),8))</f>
        <v>8</v>
      </c>
      <c r="BE419" s="97">
        <f>IF(OR(AY419="SÁB",AY419="DOM"),0,IFERROR(8-VLOOKUP(H419,'Dados de consulta'!$A$2:$C$38,3,0),8))</f>
        <v>8</v>
      </c>
      <c r="BF419" s="97">
        <f>IF(OR(AY419="SÁB",AY419="DOM"),0,IFERROR(8-VLOOKUP(I419,'Dados de consulta'!$A$2:$C$38,3,0),8))</f>
        <v>8</v>
      </c>
      <c r="BG419" s="97">
        <f>IF(OR(AY419="SÁB",AY419="DOM"),0,IFERROR(8-VLOOKUP(J419,'Dados de consulta'!$A$2:$C$38,3,0),8))</f>
        <v>8</v>
      </c>
      <c r="BH419" s="97">
        <f>IF(OR(AY419="SÁB",AY419="DOM"),0,IFERROR(8-VLOOKUP(K419,'Dados de consulta'!$A$2:$C$38,3,0),8))</f>
        <v>8</v>
      </c>
      <c r="BI419" s="97">
        <f>IF(OR(AY419="SÁB",AY419="DOM"),0,IFERROR(8-VLOOKUP(L419,'Dados de consulta'!$A$2:$C$38,3,0),8))</f>
        <v>0</v>
      </c>
      <c r="BJ419" s="97">
        <f>IF(OR(AY419="SÁB",AY419="DOM"),0,IFERROR(8-VLOOKUP(M419,'Dados de consulta'!$A$2:$C$38,3,0),8))</f>
        <v>0</v>
      </c>
      <c r="BK419" s="97">
        <f>IF(OR(AY419="SÁB",AY419="DOM"),0,IFERROR(8-VLOOKUP(N419,'Dados de consulta'!$A$2:$C$38,3,0),8))</f>
        <v>8</v>
      </c>
      <c r="BL419" s="97">
        <f>IF(OR(AY419="SÁB",AY419="DOM"),0,IFERROR(8-VLOOKUP(O419,'Dados de consulta'!$A$2:$C$38,3,0),8))</f>
        <v>8</v>
      </c>
      <c r="BM419" s="97">
        <f>IF(OR(AY419="SÁB",AY419="DOM"),0,IFERROR(8-VLOOKUP(P419,'Dados de consulta'!$A$2:$C$38,3,0),8))</f>
        <v>8</v>
      </c>
      <c r="BN419" s="97">
        <f>IF(OR(AY419="SÁB",AY419="DOM"),0,IFERROR(8-VLOOKUP(Q419,'Dados de consulta'!$A$2:$C$38,3,0),8))</f>
        <v>8</v>
      </c>
      <c r="BO419" s="97">
        <f>IF(OR(AY419="SÁB",AY419="DOM"),0,IFERROR(8-VLOOKUP(R419,'Dados de consulta'!$A$2:$C$38,3,0),8))</f>
        <v>8</v>
      </c>
      <c r="BP419" s="97">
        <f>IF(OR(AY419="SÁB",AY419="DOM"),0,IFERROR(8-VLOOKUP(S419,'Dados de consulta'!$A$2:$C$38,3,0),8))</f>
        <v>8</v>
      </c>
      <c r="BQ419" s="113">
        <f>IFERROR(6-VLOOKUP(T419,'Dados de consulta'!$A$2:$C$38,3,0)+2,6)</f>
        <v>6</v>
      </c>
      <c r="BR419" s="114">
        <f t="shared" si="180"/>
        <v>126</v>
      </c>
      <c r="BS419">
        <f t="shared" si="156"/>
        <v>134</v>
      </c>
      <c r="BU419">
        <f>IFERROR(8-VLOOKUP(U419,'Dados de consulta'!$A:$D,3,0),8)</f>
        <v>8</v>
      </c>
      <c r="BV419">
        <f>IFERROR(8-VLOOKUP(V419,'Dados de consulta'!$A:$D,3,0),8)</f>
        <v>8</v>
      </c>
      <c r="BW419">
        <f t="shared" si="181"/>
        <v>16</v>
      </c>
    </row>
    <row r="420" spans="1:75" ht="15" x14ac:dyDescent="0.2">
      <c r="A420" s="98">
        <v>42543</v>
      </c>
      <c r="B420" s="129" t="str">
        <f t="shared" si="158"/>
        <v>qua</v>
      </c>
      <c r="C420" s="132"/>
      <c r="D420" s="132"/>
      <c r="E420" s="132"/>
      <c r="F420" s="132"/>
      <c r="G420" s="132"/>
      <c r="H420" s="132"/>
      <c r="I420" s="132"/>
      <c r="J420" s="132"/>
      <c r="K420" s="132"/>
      <c r="L420" s="132">
        <v>18</v>
      </c>
      <c r="M420" s="132">
        <v>101</v>
      </c>
      <c r="N420" s="132"/>
      <c r="O420" s="132"/>
      <c r="P420" s="132"/>
      <c r="Q420" s="132"/>
      <c r="R420" s="132"/>
      <c r="S420" s="132"/>
      <c r="T420" s="132"/>
      <c r="U420" s="151"/>
      <c r="V420" s="151"/>
      <c r="W420" s="307" t="s">
        <v>193</v>
      </c>
      <c r="X420" s="308"/>
      <c r="Y420" s="38">
        <f t="shared" si="159"/>
        <v>0</v>
      </c>
      <c r="Z420" s="38">
        <f t="shared" si="160"/>
        <v>8</v>
      </c>
      <c r="AA420" s="38">
        <f t="shared" si="157"/>
        <v>0</v>
      </c>
      <c r="AB420" s="38">
        <f t="shared" si="168"/>
        <v>0</v>
      </c>
      <c r="AC420" s="38">
        <f t="shared" si="169"/>
        <v>0</v>
      </c>
      <c r="AD420" s="38">
        <f t="shared" si="170"/>
        <v>0</v>
      </c>
      <c r="AE420" s="38">
        <f t="shared" si="171"/>
        <v>0</v>
      </c>
      <c r="AF420" s="38">
        <f t="shared" si="172"/>
        <v>0</v>
      </c>
      <c r="AG420" s="33">
        <f t="shared" si="173"/>
        <v>0</v>
      </c>
      <c r="AH420" s="33">
        <f t="shared" si="174"/>
        <v>8</v>
      </c>
      <c r="AI420" s="33">
        <f t="shared" si="175"/>
        <v>0</v>
      </c>
      <c r="AJ420" s="33">
        <f t="shared" si="176"/>
        <v>0</v>
      </c>
      <c r="AK420" s="34">
        <f t="shared" si="177"/>
        <v>0</v>
      </c>
      <c r="AL420" s="35">
        <f t="shared" si="178"/>
        <v>5.6338028169014086E-2</v>
      </c>
      <c r="AM420" s="34">
        <f t="shared" si="161"/>
        <v>0</v>
      </c>
      <c r="AN420" s="36">
        <f t="shared" si="179"/>
        <v>0</v>
      </c>
      <c r="AO420" s="6">
        <f t="shared" si="162"/>
        <v>0</v>
      </c>
      <c r="AP420">
        <f t="shared" si="163"/>
        <v>8</v>
      </c>
      <c r="AQ420" s="6">
        <f t="shared" si="164"/>
        <v>0</v>
      </c>
      <c r="AR420" s="6">
        <f t="shared" si="165"/>
        <v>0</v>
      </c>
      <c r="AS420" s="6"/>
      <c r="AX420" s="95">
        <f t="shared" si="166"/>
        <v>42543</v>
      </c>
      <c r="AY420" s="96" t="str">
        <f t="shared" si="167"/>
        <v>qua</v>
      </c>
      <c r="AZ420" s="97">
        <f>IF(OR(AY420="SÁB",AY420="DOM"),0,IFERROR(8-VLOOKUP(C420,'Dados de consulta'!$A$2:$C$38,3,0),8))</f>
        <v>8</v>
      </c>
      <c r="BA420" s="97">
        <f>IF(OR(AY420="SÁB",AY420="DOM"),0,IFERROR(8-VLOOKUP(D420,'Dados de consulta'!$A$2:$C$38,3,0),8))</f>
        <v>8</v>
      </c>
      <c r="BB420" s="97">
        <f>IF(OR(AY420="SÁB",AY420="DOM"),0,IFERROR(8-VLOOKUP(E420,'Dados de consulta'!$A$2:$C$38,3,0),8))</f>
        <v>8</v>
      </c>
      <c r="BC420" s="97">
        <f>IF(OR(AY420="SÁB",AY420="DOM"),0,IFERROR(8-VLOOKUP(F420,'Dados de consulta'!$A$2:$C$38,3,0),8))</f>
        <v>8</v>
      </c>
      <c r="BD420" s="97">
        <f>IF(OR(AY420="SÁB",AY420="DOM"),0,IFERROR(8-VLOOKUP(G420,'Dados de consulta'!$A$2:$C$38,3,0),8))</f>
        <v>8</v>
      </c>
      <c r="BE420" s="97">
        <f>IF(OR(AY420="SÁB",AY420="DOM"),0,IFERROR(8-VLOOKUP(H420,'Dados de consulta'!$A$2:$C$38,3,0),8))</f>
        <v>8</v>
      </c>
      <c r="BF420" s="97">
        <f>IF(OR(AY420="SÁB",AY420="DOM"),0,IFERROR(8-VLOOKUP(I420,'Dados de consulta'!$A$2:$C$38,3,0),8))</f>
        <v>8</v>
      </c>
      <c r="BG420" s="97">
        <f>IF(OR(AY420="SÁB",AY420="DOM"),0,IFERROR(8-VLOOKUP(J420,'Dados de consulta'!$A$2:$C$38,3,0),8))</f>
        <v>8</v>
      </c>
      <c r="BH420" s="97">
        <f>IF(OR(AY420="SÁB",AY420="DOM"),0,IFERROR(8-VLOOKUP(K420,'Dados de consulta'!$A$2:$C$38,3,0),8))</f>
        <v>8</v>
      </c>
      <c r="BI420" s="97">
        <f>IF(OR(AY420="SÁB",AY420="DOM"),0,IFERROR(8-VLOOKUP(L420,'Dados de consulta'!$A$2:$C$38,3,0),8))</f>
        <v>0</v>
      </c>
      <c r="BJ420" s="97">
        <f>IF(OR(AY420="SÁB",AY420="DOM"),0,IFERROR(8-VLOOKUP(M420,'Dados de consulta'!$A$2:$C$38,3,0),8))</f>
        <v>0</v>
      </c>
      <c r="BK420" s="97">
        <f>IF(OR(AY420="SÁB",AY420="DOM"),0,IFERROR(8-VLOOKUP(N420,'Dados de consulta'!$A$2:$C$38,3,0),8))</f>
        <v>8</v>
      </c>
      <c r="BL420" s="97">
        <f>IF(OR(AY420="SÁB",AY420="DOM"),0,IFERROR(8-VLOOKUP(O420,'Dados de consulta'!$A$2:$C$38,3,0),8))</f>
        <v>8</v>
      </c>
      <c r="BM420" s="97">
        <f>IF(OR(AY420="SÁB",AY420="DOM"),0,IFERROR(8-VLOOKUP(P420,'Dados de consulta'!$A$2:$C$38,3,0),8))</f>
        <v>8</v>
      </c>
      <c r="BN420" s="97">
        <f>IF(OR(AY420="SÁB",AY420="DOM"),0,IFERROR(8-VLOOKUP(Q420,'Dados de consulta'!$A$2:$C$38,3,0),8))</f>
        <v>8</v>
      </c>
      <c r="BO420" s="97">
        <f>IF(OR(AY420="SÁB",AY420="DOM"),0,IFERROR(8-VLOOKUP(R420,'Dados de consulta'!$A$2:$C$38,3,0),8))</f>
        <v>8</v>
      </c>
      <c r="BP420" s="97">
        <f>IF(OR(AY420="SÁB",AY420="DOM"),0,IFERROR(8-VLOOKUP(S420,'Dados de consulta'!$A$2:$C$38,3,0),8))</f>
        <v>8</v>
      </c>
      <c r="BQ420" s="113">
        <f>IFERROR(6-VLOOKUP(T420,'Dados de consulta'!$A$2:$C$38,3,0)+2,6)</f>
        <v>6</v>
      </c>
      <c r="BR420" s="114">
        <f t="shared" si="180"/>
        <v>126</v>
      </c>
      <c r="BS420">
        <f t="shared" si="156"/>
        <v>134</v>
      </c>
      <c r="BU420">
        <f>IFERROR(8-VLOOKUP(U420,'Dados de consulta'!$A:$D,3,0),8)</f>
        <v>8</v>
      </c>
      <c r="BV420">
        <f>IFERROR(8-VLOOKUP(V420,'Dados de consulta'!$A:$D,3,0),8)</f>
        <v>8</v>
      </c>
      <c r="BW420">
        <f t="shared" si="181"/>
        <v>16</v>
      </c>
    </row>
    <row r="421" spans="1:75" ht="15" x14ac:dyDescent="0.2">
      <c r="A421" s="98">
        <v>42544</v>
      </c>
      <c r="B421" s="129" t="str">
        <f t="shared" si="158"/>
        <v>qui</v>
      </c>
      <c r="C421" s="132"/>
      <c r="D421" s="132"/>
      <c r="E421" s="132"/>
      <c r="F421" s="132"/>
      <c r="G421" s="132"/>
      <c r="H421" s="132"/>
      <c r="I421" s="132"/>
      <c r="J421" s="132"/>
      <c r="K421" s="132"/>
      <c r="L421" s="132">
        <v>18</v>
      </c>
      <c r="M421" s="132">
        <v>101</v>
      </c>
      <c r="N421" s="132"/>
      <c r="O421" s="132"/>
      <c r="P421" s="132"/>
      <c r="Q421" s="132"/>
      <c r="R421" s="132"/>
      <c r="S421" s="132"/>
      <c r="T421" s="132"/>
      <c r="U421" s="151"/>
      <c r="V421" s="151"/>
      <c r="W421" s="307" t="s">
        <v>193</v>
      </c>
      <c r="X421" s="308"/>
      <c r="Y421" s="38">
        <f t="shared" si="159"/>
        <v>0</v>
      </c>
      <c r="Z421" s="38">
        <f t="shared" si="160"/>
        <v>8</v>
      </c>
      <c r="AA421" s="38">
        <f t="shared" si="157"/>
        <v>0</v>
      </c>
      <c r="AB421" s="38">
        <f t="shared" si="168"/>
        <v>0</v>
      </c>
      <c r="AC421" s="38">
        <f t="shared" si="169"/>
        <v>0</v>
      </c>
      <c r="AD421" s="38">
        <f t="shared" si="170"/>
        <v>0</v>
      </c>
      <c r="AE421" s="38">
        <f t="shared" si="171"/>
        <v>0</v>
      </c>
      <c r="AF421" s="38">
        <f t="shared" si="172"/>
        <v>0</v>
      </c>
      <c r="AG421" s="33">
        <f t="shared" si="173"/>
        <v>0</v>
      </c>
      <c r="AH421" s="33">
        <f t="shared" si="174"/>
        <v>8</v>
      </c>
      <c r="AI421" s="33">
        <f t="shared" si="175"/>
        <v>0</v>
      </c>
      <c r="AJ421" s="33">
        <f t="shared" si="176"/>
        <v>0</v>
      </c>
      <c r="AK421" s="34">
        <f t="shared" si="177"/>
        <v>0</v>
      </c>
      <c r="AL421" s="35">
        <f t="shared" si="178"/>
        <v>5.6338028169014086E-2</v>
      </c>
      <c r="AM421" s="34">
        <f t="shared" si="161"/>
        <v>0</v>
      </c>
      <c r="AN421" s="36">
        <f t="shared" si="179"/>
        <v>0</v>
      </c>
      <c r="AO421" s="6">
        <f t="shared" si="162"/>
        <v>0</v>
      </c>
      <c r="AP421">
        <f t="shared" si="163"/>
        <v>8</v>
      </c>
      <c r="AQ421" s="6">
        <f t="shared" si="164"/>
        <v>0</v>
      </c>
      <c r="AR421" s="6">
        <f t="shared" si="165"/>
        <v>0</v>
      </c>
      <c r="AS421" s="6"/>
      <c r="AX421" s="95">
        <f t="shared" si="166"/>
        <v>42544</v>
      </c>
      <c r="AY421" s="96" t="str">
        <f t="shared" si="167"/>
        <v>qui</v>
      </c>
      <c r="AZ421" s="97">
        <f>IF(OR(AY421="SÁB",AY421="DOM"),0,IFERROR(8-VLOOKUP(C421,'Dados de consulta'!$A$2:$C$38,3,0),8))</f>
        <v>8</v>
      </c>
      <c r="BA421" s="97">
        <f>IF(OR(AY421="SÁB",AY421="DOM"),0,IFERROR(8-VLOOKUP(D421,'Dados de consulta'!$A$2:$C$38,3,0),8))</f>
        <v>8</v>
      </c>
      <c r="BB421" s="97">
        <f>IF(OR(AY421="SÁB",AY421="DOM"),0,IFERROR(8-VLOOKUP(E421,'Dados de consulta'!$A$2:$C$38,3,0),8))</f>
        <v>8</v>
      </c>
      <c r="BC421" s="97">
        <f>IF(OR(AY421="SÁB",AY421="DOM"),0,IFERROR(8-VLOOKUP(F421,'Dados de consulta'!$A$2:$C$38,3,0),8))</f>
        <v>8</v>
      </c>
      <c r="BD421" s="97">
        <f>IF(OR(AY421="SÁB",AY421="DOM"),0,IFERROR(8-VLOOKUP(G421,'Dados de consulta'!$A$2:$C$38,3,0),8))</f>
        <v>8</v>
      </c>
      <c r="BE421" s="97">
        <f>IF(OR(AY421="SÁB",AY421="DOM"),0,IFERROR(8-VLOOKUP(H421,'Dados de consulta'!$A$2:$C$38,3,0),8))</f>
        <v>8</v>
      </c>
      <c r="BF421" s="97">
        <f>IF(OR(AY421="SÁB",AY421="DOM"),0,IFERROR(8-VLOOKUP(I421,'Dados de consulta'!$A$2:$C$38,3,0),8))</f>
        <v>8</v>
      </c>
      <c r="BG421" s="97">
        <f>IF(OR(AY421="SÁB",AY421="DOM"),0,IFERROR(8-VLOOKUP(J421,'Dados de consulta'!$A$2:$C$38,3,0),8))</f>
        <v>8</v>
      </c>
      <c r="BH421" s="97">
        <f>IF(OR(AY421="SÁB",AY421="DOM"),0,IFERROR(8-VLOOKUP(K421,'Dados de consulta'!$A$2:$C$38,3,0),8))</f>
        <v>8</v>
      </c>
      <c r="BI421" s="97">
        <f>IF(OR(AY421="SÁB",AY421="DOM"),0,IFERROR(8-VLOOKUP(L421,'Dados de consulta'!$A$2:$C$38,3,0),8))</f>
        <v>0</v>
      </c>
      <c r="BJ421" s="97">
        <f>IF(OR(AY421="SÁB",AY421="DOM"),0,IFERROR(8-VLOOKUP(M421,'Dados de consulta'!$A$2:$C$38,3,0),8))</f>
        <v>0</v>
      </c>
      <c r="BK421" s="97">
        <f>IF(OR(AY421="SÁB",AY421="DOM"),0,IFERROR(8-VLOOKUP(N421,'Dados de consulta'!$A$2:$C$38,3,0),8))</f>
        <v>8</v>
      </c>
      <c r="BL421" s="97">
        <f>IF(OR(AY421="SÁB",AY421="DOM"),0,IFERROR(8-VLOOKUP(O421,'Dados de consulta'!$A$2:$C$38,3,0),8))</f>
        <v>8</v>
      </c>
      <c r="BM421" s="97">
        <f>IF(OR(AY421="SÁB",AY421="DOM"),0,IFERROR(8-VLOOKUP(P421,'Dados de consulta'!$A$2:$C$38,3,0),8))</f>
        <v>8</v>
      </c>
      <c r="BN421" s="97">
        <f>IF(OR(AY421="SÁB",AY421="DOM"),0,IFERROR(8-VLOOKUP(Q421,'Dados de consulta'!$A$2:$C$38,3,0),8))</f>
        <v>8</v>
      </c>
      <c r="BO421" s="97">
        <f>IF(OR(AY421="SÁB",AY421="DOM"),0,IFERROR(8-VLOOKUP(R421,'Dados de consulta'!$A$2:$C$38,3,0),8))</f>
        <v>8</v>
      </c>
      <c r="BP421" s="97">
        <f>IF(OR(AY421="SÁB",AY421="DOM"),0,IFERROR(8-VLOOKUP(S421,'Dados de consulta'!$A$2:$C$38,3,0),8))</f>
        <v>8</v>
      </c>
      <c r="BQ421" s="113">
        <f>IFERROR(6-VLOOKUP(T421,'Dados de consulta'!$A$2:$C$38,3,0)+2,6)</f>
        <v>6</v>
      </c>
      <c r="BR421" s="114">
        <f t="shared" si="180"/>
        <v>126</v>
      </c>
      <c r="BS421">
        <f t="shared" si="156"/>
        <v>134</v>
      </c>
      <c r="BU421">
        <f>IFERROR(8-VLOOKUP(U421,'Dados de consulta'!$A:$D,3,0),8)</f>
        <v>8</v>
      </c>
      <c r="BV421">
        <f>IFERROR(8-VLOOKUP(V421,'Dados de consulta'!$A:$D,3,0),8)</f>
        <v>8</v>
      </c>
      <c r="BW421">
        <f t="shared" si="181"/>
        <v>16</v>
      </c>
    </row>
    <row r="422" spans="1:75" ht="15" x14ac:dyDescent="0.2">
      <c r="A422" s="98">
        <v>42545</v>
      </c>
      <c r="B422" s="129" t="str">
        <f t="shared" si="158"/>
        <v>sex</v>
      </c>
      <c r="C422" s="132"/>
      <c r="D422" s="132"/>
      <c r="E422" s="132"/>
      <c r="F422" s="132"/>
      <c r="G422" s="132"/>
      <c r="H422" s="132"/>
      <c r="I422" s="132"/>
      <c r="J422" s="132"/>
      <c r="K422" s="132"/>
      <c r="L422" s="132">
        <v>18</v>
      </c>
      <c r="M422" s="132">
        <v>101</v>
      </c>
      <c r="N422" s="132"/>
      <c r="O422" s="132"/>
      <c r="P422" s="132"/>
      <c r="Q422" s="132"/>
      <c r="R422" s="132"/>
      <c r="S422" s="132"/>
      <c r="T422" s="132"/>
      <c r="U422" s="151"/>
      <c r="V422" s="151"/>
      <c r="W422" s="307" t="s">
        <v>193</v>
      </c>
      <c r="X422" s="308"/>
      <c r="Y422" s="38">
        <f t="shared" si="159"/>
        <v>0</v>
      </c>
      <c r="Z422" s="38">
        <f t="shared" si="160"/>
        <v>8</v>
      </c>
      <c r="AA422" s="38">
        <f t="shared" si="157"/>
        <v>0</v>
      </c>
      <c r="AB422" s="38">
        <f t="shared" si="168"/>
        <v>0</v>
      </c>
      <c r="AC422" s="38">
        <f t="shared" si="169"/>
        <v>0</v>
      </c>
      <c r="AD422" s="38">
        <f t="shared" si="170"/>
        <v>0</v>
      </c>
      <c r="AE422" s="38">
        <f t="shared" si="171"/>
        <v>0</v>
      </c>
      <c r="AF422" s="38">
        <f t="shared" si="172"/>
        <v>0</v>
      </c>
      <c r="AG422" s="33">
        <f t="shared" si="173"/>
        <v>0</v>
      </c>
      <c r="AH422" s="33">
        <f t="shared" si="174"/>
        <v>8</v>
      </c>
      <c r="AI422" s="33">
        <f t="shared" si="175"/>
        <v>0</v>
      </c>
      <c r="AJ422" s="33">
        <f t="shared" si="176"/>
        <v>0</v>
      </c>
      <c r="AK422" s="34">
        <f t="shared" si="177"/>
        <v>0</v>
      </c>
      <c r="AL422" s="35">
        <f t="shared" si="178"/>
        <v>5.6338028169014086E-2</v>
      </c>
      <c r="AM422" s="34">
        <f t="shared" si="161"/>
        <v>0</v>
      </c>
      <c r="AN422" s="36">
        <f t="shared" si="179"/>
        <v>0</v>
      </c>
      <c r="AO422" s="6">
        <f t="shared" si="162"/>
        <v>0</v>
      </c>
      <c r="AP422">
        <f t="shared" si="163"/>
        <v>8</v>
      </c>
      <c r="AQ422" s="6">
        <f t="shared" si="164"/>
        <v>0</v>
      </c>
      <c r="AR422" s="6">
        <f t="shared" si="165"/>
        <v>0</v>
      </c>
      <c r="AS422" s="6"/>
      <c r="AX422" s="95">
        <f t="shared" si="166"/>
        <v>42545</v>
      </c>
      <c r="AY422" s="96" t="str">
        <f t="shared" si="167"/>
        <v>sex</v>
      </c>
      <c r="AZ422" s="97">
        <f>IF(OR(AY422="SÁB",AY422="DOM"),0,IFERROR(8-VLOOKUP(C422,'Dados de consulta'!$A$2:$C$38,3,0),8))</f>
        <v>8</v>
      </c>
      <c r="BA422" s="97">
        <f>IF(OR(AY422="SÁB",AY422="DOM"),0,IFERROR(8-VLOOKUP(D422,'Dados de consulta'!$A$2:$C$38,3,0),8))</f>
        <v>8</v>
      </c>
      <c r="BB422" s="97">
        <f>IF(OR(AY422="SÁB",AY422="DOM"),0,IFERROR(8-VLOOKUP(E422,'Dados de consulta'!$A$2:$C$38,3,0),8))</f>
        <v>8</v>
      </c>
      <c r="BC422" s="97">
        <f>IF(OR(AY422="SÁB",AY422="DOM"),0,IFERROR(8-VLOOKUP(F422,'Dados de consulta'!$A$2:$C$38,3,0),8))</f>
        <v>8</v>
      </c>
      <c r="BD422" s="97">
        <f>IF(OR(AY422="SÁB",AY422="DOM"),0,IFERROR(8-VLOOKUP(G422,'Dados de consulta'!$A$2:$C$38,3,0),8))</f>
        <v>8</v>
      </c>
      <c r="BE422" s="97">
        <f>IF(OR(AY422="SÁB",AY422="DOM"),0,IFERROR(8-VLOOKUP(H422,'Dados de consulta'!$A$2:$C$38,3,0),8))</f>
        <v>8</v>
      </c>
      <c r="BF422" s="97">
        <f>IF(OR(AY422="SÁB",AY422="DOM"),0,IFERROR(8-VLOOKUP(I422,'Dados de consulta'!$A$2:$C$38,3,0),8))</f>
        <v>8</v>
      </c>
      <c r="BG422" s="97">
        <f>IF(OR(AY422="SÁB",AY422="DOM"),0,IFERROR(8-VLOOKUP(J422,'Dados de consulta'!$A$2:$C$38,3,0),8))</f>
        <v>8</v>
      </c>
      <c r="BH422" s="97">
        <f>IF(OR(AY422="SÁB",AY422="DOM"),0,IFERROR(8-VLOOKUP(K422,'Dados de consulta'!$A$2:$C$38,3,0),8))</f>
        <v>8</v>
      </c>
      <c r="BI422" s="97">
        <f>IF(OR(AY422="SÁB",AY422="DOM"),0,IFERROR(8-VLOOKUP(L422,'Dados de consulta'!$A$2:$C$38,3,0),8))</f>
        <v>0</v>
      </c>
      <c r="BJ422" s="97">
        <f>IF(OR(AY422="SÁB",AY422="DOM"),0,IFERROR(8-VLOOKUP(M422,'Dados de consulta'!$A$2:$C$38,3,0),8))</f>
        <v>0</v>
      </c>
      <c r="BK422" s="97">
        <f>IF(OR(AY422="SÁB",AY422="DOM"),0,IFERROR(8-VLOOKUP(N422,'Dados de consulta'!$A$2:$C$38,3,0),8))</f>
        <v>8</v>
      </c>
      <c r="BL422" s="97">
        <f>IF(OR(AY422="SÁB",AY422="DOM"),0,IFERROR(8-VLOOKUP(O422,'Dados de consulta'!$A$2:$C$38,3,0),8))</f>
        <v>8</v>
      </c>
      <c r="BM422" s="97">
        <f>IF(OR(AY422="SÁB",AY422="DOM"),0,IFERROR(8-VLOOKUP(P422,'Dados de consulta'!$A$2:$C$38,3,0),8))</f>
        <v>8</v>
      </c>
      <c r="BN422" s="97">
        <f>IF(OR(AY422="SÁB",AY422="DOM"),0,IFERROR(8-VLOOKUP(Q422,'Dados de consulta'!$A$2:$C$38,3,0),8))</f>
        <v>8</v>
      </c>
      <c r="BO422" s="97">
        <f>IF(OR(AY422="SÁB",AY422="DOM"),0,IFERROR(8-VLOOKUP(R422,'Dados de consulta'!$A$2:$C$38,3,0),8))</f>
        <v>8</v>
      </c>
      <c r="BP422" s="97">
        <f>IF(OR(AY422="SÁB",AY422="DOM"),0,IFERROR(8-VLOOKUP(S422,'Dados de consulta'!$A$2:$C$38,3,0),8))</f>
        <v>8</v>
      </c>
      <c r="BQ422" s="113">
        <f>IFERROR(6-VLOOKUP(T422,'Dados de consulta'!$A$2:$C$38,3,0)+2,6)</f>
        <v>6</v>
      </c>
      <c r="BR422" s="114">
        <f t="shared" si="180"/>
        <v>126</v>
      </c>
      <c r="BS422">
        <f t="shared" si="156"/>
        <v>134</v>
      </c>
      <c r="BU422">
        <f>IFERROR(8-VLOOKUP(U422,'Dados de consulta'!$A:$D,3,0),8)</f>
        <v>8</v>
      </c>
      <c r="BV422">
        <f>IFERROR(8-VLOOKUP(V422,'Dados de consulta'!$A:$D,3,0),8)</f>
        <v>8</v>
      </c>
      <c r="BW422">
        <f t="shared" si="181"/>
        <v>16</v>
      </c>
    </row>
    <row r="423" spans="1:75" ht="15" x14ac:dyDescent="0.2">
      <c r="A423" s="98">
        <v>42546</v>
      </c>
      <c r="B423" s="129" t="str">
        <f t="shared" si="158"/>
        <v>sáb</v>
      </c>
      <c r="C423" s="132"/>
      <c r="D423" s="132"/>
      <c r="E423" s="132"/>
      <c r="F423" s="132"/>
      <c r="G423" s="132"/>
      <c r="H423" s="132"/>
      <c r="I423" s="132"/>
      <c r="J423" s="132"/>
      <c r="K423" s="132"/>
      <c r="L423" s="132">
        <v>18</v>
      </c>
      <c r="M423" s="132">
        <v>101</v>
      </c>
      <c r="N423" s="132"/>
      <c r="O423" s="132"/>
      <c r="P423" s="132"/>
      <c r="Q423" s="132"/>
      <c r="R423" s="132"/>
      <c r="S423" s="132"/>
      <c r="T423" s="132"/>
      <c r="U423" s="151"/>
      <c r="V423" s="151"/>
      <c r="W423" s="307" t="s">
        <v>193</v>
      </c>
      <c r="X423" s="308"/>
      <c r="Y423" s="38">
        <f t="shared" si="159"/>
        <v>0</v>
      </c>
      <c r="Z423" s="38">
        <f t="shared" si="160"/>
        <v>8</v>
      </c>
      <c r="AA423" s="38">
        <f t="shared" si="157"/>
        <v>0</v>
      </c>
      <c r="AB423" s="38">
        <f t="shared" si="168"/>
        <v>0</v>
      </c>
      <c r="AC423" s="38">
        <f t="shared" si="169"/>
        <v>0</v>
      </c>
      <c r="AD423" s="38">
        <f t="shared" si="170"/>
        <v>0</v>
      </c>
      <c r="AE423" s="38">
        <f t="shared" si="171"/>
        <v>0</v>
      </c>
      <c r="AF423" s="38">
        <f t="shared" si="172"/>
        <v>0</v>
      </c>
      <c r="AG423" s="33">
        <f t="shared" si="173"/>
        <v>0</v>
      </c>
      <c r="AH423" s="33">
        <f t="shared" si="174"/>
        <v>0</v>
      </c>
      <c r="AI423" s="33">
        <f t="shared" si="175"/>
        <v>0</v>
      </c>
      <c r="AJ423" s="33">
        <f t="shared" si="176"/>
        <v>0</v>
      </c>
      <c r="AK423" s="34">
        <f t="shared" si="177"/>
        <v>0</v>
      </c>
      <c r="AL423" s="35">
        <f t="shared" si="178"/>
        <v>0</v>
      </c>
      <c r="AM423" s="34">
        <f t="shared" si="161"/>
        <v>0</v>
      </c>
      <c r="AN423" s="36">
        <f t="shared" si="179"/>
        <v>0</v>
      </c>
      <c r="AO423" s="6">
        <f t="shared" si="162"/>
        <v>0</v>
      </c>
      <c r="AP423">
        <f t="shared" si="163"/>
        <v>8</v>
      </c>
      <c r="AQ423" s="6">
        <f t="shared" si="164"/>
        <v>0</v>
      </c>
      <c r="AR423" s="6">
        <f t="shared" si="165"/>
        <v>0</v>
      </c>
      <c r="AS423" s="6"/>
      <c r="AX423" s="95">
        <f t="shared" si="166"/>
        <v>42546</v>
      </c>
      <c r="AY423" s="96" t="str">
        <f t="shared" si="167"/>
        <v>sáb</v>
      </c>
      <c r="AZ423" s="97">
        <f>IF(OR(AY423="SÁB",AY423="DOM"),0,IFERROR(8-VLOOKUP(C423,'Dados de consulta'!$A$2:$C$38,3,0),8))</f>
        <v>0</v>
      </c>
      <c r="BA423" s="97">
        <f>IF(OR(AY423="SÁB",AY423="DOM"),0,IFERROR(8-VLOOKUP(D423,'Dados de consulta'!$A$2:$C$38,3,0),8))</f>
        <v>0</v>
      </c>
      <c r="BB423" s="97">
        <f>IF(OR(AY423="SÁB",AY423="DOM"),0,IFERROR(8-VLOOKUP(E423,'Dados de consulta'!$A$2:$C$38,3,0),8))</f>
        <v>0</v>
      </c>
      <c r="BC423" s="97">
        <f>IF(OR(AY423="SÁB",AY423="DOM"),0,IFERROR(8-VLOOKUP(F423,'Dados de consulta'!$A$2:$C$38,3,0),8))</f>
        <v>0</v>
      </c>
      <c r="BD423" s="97">
        <f>IF(OR(AY423="SÁB",AY423="DOM"),0,IFERROR(8-VLOOKUP(G423,'Dados de consulta'!$A$2:$C$38,3,0),8))</f>
        <v>0</v>
      </c>
      <c r="BE423" s="97">
        <f>IF(OR(AY423="SÁB",AY423="DOM"),0,IFERROR(8-VLOOKUP(H423,'Dados de consulta'!$A$2:$C$38,3,0),8))</f>
        <v>0</v>
      </c>
      <c r="BF423" s="97">
        <f>IF(OR(AY423="SÁB",AY423="DOM"),0,IFERROR(8-VLOOKUP(I423,'Dados de consulta'!$A$2:$C$38,3,0),8))</f>
        <v>0</v>
      </c>
      <c r="BG423" s="97">
        <f>IF(OR(AY423="SÁB",AY423="DOM"),0,IFERROR(8-VLOOKUP(J423,'Dados de consulta'!$A$2:$C$38,3,0),8))</f>
        <v>0</v>
      </c>
      <c r="BH423" s="97">
        <f>IF(OR(AY423="SÁB",AY423="DOM"),0,IFERROR(8-VLOOKUP(K423,'Dados de consulta'!$A$2:$C$38,3,0),8))</f>
        <v>0</v>
      </c>
      <c r="BI423" s="97">
        <f>IF(OR(AY423="SÁB",AY423="DOM"),0,IFERROR(8-VLOOKUP(L423,'Dados de consulta'!$A$2:$C$38,3,0),8))</f>
        <v>0</v>
      </c>
      <c r="BJ423" s="97">
        <f>IF(OR(AY423="SÁB",AY423="DOM"),0,IFERROR(8-VLOOKUP(M423,'Dados de consulta'!$A$2:$C$38,3,0),8))</f>
        <v>0</v>
      </c>
      <c r="BK423" s="97">
        <f>IF(OR(AY423="SÁB",AY423="DOM"),0,IFERROR(8-VLOOKUP(N423,'Dados de consulta'!$A$2:$C$38,3,0),8))</f>
        <v>0</v>
      </c>
      <c r="BL423" s="97">
        <f>IF(OR(AY423="SÁB",AY423="DOM"),0,IFERROR(8-VLOOKUP(O423,'Dados de consulta'!$A$2:$C$38,3,0),8))</f>
        <v>0</v>
      </c>
      <c r="BM423" s="97">
        <f>IF(OR(AY423="SÁB",AY423="DOM"),0,IFERROR(8-VLOOKUP(P423,'Dados de consulta'!$A$2:$C$38,3,0),8))</f>
        <v>0</v>
      </c>
      <c r="BN423" s="97">
        <f>IF(OR(AY423="SÁB",AY423="DOM"),0,IFERROR(8-VLOOKUP(Q423,'Dados de consulta'!$A$2:$C$38,3,0),8))</f>
        <v>0</v>
      </c>
      <c r="BO423" s="97">
        <f>IF(OR(AY423="SÁB",AY423="DOM"),0,IFERROR(8-VLOOKUP(R423,'Dados de consulta'!$A$2:$C$38,3,0),8))</f>
        <v>0</v>
      </c>
      <c r="BP423" s="97">
        <f>IF(OR(AY423="SÁB",AY423="DOM"),0,IFERROR(8-VLOOKUP(S423,'Dados de consulta'!$A$2:$C$38,3,0),8))</f>
        <v>0</v>
      </c>
      <c r="BQ423" s="113">
        <f>IFERROR(6-VLOOKUP(T423,'Dados de consulta'!$A$2:$C$38,3,0)+2,6)</f>
        <v>6</v>
      </c>
      <c r="BR423" s="114">
        <f t="shared" si="180"/>
        <v>0</v>
      </c>
      <c r="BS423">
        <f t="shared" si="156"/>
        <v>0</v>
      </c>
      <c r="BU423">
        <f>IFERROR(8-VLOOKUP(U423,'Dados de consulta'!$A:$D,3,0),8)</f>
        <v>8</v>
      </c>
      <c r="BV423">
        <f>IFERROR(8-VLOOKUP(V423,'Dados de consulta'!$A:$D,3,0),8)</f>
        <v>8</v>
      </c>
      <c r="BW423">
        <f t="shared" si="181"/>
        <v>16</v>
      </c>
    </row>
    <row r="424" spans="1:75" ht="15" x14ac:dyDescent="0.2">
      <c r="A424" s="98">
        <v>42547</v>
      </c>
      <c r="B424" s="129" t="str">
        <f t="shared" si="158"/>
        <v>dom</v>
      </c>
      <c r="C424" s="132"/>
      <c r="D424" s="132"/>
      <c r="E424" s="132"/>
      <c r="F424" s="132"/>
      <c r="G424" s="132"/>
      <c r="H424" s="132"/>
      <c r="I424" s="132"/>
      <c r="J424" s="132"/>
      <c r="K424" s="132"/>
      <c r="L424" s="132">
        <v>18</v>
      </c>
      <c r="M424" s="132">
        <v>101</v>
      </c>
      <c r="N424" s="132"/>
      <c r="O424" s="132"/>
      <c r="P424" s="132"/>
      <c r="Q424" s="132"/>
      <c r="R424" s="132"/>
      <c r="S424" s="132"/>
      <c r="T424" s="132"/>
      <c r="U424" s="151"/>
      <c r="V424" s="151"/>
      <c r="W424" s="307" t="s">
        <v>193</v>
      </c>
      <c r="X424" s="308"/>
      <c r="Y424" s="38">
        <f t="shared" si="159"/>
        <v>0</v>
      </c>
      <c r="Z424" s="38">
        <f t="shared" si="160"/>
        <v>8</v>
      </c>
      <c r="AA424" s="38">
        <f t="shared" si="157"/>
        <v>0</v>
      </c>
      <c r="AB424" s="38">
        <f t="shared" si="168"/>
        <v>0</v>
      </c>
      <c r="AC424" s="38">
        <f t="shared" si="169"/>
        <v>0</v>
      </c>
      <c r="AD424" s="38">
        <f t="shared" si="170"/>
        <v>0</v>
      </c>
      <c r="AE424" s="38">
        <f t="shared" si="171"/>
        <v>0</v>
      </c>
      <c r="AF424" s="38">
        <f t="shared" si="172"/>
        <v>0</v>
      </c>
      <c r="AG424" s="33">
        <f t="shared" si="173"/>
        <v>0</v>
      </c>
      <c r="AH424" s="33">
        <f t="shared" si="174"/>
        <v>0</v>
      </c>
      <c r="AI424" s="33">
        <f t="shared" si="175"/>
        <v>0</v>
      </c>
      <c r="AJ424" s="33">
        <f t="shared" si="176"/>
        <v>0</v>
      </c>
      <c r="AK424" s="34">
        <f t="shared" si="177"/>
        <v>0</v>
      </c>
      <c r="AL424" s="35">
        <f t="shared" si="178"/>
        <v>0</v>
      </c>
      <c r="AM424" s="34">
        <f t="shared" si="161"/>
        <v>0</v>
      </c>
      <c r="AN424" s="36">
        <f t="shared" si="179"/>
        <v>0</v>
      </c>
      <c r="AO424" s="6">
        <f t="shared" si="162"/>
        <v>0</v>
      </c>
      <c r="AP424">
        <f t="shared" si="163"/>
        <v>8</v>
      </c>
      <c r="AQ424" s="6">
        <f t="shared" si="164"/>
        <v>0</v>
      </c>
      <c r="AR424" s="6">
        <f t="shared" si="165"/>
        <v>0</v>
      </c>
      <c r="AS424" s="6"/>
      <c r="AX424" s="95">
        <f t="shared" si="166"/>
        <v>42547</v>
      </c>
      <c r="AY424" s="96" t="str">
        <f t="shared" si="167"/>
        <v>dom</v>
      </c>
      <c r="AZ424" s="97">
        <f>IF(OR(AY424="SÁB",AY424="DOM"),0,IFERROR(8-VLOOKUP(C424,'Dados de consulta'!$A$2:$C$38,3,0),8))</f>
        <v>0</v>
      </c>
      <c r="BA424" s="97">
        <f>IF(OR(AY424="SÁB",AY424="DOM"),0,IFERROR(8-VLOOKUP(D424,'Dados de consulta'!$A$2:$C$38,3,0),8))</f>
        <v>0</v>
      </c>
      <c r="BB424" s="97">
        <f>IF(OR(AY424="SÁB",AY424="DOM"),0,IFERROR(8-VLOOKUP(E424,'Dados de consulta'!$A$2:$C$38,3,0),8))</f>
        <v>0</v>
      </c>
      <c r="BC424" s="97">
        <f>IF(OR(AY424="SÁB",AY424="DOM"),0,IFERROR(8-VLOOKUP(F424,'Dados de consulta'!$A$2:$C$38,3,0),8))</f>
        <v>0</v>
      </c>
      <c r="BD424" s="97">
        <f>IF(OR(AY424="SÁB",AY424="DOM"),0,IFERROR(8-VLOOKUP(G424,'Dados de consulta'!$A$2:$C$38,3,0),8))</f>
        <v>0</v>
      </c>
      <c r="BE424" s="97">
        <f>IF(OR(AY424="SÁB",AY424="DOM"),0,IFERROR(8-VLOOKUP(H424,'Dados de consulta'!$A$2:$C$38,3,0),8))</f>
        <v>0</v>
      </c>
      <c r="BF424" s="97">
        <f>IF(OR(AY424="SÁB",AY424="DOM"),0,IFERROR(8-VLOOKUP(I424,'Dados de consulta'!$A$2:$C$38,3,0),8))</f>
        <v>0</v>
      </c>
      <c r="BG424" s="97">
        <f>IF(OR(AY424="SÁB",AY424="DOM"),0,IFERROR(8-VLOOKUP(J424,'Dados de consulta'!$A$2:$C$38,3,0),8))</f>
        <v>0</v>
      </c>
      <c r="BH424" s="97">
        <f>IF(OR(AY424="SÁB",AY424="DOM"),0,IFERROR(8-VLOOKUP(K424,'Dados de consulta'!$A$2:$C$38,3,0),8))</f>
        <v>0</v>
      </c>
      <c r="BI424" s="97">
        <f>IF(OR(AY424="SÁB",AY424="DOM"),0,IFERROR(8-VLOOKUP(L424,'Dados de consulta'!$A$2:$C$38,3,0),8))</f>
        <v>0</v>
      </c>
      <c r="BJ424" s="97">
        <f>IF(OR(AY424="SÁB",AY424="DOM"),0,IFERROR(8-VLOOKUP(M424,'Dados de consulta'!$A$2:$C$38,3,0),8))</f>
        <v>0</v>
      </c>
      <c r="BK424" s="97">
        <f>IF(OR(AY424="SÁB",AY424="DOM"),0,IFERROR(8-VLOOKUP(N424,'Dados de consulta'!$A$2:$C$38,3,0),8))</f>
        <v>0</v>
      </c>
      <c r="BL424" s="97">
        <f>IF(OR(AY424="SÁB",AY424="DOM"),0,IFERROR(8-VLOOKUP(O424,'Dados de consulta'!$A$2:$C$38,3,0),8))</f>
        <v>0</v>
      </c>
      <c r="BM424" s="97">
        <f>IF(OR(AY424="SÁB",AY424="DOM"),0,IFERROR(8-VLOOKUP(P424,'Dados de consulta'!$A$2:$C$38,3,0),8))</f>
        <v>0</v>
      </c>
      <c r="BN424" s="97">
        <f>IF(OR(AY424="SÁB",AY424="DOM"),0,IFERROR(8-VLOOKUP(Q424,'Dados de consulta'!$A$2:$C$38,3,0),8))</f>
        <v>0</v>
      </c>
      <c r="BO424" s="97">
        <f>IF(OR(AY424="SÁB",AY424="DOM"),0,IFERROR(8-VLOOKUP(R424,'Dados de consulta'!$A$2:$C$38,3,0),8))</f>
        <v>0</v>
      </c>
      <c r="BP424" s="97">
        <f>IF(OR(AY424="SÁB",AY424="DOM"),0,IFERROR(8-VLOOKUP(S424,'Dados de consulta'!$A$2:$C$38,3,0),8))</f>
        <v>0</v>
      </c>
      <c r="BQ424" s="113">
        <f>IFERROR(6-VLOOKUP(T424,'Dados de consulta'!$A$2:$C$38,3,0)+2,6)</f>
        <v>6</v>
      </c>
      <c r="BR424" s="114">
        <f t="shared" si="180"/>
        <v>0</v>
      </c>
      <c r="BS424">
        <f t="shared" si="156"/>
        <v>0</v>
      </c>
      <c r="BU424">
        <f>IFERROR(8-VLOOKUP(U424,'Dados de consulta'!$A:$D,3,0),8)</f>
        <v>8</v>
      </c>
      <c r="BV424">
        <f>IFERROR(8-VLOOKUP(V424,'Dados de consulta'!$A:$D,3,0),8)</f>
        <v>8</v>
      </c>
      <c r="BW424">
        <f t="shared" si="181"/>
        <v>16</v>
      </c>
    </row>
    <row r="425" spans="1:75" ht="15" x14ac:dyDescent="0.2">
      <c r="A425" s="98">
        <v>42548</v>
      </c>
      <c r="B425" s="129" t="str">
        <f t="shared" si="158"/>
        <v>seg</v>
      </c>
      <c r="C425" s="132"/>
      <c r="D425" s="132"/>
      <c r="E425" s="132"/>
      <c r="F425" s="132"/>
      <c r="G425" s="132"/>
      <c r="H425" s="132"/>
      <c r="I425" s="132"/>
      <c r="J425" s="132"/>
      <c r="K425" s="132"/>
      <c r="L425" s="132">
        <v>18</v>
      </c>
      <c r="M425" s="132">
        <v>101</v>
      </c>
      <c r="N425" s="132"/>
      <c r="O425" s="132"/>
      <c r="P425" s="132"/>
      <c r="Q425" s="132"/>
      <c r="R425" s="132"/>
      <c r="S425" s="132"/>
      <c r="T425" s="132"/>
      <c r="U425" s="151">
        <v>18</v>
      </c>
      <c r="V425" s="151"/>
      <c r="W425" s="307" t="s">
        <v>193</v>
      </c>
      <c r="X425" s="308"/>
      <c r="Y425" s="38">
        <f t="shared" si="159"/>
        <v>0</v>
      </c>
      <c r="Z425" s="38">
        <f t="shared" si="160"/>
        <v>8</v>
      </c>
      <c r="AA425" s="38">
        <f t="shared" si="157"/>
        <v>0</v>
      </c>
      <c r="AB425" s="38">
        <f t="shared" si="168"/>
        <v>0</v>
      </c>
      <c r="AC425" s="38">
        <f t="shared" si="169"/>
        <v>0</v>
      </c>
      <c r="AD425" s="38">
        <f t="shared" si="170"/>
        <v>0</v>
      </c>
      <c r="AE425" s="38">
        <f t="shared" si="171"/>
        <v>0</v>
      </c>
      <c r="AF425" s="38">
        <f t="shared" si="172"/>
        <v>0</v>
      </c>
      <c r="AG425" s="33">
        <f t="shared" si="173"/>
        <v>0</v>
      </c>
      <c r="AH425" s="33">
        <f t="shared" si="174"/>
        <v>8</v>
      </c>
      <c r="AI425" s="33">
        <f t="shared" si="175"/>
        <v>0</v>
      </c>
      <c r="AJ425" s="33">
        <f t="shared" si="176"/>
        <v>0</v>
      </c>
      <c r="AK425" s="34">
        <f t="shared" si="177"/>
        <v>0</v>
      </c>
      <c r="AL425" s="35">
        <f t="shared" si="178"/>
        <v>5.6338028169014086E-2</v>
      </c>
      <c r="AM425" s="34">
        <f t="shared" si="161"/>
        <v>0</v>
      </c>
      <c r="AN425" s="36">
        <f t="shared" si="179"/>
        <v>0</v>
      </c>
      <c r="AO425" s="6">
        <f t="shared" si="162"/>
        <v>0</v>
      </c>
      <c r="AP425">
        <f t="shared" si="163"/>
        <v>8</v>
      </c>
      <c r="AQ425" s="6">
        <f t="shared" si="164"/>
        <v>0</v>
      </c>
      <c r="AR425" s="6">
        <f t="shared" si="165"/>
        <v>0</v>
      </c>
      <c r="AS425" s="6"/>
      <c r="AX425" s="95">
        <f t="shared" si="166"/>
        <v>42548</v>
      </c>
      <c r="AY425" s="96" t="str">
        <f t="shared" si="167"/>
        <v>seg</v>
      </c>
      <c r="AZ425" s="97">
        <f>IF(OR(AY425="SÁB",AY425="DOM"),0,IFERROR(8-VLOOKUP(C425,'Dados de consulta'!$A$2:$C$38,3,0),8))</f>
        <v>8</v>
      </c>
      <c r="BA425" s="97">
        <f>IF(OR(AY425="SÁB",AY425="DOM"),0,IFERROR(8-VLOOKUP(D425,'Dados de consulta'!$A$2:$C$38,3,0),8))</f>
        <v>8</v>
      </c>
      <c r="BB425" s="97">
        <f>IF(OR(AY425="SÁB",AY425="DOM"),0,IFERROR(8-VLOOKUP(E425,'Dados de consulta'!$A$2:$C$38,3,0),8))</f>
        <v>8</v>
      </c>
      <c r="BC425" s="97">
        <f>IF(OR(AY425="SÁB",AY425="DOM"),0,IFERROR(8-VLOOKUP(F425,'Dados de consulta'!$A$2:$C$38,3,0),8))</f>
        <v>8</v>
      </c>
      <c r="BD425" s="97">
        <f>IF(OR(AY425="SÁB",AY425="DOM"),0,IFERROR(8-VLOOKUP(G425,'Dados de consulta'!$A$2:$C$38,3,0),8))</f>
        <v>8</v>
      </c>
      <c r="BE425" s="97">
        <f>IF(OR(AY425="SÁB",AY425="DOM"),0,IFERROR(8-VLOOKUP(H425,'Dados de consulta'!$A$2:$C$38,3,0),8))</f>
        <v>8</v>
      </c>
      <c r="BF425" s="97">
        <f>IF(OR(AY425="SÁB",AY425="DOM"),0,IFERROR(8-VLOOKUP(I425,'Dados de consulta'!$A$2:$C$38,3,0),8))</f>
        <v>8</v>
      </c>
      <c r="BG425" s="97">
        <f>IF(OR(AY425="SÁB",AY425="DOM"),0,IFERROR(8-VLOOKUP(J425,'Dados de consulta'!$A$2:$C$38,3,0),8))</f>
        <v>8</v>
      </c>
      <c r="BH425" s="97">
        <f>IF(OR(AY425="SÁB",AY425="DOM"),0,IFERROR(8-VLOOKUP(K425,'Dados de consulta'!$A$2:$C$38,3,0),8))</f>
        <v>8</v>
      </c>
      <c r="BI425" s="97">
        <f>IF(OR(AY425="SÁB",AY425="DOM"),0,IFERROR(8-VLOOKUP(L425,'Dados de consulta'!$A$2:$C$38,3,0),8))</f>
        <v>0</v>
      </c>
      <c r="BJ425" s="97">
        <f>IF(OR(AY425="SÁB",AY425="DOM"),0,IFERROR(8-VLOOKUP(M425,'Dados de consulta'!$A$2:$C$38,3,0),8))</f>
        <v>0</v>
      </c>
      <c r="BK425" s="97">
        <f>IF(OR(AY425="SÁB",AY425="DOM"),0,IFERROR(8-VLOOKUP(N425,'Dados de consulta'!$A$2:$C$38,3,0),8))</f>
        <v>8</v>
      </c>
      <c r="BL425" s="97">
        <f>IF(OR(AY425="SÁB",AY425="DOM"),0,IFERROR(8-VLOOKUP(O425,'Dados de consulta'!$A$2:$C$38,3,0),8))</f>
        <v>8</v>
      </c>
      <c r="BM425" s="97">
        <f>IF(OR(AY425="SÁB",AY425="DOM"),0,IFERROR(8-VLOOKUP(P425,'Dados de consulta'!$A$2:$C$38,3,0),8))</f>
        <v>8</v>
      </c>
      <c r="BN425" s="97">
        <f>IF(OR(AY425="SÁB",AY425="DOM"),0,IFERROR(8-VLOOKUP(Q425,'Dados de consulta'!$A$2:$C$38,3,0),8))</f>
        <v>8</v>
      </c>
      <c r="BO425" s="97">
        <f>IF(OR(AY425="SÁB",AY425="DOM"),0,IFERROR(8-VLOOKUP(R425,'Dados de consulta'!$A$2:$C$38,3,0),8))</f>
        <v>8</v>
      </c>
      <c r="BP425" s="97">
        <f>IF(OR(AY425="SÁB",AY425="DOM"),0,IFERROR(8-VLOOKUP(S425,'Dados de consulta'!$A$2:$C$38,3,0),8))</f>
        <v>8</v>
      </c>
      <c r="BQ425" s="113">
        <f>IFERROR(6-VLOOKUP(T425,'Dados de consulta'!$A$2:$C$38,3,0)+2,6)</f>
        <v>6</v>
      </c>
      <c r="BR425" s="114">
        <f t="shared" si="180"/>
        <v>126</v>
      </c>
      <c r="BS425">
        <f t="shared" si="156"/>
        <v>134</v>
      </c>
      <c r="BU425">
        <f>IFERROR(8-VLOOKUP(U425,'Dados de consulta'!$A:$D,3,0),8)</f>
        <v>0</v>
      </c>
      <c r="BV425">
        <f>IFERROR(8-VLOOKUP(V425,'Dados de consulta'!$A:$D,3,0),8)</f>
        <v>8</v>
      </c>
      <c r="BW425">
        <f t="shared" si="181"/>
        <v>8</v>
      </c>
    </row>
    <row r="426" spans="1:75" ht="15" x14ac:dyDescent="0.2">
      <c r="A426" s="98">
        <v>42549</v>
      </c>
      <c r="B426" s="129" t="str">
        <f t="shared" si="158"/>
        <v>ter</v>
      </c>
      <c r="C426" s="132"/>
      <c r="D426" s="132"/>
      <c r="E426" s="132"/>
      <c r="F426" s="132"/>
      <c r="G426" s="132"/>
      <c r="H426" s="132"/>
      <c r="I426" s="132"/>
      <c r="J426" s="132"/>
      <c r="K426" s="132"/>
      <c r="L426" s="132">
        <v>18</v>
      </c>
      <c r="M426" s="132">
        <v>101</v>
      </c>
      <c r="N426" s="132"/>
      <c r="O426" s="132"/>
      <c r="P426" s="132"/>
      <c r="Q426" s="132"/>
      <c r="R426" s="132"/>
      <c r="S426" s="132"/>
      <c r="T426" s="132"/>
      <c r="U426" s="151">
        <v>18</v>
      </c>
      <c r="V426" s="151"/>
      <c r="W426" s="307" t="s">
        <v>193</v>
      </c>
      <c r="X426" s="308"/>
      <c r="Y426" s="38">
        <f t="shared" si="159"/>
        <v>0</v>
      </c>
      <c r="Z426" s="38">
        <f t="shared" si="160"/>
        <v>8</v>
      </c>
      <c r="AA426" s="38">
        <f t="shared" si="157"/>
        <v>0</v>
      </c>
      <c r="AB426" s="38">
        <f t="shared" si="168"/>
        <v>0</v>
      </c>
      <c r="AC426" s="38">
        <f t="shared" si="169"/>
        <v>0</v>
      </c>
      <c r="AD426" s="38">
        <f t="shared" si="170"/>
        <v>0</v>
      </c>
      <c r="AE426" s="38">
        <f t="shared" si="171"/>
        <v>0</v>
      </c>
      <c r="AF426" s="38">
        <f t="shared" si="172"/>
        <v>0</v>
      </c>
      <c r="AG426" s="33">
        <f t="shared" si="173"/>
        <v>0</v>
      </c>
      <c r="AH426" s="33">
        <f t="shared" si="174"/>
        <v>8</v>
      </c>
      <c r="AI426" s="33">
        <f t="shared" si="175"/>
        <v>0</v>
      </c>
      <c r="AJ426" s="33">
        <f t="shared" si="176"/>
        <v>0</v>
      </c>
      <c r="AK426" s="34">
        <f t="shared" si="177"/>
        <v>0</v>
      </c>
      <c r="AL426" s="35">
        <f t="shared" si="178"/>
        <v>5.6338028169014086E-2</v>
      </c>
      <c r="AM426" s="34">
        <f t="shared" si="161"/>
        <v>0</v>
      </c>
      <c r="AN426" s="36">
        <f t="shared" si="179"/>
        <v>0</v>
      </c>
      <c r="AO426" s="6">
        <f t="shared" si="162"/>
        <v>0</v>
      </c>
      <c r="AP426">
        <f t="shared" si="163"/>
        <v>8</v>
      </c>
      <c r="AQ426" s="6">
        <f t="shared" si="164"/>
        <v>0</v>
      </c>
      <c r="AR426" s="6">
        <f t="shared" si="165"/>
        <v>0</v>
      </c>
      <c r="AS426" s="6"/>
      <c r="AX426" s="95">
        <f t="shared" si="166"/>
        <v>42549</v>
      </c>
      <c r="AY426" s="96" t="str">
        <f t="shared" si="167"/>
        <v>ter</v>
      </c>
      <c r="AZ426" s="97">
        <f>IF(OR(AY426="SÁB",AY426="DOM"),0,IFERROR(8-VLOOKUP(C426,'Dados de consulta'!$A$2:$C$38,3,0),8))</f>
        <v>8</v>
      </c>
      <c r="BA426" s="97">
        <f>IF(OR(AY426="SÁB",AY426="DOM"),0,IFERROR(8-VLOOKUP(D426,'Dados de consulta'!$A$2:$C$38,3,0),8))</f>
        <v>8</v>
      </c>
      <c r="BB426" s="97">
        <f>IF(OR(AY426="SÁB",AY426="DOM"),0,IFERROR(8-VLOOKUP(E426,'Dados de consulta'!$A$2:$C$38,3,0),8))</f>
        <v>8</v>
      </c>
      <c r="BC426" s="97">
        <f>IF(OR(AY426="SÁB",AY426="DOM"),0,IFERROR(8-VLOOKUP(F426,'Dados de consulta'!$A$2:$C$38,3,0),8))</f>
        <v>8</v>
      </c>
      <c r="BD426" s="97">
        <f>IF(OR(AY426="SÁB",AY426="DOM"),0,IFERROR(8-VLOOKUP(G426,'Dados de consulta'!$A$2:$C$38,3,0),8))</f>
        <v>8</v>
      </c>
      <c r="BE426" s="97">
        <f>IF(OR(AY426="SÁB",AY426="DOM"),0,IFERROR(8-VLOOKUP(H426,'Dados de consulta'!$A$2:$C$38,3,0),8))</f>
        <v>8</v>
      </c>
      <c r="BF426" s="97">
        <f>IF(OR(AY426="SÁB",AY426="DOM"),0,IFERROR(8-VLOOKUP(I426,'Dados de consulta'!$A$2:$C$38,3,0),8))</f>
        <v>8</v>
      </c>
      <c r="BG426" s="97">
        <f>IF(OR(AY426="SÁB",AY426="DOM"),0,IFERROR(8-VLOOKUP(J426,'Dados de consulta'!$A$2:$C$38,3,0),8))</f>
        <v>8</v>
      </c>
      <c r="BH426" s="97">
        <f>IF(OR(AY426="SÁB",AY426="DOM"),0,IFERROR(8-VLOOKUP(K426,'Dados de consulta'!$A$2:$C$38,3,0),8))</f>
        <v>8</v>
      </c>
      <c r="BI426" s="97">
        <f>IF(OR(AY426="SÁB",AY426="DOM"),0,IFERROR(8-VLOOKUP(L426,'Dados de consulta'!$A$2:$C$38,3,0),8))</f>
        <v>0</v>
      </c>
      <c r="BJ426" s="97">
        <f>IF(OR(AY426="SÁB",AY426="DOM"),0,IFERROR(8-VLOOKUP(M426,'Dados de consulta'!$A$2:$C$38,3,0),8))</f>
        <v>0</v>
      </c>
      <c r="BK426" s="97">
        <f>IF(OR(AY426="SÁB",AY426="DOM"),0,IFERROR(8-VLOOKUP(N426,'Dados de consulta'!$A$2:$C$38,3,0),8))</f>
        <v>8</v>
      </c>
      <c r="BL426" s="97">
        <f>IF(OR(AY426="SÁB",AY426="DOM"),0,IFERROR(8-VLOOKUP(O426,'Dados de consulta'!$A$2:$C$38,3,0),8))</f>
        <v>8</v>
      </c>
      <c r="BM426" s="97">
        <f>IF(OR(AY426="SÁB",AY426="DOM"),0,IFERROR(8-VLOOKUP(P426,'Dados de consulta'!$A$2:$C$38,3,0),8))</f>
        <v>8</v>
      </c>
      <c r="BN426" s="97">
        <f>IF(OR(AY426="SÁB",AY426="DOM"),0,IFERROR(8-VLOOKUP(Q426,'Dados de consulta'!$A$2:$C$38,3,0),8))</f>
        <v>8</v>
      </c>
      <c r="BO426" s="97">
        <f>IF(OR(AY426="SÁB",AY426="DOM"),0,IFERROR(8-VLOOKUP(R426,'Dados de consulta'!$A$2:$C$38,3,0),8))</f>
        <v>8</v>
      </c>
      <c r="BP426" s="97">
        <f>IF(OR(AY426="SÁB",AY426="DOM"),0,IFERROR(8-VLOOKUP(S426,'Dados de consulta'!$A$2:$C$38,3,0),8))</f>
        <v>8</v>
      </c>
      <c r="BQ426" s="113">
        <f>IFERROR(6-VLOOKUP(T426,'Dados de consulta'!$A$2:$C$38,3,0)+2,6)</f>
        <v>6</v>
      </c>
      <c r="BR426" s="114">
        <f t="shared" si="180"/>
        <v>126</v>
      </c>
      <c r="BS426">
        <f t="shared" si="156"/>
        <v>134</v>
      </c>
      <c r="BU426">
        <f>IFERROR(8-VLOOKUP(U426,'Dados de consulta'!$A:$D,3,0),8)</f>
        <v>0</v>
      </c>
      <c r="BV426">
        <f>IFERROR(8-VLOOKUP(V426,'Dados de consulta'!$A:$D,3,0),8)</f>
        <v>8</v>
      </c>
      <c r="BW426">
        <f t="shared" si="181"/>
        <v>8</v>
      </c>
    </row>
    <row r="427" spans="1:75" ht="15" x14ac:dyDescent="0.2">
      <c r="A427" s="98">
        <v>42550</v>
      </c>
      <c r="B427" s="129" t="str">
        <f t="shared" si="158"/>
        <v>qua</v>
      </c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>
        <v>101</v>
      </c>
      <c r="N427" s="132"/>
      <c r="O427" s="132"/>
      <c r="P427" s="132"/>
      <c r="Q427" s="132"/>
      <c r="R427" s="132"/>
      <c r="S427" s="132"/>
      <c r="T427" s="132"/>
      <c r="U427" s="151">
        <v>18</v>
      </c>
      <c r="V427" s="151"/>
      <c r="W427" s="307" t="s">
        <v>193</v>
      </c>
      <c r="X427" s="308"/>
      <c r="Y427" s="38">
        <f t="shared" si="159"/>
        <v>0</v>
      </c>
      <c r="Z427" s="38">
        <f t="shared" si="160"/>
        <v>0</v>
      </c>
      <c r="AA427" s="38">
        <f t="shared" si="157"/>
        <v>0</v>
      </c>
      <c r="AB427" s="38">
        <f t="shared" si="168"/>
        <v>0</v>
      </c>
      <c r="AC427" s="38">
        <f t="shared" si="169"/>
        <v>0</v>
      </c>
      <c r="AD427" s="38">
        <f t="shared" si="170"/>
        <v>0</v>
      </c>
      <c r="AE427" s="38">
        <f t="shared" si="171"/>
        <v>0</v>
      </c>
      <c r="AF427" s="38">
        <f t="shared" si="172"/>
        <v>0</v>
      </c>
      <c r="AG427" s="33">
        <f t="shared" si="173"/>
        <v>0</v>
      </c>
      <c r="AH427" s="33">
        <f t="shared" si="174"/>
        <v>0</v>
      </c>
      <c r="AI427" s="33">
        <f t="shared" si="175"/>
        <v>0</v>
      </c>
      <c r="AJ427" s="33">
        <f t="shared" si="176"/>
        <v>0</v>
      </c>
      <c r="AK427" s="34">
        <f t="shared" si="177"/>
        <v>0</v>
      </c>
      <c r="AL427" s="35">
        <f t="shared" si="178"/>
        <v>0</v>
      </c>
      <c r="AM427" s="34">
        <f t="shared" si="161"/>
        <v>0</v>
      </c>
      <c r="AN427" s="36">
        <f t="shared" si="179"/>
        <v>0</v>
      </c>
      <c r="AO427" s="6">
        <f t="shared" si="162"/>
        <v>0</v>
      </c>
      <c r="AP427">
        <f t="shared" si="163"/>
        <v>8</v>
      </c>
      <c r="AQ427" s="6">
        <f t="shared" si="164"/>
        <v>0</v>
      </c>
      <c r="AR427" s="6">
        <f t="shared" si="165"/>
        <v>0</v>
      </c>
      <c r="AS427" s="6"/>
      <c r="AX427" s="95">
        <f t="shared" si="166"/>
        <v>42550</v>
      </c>
      <c r="AY427" s="96" t="str">
        <f t="shared" si="167"/>
        <v>qua</v>
      </c>
      <c r="AZ427" s="97">
        <f>IF(OR(AY427="SÁB",AY427="DOM"),0,IFERROR(8-VLOOKUP(C427,'Dados de consulta'!$A$2:$C$38,3,0),8))</f>
        <v>8</v>
      </c>
      <c r="BA427" s="97">
        <f>IF(OR(AY427="SÁB",AY427="DOM"),0,IFERROR(8-VLOOKUP(D427,'Dados de consulta'!$A$2:$C$38,3,0),8))</f>
        <v>8</v>
      </c>
      <c r="BB427" s="97">
        <f>IF(OR(AY427="SÁB",AY427="DOM"),0,IFERROR(8-VLOOKUP(E427,'Dados de consulta'!$A$2:$C$38,3,0),8))</f>
        <v>8</v>
      </c>
      <c r="BC427" s="97">
        <f>IF(OR(AY427="SÁB",AY427="DOM"),0,IFERROR(8-VLOOKUP(F427,'Dados de consulta'!$A$2:$C$38,3,0),8))</f>
        <v>8</v>
      </c>
      <c r="BD427" s="97">
        <f>IF(OR(AY427="SÁB",AY427="DOM"),0,IFERROR(8-VLOOKUP(G427,'Dados de consulta'!$A$2:$C$38,3,0),8))</f>
        <v>8</v>
      </c>
      <c r="BE427" s="97">
        <f>IF(OR(AY427="SÁB",AY427="DOM"),0,IFERROR(8-VLOOKUP(H427,'Dados de consulta'!$A$2:$C$38,3,0),8))</f>
        <v>8</v>
      </c>
      <c r="BF427" s="97">
        <f>IF(OR(AY427="SÁB",AY427="DOM"),0,IFERROR(8-VLOOKUP(I427,'Dados de consulta'!$A$2:$C$38,3,0),8))</f>
        <v>8</v>
      </c>
      <c r="BG427" s="97">
        <f>IF(OR(AY427="SÁB",AY427="DOM"),0,IFERROR(8-VLOOKUP(J427,'Dados de consulta'!$A$2:$C$38,3,0),8))</f>
        <v>8</v>
      </c>
      <c r="BH427" s="97">
        <f>IF(OR(AY427="SÁB",AY427="DOM"),0,IFERROR(8-VLOOKUP(K427,'Dados de consulta'!$A$2:$C$38,3,0),8))</f>
        <v>8</v>
      </c>
      <c r="BI427" s="97">
        <f>IF(OR(AY427="SÁB",AY427="DOM"),0,IFERROR(8-VLOOKUP(L427,'Dados de consulta'!$A$2:$C$38,3,0),8))</f>
        <v>8</v>
      </c>
      <c r="BJ427" s="97">
        <f>IF(OR(AY427="SÁB",AY427="DOM"),0,IFERROR(8-VLOOKUP(M427,'Dados de consulta'!$A$2:$C$38,3,0),8))</f>
        <v>0</v>
      </c>
      <c r="BK427" s="97">
        <f>IF(OR(AY427="SÁB",AY427="DOM"),0,IFERROR(8-VLOOKUP(N427,'Dados de consulta'!$A$2:$C$38,3,0),8))</f>
        <v>8</v>
      </c>
      <c r="BL427" s="97">
        <f>IF(OR(AY427="SÁB",AY427="DOM"),0,IFERROR(8-VLOOKUP(O427,'Dados de consulta'!$A$2:$C$38,3,0),8))</f>
        <v>8</v>
      </c>
      <c r="BM427" s="97">
        <f>IF(OR(AY427="SÁB",AY427="DOM"),0,IFERROR(8-VLOOKUP(P427,'Dados de consulta'!$A$2:$C$38,3,0),8))</f>
        <v>8</v>
      </c>
      <c r="BN427" s="97">
        <f>IF(OR(AY427="SÁB",AY427="DOM"),0,IFERROR(8-VLOOKUP(Q427,'Dados de consulta'!$A$2:$C$38,3,0),8))</f>
        <v>8</v>
      </c>
      <c r="BO427" s="97">
        <f>IF(OR(AY427="SÁB",AY427="DOM"),0,IFERROR(8-VLOOKUP(R427,'Dados de consulta'!$A$2:$C$38,3,0),8))</f>
        <v>8</v>
      </c>
      <c r="BP427" s="97">
        <f>IF(OR(AY427="SÁB",AY427="DOM"),0,IFERROR(8-VLOOKUP(S427,'Dados de consulta'!$A$2:$C$38,3,0),8))</f>
        <v>8</v>
      </c>
      <c r="BQ427" s="113">
        <f>IFERROR(6-VLOOKUP(T427,'Dados de consulta'!$A$2:$C$38,3,0)+2,6)</f>
        <v>6</v>
      </c>
      <c r="BR427" s="114">
        <f t="shared" si="180"/>
        <v>134</v>
      </c>
      <c r="BS427">
        <f t="shared" si="156"/>
        <v>134</v>
      </c>
      <c r="BU427">
        <f>IFERROR(8-VLOOKUP(U427,'Dados de consulta'!$A:$D,3,0),8)</f>
        <v>0</v>
      </c>
      <c r="BV427">
        <f>IFERROR(8-VLOOKUP(V427,'Dados de consulta'!$A:$D,3,0),8)</f>
        <v>8</v>
      </c>
      <c r="BW427">
        <f t="shared" si="181"/>
        <v>8</v>
      </c>
    </row>
    <row r="428" spans="1:75" ht="15" x14ac:dyDescent="0.2">
      <c r="A428" s="98">
        <v>42551</v>
      </c>
      <c r="B428" s="129" t="str">
        <f t="shared" si="158"/>
        <v>qui</v>
      </c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>
        <v>101</v>
      </c>
      <c r="N428" s="132"/>
      <c r="O428" s="132"/>
      <c r="P428" s="132"/>
      <c r="Q428" s="132"/>
      <c r="R428" s="132"/>
      <c r="S428" s="132"/>
      <c r="T428" s="132"/>
      <c r="U428" s="151">
        <v>18</v>
      </c>
      <c r="V428" s="151"/>
      <c r="W428" s="307" t="s">
        <v>193</v>
      </c>
      <c r="X428" s="308"/>
      <c r="Y428" s="38">
        <f t="shared" si="159"/>
        <v>0</v>
      </c>
      <c r="Z428" s="38">
        <f t="shared" si="160"/>
        <v>0</v>
      </c>
      <c r="AA428" s="38">
        <f t="shared" si="157"/>
        <v>0</v>
      </c>
      <c r="AB428" s="38">
        <f t="shared" si="168"/>
        <v>0</v>
      </c>
      <c r="AC428" s="38">
        <f t="shared" si="169"/>
        <v>0</v>
      </c>
      <c r="AD428" s="38">
        <f t="shared" si="170"/>
        <v>0</v>
      </c>
      <c r="AE428" s="38">
        <f t="shared" si="171"/>
        <v>0</v>
      </c>
      <c r="AF428" s="38">
        <f t="shared" si="172"/>
        <v>0</v>
      </c>
      <c r="AG428" s="33">
        <f t="shared" si="173"/>
        <v>0</v>
      </c>
      <c r="AH428" s="33">
        <f t="shared" si="174"/>
        <v>0</v>
      </c>
      <c r="AI428" s="33">
        <f t="shared" si="175"/>
        <v>0</v>
      </c>
      <c r="AJ428" s="33">
        <f t="shared" si="176"/>
        <v>0</v>
      </c>
      <c r="AK428" s="34">
        <f t="shared" si="177"/>
        <v>0</v>
      </c>
      <c r="AL428" s="35">
        <f t="shared" si="178"/>
        <v>0</v>
      </c>
      <c r="AM428" s="34">
        <f t="shared" si="161"/>
        <v>0</v>
      </c>
      <c r="AN428" s="36">
        <f t="shared" si="179"/>
        <v>0</v>
      </c>
      <c r="AO428" s="6">
        <f t="shared" si="162"/>
        <v>0</v>
      </c>
      <c r="AP428">
        <f t="shared" si="163"/>
        <v>8</v>
      </c>
      <c r="AQ428" s="6">
        <f t="shared" si="164"/>
        <v>0</v>
      </c>
      <c r="AR428" s="6">
        <f t="shared" si="165"/>
        <v>0</v>
      </c>
      <c r="AS428" s="6"/>
      <c r="AX428" s="95">
        <f t="shared" si="166"/>
        <v>42551</v>
      </c>
      <c r="AY428" s="96" t="str">
        <f t="shared" si="167"/>
        <v>qui</v>
      </c>
      <c r="AZ428" s="97">
        <f>IF(OR(AY428="SÁB",AY428="DOM"),0,IFERROR(8-VLOOKUP(C428,'Dados de consulta'!$A$2:$C$38,3,0),8))</f>
        <v>8</v>
      </c>
      <c r="BA428" s="97">
        <f>IF(OR(AY428="SÁB",AY428="DOM"),0,IFERROR(8-VLOOKUP(D428,'Dados de consulta'!$A$2:$C$38,3,0),8))</f>
        <v>8</v>
      </c>
      <c r="BB428" s="97">
        <f>IF(OR(AY428="SÁB",AY428="DOM"),0,IFERROR(8-VLOOKUP(E428,'Dados de consulta'!$A$2:$C$38,3,0),8))</f>
        <v>8</v>
      </c>
      <c r="BC428" s="97">
        <f>IF(OR(AY428="SÁB",AY428="DOM"),0,IFERROR(8-VLOOKUP(F428,'Dados de consulta'!$A$2:$C$38,3,0),8))</f>
        <v>8</v>
      </c>
      <c r="BD428" s="97">
        <f>IF(OR(AY428="SÁB",AY428="DOM"),0,IFERROR(8-VLOOKUP(G428,'Dados de consulta'!$A$2:$C$38,3,0),8))</f>
        <v>8</v>
      </c>
      <c r="BE428" s="97">
        <f>IF(OR(AY428="SÁB",AY428="DOM"),0,IFERROR(8-VLOOKUP(H428,'Dados de consulta'!$A$2:$C$38,3,0),8))</f>
        <v>8</v>
      </c>
      <c r="BF428" s="97">
        <f>IF(OR(AY428="SÁB",AY428="DOM"),0,IFERROR(8-VLOOKUP(I428,'Dados de consulta'!$A$2:$C$38,3,0),8))</f>
        <v>8</v>
      </c>
      <c r="BG428" s="97">
        <f>IF(OR(AY428="SÁB",AY428="DOM"),0,IFERROR(8-VLOOKUP(J428,'Dados de consulta'!$A$2:$C$38,3,0),8))</f>
        <v>8</v>
      </c>
      <c r="BH428" s="97">
        <f>IF(OR(AY428="SÁB",AY428="DOM"),0,IFERROR(8-VLOOKUP(K428,'Dados de consulta'!$A$2:$C$38,3,0),8))</f>
        <v>8</v>
      </c>
      <c r="BI428" s="97">
        <f>IF(OR(AY428="SÁB",AY428="DOM"),0,IFERROR(8-VLOOKUP(L428,'Dados de consulta'!$A$2:$C$38,3,0),8))</f>
        <v>8</v>
      </c>
      <c r="BJ428" s="97">
        <f>IF(OR(AY428="SÁB",AY428="DOM"),0,IFERROR(8-VLOOKUP(M428,'Dados de consulta'!$A$2:$C$38,3,0),8))</f>
        <v>0</v>
      </c>
      <c r="BK428" s="97">
        <f>IF(OR(AY428="SÁB",AY428="DOM"),0,IFERROR(8-VLOOKUP(N428,'Dados de consulta'!$A$2:$C$38,3,0),8))</f>
        <v>8</v>
      </c>
      <c r="BL428" s="97">
        <f>IF(OR(AY428="SÁB",AY428="DOM"),0,IFERROR(8-VLOOKUP(O428,'Dados de consulta'!$A$2:$C$38,3,0),8))</f>
        <v>8</v>
      </c>
      <c r="BM428" s="97">
        <f>IF(OR(AY428="SÁB",AY428="DOM"),0,IFERROR(8-VLOOKUP(P428,'Dados de consulta'!$A$2:$C$38,3,0),8))</f>
        <v>8</v>
      </c>
      <c r="BN428" s="97">
        <f>IF(OR(AY428="SÁB",AY428="DOM"),0,IFERROR(8-VLOOKUP(Q428,'Dados de consulta'!$A$2:$C$38,3,0),8))</f>
        <v>8</v>
      </c>
      <c r="BO428" s="97">
        <f>IF(OR(AY428="SÁB",AY428="DOM"),0,IFERROR(8-VLOOKUP(R428,'Dados de consulta'!$A$2:$C$38,3,0),8))</f>
        <v>8</v>
      </c>
      <c r="BP428" s="97">
        <f>IF(OR(AY428="SÁB",AY428="DOM"),0,IFERROR(8-VLOOKUP(S428,'Dados de consulta'!$A$2:$C$38,3,0),8))</f>
        <v>8</v>
      </c>
      <c r="BQ428" s="113">
        <f>IFERROR(6-VLOOKUP(T428,'Dados de consulta'!$A$2:$C$38,3,0)+2,6)</f>
        <v>6</v>
      </c>
      <c r="BR428" s="114">
        <f t="shared" si="180"/>
        <v>134</v>
      </c>
      <c r="BS428">
        <f t="shared" si="156"/>
        <v>134</v>
      </c>
      <c r="BU428">
        <f>IFERROR(8-VLOOKUP(U428,'Dados de consulta'!$A:$D,3,0),8)</f>
        <v>0</v>
      </c>
      <c r="BV428">
        <f>IFERROR(8-VLOOKUP(V428,'Dados de consulta'!$A:$D,3,0),8)</f>
        <v>8</v>
      </c>
      <c r="BW428">
        <f t="shared" si="181"/>
        <v>8</v>
      </c>
    </row>
    <row r="429" spans="1:75" ht="15" hidden="1" x14ac:dyDescent="0.2">
      <c r="A429" s="98">
        <v>42552</v>
      </c>
      <c r="B429" s="129" t="str">
        <f t="shared" si="158"/>
        <v>sex</v>
      </c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>
        <v>101</v>
      </c>
      <c r="N429" s="132"/>
      <c r="O429" s="132"/>
      <c r="P429" s="132"/>
      <c r="Q429" s="132"/>
      <c r="R429" s="132"/>
      <c r="S429" s="132"/>
      <c r="T429" s="132"/>
      <c r="U429" s="151">
        <v>18</v>
      </c>
      <c r="V429" s="151"/>
      <c r="W429" s="307" t="s">
        <v>193</v>
      </c>
      <c r="X429" s="308"/>
      <c r="Y429" s="38">
        <f t="shared" si="159"/>
        <v>0</v>
      </c>
      <c r="Z429" s="38">
        <f t="shared" si="160"/>
        <v>0</v>
      </c>
      <c r="AA429" s="38">
        <f t="shared" si="157"/>
        <v>0</v>
      </c>
      <c r="AB429" s="38">
        <f t="shared" si="168"/>
        <v>0</v>
      </c>
      <c r="AC429" s="38">
        <f t="shared" si="169"/>
        <v>0</v>
      </c>
      <c r="AD429" s="38">
        <f t="shared" si="170"/>
        <v>0</v>
      </c>
      <c r="AE429" s="38">
        <f t="shared" si="171"/>
        <v>0</v>
      </c>
      <c r="AF429" s="38">
        <f t="shared" si="172"/>
        <v>0</v>
      </c>
      <c r="AG429" s="33">
        <f t="shared" si="173"/>
        <v>0</v>
      </c>
      <c r="AH429" s="33">
        <f t="shared" si="174"/>
        <v>0</v>
      </c>
      <c r="AI429" s="33">
        <f t="shared" si="175"/>
        <v>0</v>
      </c>
      <c r="AJ429" s="33">
        <f t="shared" si="176"/>
        <v>0</v>
      </c>
      <c r="AK429" s="34">
        <f t="shared" si="177"/>
        <v>0</v>
      </c>
      <c r="AL429" s="35">
        <f t="shared" si="178"/>
        <v>0</v>
      </c>
      <c r="AM429" s="34">
        <f t="shared" si="161"/>
        <v>0</v>
      </c>
      <c r="AN429" s="36">
        <f t="shared" si="179"/>
        <v>0</v>
      </c>
      <c r="AO429" s="6">
        <f t="shared" si="162"/>
        <v>0</v>
      </c>
      <c r="AP429">
        <f t="shared" si="163"/>
        <v>8</v>
      </c>
      <c r="AQ429" s="6">
        <f t="shared" si="164"/>
        <v>0</v>
      </c>
      <c r="AR429" s="6">
        <f t="shared" si="165"/>
        <v>0</v>
      </c>
      <c r="AS429" s="6"/>
      <c r="AX429" s="95">
        <f t="shared" si="166"/>
        <v>42552</v>
      </c>
      <c r="AY429" s="96" t="str">
        <f t="shared" si="167"/>
        <v>sex</v>
      </c>
      <c r="AZ429" s="97">
        <f>IF(OR(AY429="SÁB",AY429="DOM"),0,IFERROR(8-VLOOKUP(C429,'Dados de consulta'!$A$2:$C$38,3,0),8))</f>
        <v>8</v>
      </c>
      <c r="BA429" s="97">
        <f>IF(OR(AY429="SÁB",AY429="DOM"),0,IFERROR(8-VLOOKUP(D429,'Dados de consulta'!$A$2:$C$38,3,0),8))</f>
        <v>8</v>
      </c>
      <c r="BB429" s="97">
        <f>IF(OR(AY429="SÁB",AY429="DOM"),0,IFERROR(8-VLOOKUP(E429,'Dados de consulta'!$A$2:$C$38,3,0),8))</f>
        <v>8</v>
      </c>
      <c r="BC429" s="97">
        <f>IF(OR(AY429="SÁB",AY429="DOM"),0,IFERROR(8-VLOOKUP(F429,'Dados de consulta'!$A$2:$C$38,3,0),8))</f>
        <v>8</v>
      </c>
      <c r="BD429" s="97">
        <f>IF(OR(AY429="SÁB",AY429="DOM"),0,IFERROR(8-VLOOKUP(G429,'Dados de consulta'!$A$2:$C$38,3,0),8))</f>
        <v>8</v>
      </c>
      <c r="BE429" s="97">
        <f>IF(OR(AY429="SÁB",AY429="DOM"),0,IFERROR(8-VLOOKUP(H429,'Dados de consulta'!$A$2:$C$38,3,0),8))</f>
        <v>8</v>
      </c>
      <c r="BF429" s="97">
        <f>IF(OR(AY429="SÁB",AY429="DOM"),0,IFERROR(8-VLOOKUP(I429,'Dados de consulta'!$A$2:$C$38,3,0),8))</f>
        <v>8</v>
      </c>
      <c r="BG429" s="97">
        <f>IF(OR(AY429="SÁB",AY429="DOM"),0,IFERROR(8-VLOOKUP(J429,'Dados de consulta'!$A$2:$C$38,3,0),8))</f>
        <v>8</v>
      </c>
      <c r="BH429" s="97">
        <f>IF(OR(AY429="SÁB",AY429="DOM"),0,IFERROR(8-VLOOKUP(K429,'Dados de consulta'!$A$2:$C$38,3,0),8))</f>
        <v>8</v>
      </c>
      <c r="BI429" s="97">
        <f>IF(OR(AY429="SÁB",AY429="DOM"),0,IFERROR(8-VLOOKUP(L429,'Dados de consulta'!$A$2:$C$38,3,0),8))</f>
        <v>8</v>
      </c>
      <c r="BJ429" s="97">
        <f>IF(OR(AY429="SÁB",AY429="DOM"),0,IFERROR(8-VLOOKUP(M429,'Dados de consulta'!$A$2:$C$38,3,0),8))</f>
        <v>0</v>
      </c>
      <c r="BK429" s="97">
        <f>IF(OR(AY429="SÁB",AY429="DOM"),0,IFERROR(8-VLOOKUP(N429,'Dados de consulta'!$A$2:$C$38,3,0),8))</f>
        <v>8</v>
      </c>
      <c r="BL429" s="97">
        <f>IF(OR(AY429="SÁB",AY429="DOM"),0,IFERROR(8-VLOOKUP(O429,'Dados de consulta'!$A$2:$C$38,3,0),8))</f>
        <v>8</v>
      </c>
      <c r="BM429" s="97">
        <f>IF(OR(AY429="SÁB",AY429="DOM"),0,IFERROR(8-VLOOKUP(P429,'Dados de consulta'!$A$2:$C$38,3,0),8))</f>
        <v>8</v>
      </c>
      <c r="BN429" s="97">
        <f>IF(OR(AY429="SÁB",AY429="DOM"),0,IFERROR(8-VLOOKUP(Q429,'Dados de consulta'!$A$2:$C$38,3,0),8))</f>
        <v>8</v>
      </c>
      <c r="BO429" s="97">
        <f>IF(OR(AY429="SÁB",AY429="DOM"),0,IFERROR(8-VLOOKUP(R429,'Dados de consulta'!$A$2:$C$38,3,0),8))</f>
        <v>8</v>
      </c>
      <c r="BP429" s="97">
        <f>IF(OR(AY429="SÁB",AY429="DOM"),0,IFERROR(8-VLOOKUP(S429,'Dados de consulta'!$A$2:$C$38,3,0),8))</f>
        <v>8</v>
      </c>
      <c r="BQ429" s="113">
        <f>IFERROR(6-VLOOKUP(T429,'Dados de consulta'!$A$2:$C$38,3,0)+2,6)</f>
        <v>6</v>
      </c>
      <c r="BR429" s="114">
        <f t="shared" si="180"/>
        <v>134</v>
      </c>
      <c r="BS429">
        <f t="shared" si="156"/>
        <v>134</v>
      </c>
      <c r="BU429">
        <f>IFERROR(8-VLOOKUP(U429,'Dados de consulta'!$A:$D,3,0),8)</f>
        <v>0</v>
      </c>
      <c r="BV429">
        <f>IFERROR(8-VLOOKUP(V429,'Dados de consulta'!$A:$D,3,0),8)</f>
        <v>8</v>
      </c>
      <c r="BW429">
        <f t="shared" si="181"/>
        <v>8</v>
      </c>
    </row>
    <row r="430" spans="1:75" ht="15" hidden="1" x14ac:dyDescent="0.2">
      <c r="A430" s="98">
        <v>42553</v>
      </c>
      <c r="B430" s="129" t="str">
        <f t="shared" si="158"/>
        <v>sáb</v>
      </c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>
        <v>101</v>
      </c>
      <c r="N430" s="132"/>
      <c r="O430" s="132"/>
      <c r="P430" s="132"/>
      <c r="Q430" s="132"/>
      <c r="R430" s="132"/>
      <c r="S430" s="132"/>
      <c r="T430" s="132"/>
      <c r="U430" s="151">
        <v>18</v>
      </c>
      <c r="V430" s="151"/>
      <c r="W430" s="307" t="s">
        <v>193</v>
      </c>
      <c r="X430" s="308"/>
      <c r="Y430" s="38">
        <f t="shared" si="159"/>
        <v>0</v>
      </c>
      <c r="Z430" s="38">
        <f t="shared" si="160"/>
        <v>0</v>
      </c>
      <c r="AA430" s="38">
        <f t="shared" si="157"/>
        <v>0</v>
      </c>
      <c r="AB430" s="38">
        <f t="shared" si="168"/>
        <v>0</v>
      </c>
      <c r="AC430" s="38">
        <f t="shared" si="169"/>
        <v>0</v>
      </c>
      <c r="AD430" s="38">
        <f t="shared" si="170"/>
        <v>0</v>
      </c>
      <c r="AE430" s="38">
        <f t="shared" si="171"/>
        <v>0</v>
      </c>
      <c r="AF430" s="38">
        <f t="shared" si="172"/>
        <v>0</v>
      </c>
      <c r="AG430" s="33">
        <f t="shared" si="173"/>
        <v>0</v>
      </c>
      <c r="AH430" s="33">
        <f t="shared" si="174"/>
        <v>0</v>
      </c>
      <c r="AI430" s="33">
        <f t="shared" si="175"/>
        <v>0</v>
      </c>
      <c r="AJ430" s="33">
        <f t="shared" si="176"/>
        <v>0</v>
      </c>
      <c r="AK430" s="34">
        <f t="shared" si="177"/>
        <v>0</v>
      </c>
      <c r="AL430" s="35">
        <f t="shared" si="178"/>
        <v>0</v>
      </c>
      <c r="AM430" s="34">
        <f t="shared" si="161"/>
        <v>0</v>
      </c>
      <c r="AN430" s="36">
        <f t="shared" si="179"/>
        <v>0</v>
      </c>
      <c r="AO430" s="6">
        <f t="shared" si="162"/>
        <v>0</v>
      </c>
      <c r="AP430">
        <f t="shared" si="163"/>
        <v>8</v>
      </c>
      <c r="AQ430" s="6">
        <f t="shared" si="164"/>
        <v>0</v>
      </c>
      <c r="AR430" s="6">
        <f t="shared" si="165"/>
        <v>0</v>
      </c>
      <c r="AS430" s="6"/>
      <c r="AX430" s="95">
        <f t="shared" si="166"/>
        <v>42553</v>
      </c>
      <c r="AY430" s="96" t="str">
        <f t="shared" si="167"/>
        <v>sáb</v>
      </c>
      <c r="AZ430" s="97">
        <f>IF(OR(AY430="SÁB",AY430="DOM"),0,IFERROR(8-VLOOKUP(C430,'Dados de consulta'!$A$2:$C$38,3,0),8))</f>
        <v>0</v>
      </c>
      <c r="BA430" s="97">
        <f>IF(OR(AY430="SÁB",AY430="DOM"),0,IFERROR(8-VLOOKUP(D430,'Dados de consulta'!$A$2:$C$38,3,0),8))</f>
        <v>0</v>
      </c>
      <c r="BB430" s="97">
        <f>IF(OR(AY430="SÁB",AY430="DOM"),0,IFERROR(8-VLOOKUP(E430,'Dados de consulta'!$A$2:$C$38,3,0),8))</f>
        <v>0</v>
      </c>
      <c r="BC430" s="97">
        <f>IF(OR(AY430="SÁB",AY430="DOM"),0,IFERROR(8-VLOOKUP(F430,'Dados de consulta'!$A$2:$C$38,3,0),8))</f>
        <v>0</v>
      </c>
      <c r="BD430" s="97">
        <f>IF(OR(AY430="SÁB",AY430="DOM"),0,IFERROR(8-VLOOKUP(G430,'Dados de consulta'!$A$2:$C$38,3,0),8))</f>
        <v>0</v>
      </c>
      <c r="BE430" s="97">
        <f>IF(OR(AY430="SÁB",AY430="DOM"),0,IFERROR(8-VLOOKUP(H430,'Dados de consulta'!$A$2:$C$38,3,0),8))</f>
        <v>0</v>
      </c>
      <c r="BF430" s="97">
        <f>IF(OR(AY430="SÁB",AY430="DOM"),0,IFERROR(8-VLOOKUP(I430,'Dados de consulta'!$A$2:$C$38,3,0),8))</f>
        <v>0</v>
      </c>
      <c r="BG430" s="97">
        <f>IF(OR(AY430="SÁB",AY430="DOM"),0,IFERROR(8-VLOOKUP(J430,'Dados de consulta'!$A$2:$C$38,3,0),8))</f>
        <v>0</v>
      </c>
      <c r="BH430" s="97">
        <f>IF(OR(AY430="SÁB",AY430="DOM"),0,IFERROR(8-VLOOKUP(K430,'Dados de consulta'!$A$2:$C$38,3,0),8))</f>
        <v>0</v>
      </c>
      <c r="BI430" s="97">
        <f>IF(OR(AY430="SÁB",AY430="DOM"),0,IFERROR(8-VLOOKUP(L430,'Dados de consulta'!$A$2:$C$38,3,0),8))</f>
        <v>0</v>
      </c>
      <c r="BJ430" s="97">
        <f>IF(OR(AY430="SÁB",AY430="DOM"),0,IFERROR(8-VLOOKUP(M430,'Dados de consulta'!$A$2:$C$38,3,0),8))</f>
        <v>0</v>
      </c>
      <c r="BK430" s="97">
        <f>IF(OR(AY430="SÁB",AY430="DOM"),0,IFERROR(8-VLOOKUP(N430,'Dados de consulta'!$A$2:$C$38,3,0),8))</f>
        <v>0</v>
      </c>
      <c r="BL430" s="97">
        <f>IF(OR(AY430="SÁB",AY430="DOM"),0,IFERROR(8-VLOOKUP(O430,'Dados de consulta'!$A$2:$C$38,3,0),8))</f>
        <v>0</v>
      </c>
      <c r="BM430" s="97">
        <f>IF(OR(AY430="SÁB",AY430="DOM"),0,IFERROR(8-VLOOKUP(P430,'Dados de consulta'!$A$2:$C$38,3,0),8))</f>
        <v>0</v>
      </c>
      <c r="BN430" s="97">
        <f>IF(OR(AY430="SÁB",AY430="DOM"),0,IFERROR(8-VLOOKUP(Q430,'Dados de consulta'!$A$2:$C$38,3,0),8))</f>
        <v>0</v>
      </c>
      <c r="BO430" s="97">
        <f>IF(OR(AY430="SÁB",AY430="DOM"),0,IFERROR(8-VLOOKUP(R430,'Dados de consulta'!$A$2:$C$38,3,0),8))</f>
        <v>0</v>
      </c>
      <c r="BP430" s="97">
        <f>IF(OR(AY430="SÁB",AY430="DOM"),0,IFERROR(8-VLOOKUP(S430,'Dados de consulta'!$A$2:$C$38,3,0),8))</f>
        <v>0</v>
      </c>
      <c r="BQ430" s="113">
        <f>IFERROR(6-VLOOKUP(T430,'Dados de consulta'!$A$2:$C$38,3,0)+2,6)</f>
        <v>6</v>
      </c>
      <c r="BR430" s="114">
        <f t="shared" si="180"/>
        <v>0</v>
      </c>
      <c r="BS430">
        <f t="shared" si="156"/>
        <v>0</v>
      </c>
      <c r="BU430">
        <f>IFERROR(8-VLOOKUP(U430,'Dados de consulta'!$A:$D,3,0),8)</f>
        <v>0</v>
      </c>
      <c r="BV430">
        <f>IFERROR(8-VLOOKUP(V430,'Dados de consulta'!$A:$D,3,0),8)</f>
        <v>8</v>
      </c>
      <c r="BW430">
        <f t="shared" si="181"/>
        <v>8</v>
      </c>
    </row>
    <row r="431" spans="1:75" ht="15" hidden="1" x14ac:dyDescent="0.2">
      <c r="A431" s="98">
        <v>42554</v>
      </c>
      <c r="B431" s="129" t="str">
        <f t="shared" si="158"/>
        <v>dom</v>
      </c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>
        <v>101</v>
      </c>
      <c r="N431" s="132"/>
      <c r="O431" s="132"/>
      <c r="P431" s="132"/>
      <c r="Q431" s="132"/>
      <c r="R431" s="132"/>
      <c r="S431" s="132"/>
      <c r="T431" s="132"/>
      <c r="U431" s="151">
        <v>18</v>
      </c>
      <c r="V431" s="151"/>
      <c r="W431" s="307" t="s">
        <v>193</v>
      </c>
      <c r="X431" s="308"/>
      <c r="Y431" s="38">
        <f t="shared" si="159"/>
        <v>0</v>
      </c>
      <c r="Z431" s="38">
        <f t="shared" si="160"/>
        <v>0</v>
      </c>
      <c r="AA431" s="38">
        <f t="shared" si="157"/>
        <v>0</v>
      </c>
      <c r="AB431" s="38">
        <f t="shared" si="168"/>
        <v>0</v>
      </c>
      <c r="AC431" s="38">
        <f t="shared" si="169"/>
        <v>0</v>
      </c>
      <c r="AD431" s="38">
        <f t="shared" si="170"/>
        <v>0</v>
      </c>
      <c r="AE431" s="38">
        <f t="shared" si="171"/>
        <v>0</v>
      </c>
      <c r="AF431" s="38">
        <f t="shared" si="172"/>
        <v>0</v>
      </c>
      <c r="AG431" s="33">
        <f t="shared" si="173"/>
        <v>0</v>
      </c>
      <c r="AH431" s="33">
        <f t="shared" si="174"/>
        <v>0</v>
      </c>
      <c r="AI431" s="33">
        <f t="shared" si="175"/>
        <v>0</v>
      </c>
      <c r="AJ431" s="33">
        <f t="shared" si="176"/>
        <v>0</v>
      </c>
      <c r="AK431" s="34">
        <f t="shared" si="177"/>
        <v>0</v>
      </c>
      <c r="AL431" s="35">
        <f t="shared" si="178"/>
        <v>0</v>
      </c>
      <c r="AM431" s="34">
        <f t="shared" si="161"/>
        <v>0</v>
      </c>
      <c r="AN431" s="36">
        <f t="shared" si="179"/>
        <v>0</v>
      </c>
      <c r="AO431" s="6">
        <f t="shared" si="162"/>
        <v>0</v>
      </c>
      <c r="AP431">
        <f t="shared" si="163"/>
        <v>8</v>
      </c>
      <c r="AQ431" s="6">
        <f t="shared" si="164"/>
        <v>0</v>
      </c>
      <c r="AR431" s="6">
        <f t="shared" si="165"/>
        <v>0</v>
      </c>
      <c r="AS431" s="6"/>
      <c r="AX431" s="95">
        <f t="shared" si="166"/>
        <v>42554</v>
      </c>
      <c r="AY431" s="96" t="str">
        <f t="shared" si="167"/>
        <v>dom</v>
      </c>
      <c r="AZ431" s="97">
        <f>IF(OR(AY431="SÁB",AY431="DOM"),0,IFERROR(8-VLOOKUP(C431,'Dados de consulta'!$A$2:$C$38,3,0),8))</f>
        <v>0</v>
      </c>
      <c r="BA431" s="97">
        <f>IF(OR(AY431="SÁB",AY431="DOM"),0,IFERROR(8-VLOOKUP(D431,'Dados de consulta'!$A$2:$C$38,3,0),8))</f>
        <v>0</v>
      </c>
      <c r="BB431" s="97">
        <f>IF(OR(AY431="SÁB",AY431="DOM"),0,IFERROR(8-VLOOKUP(E431,'Dados de consulta'!$A$2:$C$38,3,0),8))</f>
        <v>0</v>
      </c>
      <c r="BC431" s="97">
        <f>IF(OR(AY431="SÁB",AY431="DOM"),0,IFERROR(8-VLOOKUP(F431,'Dados de consulta'!$A$2:$C$38,3,0),8))</f>
        <v>0</v>
      </c>
      <c r="BD431" s="97">
        <f>IF(OR(AY431="SÁB",AY431="DOM"),0,IFERROR(8-VLOOKUP(G431,'Dados de consulta'!$A$2:$C$38,3,0),8))</f>
        <v>0</v>
      </c>
      <c r="BE431" s="97">
        <f>IF(OR(AY431="SÁB",AY431="DOM"),0,IFERROR(8-VLOOKUP(H431,'Dados de consulta'!$A$2:$C$38,3,0),8))</f>
        <v>0</v>
      </c>
      <c r="BF431" s="97">
        <f>IF(OR(AY431="SÁB",AY431="DOM"),0,IFERROR(8-VLOOKUP(I431,'Dados de consulta'!$A$2:$C$38,3,0),8))</f>
        <v>0</v>
      </c>
      <c r="BG431" s="97">
        <f>IF(OR(AY431="SÁB",AY431="DOM"),0,IFERROR(8-VLOOKUP(J431,'Dados de consulta'!$A$2:$C$38,3,0),8))</f>
        <v>0</v>
      </c>
      <c r="BH431" s="97">
        <f>IF(OR(AY431="SÁB",AY431="DOM"),0,IFERROR(8-VLOOKUP(K431,'Dados de consulta'!$A$2:$C$38,3,0),8))</f>
        <v>0</v>
      </c>
      <c r="BI431" s="97">
        <f>IF(OR(AY431="SÁB",AY431="DOM"),0,IFERROR(8-VLOOKUP(L431,'Dados de consulta'!$A$2:$C$38,3,0),8))</f>
        <v>0</v>
      </c>
      <c r="BJ431" s="97">
        <f>IF(OR(AY431="SÁB",AY431="DOM"),0,IFERROR(8-VLOOKUP(M431,'Dados de consulta'!$A$2:$C$38,3,0),8))</f>
        <v>0</v>
      </c>
      <c r="BK431" s="97">
        <f>IF(OR(AY431="SÁB",AY431="DOM"),0,IFERROR(8-VLOOKUP(N431,'Dados de consulta'!$A$2:$C$38,3,0),8))</f>
        <v>0</v>
      </c>
      <c r="BL431" s="97">
        <f>IF(OR(AY431="SÁB",AY431="DOM"),0,IFERROR(8-VLOOKUP(O431,'Dados de consulta'!$A$2:$C$38,3,0),8))</f>
        <v>0</v>
      </c>
      <c r="BM431" s="97">
        <f>IF(OR(AY431="SÁB",AY431="DOM"),0,IFERROR(8-VLOOKUP(P431,'Dados de consulta'!$A$2:$C$38,3,0),8))</f>
        <v>0</v>
      </c>
      <c r="BN431" s="97">
        <f>IF(OR(AY431="SÁB",AY431="DOM"),0,IFERROR(8-VLOOKUP(Q431,'Dados de consulta'!$A$2:$C$38,3,0),8))</f>
        <v>0</v>
      </c>
      <c r="BO431" s="97">
        <f>IF(OR(AY431="SÁB",AY431="DOM"),0,IFERROR(8-VLOOKUP(R431,'Dados de consulta'!$A$2:$C$38,3,0),8))</f>
        <v>0</v>
      </c>
      <c r="BP431" s="97">
        <f>IF(OR(AY431="SÁB",AY431="DOM"),0,IFERROR(8-VLOOKUP(S431,'Dados de consulta'!$A$2:$C$38,3,0),8))</f>
        <v>0</v>
      </c>
      <c r="BQ431" s="113">
        <f>IFERROR(6-VLOOKUP(T431,'Dados de consulta'!$A$2:$C$38,3,0)+2,6)</f>
        <v>6</v>
      </c>
      <c r="BR431" s="114">
        <f t="shared" si="180"/>
        <v>0</v>
      </c>
      <c r="BS431">
        <f t="shared" si="156"/>
        <v>0</v>
      </c>
      <c r="BU431">
        <f>IFERROR(8-VLOOKUP(U431,'Dados de consulta'!$A:$D,3,0),8)</f>
        <v>0</v>
      </c>
      <c r="BV431">
        <f>IFERROR(8-VLOOKUP(V431,'Dados de consulta'!$A:$D,3,0),8)</f>
        <v>8</v>
      </c>
      <c r="BW431">
        <f t="shared" si="181"/>
        <v>8</v>
      </c>
    </row>
    <row r="432" spans="1:75" ht="15" hidden="1" x14ac:dyDescent="0.2">
      <c r="A432" s="98">
        <v>42555</v>
      </c>
      <c r="B432" s="129" t="str">
        <f t="shared" si="158"/>
        <v>seg</v>
      </c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>
        <v>101</v>
      </c>
      <c r="N432" s="132"/>
      <c r="O432" s="132"/>
      <c r="P432" s="132"/>
      <c r="Q432" s="132"/>
      <c r="R432" s="132">
        <v>1</v>
      </c>
      <c r="S432" s="132"/>
      <c r="T432" s="132"/>
      <c r="U432" s="151">
        <v>18</v>
      </c>
      <c r="V432" s="151"/>
      <c r="W432" s="307" t="s">
        <v>193</v>
      </c>
      <c r="X432" s="308"/>
      <c r="Y432" s="38">
        <f t="shared" si="159"/>
        <v>0</v>
      </c>
      <c r="Z432" s="38">
        <f t="shared" si="160"/>
        <v>8</v>
      </c>
      <c r="AA432" s="38">
        <f t="shared" si="157"/>
        <v>0</v>
      </c>
      <c r="AB432" s="38">
        <f t="shared" si="168"/>
        <v>0</v>
      </c>
      <c r="AC432" s="38">
        <f t="shared" si="169"/>
        <v>0</v>
      </c>
      <c r="AD432" s="38">
        <f t="shared" si="170"/>
        <v>0</v>
      </c>
      <c r="AE432" s="38">
        <f t="shared" si="171"/>
        <v>0</v>
      </c>
      <c r="AF432" s="38">
        <f t="shared" si="172"/>
        <v>0</v>
      </c>
      <c r="AG432" s="33">
        <f t="shared" si="173"/>
        <v>0</v>
      </c>
      <c r="AH432" s="33">
        <f t="shared" si="174"/>
        <v>8</v>
      </c>
      <c r="AI432" s="33">
        <f t="shared" si="175"/>
        <v>0</v>
      </c>
      <c r="AJ432" s="33">
        <f t="shared" si="176"/>
        <v>0</v>
      </c>
      <c r="AK432" s="34">
        <f t="shared" si="177"/>
        <v>0</v>
      </c>
      <c r="AL432" s="35">
        <f t="shared" si="178"/>
        <v>5.6338028169014086E-2</v>
      </c>
      <c r="AM432" s="34">
        <f t="shared" si="161"/>
        <v>0</v>
      </c>
      <c r="AN432" s="36">
        <f t="shared" si="179"/>
        <v>0</v>
      </c>
      <c r="AO432" s="6">
        <f t="shared" si="162"/>
        <v>0</v>
      </c>
      <c r="AP432">
        <f t="shared" si="163"/>
        <v>8</v>
      </c>
      <c r="AQ432" s="6">
        <f t="shared" si="164"/>
        <v>0</v>
      </c>
      <c r="AR432" s="6">
        <f t="shared" si="165"/>
        <v>0</v>
      </c>
      <c r="AS432" s="6"/>
      <c r="AX432" s="95">
        <f t="shared" si="166"/>
        <v>42555</v>
      </c>
      <c r="AY432" s="96" t="str">
        <f t="shared" si="167"/>
        <v>seg</v>
      </c>
      <c r="AZ432" s="97">
        <f>IF(OR(AY432="SÁB",AY432="DOM"),0,IFERROR(8-VLOOKUP(C432,'Dados de consulta'!$A$2:$C$38,3,0),8))</f>
        <v>8</v>
      </c>
      <c r="BA432" s="97">
        <f>IF(OR(AY432="SÁB",AY432="DOM"),0,IFERROR(8-VLOOKUP(D432,'Dados de consulta'!$A$2:$C$38,3,0),8))</f>
        <v>8</v>
      </c>
      <c r="BB432" s="97">
        <f>IF(OR(AY432="SÁB",AY432="DOM"),0,IFERROR(8-VLOOKUP(E432,'Dados de consulta'!$A$2:$C$38,3,0),8))</f>
        <v>8</v>
      </c>
      <c r="BC432" s="97">
        <f>IF(OR(AY432="SÁB",AY432="DOM"),0,IFERROR(8-VLOOKUP(F432,'Dados de consulta'!$A$2:$C$38,3,0),8))</f>
        <v>8</v>
      </c>
      <c r="BD432" s="97">
        <f>IF(OR(AY432="SÁB",AY432="DOM"),0,IFERROR(8-VLOOKUP(G432,'Dados de consulta'!$A$2:$C$38,3,0),8))</f>
        <v>8</v>
      </c>
      <c r="BE432" s="97">
        <f>IF(OR(AY432="SÁB",AY432="DOM"),0,IFERROR(8-VLOOKUP(H432,'Dados de consulta'!$A$2:$C$38,3,0),8))</f>
        <v>8</v>
      </c>
      <c r="BF432" s="97">
        <f>IF(OR(AY432="SÁB",AY432="DOM"),0,IFERROR(8-VLOOKUP(I432,'Dados de consulta'!$A$2:$C$38,3,0),8))</f>
        <v>8</v>
      </c>
      <c r="BG432" s="97">
        <f>IF(OR(AY432="SÁB",AY432="DOM"),0,IFERROR(8-VLOOKUP(J432,'Dados de consulta'!$A$2:$C$38,3,0),8))</f>
        <v>8</v>
      </c>
      <c r="BH432" s="97">
        <f>IF(OR(AY432="SÁB",AY432="DOM"),0,IFERROR(8-VLOOKUP(K432,'Dados de consulta'!$A$2:$C$38,3,0),8))</f>
        <v>8</v>
      </c>
      <c r="BI432" s="97">
        <f>IF(OR(AY432="SÁB",AY432="DOM"),0,IFERROR(8-VLOOKUP(L432,'Dados de consulta'!$A$2:$C$38,3,0),8))</f>
        <v>8</v>
      </c>
      <c r="BJ432" s="97">
        <f>IF(OR(AY432="SÁB",AY432="DOM"),0,IFERROR(8-VLOOKUP(M432,'Dados de consulta'!$A$2:$C$38,3,0),8))</f>
        <v>0</v>
      </c>
      <c r="BK432" s="97">
        <f>IF(OR(AY432="SÁB",AY432="DOM"),0,IFERROR(8-VLOOKUP(N432,'Dados de consulta'!$A$2:$C$38,3,0),8))</f>
        <v>8</v>
      </c>
      <c r="BL432" s="97">
        <f>IF(OR(AY432="SÁB",AY432="DOM"),0,IFERROR(8-VLOOKUP(O432,'Dados de consulta'!$A$2:$C$38,3,0),8))</f>
        <v>8</v>
      </c>
      <c r="BM432" s="97">
        <f>IF(OR(AY432="SÁB",AY432="DOM"),0,IFERROR(8-VLOOKUP(P432,'Dados de consulta'!$A$2:$C$38,3,0),8))</f>
        <v>8</v>
      </c>
      <c r="BN432" s="97">
        <f>IF(OR(AY432="SÁB",AY432="DOM"),0,IFERROR(8-VLOOKUP(Q432,'Dados de consulta'!$A$2:$C$38,3,0),8))</f>
        <v>8</v>
      </c>
      <c r="BO432" s="97">
        <f>IF(OR(AY432="SÁB",AY432="DOM"),0,IFERROR(8-VLOOKUP(R432,'Dados de consulta'!$A$2:$C$38,3,0),8))</f>
        <v>0</v>
      </c>
      <c r="BP432" s="97">
        <f>IF(OR(AY432="SÁB",AY432="DOM"),0,IFERROR(8-VLOOKUP(S432,'Dados de consulta'!$A$2:$C$38,3,0),8))</f>
        <v>8</v>
      </c>
      <c r="BQ432" s="113">
        <f>IFERROR(6-VLOOKUP(T432,'Dados de consulta'!$A$2:$C$38,3,0)+2,6)</f>
        <v>6</v>
      </c>
      <c r="BR432" s="114">
        <f t="shared" si="180"/>
        <v>126</v>
      </c>
      <c r="BS432">
        <f t="shared" si="156"/>
        <v>134</v>
      </c>
      <c r="BU432">
        <f>IFERROR(8-VLOOKUP(U432,'Dados de consulta'!$A:$D,3,0),8)</f>
        <v>0</v>
      </c>
      <c r="BV432">
        <f>IFERROR(8-VLOOKUP(V432,'Dados de consulta'!$A:$D,3,0),8)</f>
        <v>8</v>
      </c>
      <c r="BW432">
        <f t="shared" si="181"/>
        <v>8</v>
      </c>
    </row>
    <row r="433" spans="1:75" ht="15" hidden="1" x14ac:dyDescent="0.2">
      <c r="A433" s="98">
        <v>42556</v>
      </c>
      <c r="B433" s="129" t="str">
        <f t="shared" si="158"/>
        <v>ter</v>
      </c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>
        <v>101</v>
      </c>
      <c r="N433" s="132"/>
      <c r="O433" s="132"/>
      <c r="P433" s="132"/>
      <c r="Q433" s="132"/>
      <c r="R433" s="132">
        <v>18</v>
      </c>
      <c r="S433" s="132"/>
      <c r="T433" s="132"/>
      <c r="U433" s="151">
        <v>18</v>
      </c>
      <c r="V433" s="151"/>
      <c r="W433" s="307" t="s">
        <v>193</v>
      </c>
      <c r="X433" s="308"/>
      <c r="Y433" s="38">
        <f t="shared" si="159"/>
        <v>0</v>
      </c>
      <c r="Z433" s="38">
        <f t="shared" si="160"/>
        <v>8</v>
      </c>
      <c r="AA433" s="38">
        <f t="shared" si="157"/>
        <v>0</v>
      </c>
      <c r="AB433" s="38">
        <f t="shared" si="168"/>
        <v>0</v>
      </c>
      <c r="AC433" s="38">
        <f t="shared" si="169"/>
        <v>0</v>
      </c>
      <c r="AD433" s="38">
        <f t="shared" si="170"/>
        <v>0</v>
      </c>
      <c r="AE433" s="38">
        <f t="shared" si="171"/>
        <v>0</v>
      </c>
      <c r="AF433" s="38">
        <f t="shared" si="172"/>
        <v>0</v>
      </c>
      <c r="AG433" s="33">
        <f t="shared" si="173"/>
        <v>0</v>
      </c>
      <c r="AH433" s="33">
        <f t="shared" si="174"/>
        <v>8</v>
      </c>
      <c r="AI433" s="33">
        <f t="shared" si="175"/>
        <v>0</v>
      </c>
      <c r="AJ433" s="33">
        <f t="shared" si="176"/>
        <v>0</v>
      </c>
      <c r="AK433" s="34">
        <f t="shared" si="177"/>
        <v>0</v>
      </c>
      <c r="AL433" s="35">
        <f t="shared" si="178"/>
        <v>5.6338028169014086E-2</v>
      </c>
      <c r="AM433" s="34">
        <f t="shared" si="161"/>
        <v>0</v>
      </c>
      <c r="AN433" s="36">
        <f t="shared" si="179"/>
        <v>0</v>
      </c>
      <c r="AO433" s="6">
        <f t="shared" si="162"/>
        <v>0</v>
      </c>
      <c r="AP433">
        <f t="shared" si="163"/>
        <v>8</v>
      </c>
      <c r="AQ433" s="6">
        <f t="shared" si="164"/>
        <v>0</v>
      </c>
      <c r="AR433" s="6">
        <f t="shared" si="165"/>
        <v>0</v>
      </c>
      <c r="AS433" s="6"/>
      <c r="AX433" s="95">
        <f t="shared" si="166"/>
        <v>42556</v>
      </c>
      <c r="AY433" s="96" t="str">
        <f t="shared" si="167"/>
        <v>ter</v>
      </c>
      <c r="AZ433" s="97">
        <f>IF(OR(AY433="SÁB",AY433="DOM"),0,IFERROR(8-VLOOKUP(C433,'Dados de consulta'!$A$2:$C$38,3,0),8))</f>
        <v>8</v>
      </c>
      <c r="BA433" s="97">
        <f>IF(OR(AY433="SÁB",AY433="DOM"),0,IFERROR(8-VLOOKUP(D433,'Dados de consulta'!$A$2:$C$38,3,0),8))</f>
        <v>8</v>
      </c>
      <c r="BB433" s="97">
        <f>IF(OR(AY433="SÁB",AY433="DOM"),0,IFERROR(8-VLOOKUP(E433,'Dados de consulta'!$A$2:$C$38,3,0),8))</f>
        <v>8</v>
      </c>
      <c r="BC433" s="97">
        <f>IF(OR(AY433="SÁB",AY433="DOM"),0,IFERROR(8-VLOOKUP(F433,'Dados de consulta'!$A$2:$C$38,3,0),8))</f>
        <v>8</v>
      </c>
      <c r="BD433" s="97">
        <f>IF(OR(AY433="SÁB",AY433="DOM"),0,IFERROR(8-VLOOKUP(G433,'Dados de consulta'!$A$2:$C$38,3,0),8))</f>
        <v>8</v>
      </c>
      <c r="BE433" s="97">
        <f>IF(OR(AY433="SÁB",AY433="DOM"),0,IFERROR(8-VLOOKUP(H433,'Dados de consulta'!$A$2:$C$38,3,0),8))</f>
        <v>8</v>
      </c>
      <c r="BF433" s="97">
        <f>IF(OR(AY433="SÁB",AY433="DOM"),0,IFERROR(8-VLOOKUP(I433,'Dados de consulta'!$A$2:$C$38,3,0),8))</f>
        <v>8</v>
      </c>
      <c r="BG433" s="97">
        <f>IF(OR(AY433="SÁB",AY433="DOM"),0,IFERROR(8-VLOOKUP(J433,'Dados de consulta'!$A$2:$C$38,3,0),8))</f>
        <v>8</v>
      </c>
      <c r="BH433" s="97">
        <f>IF(OR(AY433="SÁB",AY433="DOM"),0,IFERROR(8-VLOOKUP(K433,'Dados de consulta'!$A$2:$C$38,3,0),8))</f>
        <v>8</v>
      </c>
      <c r="BI433" s="97">
        <f>IF(OR(AY433="SÁB",AY433="DOM"),0,IFERROR(8-VLOOKUP(L433,'Dados de consulta'!$A$2:$C$38,3,0),8))</f>
        <v>8</v>
      </c>
      <c r="BJ433" s="97">
        <f>IF(OR(AY433="SÁB",AY433="DOM"),0,IFERROR(8-VLOOKUP(M433,'Dados de consulta'!$A$2:$C$38,3,0),8))</f>
        <v>0</v>
      </c>
      <c r="BK433" s="97">
        <f>IF(OR(AY433="SÁB",AY433="DOM"),0,IFERROR(8-VLOOKUP(N433,'Dados de consulta'!$A$2:$C$38,3,0),8))</f>
        <v>8</v>
      </c>
      <c r="BL433" s="97">
        <f>IF(OR(AY433="SÁB",AY433="DOM"),0,IFERROR(8-VLOOKUP(O433,'Dados de consulta'!$A$2:$C$38,3,0),8))</f>
        <v>8</v>
      </c>
      <c r="BM433" s="97">
        <f>IF(OR(AY433="SÁB",AY433="DOM"),0,IFERROR(8-VLOOKUP(P433,'Dados de consulta'!$A$2:$C$38,3,0),8))</f>
        <v>8</v>
      </c>
      <c r="BN433" s="97">
        <f>IF(OR(AY433="SÁB",AY433="DOM"),0,IFERROR(8-VLOOKUP(Q433,'Dados de consulta'!$A$2:$C$38,3,0),8))</f>
        <v>8</v>
      </c>
      <c r="BO433" s="97">
        <f>IF(OR(AY433="SÁB",AY433="DOM"),0,IFERROR(8-VLOOKUP(R433,'Dados de consulta'!$A$2:$C$38,3,0),8))</f>
        <v>0</v>
      </c>
      <c r="BP433" s="97">
        <f>IF(OR(AY433="SÁB",AY433="DOM"),0,IFERROR(8-VLOOKUP(S433,'Dados de consulta'!$A$2:$C$38,3,0),8))</f>
        <v>8</v>
      </c>
      <c r="BQ433" s="113">
        <f>IFERROR(6-VLOOKUP(T433,'Dados de consulta'!$A$2:$C$38,3,0)+2,6)</f>
        <v>6</v>
      </c>
      <c r="BR433" s="114">
        <f t="shared" si="180"/>
        <v>126</v>
      </c>
      <c r="BS433">
        <f t="shared" si="156"/>
        <v>134</v>
      </c>
      <c r="BU433">
        <f>IFERROR(8-VLOOKUP(U433,'Dados de consulta'!$A:$D,3,0),8)</f>
        <v>0</v>
      </c>
      <c r="BV433">
        <f>IFERROR(8-VLOOKUP(V433,'Dados de consulta'!$A:$D,3,0),8)</f>
        <v>8</v>
      </c>
      <c r="BW433">
        <f t="shared" si="181"/>
        <v>8</v>
      </c>
    </row>
    <row r="434" spans="1:75" ht="15" hidden="1" x14ac:dyDescent="0.2">
      <c r="A434" s="98">
        <v>42557</v>
      </c>
      <c r="B434" s="129" t="str">
        <f t="shared" si="158"/>
        <v>qua</v>
      </c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>
        <v>101</v>
      </c>
      <c r="N434" s="132"/>
      <c r="O434" s="132"/>
      <c r="P434" s="132"/>
      <c r="Q434" s="132"/>
      <c r="R434" s="132">
        <v>18</v>
      </c>
      <c r="S434" s="132"/>
      <c r="T434" s="132"/>
      <c r="U434" s="151">
        <v>18</v>
      </c>
      <c r="V434" s="151"/>
      <c r="W434" s="307" t="s">
        <v>193</v>
      </c>
      <c r="X434" s="308"/>
      <c r="Y434" s="38">
        <f t="shared" si="159"/>
        <v>0</v>
      </c>
      <c r="Z434" s="38">
        <f t="shared" si="160"/>
        <v>8</v>
      </c>
      <c r="AA434" s="38">
        <f t="shared" si="157"/>
        <v>0</v>
      </c>
      <c r="AB434" s="38">
        <f t="shared" si="168"/>
        <v>0</v>
      </c>
      <c r="AC434" s="38">
        <f t="shared" si="169"/>
        <v>0</v>
      </c>
      <c r="AD434" s="38">
        <f t="shared" si="170"/>
        <v>0</v>
      </c>
      <c r="AE434" s="38">
        <f t="shared" si="171"/>
        <v>0</v>
      </c>
      <c r="AF434" s="38">
        <f t="shared" si="172"/>
        <v>0</v>
      </c>
      <c r="AG434" s="33">
        <f t="shared" si="173"/>
        <v>0</v>
      </c>
      <c r="AH434" s="33">
        <f t="shared" si="174"/>
        <v>8</v>
      </c>
      <c r="AI434" s="33">
        <f t="shared" si="175"/>
        <v>0</v>
      </c>
      <c r="AJ434" s="33">
        <f t="shared" si="176"/>
        <v>0</v>
      </c>
      <c r="AK434" s="34">
        <f t="shared" si="177"/>
        <v>0</v>
      </c>
      <c r="AL434" s="35">
        <f t="shared" si="178"/>
        <v>5.6338028169014086E-2</v>
      </c>
      <c r="AM434" s="34">
        <f t="shared" si="161"/>
        <v>0</v>
      </c>
      <c r="AN434" s="36">
        <f t="shared" si="179"/>
        <v>0</v>
      </c>
      <c r="AO434" s="6">
        <f t="shared" si="162"/>
        <v>0</v>
      </c>
      <c r="AP434">
        <f t="shared" si="163"/>
        <v>8</v>
      </c>
      <c r="AQ434" s="6">
        <f t="shared" si="164"/>
        <v>0</v>
      </c>
      <c r="AR434" s="6">
        <f t="shared" si="165"/>
        <v>0</v>
      </c>
      <c r="AS434" s="6"/>
      <c r="AX434" s="95">
        <f t="shared" si="166"/>
        <v>42557</v>
      </c>
      <c r="AY434" s="96" t="str">
        <f t="shared" si="167"/>
        <v>qua</v>
      </c>
      <c r="AZ434" s="97">
        <f>IF(OR(AY434="SÁB",AY434="DOM"),0,IFERROR(8-VLOOKUP(C434,'Dados de consulta'!$A$2:$C$38,3,0),8))</f>
        <v>8</v>
      </c>
      <c r="BA434" s="97">
        <f>IF(OR(AY434="SÁB",AY434="DOM"),0,IFERROR(8-VLOOKUP(D434,'Dados de consulta'!$A$2:$C$38,3,0),8))</f>
        <v>8</v>
      </c>
      <c r="BB434" s="97">
        <f>IF(OR(AY434="SÁB",AY434="DOM"),0,IFERROR(8-VLOOKUP(E434,'Dados de consulta'!$A$2:$C$38,3,0),8))</f>
        <v>8</v>
      </c>
      <c r="BC434" s="97">
        <f>IF(OR(AY434="SÁB",AY434="DOM"),0,IFERROR(8-VLOOKUP(F434,'Dados de consulta'!$A$2:$C$38,3,0),8))</f>
        <v>8</v>
      </c>
      <c r="BD434" s="97">
        <f>IF(OR(AY434="SÁB",AY434="DOM"),0,IFERROR(8-VLOOKUP(G434,'Dados de consulta'!$A$2:$C$38,3,0),8))</f>
        <v>8</v>
      </c>
      <c r="BE434" s="97">
        <f>IF(OR(AY434="SÁB",AY434="DOM"),0,IFERROR(8-VLOOKUP(H434,'Dados de consulta'!$A$2:$C$38,3,0),8))</f>
        <v>8</v>
      </c>
      <c r="BF434" s="97">
        <f>IF(OR(AY434="SÁB",AY434="DOM"),0,IFERROR(8-VLOOKUP(I434,'Dados de consulta'!$A$2:$C$38,3,0),8))</f>
        <v>8</v>
      </c>
      <c r="BG434" s="97">
        <f>IF(OR(AY434="SÁB",AY434="DOM"),0,IFERROR(8-VLOOKUP(J434,'Dados de consulta'!$A$2:$C$38,3,0),8))</f>
        <v>8</v>
      </c>
      <c r="BH434" s="97">
        <f>IF(OR(AY434="SÁB",AY434="DOM"),0,IFERROR(8-VLOOKUP(K434,'Dados de consulta'!$A$2:$C$38,3,0),8))</f>
        <v>8</v>
      </c>
      <c r="BI434" s="97">
        <f>IF(OR(AY434="SÁB",AY434="DOM"),0,IFERROR(8-VLOOKUP(L434,'Dados de consulta'!$A$2:$C$38,3,0),8))</f>
        <v>8</v>
      </c>
      <c r="BJ434" s="97">
        <f>IF(OR(AY434="SÁB",AY434="DOM"),0,IFERROR(8-VLOOKUP(M434,'Dados de consulta'!$A$2:$C$38,3,0),8))</f>
        <v>0</v>
      </c>
      <c r="BK434" s="97">
        <f>IF(OR(AY434="SÁB",AY434="DOM"),0,IFERROR(8-VLOOKUP(N434,'Dados de consulta'!$A$2:$C$38,3,0),8))</f>
        <v>8</v>
      </c>
      <c r="BL434" s="97">
        <f>IF(OR(AY434="SÁB",AY434="DOM"),0,IFERROR(8-VLOOKUP(O434,'Dados de consulta'!$A$2:$C$38,3,0),8))</f>
        <v>8</v>
      </c>
      <c r="BM434" s="97">
        <f>IF(OR(AY434="SÁB",AY434="DOM"),0,IFERROR(8-VLOOKUP(P434,'Dados de consulta'!$A$2:$C$38,3,0),8))</f>
        <v>8</v>
      </c>
      <c r="BN434" s="97">
        <f>IF(OR(AY434="SÁB",AY434="DOM"),0,IFERROR(8-VLOOKUP(Q434,'Dados de consulta'!$A$2:$C$38,3,0),8))</f>
        <v>8</v>
      </c>
      <c r="BO434" s="97">
        <f>IF(OR(AY434="SÁB",AY434="DOM"),0,IFERROR(8-VLOOKUP(R434,'Dados de consulta'!$A$2:$C$38,3,0),8))</f>
        <v>0</v>
      </c>
      <c r="BP434" s="97">
        <f>IF(OR(AY434="SÁB",AY434="DOM"),0,IFERROR(8-VLOOKUP(S434,'Dados de consulta'!$A$2:$C$38,3,0),8))</f>
        <v>8</v>
      </c>
      <c r="BQ434" s="113">
        <f>IFERROR(6-VLOOKUP(T434,'Dados de consulta'!$A$2:$C$38,3,0)+2,6)</f>
        <v>6</v>
      </c>
      <c r="BR434" s="114">
        <f t="shared" si="180"/>
        <v>126</v>
      </c>
      <c r="BS434">
        <f t="shared" si="156"/>
        <v>134</v>
      </c>
      <c r="BU434">
        <f>IFERROR(8-VLOOKUP(U434,'Dados de consulta'!$A:$D,3,0),8)</f>
        <v>0</v>
      </c>
      <c r="BV434">
        <f>IFERROR(8-VLOOKUP(V434,'Dados de consulta'!$A:$D,3,0),8)</f>
        <v>8</v>
      </c>
      <c r="BW434">
        <f t="shared" si="181"/>
        <v>8</v>
      </c>
    </row>
    <row r="435" spans="1:75" ht="15" hidden="1" x14ac:dyDescent="0.2">
      <c r="A435" s="98">
        <v>42558</v>
      </c>
      <c r="B435" s="129" t="str">
        <f t="shared" si="158"/>
        <v>qui</v>
      </c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>
        <v>101</v>
      </c>
      <c r="N435" s="132"/>
      <c r="O435" s="132"/>
      <c r="P435" s="132"/>
      <c r="Q435" s="132"/>
      <c r="R435" s="132">
        <v>18</v>
      </c>
      <c r="S435" s="132"/>
      <c r="T435" s="132"/>
      <c r="U435" s="151">
        <v>18</v>
      </c>
      <c r="V435" s="151"/>
      <c r="W435" s="307" t="s">
        <v>193</v>
      </c>
      <c r="X435" s="308"/>
      <c r="Y435" s="38">
        <f t="shared" si="159"/>
        <v>0</v>
      </c>
      <c r="Z435" s="38">
        <f t="shared" si="160"/>
        <v>8</v>
      </c>
      <c r="AA435" s="38">
        <f t="shared" si="157"/>
        <v>0</v>
      </c>
      <c r="AB435" s="38">
        <f t="shared" si="168"/>
        <v>0</v>
      </c>
      <c r="AC435" s="38">
        <f t="shared" si="169"/>
        <v>0</v>
      </c>
      <c r="AD435" s="38">
        <f t="shared" si="170"/>
        <v>0</v>
      </c>
      <c r="AE435" s="38">
        <f t="shared" si="171"/>
        <v>0</v>
      </c>
      <c r="AF435" s="38">
        <f t="shared" si="172"/>
        <v>0</v>
      </c>
      <c r="AG435" s="33">
        <f t="shared" si="173"/>
        <v>0</v>
      </c>
      <c r="AH435" s="33">
        <f t="shared" si="174"/>
        <v>8</v>
      </c>
      <c r="AI435" s="33">
        <f t="shared" si="175"/>
        <v>0</v>
      </c>
      <c r="AJ435" s="33">
        <f t="shared" si="176"/>
        <v>0</v>
      </c>
      <c r="AK435" s="34">
        <f t="shared" si="177"/>
        <v>0</v>
      </c>
      <c r="AL435" s="35">
        <f t="shared" si="178"/>
        <v>5.6338028169014086E-2</v>
      </c>
      <c r="AM435" s="34">
        <f t="shared" si="161"/>
        <v>0</v>
      </c>
      <c r="AN435" s="36">
        <f t="shared" si="179"/>
        <v>0</v>
      </c>
      <c r="AO435" s="6">
        <f t="shared" si="162"/>
        <v>0</v>
      </c>
      <c r="AP435">
        <f t="shared" si="163"/>
        <v>8</v>
      </c>
      <c r="AQ435" s="6">
        <f t="shared" si="164"/>
        <v>0</v>
      </c>
      <c r="AR435" s="6">
        <f t="shared" si="165"/>
        <v>0</v>
      </c>
      <c r="AS435" s="6"/>
      <c r="AX435" s="95">
        <f t="shared" si="166"/>
        <v>42558</v>
      </c>
      <c r="AY435" s="96" t="str">
        <f t="shared" si="167"/>
        <v>qui</v>
      </c>
      <c r="AZ435" s="97">
        <f>IF(OR(AY435="SÁB",AY435="DOM"),0,IFERROR(8-VLOOKUP(C435,'Dados de consulta'!$A$2:$C$38,3,0),8))</f>
        <v>8</v>
      </c>
      <c r="BA435" s="97">
        <f>IF(OR(AY435="SÁB",AY435="DOM"),0,IFERROR(8-VLOOKUP(D435,'Dados de consulta'!$A$2:$C$38,3,0),8))</f>
        <v>8</v>
      </c>
      <c r="BB435" s="97">
        <f>IF(OR(AY435="SÁB",AY435="DOM"),0,IFERROR(8-VLOOKUP(E435,'Dados de consulta'!$A$2:$C$38,3,0),8))</f>
        <v>8</v>
      </c>
      <c r="BC435" s="97">
        <f>IF(OR(AY435="SÁB",AY435="DOM"),0,IFERROR(8-VLOOKUP(F435,'Dados de consulta'!$A$2:$C$38,3,0),8))</f>
        <v>8</v>
      </c>
      <c r="BD435" s="97">
        <f>IF(OR(AY435="SÁB",AY435="DOM"),0,IFERROR(8-VLOOKUP(G435,'Dados de consulta'!$A$2:$C$38,3,0),8))</f>
        <v>8</v>
      </c>
      <c r="BE435" s="97">
        <f>IF(OR(AY435="SÁB",AY435="DOM"),0,IFERROR(8-VLOOKUP(H435,'Dados de consulta'!$A$2:$C$38,3,0),8))</f>
        <v>8</v>
      </c>
      <c r="BF435" s="97">
        <f>IF(OR(AY435="SÁB",AY435="DOM"),0,IFERROR(8-VLOOKUP(I435,'Dados de consulta'!$A$2:$C$38,3,0),8))</f>
        <v>8</v>
      </c>
      <c r="BG435" s="97">
        <f>IF(OR(AY435="SÁB",AY435="DOM"),0,IFERROR(8-VLOOKUP(J435,'Dados de consulta'!$A$2:$C$38,3,0),8))</f>
        <v>8</v>
      </c>
      <c r="BH435" s="97">
        <f>IF(OR(AY435="SÁB",AY435="DOM"),0,IFERROR(8-VLOOKUP(K435,'Dados de consulta'!$A$2:$C$38,3,0),8))</f>
        <v>8</v>
      </c>
      <c r="BI435" s="97">
        <f>IF(OR(AY435="SÁB",AY435="DOM"),0,IFERROR(8-VLOOKUP(L435,'Dados de consulta'!$A$2:$C$38,3,0),8))</f>
        <v>8</v>
      </c>
      <c r="BJ435" s="97">
        <f>IF(OR(AY435="SÁB",AY435="DOM"),0,IFERROR(8-VLOOKUP(M435,'Dados de consulta'!$A$2:$C$38,3,0),8))</f>
        <v>0</v>
      </c>
      <c r="BK435" s="97">
        <f>IF(OR(AY435="SÁB",AY435="DOM"),0,IFERROR(8-VLOOKUP(N435,'Dados de consulta'!$A$2:$C$38,3,0),8))</f>
        <v>8</v>
      </c>
      <c r="BL435" s="97">
        <f>IF(OR(AY435="SÁB",AY435="DOM"),0,IFERROR(8-VLOOKUP(O435,'Dados de consulta'!$A$2:$C$38,3,0),8))</f>
        <v>8</v>
      </c>
      <c r="BM435" s="97">
        <f>IF(OR(AY435="SÁB",AY435="DOM"),0,IFERROR(8-VLOOKUP(P435,'Dados de consulta'!$A$2:$C$38,3,0),8))</f>
        <v>8</v>
      </c>
      <c r="BN435" s="97">
        <f>IF(OR(AY435="SÁB",AY435="DOM"),0,IFERROR(8-VLOOKUP(Q435,'Dados de consulta'!$A$2:$C$38,3,0),8))</f>
        <v>8</v>
      </c>
      <c r="BO435" s="97">
        <f>IF(OR(AY435="SÁB",AY435="DOM"),0,IFERROR(8-VLOOKUP(R435,'Dados de consulta'!$A$2:$C$38,3,0),8))</f>
        <v>0</v>
      </c>
      <c r="BP435" s="97">
        <f>IF(OR(AY435="SÁB",AY435="DOM"),0,IFERROR(8-VLOOKUP(S435,'Dados de consulta'!$A$2:$C$38,3,0),8))</f>
        <v>8</v>
      </c>
      <c r="BQ435" s="113">
        <f>IFERROR(6-VLOOKUP(T435,'Dados de consulta'!$A$2:$C$38,3,0)+2,6)</f>
        <v>6</v>
      </c>
      <c r="BR435" s="114">
        <f t="shared" si="180"/>
        <v>126</v>
      </c>
      <c r="BS435">
        <f t="shared" si="156"/>
        <v>134</v>
      </c>
      <c r="BU435">
        <f>IFERROR(8-VLOOKUP(U435,'Dados de consulta'!$A:$D,3,0),8)</f>
        <v>0</v>
      </c>
      <c r="BV435">
        <f>IFERROR(8-VLOOKUP(V435,'Dados de consulta'!$A:$D,3,0),8)</f>
        <v>8</v>
      </c>
      <c r="BW435">
        <f t="shared" si="181"/>
        <v>8</v>
      </c>
    </row>
    <row r="436" spans="1:75" ht="15" hidden="1" x14ac:dyDescent="0.2">
      <c r="A436" s="98">
        <v>42559</v>
      </c>
      <c r="B436" s="129" t="str">
        <f t="shared" si="158"/>
        <v>sex</v>
      </c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>
        <v>101</v>
      </c>
      <c r="N436" s="132"/>
      <c r="O436" s="132"/>
      <c r="P436" s="132"/>
      <c r="Q436" s="132"/>
      <c r="R436" s="132">
        <v>18</v>
      </c>
      <c r="S436" s="132"/>
      <c r="T436" s="132"/>
      <c r="U436" s="151">
        <v>18</v>
      </c>
      <c r="V436" s="151"/>
      <c r="W436" s="307" t="s">
        <v>193</v>
      </c>
      <c r="X436" s="308"/>
      <c r="Y436" s="38">
        <f t="shared" si="159"/>
        <v>0</v>
      </c>
      <c r="Z436" s="38">
        <f t="shared" si="160"/>
        <v>8</v>
      </c>
      <c r="AA436" s="38">
        <f t="shared" si="157"/>
        <v>0</v>
      </c>
      <c r="AB436" s="38">
        <f t="shared" si="168"/>
        <v>0</v>
      </c>
      <c r="AC436" s="38">
        <f t="shared" si="169"/>
        <v>0</v>
      </c>
      <c r="AD436" s="38">
        <f t="shared" si="170"/>
        <v>0</v>
      </c>
      <c r="AE436" s="38">
        <f t="shared" si="171"/>
        <v>0</v>
      </c>
      <c r="AF436" s="38">
        <f t="shared" si="172"/>
        <v>0</v>
      </c>
      <c r="AG436" s="33">
        <f t="shared" si="173"/>
        <v>0</v>
      </c>
      <c r="AH436" s="33">
        <f t="shared" si="174"/>
        <v>8</v>
      </c>
      <c r="AI436" s="33">
        <f t="shared" si="175"/>
        <v>0</v>
      </c>
      <c r="AJ436" s="33">
        <f t="shared" si="176"/>
        <v>0</v>
      </c>
      <c r="AK436" s="34">
        <f t="shared" si="177"/>
        <v>0</v>
      </c>
      <c r="AL436" s="35">
        <f t="shared" si="178"/>
        <v>5.6338028169014086E-2</v>
      </c>
      <c r="AM436" s="34">
        <f t="shared" si="161"/>
        <v>0</v>
      </c>
      <c r="AN436" s="36">
        <f t="shared" si="179"/>
        <v>0</v>
      </c>
      <c r="AO436" s="6">
        <f t="shared" si="162"/>
        <v>0</v>
      </c>
      <c r="AP436">
        <f t="shared" si="163"/>
        <v>8</v>
      </c>
      <c r="AQ436" s="6">
        <f t="shared" si="164"/>
        <v>0</v>
      </c>
      <c r="AR436" s="6">
        <f t="shared" si="165"/>
        <v>0</v>
      </c>
      <c r="AS436" s="6"/>
      <c r="AX436" s="95">
        <f t="shared" si="166"/>
        <v>42559</v>
      </c>
      <c r="AY436" s="96" t="str">
        <f t="shared" si="167"/>
        <v>sex</v>
      </c>
      <c r="AZ436" s="97">
        <f>IF(OR(AY436="SÁB",AY436="DOM"),0,IFERROR(8-VLOOKUP(C436,'Dados de consulta'!$A$2:$C$38,3,0),8))</f>
        <v>8</v>
      </c>
      <c r="BA436" s="97">
        <f>IF(OR(AY436="SÁB",AY436="DOM"),0,IFERROR(8-VLOOKUP(D436,'Dados de consulta'!$A$2:$C$38,3,0),8))</f>
        <v>8</v>
      </c>
      <c r="BB436" s="97">
        <f>IF(OR(AY436="SÁB",AY436="DOM"),0,IFERROR(8-VLOOKUP(E436,'Dados de consulta'!$A$2:$C$38,3,0),8))</f>
        <v>8</v>
      </c>
      <c r="BC436" s="97">
        <f>IF(OR(AY436="SÁB",AY436="DOM"),0,IFERROR(8-VLOOKUP(F436,'Dados de consulta'!$A$2:$C$38,3,0),8))</f>
        <v>8</v>
      </c>
      <c r="BD436" s="97">
        <f>IF(OR(AY436="SÁB",AY436="DOM"),0,IFERROR(8-VLOOKUP(G436,'Dados de consulta'!$A$2:$C$38,3,0),8))</f>
        <v>8</v>
      </c>
      <c r="BE436" s="97">
        <f>IF(OR(AY436="SÁB",AY436="DOM"),0,IFERROR(8-VLOOKUP(H436,'Dados de consulta'!$A$2:$C$38,3,0),8))</f>
        <v>8</v>
      </c>
      <c r="BF436" s="97">
        <f>IF(OR(AY436="SÁB",AY436="DOM"),0,IFERROR(8-VLOOKUP(I436,'Dados de consulta'!$A$2:$C$38,3,0),8))</f>
        <v>8</v>
      </c>
      <c r="BG436" s="97">
        <f>IF(OR(AY436="SÁB",AY436="DOM"),0,IFERROR(8-VLOOKUP(J436,'Dados de consulta'!$A$2:$C$38,3,0),8))</f>
        <v>8</v>
      </c>
      <c r="BH436" s="97">
        <f>IF(OR(AY436="SÁB",AY436="DOM"),0,IFERROR(8-VLOOKUP(K436,'Dados de consulta'!$A$2:$C$38,3,0),8))</f>
        <v>8</v>
      </c>
      <c r="BI436" s="97">
        <f>IF(OR(AY436="SÁB",AY436="DOM"),0,IFERROR(8-VLOOKUP(L436,'Dados de consulta'!$A$2:$C$38,3,0),8))</f>
        <v>8</v>
      </c>
      <c r="BJ436" s="97">
        <f>IF(OR(AY436="SÁB",AY436="DOM"),0,IFERROR(8-VLOOKUP(M436,'Dados de consulta'!$A$2:$C$38,3,0),8))</f>
        <v>0</v>
      </c>
      <c r="BK436" s="97">
        <f>IF(OR(AY436="SÁB",AY436="DOM"),0,IFERROR(8-VLOOKUP(N436,'Dados de consulta'!$A$2:$C$38,3,0),8))</f>
        <v>8</v>
      </c>
      <c r="BL436" s="97">
        <f>IF(OR(AY436="SÁB",AY436="DOM"),0,IFERROR(8-VLOOKUP(O436,'Dados de consulta'!$A$2:$C$38,3,0),8))</f>
        <v>8</v>
      </c>
      <c r="BM436" s="97">
        <f>IF(OR(AY436="SÁB",AY436="DOM"),0,IFERROR(8-VLOOKUP(P436,'Dados de consulta'!$A$2:$C$38,3,0),8))</f>
        <v>8</v>
      </c>
      <c r="BN436" s="97">
        <f>IF(OR(AY436="SÁB",AY436="DOM"),0,IFERROR(8-VLOOKUP(Q436,'Dados de consulta'!$A$2:$C$38,3,0),8))</f>
        <v>8</v>
      </c>
      <c r="BO436" s="97">
        <f>IF(OR(AY436="SÁB",AY436="DOM"),0,IFERROR(8-VLOOKUP(R436,'Dados de consulta'!$A$2:$C$38,3,0),8))</f>
        <v>0</v>
      </c>
      <c r="BP436" s="97">
        <f>IF(OR(AY436="SÁB",AY436="DOM"),0,IFERROR(8-VLOOKUP(S436,'Dados de consulta'!$A$2:$C$38,3,0),8))</f>
        <v>8</v>
      </c>
      <c r="BQ436" s="113">
        <f>IFERROR(6-VLOOKUP(T436,'Dados de consulta'!$A$2:$C$38,3,0)+2,6)</f>
        <v>6</v>
      </c>
      <c r="BR436" s="114">
        <f t="shared" si="180"/>
        <v>126</v>
      </c>
      <c r="BS436">
        <f t="shared" si="156"/>
        <v>134</v>
      </c>
      <c r="BU436">
        <f>IFERROR(8-VLOOKUP(U436,'Dados de consulta'!$A:$D,3,0),8)</f>
        <v>0</v>
      </c>
      <c r="BV436">
        <f>IFERROR(8-VLOOKUP(V436,'Dados de consulta'!$A:$D,3,0),8)</f>
        <v>8</v>
      </c>
      <c r="BW436">
        <f t="shared" si="181"/>
        <v>8</v>
      </c>
    </row>
    <row r="437" spans="1:75" ht="15" hidden="1" x14ac:dyDescent="0.2">
      <c r="A437" s="98">
        <v>42560</v>
      </c>
      <c r="B437" s="129" t="str">
        <f t="shared" si="158"/>
        <v>sáb</v>
      </c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>
        <v>101</v>
      </c>
      <c r="N437" s="132"/>
      <c r="O437" s="132"/>
      <c r="P437" s="132"/>
      <c r="Q437" s="132"/>
      <c r="R437" s="132">
        <v>18</v>
      </c>
      <c r="S437" s="132"/>
      <c r="T437" s="132"/>
      <c r="U437" s="151">
        <v>18</v>
      </c>
      <c r="V437" s="151"/>
      <c r="W437" s="307" t="s">
        <v>193</v>
      </c>
      <c r="X437" s="308"/>
      <c r="Y437" s="38">
        <f t="shared" si="159"/>
        <v>0</v>
      </c>
      <c r="Z437" s="38">
        <f t="shared" si="160"/>
        <v>8</v>
      </c>
      <c r="AA437" s="38">
        <f t="shared" si="157"/>
        <v>0</v>
      </c>
      <c r="AB437" s="38">
        <f t="shared" si="168"/>
        <v>0</v>
      </c>
      <c r="AC437" s="38">
        <f t="shared" si="169"/>
        <v>0</v>
      </c>
      <c r="AD437" s="38">
        <f t="shared" si="170"/>
        <v>0</v>
      </c>
      <c r="AE437" s="38">
        <f t="shared" si="171"/>
        <v>0</v>
      </c>
      <c r="AF437" s="38">
        <f t="shared" si="172"/>
        <v>0</v>
      </c>
      <c r="AG437" s="33">
        <f t="shared" si="173"/>
        <v>0</v>
      </c>
      <c r="AH437" s="33">
        <f t="shared" si="174"/>
        <v>0</v>
      </c>
      <c r="AI437" s="33">
        <f t="shared" si="175"/>
        <v>0</v>
      </c>
      <c r="AJ437" s="33">
        <f t="shared" si="176"/>
        <v>0</v>
      </c>
      <c r="AK437" s="34">
        <f t="shared" si="177"/>
        <v>0</v>
      </c>
      <c r="AL437" s="35">
        <f t="shared" si="178"/>
        <v>0</v>
      </c>
      <c r="AM437" s="34">
        <f t="shared" si="161"/>
        <v>0</v>
      </c>
      <c r="AN437" s="36">
        <f t="shared" si="179"/>
        <v>0</v>
      </c>
      <c r="AO437" s="6">
        <f t="shared" si="162"/>
        <v>0</v>
      </c>
      <c r="AP437">
        <f t="shared" si="163"/>
        <v>8</v>
      </c>
      <c r="AQ437" s="6">
        <f t="shared" si="164"/>
        <v>0</v>
      </c>
      <c r="AR437" s="6">
        <f t="shared" si="165"/>
        <v>0</v>
      </c>
      <c r="AS437" s="6"/>
      <c r="AX437" s="95">
        <f t="shared" si="166"/>
        <v>42560</v>
      </c>
      <c r="AY437" s="96" t="str">
        <f t="shared" si="167"/>
        <v>sáb</v>
      </c>
      <c r="AZ437" s="97">
        <f>IF(OR(AY437="SÁB",AY437="DOM"),0,IFERROR(8-VLOOKUP(C437,'Dados de consulta'!$A$2:$C$38,3,0),8))</f>
        <v>0</v>
      </c>
      <c r="BA437" s="97">
        <f>IF(OR(AY437="SÁB",AY437="DOM"),0,IFERROR(8-VLOOKUP(D437,'Dados de consulta'!$A$2:$C$38,3,0),8))</f>
        <v>0</v>
      </c>
      <c r="BB437" s="97">
        <f>IF(OR(AY437="SÁB",AY437="DOM"),0,IFERROR(8-VLOOKUP(E437,'Dados de consulta'!$A$2:$C$38,3,0),8))</f>
        <v>0</v>
      </c>
      <c r="BC437" s="97">
        <f>IF(OR(AY437="SÁB",AY437="DOM"),0,IFERROR(8-VLOOKUP(F437,'Dados de consulta'!$A$2:$C$38,3,0),8))</f>
        <v>0</v>
      </c>
      <c r="BD437" s="97">
        <f>IF(OR(AY437="SÁB",AY437="DOM"),0,IFERROR(8-VLOOKUP(G437,'Dados de consulta'!$A$2:$C$38,3,0),8))</f>
        <v>0</v>
      </c>
      <c r="BE437" s="97">
        <f>IF(OR(AY437="SÁB",AY437="DOM"),0,IFERROR(8-VLOOKUP(H437,'Dados de consulta'!$A$2:$C$38,3,0),8))</f>
        <v>0</v>
      </c>
      <c r="BF437" s="97">
        <f>IF(OR(AY437="SÁB",AY437="DOM"),0,IFERROR(8-VLOOKUP(I437,'Dados de consulta'!$A$2:$C$38,3,0),8))</f>
        <v>0</v>
      </c>
      <c r="BG437" s="97">
        <f>IF(OR(AY437="SÁB",AY437="DOM"),0,IFERROR(8-VLOOKUP(J437,'Dados de consulta'!$A$2:$C$38,3,0),8))</f>
        <v>0</v>
      </c>
      <c r="BH437" s="97">
        <f>IF(OR(AY437="SÁB",AY437="DOM"),0,IFERROR(8-VLOOKUP(K437,'Dados de consulta'!$A$2:$C$38,3,0),8))</f>
        <v>0</v>
      </c>
      <c r="BI437" s="97">
        <f>IF(OR(AY437="SÁB",AY437="DOM"),0,IFERROR(8-VLOOKUP(L437,'Dados de consulta'!$A$2:$C$38,3,0),8))</f>
        <v>0</v>
      </c>
      <c r="BJ437" s="97">
        <f>IF(OR(AY437="SÁB",AY437="DOM"),0,IFERROR(8-VLOOKUP(M437,'Dados de consulta'!$A$2:$C$38,3,0),8))</f>
        <v>0</v>
      </c>
      <c r="BK437" s="97">
        <f>IF(OR(AY437="SÁB",AY437="DOM"),0,IFERROR(8-VLOOKUP(N437,'Dados de consulta'!$A$2:$C$38,3,0),8))</f>
        <v>0</v>
      </c>
      <c r="BL437" s="97">
        <f>IF(OR(AY437="SÁB",AY437="DOM"),0,IFERROR(8-VLOOKUP(O437,'Dados de consulta'!$A$2:$C$38,3,0),8))</f>
        <v>0</v>
      </c>
      <c r="BM437" s="97">
        <f>IF(OR(AY437="SÁB",AY437="DOM"),0,IFERROR(8-VLOOKUP(P437,'Dados de consulta'!$A$2:$C$38,3,0),8))</f>
        <v>0</v>
      </c>
      <c r="BN437" s="97">
        <f>IF(OR(AY437="SÁB",AY437="DOM"),0,IFERROR(8-VLOOKUP(Q437,'Dados de consulta'!$A$2:$C$38,3,0),8))</f>
        <v>0</v>
      </c>
      <c r="BO437" s="97">
        <f>IF(OR(AY437="SÁB",AY437="DOM"),0,IFERROR(8-VLOOKUP(R437,'Dados de consulta'!$A$2:$C$38,3,0),8))</f>
        <v>0</v>
      </c>
      <c r="BP437" s="97">
        <f>IF(OR(AY437="SÁB",AY437="DOM"),0,IFERROR(8-VLOOKUP(S437,'Dados de consulta'!$A$2:$C$38,3,0),8))</f>
        <v>0</v>
      </c>
      <c r="BQ437" s="113">
        <f>IFERROR(6-VLOOKUP(T437,'Dados de consulta'!$A$2:$C$38,3,0)+2,6)</f>
        <v>6</v>
      </c>
      <c r="BR437" s="114">
        <f t="shared" si="180"/>
        <v>0</v>
      </c>
      <c r="BS437">
        <f t="shared" si="156"/>
        <v>0</v>
      </c>
      <c r="BU437">
        <f>IFERROR(8-VLOOKUP(U437,'Dados de consulta'!$A:$D,3,0),8)</f>
        <v>0</v>
      </c>
      <c r="BV437">
        <f>IFERROR(8-VLOOKUP(V437,'Dados de consulta'!$A:$D,3,0),8)</f>
        <v>8</v>
      </c>
      <c r="BW437">
        <f t="shared" si="181"/>
        <v>8</v>
      </c>
    </row>
    <row r="438" spans="1:75" ht="15" hidden="1" x14ac:dyDescent="0.2">
      <c r="A438" s="98">
        <v>42561</v>
      </c>
      <c r="B438" s="129" t="str">
        <f t="shared" si="158"/>
        <v>dom</v>
      </c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>
        <v>101</v>
      </c>
      <c r="N438" s="132"/>
      <c r="O438" s="132"/>
      <c r="P438" s="132"/>
      <c r="Q438" s="132"/>
      <c r="R438" s="132">
        <v>18</v>
      </c>
      <c r="S438" s="132"/>
      <c r="T438" s="132"/>
      <c r="U438" s="151">
        <v>18</v>
      </c>
      <c r="V438" s="151"/>
      <c r="W438" s="307" t="s">
        <v>193</v>
      </c>
      <c r="X438" s="308"/>
      <c r="Y438" s="38">
        <f t="shared" si="159"/>
        <v>0</v>
      </c>
      <c r="Z438" s="38">
        <f t="shared" si="160"/>
        <v>8</v>
      </c>
      <c r="AA438" s="38">
        <f t="shared" si="157"/>
        <v>0</v>
      </c>
      <c r="AB438" s="38">
        <f t="shared" si="168"/>
        <v>0</v>
      </c>
      <c r="AC438" s="38">
        <f t="shared" si="169"/>
        <v>0</v>
      </c>
      <c r="AD438" s="38">
        <f t="shared" si="170"/>
        <v>0</v>
      </c>
      <c r="AE438" s="38">
        <f t="shared" si="171"/>
        <v>0</v>
      </c>
      <c r="AF438" s="38">
        <f t="shared" si="172"/>
        <v>0</v>
      </c>
      <c r="AG438" s="33">
        <f t="shared" si="173"/>
        <v>0</v>
      </c>
      <c r="AH438" s="33">
        <f t="shared" si="174"/>
        <v>0</v>
      </c>
      <c r="AI438" s="33">
        <f t="shared" si="175"/>
        <v>0</v>
      </c>
      <c r="AJ438" s="33">
        <f t="shared" si="176"/>
        <v>0</v>
      </c>
      <c r="AK438" s="34">
        <f t="shared" si="177"/>
        <v>0</v>
      </c>
      <c r="AL438" s="35">
        <f t="shared" si="178"/>
        <v>0</v>
      </c>
      <c r="AM438" s="34">
        <f t="shared" si="161"/>
        <v>0</v>
      </c>
      <c r="AN438" s="36">
        <f t="shared" si="179"/>
        <v>0</v>
      </c>
      <c r="AO438" s="6">
        <f t="shared" si="162"/>
        <v>0</v>
      </c>
      <c r="AP438">
        <f t="shared" si="163"/>
        <v>8</v>
      </c>
      <c r="AQ438" s="6">
        <f t="shared" si="164"/>
        <v>0</v>
      </c>
      <c r="AR438" s="6">
        <f t="shared" si="165"/>
        <v>0</v>
      </c>
      <c r="AS438" s="6"/>
      <c r="AX438" s="95">
        <f t="shared" si="166"/>
        <v>42561</v>
      </c>
      <c r="AY438" s="96" t="str">
        <f t="shared" si="167"/>
        <v>dom</v>
      </c>
      <c r="AZ438" s="97">
        <f>IF(OR(AY438="SÁB",AY438="DOM"),0,IFERROR(8-VLOOKUP(C438,'Dados de consulta'!$A$2:$C$38,3,0),8))</f>
        <v>0</v>
      </c>
      <c r="BA438" s="97">
        <f>IF(OR(AY438="SÁB",AY438="DOM"),0,IFERROR(8-VLOOKUP(D438,'Dados de consulta'!$A$2:$C$38,3,0),8))</f>
        <v>0</v>
      </c>
      <c r="BB438" s="97">
        <f>IF(OR(AY438="SÁB",AY438="DOM"),0,IFERROR(8-VLOOKUP(E438,'Dados de consulta'!$A$2:$C$38,3,0),8))</f>
        <v>0</v>
      </c>
      <c r="BC438" s="97">
        <f>IF(OR(AY438="SÁB",AY438="DOM"),0,IFERROR(8-VLOOKUP(F438,'Dados de consulta'!$A$2:$C$38,3,0),8))</f>
        <v>0</v>
      </c>
      <c r="BD438" s="97">
        <f>IF(OR(AY438="SÁB",AY438="DOM"),0,IFERROR(8-VLOOKUP(G438,'Dados de consulta'!$A$2:$C$38,3,0),8))</f>
        <v>0</v>
      </c>
      <c r="BE438" s="97">
        <f>IF(OR(AY438="SÁB",AY438="DOM"),0,IFERROR(8-VLOOKUP(H438,'Dados de consulta'!$A$2:$C$38,3,0),8))</f>
        <v>0</v>
      </c>
      <c r="BF438" s="97">
        <f>IF(OR(AY438="SÁB",AY438="DOM"),0,IFERROR(8-VLOOKUP(I438,'Dados de consulta'!$A$2:$C$38,3,0),8))</f>
        <v>0</v>
      </c>
      <c r="BG438" s="97">
        <f>IF(OR(AY438="SÁB",AY438="DOM"),0,IFERROR(8-VLOOKUP(J438,'Dados de consulta'!$A$2:$C$38,3,0),8))</f>
        <v>0</v>
      </c>
      <c r="BH438" s="97">
        <f>IF(OR(AY438="SÁB",AY438="DOM"),0,IFERROR(8-VLOOKUP(K438,'Dados de consulta'!$A$2:$C$38,3,0),8))</f>
        <v>0</v>
      </c>
      <c r="BI438" s="97">
        <f>IF(OR(AY438="SÁB",AY438="DOM"),0,IFERROR(8-VLOOKUP(L438,'Dados de consulta'!$A$2:$C$38,3,0),8))</f>
        <v>0</v>
      </c>
      <c r="BJ438" s="97">
        <f>IF(OR(AY438="SÁB",AY438="DOM"),0,IFERROR(8-VLOOKUP(M438,'Dados de consulta'!$A$2:$C$38,3,0),8))</f>
        <v>0</v>
      </c>
      <c r="BK438" s="97">
        <f>IF(OR(AY438="SÁB",AY438="DOM"),0,IFERROR(8-VLOOKUP(N438,'Dados de consulta'!$A$2:$C$38,3,0),8))</f>
        <v>0</v>
      </c>
      <c r="BL438" s="97">
        <f>IF(OR(AY438="SÁB",AY438="DOM"),0,IFERROR(8-VLOOKUP(O438,'Dados de consulta'!$A$2:$C$38,3,0),8))</f>
        <v>0</v>
      </c>
      <c r="BM438" s="97">
        <f>IF(OR(AY438="SÁB",AY438="DOM"),0,IFERROR(8-VLOOKUP(P438,'Dados de consulta'!$A$2:$C$38,3,0),8))</f>
        <v>0</v>
      </c>
      <c r="BN438" s="97">
        <f>IF(OR(AY438="SÁB",AY438="DOM"),0,IFERROR(8-VLOOKUP(Q438,'Dados de consulta'!$A$2:$C$38,3,0),8))</f>
        <v>0</v>
      </c>
      <c r="BO438" s="97">
        <f>IF(OR(AY438="SÁB",AY438="DOM"),0,IFERROR(8-VLOOKUP(R438,'Dados de consulta'!$A$2:$C$38,3,0),8))</f>
        <v>0</v>
      </c>
      <c r="BP438" s="97">
        <f>IF(OR(AY438="SÁB",AY438="DOM"),0,IFERROR(8-VLOOKUP(S438,'Dados de consulta'!$A$2:$C$38,3,0),8))</f>
        <v>0</v>
      </c>
      <c r="BQ438" s="113">
        <f>IFERROR(6-VLOOKUP(T438,'Dados de consulta'!$A$2:$C$38,3,0)+2,6)</f>
        <v>6</v>
      </c>
      <c r="BR438" s="114">
        <f t="shared" si="180"/>
        <v>0</v>
      </c>
      <c r="BS438">
        <f t="shared" si="156"/>
        <v>0</v>
      </c>
      <c r="BU438">
        <f>IFERROR(8-VLOOKUP(U438,'Dados de consulta'!$A:$D,3,0),8)</f>
        <v>0</v>
      </c>
      <c r="BV438">
        <f>IFERROR(8-VLOOKUP(V438,'Dados de consulta'!$A:$D,3,0),8)</f>
        <v>8</v>
      </c>
      <c r="BW438">
        <f t="shared" si="181"/>
        <v>8</v>
      </c>
    </row>
    <row r="439" spans="1:75" ht="15" hidden="1" x14ac:dyDescent="0.2">
      <c r="A439" s="98">
        <v>42562</v>
      </c>
      <c r="B439" s="129" t="str">
        <f t="shared" si="158"/>
        <v>seg</v>
      </c>
      <c r="C439" s="132">
        <v>18</v>
      </c>
      <c r="D439" s="132"/>
      <c r="E439" s="132"/>
      <c r="F439" s="132"/>
      <c r="G439" s="132"/>
      <c r="H439" s="132"/>
      <c r="I439" s="132"/>
      <c r="J439" s="132"/>
      <c r="K439" s="132"/>
      <c r="L439" s="132"/>
      <c r="M439" s="132">
        <v>101</v>
      </c>
      <c r="N439" s="132"/>
      <c r="O439" s="132"/>
      <c r="P439" s="132"/>
      <c r="Q439" s="132"/>
      <c r="R439" s="132">
        <v>18</v>
      </c>
      <c r="S439" s="132"/>
      <c r="T439" s="132"/>
      <c r="U439" s="151">
        <v>18</v>
      </c>
      <c r="V439" s="151"/>
      <c r="W439" s="307" t="s">
        <v>193</v>
      </c>
      <c r="X439" s="308"/>
      <c r="Y439" s="38">
        <f t="shared" si="159"/>
        <v>0</v>
      </c>
      <c r="Z439" s="38">
        <f t="shared" si="160"/>
        <v>16</v>
      </c>
      <c r="AA439" s="38">
        <f t="shared" si="157"/>
        <v>0</v>
      </c>
      <c r="AB439" s="38">
        <f t="shared" si="168"/>
        <v>0</v>
      </c>
      <c r="AC439" s="38">
        <f t="shared" si="169"/>
        <v>0</v>
      </c>
      <c r="AD439" s="38">
        <f t="shared" si="170"/>
        <v>0</v>
      </c>
      <c r="AE439" s="38">
        <f t="shared" si="171"/>
        <v>0</v>
      </c>
      <c r="AF439" s="38">
        <f t="shared" si="172"/>
        <v>0</v>
      </c>
      <c r="AG439" s="33">
        <f t="shared" si="173"/>
        <v>0</v>
      </c>
      <c r="AH439" s="33">
        <f t="shared" si="174"/>
        <v>16</v>
      </c>
      <c r="AI439" s="33">
        <f t="shared" si="175"/>
        <v>0</v>
      </c>
      <c r="AJ439" s="33">
        <f t="shared" si="176"/>
        <v>0</v>
      </c>
      <c r="AK439" s="34">
        <f t="shared" si="177"/>
        <v>0</v>
      </c>
      <c r="AL439" s="35">
        <f t="shared" si="178"/>
        <v>0.11267605633802817</v>
      </c>
      <c r="AM439" s="34">
        <f t="shared" si="161"/>
        <v>0</v>
      </c>
      <c r="AN439" s="36">
        <f t="shared" si="179"/>
        <v>0</v>
      </c>
      <c r="AO439" s="6">
        <f t="shared" si="162"/>
        <v>0</v>
      </c>
      <c r="AP439">
        <f t="shared" si="163"/>
        <v>8</v>
      </c>
      <c r="AQ439" s="6">
        <f t="shared" si="164"/>
        <v>0</v>
      </c>
      <c r="AR439" s="6">
        <f t="shared" si="165"/>
        <v>0</v>
      </c>
      <c r="AS439" s="6"/>
      <c r="AX439" s="95">
        <f t="shared" si="166"/>
        <v>42562</v>
      </c>
      <c r="AY439" s="96" t="str">
        <f t="shared" si="167"/>
        <v>seg</v>
      </c>
      <c r="AZ439" s="97">
        <f>IF(OR(AY439="SÁB",AY439="DOM"),0,IFERROR(8-VLOOKUP(C439,'Dados de consulta'!$A$2:$C$38,3,0),8))</f>
        <v>0</v>
      </c>
      <c r="BA439" s="97">
        <f>IF(OR(AY439="SÁB",AY439="DOM"),0,IFERROR(8-VLOOKUP(D439,'Dados de consulta'!$A$2:$C$38,3,0),8))</f>
        <v>8</v>
      </c>
      <c r="BB439" s="97">
        <f>IF(OR(AY439="SÁB",AY439="DOM"),0,IFERROR(8-VLOOKUP(E439,'Dados de consulta'!$A$2:$C$38,3,0),8))</f>
        <v>8</v>
      </c>
      <c r="BC439" s="97">
        <f>IF(OR(AY439="SÁB",AY439="DOM"),0,IFERROR(8-VLOOKUP(F439,'Dados de consulta'!$A$2:$C$38,3,0),8))</f>
        <v>8</v>
      </c>
      <c r="BD439" s="97">
        <f>IF(OR(AY439="SÁB",AY439="DOM"),0,IFERROR(8-VLOOKUP(G439,'Dados de consulta'!$A$2:$C$38,3,0),8))</f>
        <v>8</v>
      </c>
      <c r="BE439" s="97">
        <f>IF(OR(AY439="SÁB",AY439="DOM"),0,IFERROR(8-VLOOKUP(H439,'Dados de consulta'!$A$2:$C$38,3,0),8))</f>
        <v>8</v>
      </c>
      <c r="BF439" s="97">
        <f>IF(OR(AY439="SÁB",AY439="DOM"),0,IFERROR(8-VLOOKUP(I439,'Dados de consulta'!$A$2:$C$38,3,0),8))</f>
        <v>8</v>
      </c>
      <c r="BG439" s="97">
        <f>IF(OR(AY439="SÁB",AY439="DOM"),0,IFERROR(8-VLOOKUP(J439,'Dados de consulta'!$A$2:$C$38,3,0),8))</f>
        <v>8</v>
      </c>
      <c r="BH439" s="97">
        <f>IF(OR(AY439="SÁB",AY439="DOM"),0,IFERROR(8-VLOOKUP(K439,'Dados de consulta'!$A$2:$C$38,3,0),8))</f>
        <v>8</v>
      </c>
      <c r="BI439" s="97">
        <f>IF(OR(AY439="SÁB",AY439="DOM"),0,IFERROR(8-VLOOKUP(L439,'Dados de consulta'!$A$2:$C$38,3,0),8))</f>
        <v>8</v>
      </c>
      <c r="BJ439" s="97">
        <f>IF(OR(AY439="SÁB",AY439="DOM"),0,IFERROR(8-VLOOKUP(M439,'Dados de consulta'!$A$2:$C$38,3,0),8))</f>
        <v>0</v>
      </c>
      <c r="BK439" s="97">
        <f>IF(OR(AY439="SÁB",AY439="DOM"),0,IFERROR(8-VLOOKUP(N439,'Dados de consulta'!$A$2:$C$38,3,0),8))</f>
        <v>8</v>
      </c>
      <c r="BL439" s="97">
        <f>IF(OR(AY439="SÁB",AY439="DOM"),0,IFERROR(8-VLOOKUP(O439,'Dados de consulta'!$A$2:$C$38,3,0),8))</f>
        <v>8</v>
      </c>
      <c r="BM439" s="97">
        <f>IF(OR(AY439="SÁB",AY439="DOM"),0,IFERROR(8-VLOOKUP(P439,'Dados de consulta'!$A$2:$C$38,3,0),8))</f>
        <v>8</v>
      </c>
      <c r="BN439" s="97">
        <f>IF(OR(AY439="SÁB",AY439="DOM"),0,IFERROR(8-VLOOKUP(Q439,'Dados de consulta'!$A$2:$C$38,3,0),8))</f>
        <v>8</v>
      </c>
      <c r="BO439" s="97">
        <f>IF(OR(AY439="SÁB",AY439="DOM"),0,IFERROR(8-VLOOKUP(R439,'Dados de consulta'!$A$2:$C$38,3,0),8))</f>
        <v>0</v>
      </c>
      <c r="BP439" s="97">
        <f>IF(OR(AY439="SÁB",AY439="DOM"),0,IFERROR(8-VLOOKUP(S439,'Dados de consulta'!$A$2:$C$38,3,0),8))</f>
        <v>8</v>
      </c>
      <c r="BQ439" s="113">
        <f>IFERROR(6-VLOOKUP(T439,'Dados de consulta'!$A$2:$C$38,3,0)+2,6)</f>
        <v>6</v>
      </c>
      <c r="BR439" s="114">
        <f t="shared" si="180"/>
        <v>118</v>
      </c>
      <c r="BS439">
        <f t="shared" si="156"/>
        <v>134</v>
      </c>
      <c r="BU439">
        <f>IFERROR(8-VLOOKUP(U439,'Dados de consulta'!$A:$D,3,0),8)</f>
        <v>0</v>
      </c>
      <c r="BV439">
        <f>IFERROR(8-VLOOKUP(V439,'Dados de consulta'!$A:$D,3,0),8)</f>
        <v>8</v>
      </c>
      <c r="BW439">
        <f t="shared" si="181"/>
        <v>8</v>
      </c>
    </row>
    <row r="440" spans="1:75" ht="15" hidden="1" x14ac:dyDescent="0.2">
      <c r="A440" s="98">
        <v>42563</v>
      </c>
      <c r="B440" s="129" t="str">
        <f t="shared" si="158"/>
        <v>ter</v>
      </c>
      <c r="C440" s="132">
        <v>18</v>
      </c>
      <c r="D440" s="132"/>
      <c r="E440" s="132"/>
      <c r="F440" s="132"/>
      <c r="G440" s="132"/>
      <c r="H440" s="132"/>
      <c r="I440" s="132"/>
      <c r="J440" s="132"/>
      <c r="K440" s="132"/>
      <c r="L440" s="132"/>
      <c r="M440" s="132">
        <v>101</v>
      </c>
      <c r="N440" s="132"/>
      <c r="O440" s="132"/>
      <c r="P440" s="132"/>
      <c r="Q440" s="132"/>
      <c r="R440" s="132">
        <v>18</v>
      </c>
      <c r="S440" s="132"/>
      <c r="T440" s="132"/>
      <c r="U440" s="151">
        <v>18</v>
      </c>
      <c r="V440" s="151"/>
      <c r="W440" s="307" t="s">
        <v>193</v>
      </c>
      <c r="X440" s="308"/>
      <c r="Y440" s="38">
        <f t="shared" si="159"/>
        <v>0</v>
      </c>
      <c r="Z440" s="38">
        <f t="shared" si="160"/>
        <v>16</v>
      </c>
      <c r="AA440" s="38">
        <f t="shared" si="157"/>
        <v>0</v>
      </c>
      <c r="AB440" s="38">
        <f t="shared" si="168"/>
        <v>0</v>
      </c>
      <c r="AC440" s="38">
        <f t="shared" si="169"/>
        <v>0</v>
      </c>
      <c r="AD440" s="38">
        <f t="shared" si="170"/>
        <v>0</v>
      </c>
      <c r="AE440" s="38">
        <f t="shared" si="171"/>
        <v>0</v>
      </c>
      <c r="AF440" s="38">
        <f t="shared" si="172"/>
        <v>0</v>
      </c>
      <c r="AG440" s="33">
        <f t="shared" si="173"/>
        <v>0</v>
      </c>
      <c r="AH440" s="33">
        <f t="shared" si="174"/>
        <v>16</v>
      </c>
      <c r="AI440" s="33">
        <f t="shared" si="175"/>
        <v>0</v>
      </c>
      <c r="AJ440" s="33">
        <f t="shared" si="176"/>
        <v>0</v>
      </c>
      <c r="AK440" s="34">
        <f t="shared" si="177"/>
        <v>0</v>
      </c>
      <c r="AL440" s="35">
        <f t="shared" si="178"/>
        <v>0.11267605633802817</v>
      </c>
      <c r="AM440" s="34">
        <f t="shared" si="161"/>
        <v>0</v>
      </c>
      <c r="AN440" s="36">
        <f t="shared" si="179"/>
        <v>0</v>
      </c>
      <c r="AO440" s="6">
        <f t="shared" si="162"/>
        <v>0</v>
      </c>
      <c r="AP440">
        <f t="shared" si="163"/>
        <v>8</v>
      </c>
      <c r="AQ440" s="6">
        <f t="shared" si="164"/>
        <v>0</v>
      </c>
      <c r="AR440" s="6">
        <f t="shared" si="165"/>
        <v>0</v>
      </c>
      <c r="AS440" s="6"/>
      <c r="AX440" s="95">
        <f t="shared" si="166"/>
        <v>42563</v>
      </c>
      <c r="AY440" s="96" t="str">
        <f t="shared" si="167"/>
        <v>ter</v>
      </c>
      <c r="AZ440" s="97">
        <f>IF(OR(AY440="SÁB",AY440="DOM"),0,IFERROR(8-VLOOKUP(C440,'Dados de consulta'!$A$2:$C$38,3,0),8))</f>
        <v>0</v>
      </c>
      <c r="BA440" s="97">
        <f>IF(OR(AY440="SÁB",AY440="DOM"),0,IFERROR(8-VLOOKUP(D440,'Dados de consulta'!$A$2:$C$38,3,0),8))</f>
        <v>8</v>
      </c>
      <c r="BB440" s="97">
        <f>IF(OR(AY440="SÁB",AY440="DOM"),0,IFERROR(8-VLOOKUP(E440,'Dados de consulta'!$A$2:$C$38,3,0),8))</f>
        <v>8</v>
      </c>
      <c r="BC440" s="97">
        <f>IF(OR(AY440="SÁB",AY440="DOM"),0,IFERROR(8-VLOOKUP(F440,'Dados de consulta'!$A$2:$C$38,3,0),8))</f>
        <v>8</v>
      </c>
      <c r="BD440" s="97">
        <f>IF(OR(AY440="SÁB",AY440="DOM"),0,IFERROR(8-VLOOKUP(G440,'Dados de consulta'!$A$2:$C$38,3,0),8))</f>
        <v>8</v>
      </c>
      <c r="BE440" s="97">
        <f>IF(OR(AY440="SÁB",AY440="DOM"),0,IFERROR(8-VLOOKUP(H440,'Dados de consulta'!$A$2:$C$38,3,0),8))</f>
        <v>8</v>
      </c>
      <c r="BF440" s="97">
        <f>IF(OR(AY440="SÁB",AY440="DOM"),0,IFERROR(8-VLOOKUP(I440,'Dados de consulta'!$A$2:$C$38,3,0),8))</f>
        <v>8</v>
      </c>
      <c r="BG440" s="97">
        <f>IF(OR(AY440="SÁB",AY440="DOM"),0,IFERROR(8-VLOOKUP(J440,'Dados de consulta'!$A$2:$C$38,3,0),8))</f>
        <v>8</v>
      </c>
      <c r="BH440" s="97">
        <f>IF(OR(AY440="SÁB",AY440="DOM"),0,IFERROR(8-VLOOKUP(K440,'Dados de consulta'!$A$2:$C$38,3,0),8))</f>
        <v>8</v>
      </c>
      <c r="BI440" s="97">
        <f>IF(OR(AY440="SÁB",AY440="DOM"),0,IFERROR(8-VLOOKUP(L440,'Dados de consulta'!$A$2:$C$38,3,0),8))</f>
        <v>8</v>
      </c>
      <c r="BJ440" s="97">
        <f>IF(OR(AY440="SÁB",AY440="DOM"),0,IFERROR(8-VLOOKUP(M440,'Dados de consulta'!$A$2:$C$38,3,0),8))</f>
        <v>0</v>
      </c>
      <c r="BK440" s="97">
        <f>IF(OR(AY440="SÁB",AY440="DOM"),0,IFERROR(8-VLOOKUP(N440,'Dados de consulta'!$A$2:$C$38,3,0),8))</f>
        <v>8</v>
      </c>
      <c r="BL440" s="97">
        <f>IF(OR(AY440="SÁB",AY440="DOM"),0,IFERROR(8-VLOOKUP(O440,'Dados de consulta'!$A$2:$C$38,3,0),8))</f>
        <v>8</v>
      </c>
      <c r="BM440" s="97">
        <f>IF(OR(AY440="SÁB",AY440="DOM"),0,IFERROR(8-VLOOKUP(P440,'Dados de consulta'!$A$2:$C$38,3,0),8))</f>
        <v>8</v>
      </c>
      <c r="BN440" s="97">
        <f>IF(OR(AY440="SÁB",AY440="DOM"),0,IFERROR(8-VLOOKUP(Q440,'Dados de consulta'!$A$2:$C$38,3,0),8))</f>
        <v>8</v>
      </c>
      <c r="BO440" s="97">
        <f>IF(OR(AY440="SÁB",AY440="DOM"),0,IFERROR(8-VLOOKUP(R440,'Dados de consulta'!$A$2:$C$38,3,0),8))</f>
        <v>0</v>
      </c>
      <c r="BP440" s="97">
        <f>IF(OR(AY440="SÁB",AY440="DOM"),0,IFERROR(8-VLOOKUP(S440,'Dados de consulta'!$A$2:$C$38,3,0),8))</f>
        <v>8</v>
      </c>
      <c r="BQ440" s="113">
        <f>IFERROR(6-VLOOKUP(T440,'Dados de consulta'!$A$2:$C$38,3,0)+2,6)</f>
        <v>6</v>
      </c>
      <c r="BR440" s="114">
        <f t="shared" si="180"/>
        <v>118</v>
      </c>
      <c r="BS440">
        <f t="shared" si="156"/>
        <v>134</v>
      </c>
      <c r="BU440">
        <f>IFERROR(8-VLOOKUP(U440,'Dados de consulta'!$A:$D,3,0),8)</f>
        <v>0</v>
      </c>
      <c r="BV440">
        <f>IFERROR(8-VLOOKUP(V440,'Dados de consulta'!$A:$D,3,0),8)</f>
        <v>8</v>
      </c>
      <c r="BW440">
        <f t="shared" si="181"/>
        <v>8</v>
      </c>
    </row>
    <row r="441" spans="1:75" ht="15" hidden="1" x14ac:dyDescent="0.2">
      <c r="A441" s="98">
        <v>42564</v>
      </c>
      <c r="B441" s="129" t="str">
        <f t="shared" si="158"/>
        <v>qua</v>
      </c>
      <c r="C441" s="132">
        <v>18</v>
      </c>
      <c r="D441" s="132"/>
      <c r="E441" s="132"/>
      <c r="F441" s="132"/>
      <c r="G441" s="132"/>
      <c r="H441" s="132"/>
      <c r="I441" s="132"/>
      <c r="J441" s="132"/>
      <c r="K441" s="132"/>
      <c r="L441" s="132"/>
      <c r="M441" s="132">
        <v>101</v>
      </c>
      <c r="N441" s="132"/>
      <c r="O441" s="132"/>
      <c r="P441" s="132"/>
      <c r="Q441" s="132"/>
      <c r="R441" s="132">
        <v>18</v>
      </c>
      <c r="S441" s="132"/>
      <c r="T441" s="132"/>
      <c r="U441" s="151">
        <v>18</v>
      </c>
      <c r="V441" s="151"/>
      <c r="W441" s="307" t="s">
        <v>193</v>
      </c>
      <c r="X441" s="308"/>
      <c r="Y441" s="38">
        <f t="shared" si="159"/>
        <v>0</v>
      </c>
      <c r="Z441" s="38">
        <f t="shared" si="160"/>
        <v>16</v>
      </c>
      <c r="AA441" s="38">
        <f t="shared" si="157"/>
        <v>0</v>
      </c>
      <c r="AB441" s="38">
        <f t="shared" si="168"/>
        <v>0</v>
      </c>
      <c r="AC441" s="38">
        <f t="shared" si="169"/>
        <v>0</v>
      </c>
      <c r="AD441" s="38">
        <f t="shared" si="170"/>
        <v>0</v>
      </c>
      <c r="AE441" s="38">
        <f t="shared" si="171"/>
        <v>0</v>
      </c>
      <c r="AF441" s="38">
        <f t="shared" si="172"/>
        <v>0</v>
      </c>
      <c r="AG441" s="33">
        <f t="shared" si="173"/>
        <v>0</v>
      </c>
      <c r="AH441" s="33">
        <f t="shared" si="174"/>
        <v>16</v>
      </c>
      <c r="AI441" s="33">
        <f t="shared" si="175"/>
        <v>0</v>
      </c>
      <c r="AJ441" s="33">
        <f t="shared" si="176"/>
        <v>0</v>
      </c>
      <c r="AK441" s="34">
        <f t="shared" si="177"/>
        <v>0</v>
      </c>
      <c r="AL441" s="35">
        <f t="shared" si="178"/>
        <v>0.11267605633802817</v>
      </c>
      <c r="AM441" s="34">
        <f t="shared" si="161"/>
        <v>0</v>
      </c>
      <c r="AN441" s="36">
        <f t="shared" si="179"/>
        <v>0</v>
      </c>
      <c r="AO441" s="6">
        <f t="shared" si="162"/>
        <v>0</v>
      </c>
      <c r="AP441">
        <f t="shared" si="163"/>
        <v>8</v>
      </c>
      <c r="AQ441" s="6">
        <f t="shared" si="164"/>
        <v>0</v>
      </c>
      <c r="AR441" s="6">
        <f t="shared" si="165"/>
        <v>0</v>
      </c>
      <c r="AS441" s="6"/>
      <c r="AX441" s="95">
        <f t="shared" si="166"/>
        <v>42564</v>
      </c>
      <c r="AY441" s="96" t="str">
        <f t="shared" si="167"/>
        <v>qua</v>
      </c>
      <c r="AZ441" s="97">
        <f>IF(OR(AY441="SÁB",AY441="DOM"),0,IFERROR(8-VLOOKUP(C441,'Dados de consulta'!$A$2:$C$38,3,0),8))</f>
        <v>0</v>
      </c>
      <c r="BA441" s="97">
        <f>IF(OR(AY441="SÁB",AY441="DOM"),0,IFERROR(8-VLOOKUP(D441,'Dados de consulta'!$A$2:$C$38,3,0),8))</f>
        <v>8</v>
      </c>
      <c r="BB441" s="97">
        <f>IF(OR(AY441="SÁB",AY441="DOM"),0,IFERROR(8-VLOOKUP(E441,'Dados de consulta'!$A$2:$C$38,3,0),8))</f>
        <v>8</v>
      </c>
      <c r="BC441" s="97">
        <f>IF(OR(AY441="SÁB",AY441="DOM"),0,IFERROR(8-VLOOKUP(F441,'Dados de consulta'!$A$2:$C$38,3,0),8))</f>
        <v>8</v>
      </c>
      <c r="BD441" s="97">
        <f>IF(OR(AY441="SÁB",AY441="DOM"),0,IFERROR(8-VLOOKUP(G441,'Dados de consulta'!$A$2:$C$38,3,0),8))</f>
        <v>8</v>
      </c>
      <c r="BE441" s="97">
        <f>IF(OR(AY441="SÁB",AY441="DOM"),0,IFERROR(8-VLOOKUP(H441,'Dados de consulta'!$A$2:$C$38,3,0),8))</f>
        <v>8</v>
      </c>
      <c r="BF441" s="97">
        <f>IF(OR(AY441="SÁB",AY441="DOM"),0,IFERROR(8-VLOOKUP(I441,'Dados de consulta'!$A$2:$C$38,3,0),8))</f>
        <v>8</v>
      </c>
      <c r="BG441" s="97">
        <f>IF(OR(AY441="SÁB",AY441="DOM"),0,IFERROR(8-VLOOKUP(J441,'Dados de consulta'!$A$2:$C$38,3,0),8))</f>
        <v>8</v>
      </c>
      <c r="BH441" s="97">
        <f>IF(OR(AY441="SÁB",AY441="DOM"),0,IFERROR(8-VLOOKUP(K441,'Dados de consulta'!$A$2:$C$38,3,0),8))</f>
        <v>8</v>
      </c>
      <c r="BI441" s="97">
        <f>IF(OR(AY441="SÁB",AY441="DOM"),0,IFERROR(8-VLOOKUP(L441,'Dados de consulta'!$A$2:$C$38,3,0),8))</f>
        <v>8</v>
      </c>
      <c r="BJ441" s="97">
        <f>IF(OR(AY441="SÁB",AY441="DOM"),0,IFERROR(8-VLOOKUP(M441,'Dados de consulta'!$A$2:$C$38,3,0),8))</f>
        <v>0</v>
      </c>
      <c r="BK441" s="97">
        <f>IF(OR(AY441="SÁB",AY441="DOM"),0,IFERROR(8-VLOOKUP(N441,'Dados de consulta'!$A$2:$C$38,3,0),8))</f>
        <v>8</v>
      </c>
      <c r="BL441" s="97">
        <f>IF(OR(AY441="SÁB",AY441="DOM"),0,IFERROR(8-VLOOKUP(O441,'Dados de consulta'!$A$2:$C$38,3,0),8))</f>
        <v>8</v>
      </c>
      <c r="BM441" s="97">
        <f>IF(OR(AY441="SÁB",AY441="DOM"),0,IFERROR(8-VLOOKUP(P441,'Dados de consulta'!$A$2:$C$38,3,0),8))</f>
        <v>8</v>
      </c>
      <c r="BN441" s="97">
        <f>IF(OR(AY441="SÁB",AY441="DOM"),0,IFERROR(8-VLOOKUP(Q441,'Dados de consulta'!$A$2:$C$38,3,0),8))</f>
        <v>8</v>
      </c>
      <c r="BO441" s="97">
        <f>IF(OR(AY441="SÁB",AY441="DOM"),0,IFERROR(8-VLOOKUP(R441,'Dados de consulta'!$A$2:$C$38,3,0),8))</f>
        <v>0</v>
      </c>
      <c r="BP441" s="97">
        <f>IF(OR(AY441="SÁB",AY441="DOM"),0,IFERROR(8-VLOOKUP(S441,'Dados de consulta'!$A$2:$C$38,3,0),8))</f>
        <v>8</v>
      </c>
      <c r="BQ441" s="113">
        <f>IFERROR(6-VLOOKUP(T441,'Dados de consulta'!$A$2:$C$38,3,0)+2,6)</f>
        <v>6</v>
      </c>
      <c r="BR441" s="114">
        <f t="shared" si="180"/>
        <v>118</v>
      </c>
      <c r="BS441">
        <f t="shared" si="156"/>
        <v>134</v>
      </c>
      <c r="BU441">
        <f>IFERROR(8-VLOOKUP(U441,'Dados de consulta'!$A:$D,3,0),8)</f>
        <v>0</v>
      </c>
      <c r="BV441">
        <f>IFERROR(8-VLOOKUP(V441,'Dados de consulta'!$A:$D,3,0),8)</f>
        <v>8</v>
      </c>
      <c r="BW441">
        <f t="shared" si="181"/>
        <v>8</v>
      </c>
    </row>
    <row r="442" spans="1:75" ht="15" hidden="1" x14ac:dyDescent="0.2">
      <c r="A442" s="98">
        <v>42565</v>
      </c>
      <c r="B442" s="129" t="str">
        <f t="shared" si="158"/>
        <v>qui</v>
      </c>
      <c r="C442" s="132">
        <v>18</v>
      </c>
      <c r="D442" s="132"/>
      <c r="E442" s="132"/>
      <c r="F442" s="132"/>
      <c r="G442" s="132"/>
      <c r="H442" s="132"/>
      <c r="I442" s="132"/>
      <c r="J442" s="132"/>
      <c r="K442" s="132"/>
      <c r="L442" s="132"/>
      <c r="M442" s="132">
        <v>101</v>
      </c>
      <c r="N442" s="132"/>
      <c r="O442" s="132"/>
      <c r="P442" s="132"/>
      <c r="Q442" s="132"/>
      <c r="R442" s="132">
        <v>18</v>
      </c>
      <c r="S442" s="132"/>
      <c r="T442" s="132"/>
      <c r="U442" s="151">
        <v>18</v>
      </c>
      <c r="V442" s="151"/>
      <c r="W442" s="307" t="s">
        <v>193</v>
      </c>
      <c r="X442" s="308"/>
      <c r="Y442" s="38">
        <f t="shared" si="159"/>
        <v>0</v>
      </c>
      <c r="Z442" s="38">
        <f t="shared" si="160"/>
        <v>16</v>
      </c>
      <c r="AA442" s="38">
        <f t="shared" si="157"/>
        <v>0</v>
      </c>
      <c r="AB442" s="38">
        <f t="shared" si="168"/>
        <v>0</v>
      </c>
      <c r="AC442" s="38">
        <f t="shared" si="169"/>
        <v>0</v>
      </c>
      <c r="AD442" s="38">
        <f t="shared" si="170"/>
        <v>0</v>
      </c>
      <c r="AE442" s="38">
        <f t="shared" si="171"/>
        <v>0</v>
      </c>
      <c r="AF442" s="38">
        <f t="shared" si="172"/>
        <v>0</v>
      </c>
      <c r="AG442" s="33">
        <f t="shared" si="173"/>
        <v>0</v>
      </c>
      <c r="AH442" s="33">
        <f t="shared" si="174"/>
        <v>16</v>
      </c>
      <c r="AI442" s="33">
        <f t="shared" si="175"/>
        <v>0</v>
      </c>
      <c r="AJ442" s="33">
        <f t="shared" si="176"/>
        <v>0</v>
      </c>
      <c r="AK442" s="34">
        <f t="shared" si="177"/>
        <v>0</v>
      </c>
      <c r="AL442" s="35">
        <f t="shared" si="178"/>
        <v>0.11267605633802817</v>
      </c>
      <c r="AM442" s="34">
        <f t="shared" si="161"/>
        <v>0</v>
      </c>
      <c r="AN442" s="36">
        <f t="shared" si="179"/>
        <v>0</v>
      </c>
      <c r="AO442" s="6">
        <f t="shared" si="162"/>
        <v>0</v>
      </c>
      <c r="AP442">
        <f t="shared" si="163"/>
        <v>8</v>
      </c>
      <c r="AQ442" s="6">
        <f t="shared" si="164"/>
        <v>0</v>
      </c>
      <c r="AR442" s="6">
        <f t="shared" si="165"/>
        <v>0</v>
      </c>
      <c r="AS442" s="6"/>
      <c r="AX442" s="95">
        <f t="shared" si="166"/>
        <v>42565</v>
      </c>
      <c r="AY442" s="96" t="str">
        <f t="shared" si="167"/>
        <v>qui</v>
      </c>
      <c r="AZ442" s="97">
        <f>IF(OR(AY442="SÁB",AY442="DOM"),0,IFERROR(8-VLOOKUP(C442,'Dados de consulta'!$A$2:$C$38,3,0),8))</f>
        <v>0</v>
      </c>
      <c r="BA442" s="97">
        <f>IF(OR(AY442="SÁB",AY442="DOM"),0,IFERROR(8-VLOOKUP(D442,'Dados de consulta'!$A$2:$C$38,3,0),8))</f>
        <v>8</v>
      </c>
      <c r="BB442" s="97">
        <f>IF(OR(AY442="SÁB",AY442="DOM"),0,IFERROR(8-VLOOKUP(E442,'Dados de consulta'!$A$2:$C$38,3,0),8))</f>
        <v>8</v>
      </c>
      <c r="BC442" s="97">
        <f>IF(OR(AY442="SÁB",AY442="DOM"),0,IFERROR(8-VLOOKUP(F442,'Dados de consulta'!$A$2:$C$38,3,0),8))</f>
        <v>8</v>
      </c>
      <c r="BD442" s="97">
        <f>IF(OR(AY442="SÁB",AY442="DOM"),0,IFERROR(8-VLOOKUP(G442,'Dados de consulta'!$A$2:$C$38,3,0),8))</f>
        <v>8</v>
      </c>
      <c r="BE442" s="97">
        <f>IF(OR(AY442="SÁB",AY442="DOM"),0,IFERROR(8-VLOOKUP(H442,'Dados de consulta'!$A$2:$C$38,3,0),8))</f>
        <v>8</v>
      </c>
      <c r="BF442" s="97">
        <f>IF(OR(AY442="SÁB",AY442="DOM"),0,IFERROR(8-VLOOKUP(I442,'Dados de consulta'!$A$2:$C$38,3,0),8))</f>
        <v>8</v>
      </c>
      <c r="BG442" s="97">
        <f>IF(OR(AY442="SÁB",AY442="DOM"),0,IFERROR(8-VLOOKUP(J442,'Dados de consulta'!$A$2:$C$38,3,0),8))</f>
        <v>8</v>
      </c>
      <c r="BH442" s="97">
        <f>IF(OR(AY442="SÁB",AY442="DOM"),0,IFERROR(8-VLOOKUP(K442,'Dados de consulta'!$A$2:$C$38,3,0),8))</f>
        <v>8</v>
      </c>
      <c r="BI442" s="97">
        <f>IF(OR(AY442="SÁB",AY442="DOM"),0,IFERROR(8-VLOOKUP(L442,'Dados de consulta'!$A$2:$C$38,3,0),8))</f>
        <v>8</v>
      </c>
      <c r="BJ442" s="97">
        <f>IF(OR(AY442="SÁB",AY442="DOM"),0,IFERROR(8-VLOOKUP(M442,'Dados de consulta'!$A$2:$C$38,3,0),8))</f>
        <v>0</v>
      </c>
      <c r="BK442" s="97">
        <f>IF(OR(AY442="SÁB",AY442="DOM"),0,IFERROR(8-VLOOKUP(N442,'Dados de consulta'!$A$2:$C$38,3,0),8))</f>
        <v>8</v>
      </c>
      <c r="BL442" s="97">
        <f>IF(OR(AY442="SÁB",AY442="DOM"),0,IFERROR(8-VLOOKUP(O442,'Dados de consulta'!$A$2:$C$38,3,0),8))</f>
        <v>8</v>
      </c>
      <c r="BM442" s="97">
        <f>IF(OR(AY442="SÁB",AY442="DOM"),0,IFERROR(8-VLOOKUP(P442,'Dados de consulta'!$A$2:$C$38,3,0),8))</f>
        <v>8</v>
      </c>
      <c r="BN442" s="97">
        <f>IF(OR(AY442="SÁB",AY442="DOM"),0,IFERROR(8-VLOOKUP(Q442,'Dados de consulta'!$A$2:$C$38,3,0),8))</f>
        <v>8</v>
      </c>
      <c r="BO442" s="97">
        <f>IF(OR(AY442="SÁB",AY442="DOM"),0,IFERROR(8-VLOOKUP(R442,'Dados de consulta'!$A$2:$C$38,3,0),8))</f>
        <v>0</v>
      </c>
      <c r="BP442" s="97">
        <f>IF(OR(AY442="SÁB",AY442="DOM"),0,IFERROR(8-VLOOKUP(S442,'Dados de consulta'!$A$2:$C$38,3,0),8))</f>
        <v>8</v>
      </c>
      <c r="BQ442" s="113">
        <f>IFERROR(6-VLOOKUP(T442,'Dados de consulta'!$A$2:$C$38,3,0)+2,6)</f>
        <v>6</v>
      </c>
      <c r="BR442" s="114">
        <f t="shared" si="180"/>
        <v>118</v>
      </c>
      <c r="BS442">
        <f t="shared" si="156"/>
        <v>134</v>
      </c>
      <c r="BU442">
        <f>IFERROR(8-VLOOKUP(U442,'Dados de consulta'!$A:$D,3,0),8)</f>
        <v>0</v>
      </c>
      <c r="BV442">
        <f>IFERROR(8-VLOOKUP(V442,'Dados de consulta'!$A:$D,3,0),8)</f>
        <v>8</v>
      </c>
      <c r="BW442">
        <f t="shared" si="181"/>
        <v>8</v>
      </c>
    </row>
    <row r="443" spans="1:75" ht="15" hidden="1" x14ac:dyDescent="0.2">
      <c r="A443" s="98">
        <v>42566</v>
      </c>
      <c r="B443" s="129" t="str">
        <f t="shared" si="158"/>
        <v>sex</v>
      </c>
      <c r="C443" s="132">
        <v>18</v>
      </c>
      <c r="D443" s="132"/>
      <c r="E443" s="132"/>
      <c r="F443" s="132"/>
      <c r="G443" s="132"/>
      <c r="H443" s="132"/>
      <c r="I443" s="132"/>
      <c r="J443" s="132"/>
      <c r="K443" s="132"/>
      <c r="L443" s="132"/>
      <c r="M443" s="132">
        <v>101</v>
      </c>
      <c r="N443" s="132"/>
      <c r="O443" s="132"/>
      <c r="P443" s="132"/>
      <c r="Q443" s="132"/>
      <c r="R443" s="132">
        <v>1</v>
      </c>
      <c r="S443" s="132"/>
      <c r="T443" s="132"/>
      <c r="U443" s="151"/>
      <c r="V443" s="151"/>
      <c r="W443" s="307" t="s">
        <v>193</v>
      </c>
      <c r="X443" s="308"/>
      <c r="Y443" s="38">
        <f t="shared" si="159"/>
        <v>0</v>
      </c>
      <c r="Z443" s="38">
        <f t="shared" si="160"/>
        <v>16</v>
      </c>
      <c r="AA443" s="38">
        <f t="shared" si="157"/>
        <v>0</v>
      </c>
      <c r="AB443" s="38">
        <f t="shared" si="168"/>
        <v>0</v>
      </c>
      <c r="AC443" s="38">
        <f t="shared" si="169"/>
        <v>0</v>
      </c>
      <c r="AD443" s="38">
        <f t="shared" si="170"/>
        <v>0</v>
      </c>
      <c r="AE443" s="38">
        <f t="shared" si="171"/>
        <v>0</v>
      </c>
      <c r="AF443" s="38">
        <f t="shared" si="172"/>
        <v>0</v>
      </c>
      <c r="AG443" s="33">
        <f t="shared" si="173"/>
        <v>0</v>
      </c>
      <c r="AH443" s="33">
        <f t="shared" si="174"/>
        <v>16</v>
      </c>
      <c r="AI443" s="33">
        <f t="shared" si="175"/>
        <v>0</v>
      </c>
      <c r="AJ443" s="33">
        <f t="shared" si="176"/>
        <v>0</v>
      </c>
      <c r="AK443" s="34">
        <f t="shared" si="177"/>
        <v>0</v>
      </c>
      <c r="AL443" s="35">
        <f t="shared" si="178"/>
        <v>0.11267605633802817</v>
      </c>
      <c r="AM443" s="34">
        <f t="shared" si="161"/>
        <v>0</v>
      </c>
      <c r="AN443" s="36">
        <f t="shared" si="179"/>
        <v>0</v>
      </c>
      <c r="AO443" s="6">
        <f t="shared" si="162"/>
        <v>0</v>
      </c>
      <c r="AP443">
        <f t="shared" si="163"/>
        <v>8</v>
      </c>
      <c r="AQ443" s="6">
        <f t="shared" si="164"/>
        <v>0</v>
      </c>
      <c r="AR443" s="6">
        <f t="shared" si="165"/>
        <v>0</v>
      </c>
      <c r="AS443" s="6"/>
      <c r="AX443" s="95">
        <f t="shared" si="166"/>
        <v>42566</v>
      </c>
      <c r="AY443" s="96" t="str">
        <f t="shared" si="167"/>
        <v>sex</v>
      </c>
      <c r="AZ443" s="97">
        <f>IF(OR(AY443="SÁB",AY443="DOM"),0,IFERROR(8-VLOOKUP(C443,'Dados de consulta'!$A$2:$C$38,3,0),8))</f>
        <v>0</v>
      </c>
      <c r="BA443" s="97">
        <f>IF(OR(AY443="SÁB",AY443="DOM"),0,IFERROR(8-VLOOKUP(D443,'Dados de consulta'!$A$2:$C$38,3,0),8))</f>
        <v>8</v>
      </c>
      <c r="BB443" s="97">
        <f>IF(OR(AY443="SÁB",AY443="DOM"),0,IFERROR(8-VLOOKUP(E443,'Dados de consulta'!$A$2:$C$38,3,0),8))</f>
        <v>8</v>
      </c>
      <c r="BC443" s="97">
        <f>IF(OR(AY443="SÁB",AY443="DOM"),0,IFERROR(8-VLOOKUP(F443,'Dados de consulta'!$A$2:$C$38,3,0),8))</f>
        <v>8</v>
      </c>
      <c r="BD443" s="97">
        <f>IF(OR(AY443="SÁB",AY443="DOM"),0,IFERROR(8-VLOOKUP(G443,'Dados de consulta'!$A$2:$C$38,3,0),8))</f>
        <v>8</v>
      </c>
      <c r="BE443" s="97">
        <f>IF(OR(AY443="SÁB",AY443="DOM"),0,IFERROR(8-VLOOKUP(H443,'Dados de consulta'!$A$2:$C$38,3,0),8))</f>
        <v>8</v>
      </c>
      <c r="BF443" s="97">
        <f>IF(OR(AY443="SÁB",AY443="DOM"),0,IFERROR(8-VLOOKUP(I443,'Dados de consulta'!$A$2:$C$38,3,0),8))</f>
        <v>8</v>
      </c>
      <c r="BG443" s="97">
        <f>IF(OR(AY443="SÁB",AY443="DOM"),0,IFERROR(8-VLOOKUP(J443,'Dados de consulta'!$A$2:$C$38,3,0),8))</f>
        <v>8</v>
      </c>
      <c r="BH443" s="97">
        <f>IF(OR(AY443="SÁB",AY443="DOM"),0,IFERROR(8-VLOOKUP(K443,'Dados de consulta'!$A$2:$C$38,3,0),8))</f>
        <v>8</v>
      </c>
      <c r="BI443" s="97">
        <f>IF(OR(AY443="SÁB",AY443="DOM"),0,IFERROR(8-VLOOKUP(L443,'Dados de consulta'!$A$2:$C$38,3,0),8))</f>
        <v>8</v>
      </c>
      <c r="BJ443" s="97">
        <f>IF(OR(AY443="SÁB",AY443="DOM"),0,IFERROR(8-VLOOKUP(M443,'Dados de consulta'!$A$2:$C$38,3,0),8))</f>
        <v>0</v>
      </c>
      <c r="BK443" s="97">
        <f>IF(OR(AY443="SÁB",AY443="DOM"),0,IFERROR(8-VLOOKUP(N443,'Dados de consulta'!$A$2:$C$38,3,0),8))</f>
        <v>8</v>
      </c>
      <c r="BL443" s="97">
        <f>IF(OR(AY443="SÁB",AY443="DOM"),0,IFERROR(8-VLOOKUP(O443,'Dados de consulta'!$A$2:$C$38,3,0),8))</f>
        <v>8</v>
      </c>
      <c r="BM443" s="97">
        <f>IF(OR(AY443="SÁB",AY443="DOM"),0,IFERROR(8-VLOOKUP(P443,'Dados de consulta'!$A$2:$C$38,3,0),8))</f>
        <v>8</v>
      </c>
      <c r="BN443" s="97">
        <f>IF(OR(AY443="SÁB",AY443="DOM"),0,IFERROR(8-VLOOKUP(Q443,'Dados de consulta'!$A$2:$C$38,3,0),8))</f>
        <v>8</v>
      </c>
      <c r="BO443" s="97">
        <f>IF(OR(AY443="SÁB",AY443="DOM"),0,IFERROR(8-VLOOKUP(R443,'Dados de consulta'!$A$2:$C$38,3,0),8))</f>
        <v>0</v>
      </c>
      <c r="BP443" s="97">
        <f>IF(OR(AY443="SÁB",AY443="DOM"),0,IFERROR(8-VLOOKUP(S443,'Dados de consulta'!$A$2:$C$38,3,0),8))</f>
        <v>8</v>
      </c>
      <c r="BQ443" s="113">
        <f>IFERROR(6-VLOOKUP(T443,'Dados de consulta'!$A$2:$C$38,3,0)+2,6)</f>
        <v>6</v>
      </c>
      <c r="BR443" s="114">
        <f t="shared" si="180"/>
        <v>118</v>
      </c>
      <c r="BS443">
        <f t="shared" si="156"/>
        <v>134</v>
      </c>
      <c r="BU443">
        <f>IFERROR(8-VLOOKUP(U443,'Dados de consulta'!$A:$D,3,0),8)</f>
        <v>8</v>
      </c>
      <c r="BV443">
        <f>IFERROR(8-VLOOKUP(V443,'Dados de consulta'!$A:$D,3,0),8)</f>
        <v>8</v>
      </c>
      <c r="BW443">
        <f t="shared" si="181"/>
        <v>16</v>
      </c>
    </row>
    <row r="444" spans="1:75" ht="15" hidden="1" x14ac:dyDescent="0.2">
      <c r="A444" s="98">
        <v>42567</v>
      </c>
      <c r="B444" s="129" t="str">
        <f t="shared" si="158"/>
        <v>sáb</v>
      </c>
      <c r="C444" s="132">
        <v>18</v>
      </c>
      <c r="D444" s="132"/>
      <c r="E444" s="132"/>
      <c r="F444" s="132"/>
      <c r="G444" s="132"/>
      <c r="H444" s="132"/>
      <c r="I444" s="132"/>
      <c r="J444" s="132"/>
      <c r="K444" s="132"/>
      <c r="L444" s="132"/>
      <c r="M444" s="132">
        <v>101</v>
      </c>
      <c r="N444" s="132"/>
      <c r="O444" s="132"/>
      <c r="P444" s="132"/>
      <c r="Q444" s="132"/>
      <c r="R444" s="132"/>
      <c r="S444" s="132"/>
      <c r="T444" s="132"/>
      <c r="U444" s="151"/>
      <c r="V444" s="151"/>
      <c r="W444" s="307" t="s">
        <v>193</v>
      </c>
      <c r="X444" s="308"/>
      <c r="Y444" s="38">
        <f t="shared" si="159"/>
        <v>0</v>
      </c>
      <c r="Z444" s="38">
        <f t="shared" si="160"/>
        <v>8</v>
      </c>
      <c r="AA444" s="38">
        <f t="shared" si="157"/>
        <v>0</v>
      </c>
      <c r="AB444" s="38">
        <f t="shared" si="168"/>
        <v>0</v>
      </c>
      <c r="AC444" s="38">
        <f t="shared" si="169"/>
        <v>0</v>
      </c>
      <c r="AD444" s="38">
        <f t="shared" si="170"/>
        <v>0</v>
      </c>
      <c r="AE444" s="38">
        <f t="shared" si="171"/>
        <v>0</v>
      </c>
      <c r="AF444" s="38">
        <f t="shared" si="172"/>
        <v>0</v>
      </c>
      <c r="AG444" s="33">
        <f t="shared" si="173"/>
        <v>0</v>
      </c>
      <c r="AH444" s="33">
        <f t="shared" si="174"/>
        <v>0</v>
      </c>
      <c r="AI444" s="33">
        <f t="shared" si="175"/>
        <v>0</v>
      </c>
      <c r="AJ444" s="33">
        <f t="shared" si="176"/>
        <v>0</v>
      </c>
      <c r="AK444" s="34">
        <f t="shared" si="177"/>
        <v>0</v>
      </c>
      <c r="AL444" s="35">
        <f t="shared" si="178"/>
        <v>0</v>
      </c>
      <c r="AM444" s="34">
        <f t="shared" si="161"/>
        <v>0</v>
      </c>
      <c r="AN444" s="36">
        <f t="shared" si="179"/>
        <v>0</v>
      </c>
      <c r="AO444" s="6">
        <f t="shared" si="162"/>
        <v>0</v>
      </c>
      <c r="AP444">
        <f t="shared" si="163"/>
        <v>8</v>
      </c>
      <c r="AQ444" s="6">
        <f t="shared" si="164"/>
        <v>0</v>
      </c>
      <c r="AR444" s="6">
        <f t="shared" si="165"/>
        <v>0</v>
      </c>
      <c r="AS444" s="6"/>
      <c r="AX444" s="95">
        <f t="shared" si="166"/>
        <v>42567</v>
      </c>
      <c r="AY444" s="96" t="str">
        <f t="shared" si="167"/>
        <v>sáb</v>
      </c>
      <c r="AZ444" s="97">
        <f>IF(OR(AY444="SÁB",AY444="DOM"),0,IFERROR(8-VLOOKUP(C444,'Dados de consulta'!$A$2:$C$38,3,0),8))</f>
        <v>0</v>
      </c>
      <c r="BA444" s="97">
        <f>IF(OR(AY444="SÁB",AY444="DOM"),0,IFERROR(8-VLOOKUP(D444,'Dados de consulta'!$A$2:$C$38,3,0),8))</f>
        <v>0</v>
      </c>
      <c r="BB444" s="97">
        <f>IF(OR(AY444="SÁB",AY444="DOM"),0,IFERROR(8-VLOOKUP(E444,'Dados de consulta'!$A$2:$C$38,3,0),8))</f>
        <v>0</v>
      </c>
      <c r="BC444" s="97">
        <f>IF(OR(AY444="SÁB",AY444="DOM"),0,IFERROR(8-VLOOKUP(F444,'Dados de consulta'!$A$2:$C$38,3,0),8))</f>
        <v>0</v>
      </c>
      <c r="BD444" s="97">
        <f>IF(OR(AY444="SÁB",AY444="DOM"),0,IFERROR(8-VLOOKUP(G444,'Dados de consulta'!$A$2:$C$38,3,0),8))</f>
        <v>0</v>
      </c>
      <c r="BE444" s="97">
        <f>IF(OR(AY444="SÁB",AY444="DOM"),0,IFERROR(8-VLOOKUP(H444,'Dados de consulta'!$A$2:$C$38,3,0),8))</f>
        <v>0</v>
      </c>
      <c r="BF444" s="97">
        <f>IF(OR(AY444="SÁB",AY444="DOM"),0,IFERROR(8-VLOOKUP(I444,'Dados de consulta'!$A$2:$C$38,3,0),8))</f>
        <v>0</v>
      </c>
      <c r="BG444" s="97">
        <f>IF(OR(AY444="SÁB",AY444="DOM"),0,IFERROR(8-VLOOKUP(J444,'Dados de consulta'!$A$2:$C$38,3,0),8))</f>
        <v>0</v>
      </c>
      <c r="BH444" s="97">
        <f>IF(OR(AY444="SÁB",AY444="DOM"),0,IFERROR(8-VLOOKUP(K444,'Dados de consulta'!$A$2:$C$38,3,0),8))</f>
        <v>0</v>
      </c>
      <c r="BI444" s="97">
        <f>IF(OR(AY444="SÁB",AY444="DOM"),0,IFERROR(8-VLOOKUP(L444,'Dados de consulta'!$A$2:$C$38,3,0),8))</f>
        <v>0</v>
      </c>
      <c r="BJ444" s="97">
        <f>IF(OR(AY444="SÁB",AY444="DOM"),0,IFERROR(8-VLOOKUP(M444,'Dados de consulta'!$A$2:$C$38,3,0),8))</f>
        <v>0</v>
      </c>
      <c r="BK444" s="97">
        <f>IF(OR(AY444="SÁB",AY444="DOM"),0,IFERROR(8-VLOOKUP(N444,'Dados de consulta'!$A$2:$C$38,3,0),8))</f>
        <v>0</v>
      </c>
      <c r="BL444" s="97">
        <f>IF(OR(AY444="SÁB",AY444="DOM"),0,IFERROR(8-VLOOKUP(O444,'Dados de consulta'!$A$2:$C$38,3,0),8))</f>
        <v>0</v>
      </c>
      <c r="BM444" s="97">
        <f>IF(OR(AY444="SÁB",AY444="DOM"),0,IFERROR(8-VLOOKUP(P444,'Dados de consulta'!$A$2:$C$38,3,0),8))</f>
        <v>0</v>
      </c>
      <c r="BN444" s="97">
        <f>IF(OR(AY444="SÁB",AY444="DOM"),0,IFERROR(8-VLOOKUP(Q444,'Dados de consulta'!$A$2:$C$38,3,0),8))</f>
        <v>0</v>
      </c>
      <c r="BO444" s="97">
        <f>IF(OR(AY444="SÁB",AY444="DOM"),0,IFERROR(8-VLOOKUP(R444,'Dados de consulta'!$A$2:$C$38,3,0),8))</f>
        <v>0</v>
      </c>
      <c r="BP444" s="97">
        <f>IF(OR(AY444="SÁB",AY444="DOM"),0,IFERROR(8-VLOOKUP(S444,'Dados de consulta'!$A$2:$C$38,3,0),8))</f>
        <v>0</v>
      </c>
      <c r="BQ444" s="113">
        <f>IFERROR(6-VLOOKUP(T444,'Dados de consulta'!$A$2:$C$38,3,0)+2,6)</f>
        <v>6</v>
      </c>
      <c r="BR444" s="114">
        <f t="shared" si="180"/>
        <v>0</v>
      </c>
      <c r="BS444">
        <f t="shared" si="156"/>
        <v>0</v>
      </c>
      <c r="BU444">
        <f>IFERROR(8-VLOOKUP(U444,'Dados de consulta'!$A:$D,3,0),8)</f>
        <v>8</v>
      </c>
      <c r="BV444">
        <f>IFERROR(8-VLOOKUP(V444,'Dados de consulta'!$A:$D,3,0),8)</f>
        <v>8</v>
      </c>
      <c r="BW444">
        <f t="shared" si="181"/>
        <v>16</v>
      </c>
    </row>
    <row r="445" spans="1:75" ht="15" hidden="1" x14ac:dyDescent="0.2">
      <c r="A445" s="98">
        <v>42568</v>
      </c>
      <c r="B445" s="129" t="str">
        <f t="shared" si="158"/>
        <v>dom</v>
      </c>
      <c r="C445" s="132">
        <v>18</v>
      </c>
      <c r="D445" s="132"/>
      <c r="E445" s="132"/>
      <c r="F445" s="132"/>
      <c r="G445" s="132"/>
      <c r="H445" s="132"/>
      <c r="I445" s="132"/>
      <c r="J445" s="132"/>
      <c r="K445" s="132"/>
      <c r="L445" s="132"/>
      <c r="M445" s="132">
        <v>101</v>
      </c>
      <c r="N445" s="132"/>
      <c r="O445" s="132"/>
      <c r="P445" s="132"/>
      <c r="Q445" s="132"/>
      <c r="R445" s="132"/>
      <c r="S445" s="132"/>
      <c r="T445" s="132"/>
      <c r="U445" s="151"/>
      <c r="V445" s="151"/>
      <c r="W445" s="307" t="s">
        <v>193</v>
      </c>
      <c r="X445" s="308"/>
      <c r="Y445" s="38">
        <f t="shared" si="159"/>
        <v>0</v>
      </c>
      <c r="Z445" s="38">
        <f t="shared" si="160"/>
        <v>8</v>
      </c>
      <c r="AA445" s="38">
        <f t="shared" si="157"/>
        <v>0</v>
      </c>
      <c r="AB445" s="38">
        <f t="shared" si="168"/>
        <v>0</v>
      </c>
      <c r="AC445" s="38">
        <f t="shared" si="169"/>
        <v>0</v>
      </c>
      <c r="AD445" s="38">
        <f t="shared" si="170"/>
        <v>0</v>
      </c>
      <c r="AE445" s="38">
        <f t="shared" si="171"/>
        <v>0</v>
      </c>
      <c r="AF445" s="38">
        <f t="shared" si="172"/>
        <v>0</v>
      </c>
      <c r="AG445" s="33">
        <f t="shared" si="173"/>
        <v>0</v>
      </c>
      <c r="AH445" s="33">
        <f t="shared" si="174"/>
        <v>0</v>
      </c>
      <c r="AI445" s="33">
        <f t="shared" si="175"/>
        <v>0</v>
      </c>
      <c r="AJ445" s="33">
        <f t="shared" si="176"/>
        <v>0</v>
      </c>
      <c r="AK445" s="34">
        <f t="shared" si="177"/>
        <v>0</v>
      </c>
      <c r="AL445" s="35">
        <f t="shared" si="178"/>
        <v>0</v>
      </c>
      <c r="AM445" s="34">
        <f t="shared" si="161"/>
        <v>0</v>
      </c>
      <c r="AN445" s="36">
        <f t="shared" si="179"/>
        <v>0</v>
      </c>
      <c r="AO445" s="6">
        <f t="shared" si="162"/>
        <v>0</v>
      </c>
      <c r="AP445">
        <f t="shared" si="163"/>
        <v>8</v>
      </c>
      <c r="AQ445" s="6">
        <f t="shared" si="164"/>
        <v>0</v>
      </c>
      <c r="AR445" s="6">
        <f t="shared" si="165"/>
        <v>0</v>
      </c>
      <c r="AS445" s="6"/>
      <c r="AX445" s="95">
        <f t="shared" si="166"/>
        <v>42568</v>
      </c>
      <c r="AY445" s="96" t="str">
        <f t="shared" si="167"/>
        <v>dom</v>
      </c>
      <c r="AZ445" s="97">
        <f>IF(OR(AY445="SÁB",AY445="DOM"),0,IFERROR(8-VLOOKUP(C445,'Dados de consulta'!$A$2:$C$38,3,0),8))</f>
        <v>0</v>
      </c>
      <c r="BA445" s="97">
        <f>IF(OR(AY445="SÁB",AY445="DOM"),0,IFERROR(8-VLOOKUP(D445,'Dados de consulta'!$A$2:$C$38,3,0),8))</f>
        <v>0</v>
      </c>
      <c r="BB445" s="97">
        <f>IF(OR(AY445="SÁB",AY445="DOM"),0,IFERROR(8-VLOOKUP(E445,'Dados de consulta'!$A$2:$C$38,3,0),8))</f>
        <v>0</v>
      </c>
      <c r="BC445" s="97">
        <f>IF(OR(AY445="SÁB",AY445="DOM"),0,IFERROR(8-VLOOKUP(F445,'Dados de consulta'!$A$2:$C$38,3,0),8))</f>
        <v>0</v>
      </c>
      <c r="BD445" s="97">
        <f>IF(OR(AY445="SÁB",AY445="DOM"),0,IFERROR(8-VLOOKUP(G445,'Dados de consulta'!$A$2:$C$38,3,0),8))</f>
        <v>0</v>
      </c>
      <c r="BE445" s="97">
        <f>IF(OR(AY445="SÁB",AY445="DOM"),0,IFERROR(8-VLOOKUP(H445,'Dados de consulta'!$A$2:$C$38,3,0),8))</f>
        <v>0</v>
      </c>
      <c r="BF445" s="97">
        <f>IF(OR(AY445="SÁB",AY445="DOM"),0,IFERROR(8-VLOOKUP(I445,'Dados de consulta'!$A$2:$C$38,3,0),8))</f>
        <v>0</v>
      </c>
      <c r="BG445" s="97">
        <f>IF(OR(AY445="SÁB",AY445="DOM"),0,IFERROR(8-VLOOKUP(J445,'Dados de consulta'!$A$2:$C$38,3,0),8))</f>
        <v>0</v>
      </c>
      <c r="BH445" s="97">
        <f>IF(OR(AY445="SÁB",AY445="DOM"),0,IFERROR(8-VLOOKUP(K445,'Dados de consulta'!$A$2:$C$38,3,0),8))</f>
        <v>0</v>
      </c>
      <c r="BI445" s="97">
        <f>IF(OR(AY445="SÁB",AY445="DOM"),0,IFERROR(8-VLOOKUP(L445,'Dados de consulta'!$A$2:$C$38,3,0),8))</f>
        <v>0</v>
      </c>
      <c r="BJ445" s="97">
        <f>IF(OR(AY445="SÁB",AY445="DOM"),0,IFERROR(8-VLOOKUP(M445,'Dados de consulta'!$A$2:$C$38,3,0),8))</f>
        <v>0</v>
      </c>
      <c r="BK445" s="97">
        <f>IF(OR(AY445="SÁB",AY445="DOM"),0,IFERROR(8-VLOOKUP(N445,'Dados de consulta'!$A$2:$C$38,3,0),8))</f>
        <v>0</v>
      </c>
      <c r="BL445" s="97">
        <f>IF(OR(AY445="SÁB",AY445="DOM"),0,IFERROR(8-VLOOKUP(O445,'Dados de consulta'!$A$2:$C$38,3,0),8))</f>
        <v>0</v>
      </c>
      <c r="BM445" s="97">
        <f>IF(OR(AY445="SÁB",AY445="DOM"),0,IFERROR(8-VLOOKUP(P445,'Dados de consulta'!$A$2:$C$38,3,0),8))</f>
        <v>0</v>
      </c>
      <c r="BN445" s="97">
        <f>IF(OR(AY445="SÁB",AY445="DOM"),0,IFERROR(8-VLOOKUP(Q445,'Dados de consulta'!$A$2:$C$38,3,0),8))</f>
        <v>0</v>
      </c>
      <c r="BO445" s="97">
        <f>IF(OR(AY445="SÁB",AY445="DOM"),0,IFERROR(8-VLOOKUP(R445,'Dados de consulta'!$A$2:$C$38,3,0),8))</f>
        <v>0</v>
      </c>
      <c r="BP445" s="97">
        <f>IF(OR(AY445="SÁB",AY445="DOM"),0,IFERROR(8-VLOOKUP(S445,'Dados de consulta'!$A$2:$C$38,3,0),8))</f>
        <v>0</v>
      </c>
      <c r="BQ445" s="113">
        <f>IFERROR(6-VLOOKUP(T445,'Dados de consulta'!$A$2:$C$38,3,0)+2,6)</f>
        <v>6</v>
      </c>
      <c r="BR445" s="114">
        <f t="shared" si="180"/>
        <v>0</v>
      </c>
      <c r="BS445">
        <f t="shared" si="156"/>
        <v>0</v>
      </c>
      <c r="BU445">
        <f>IFERROR(8-VLOOKUP(U445,'Dados de consulta'!$A:$D,3,0),8)</f>
        <v>8</v>
      </c>
      <c r="BV445">
        <f>IFERROR(8-VLOOKUP(V445,'Dados de consulta'!$A:$D,3,0),8)</f>
        <v>8</v>
      </c>
      <c r="BW445">
        <f t="shared" si="181"/>
        <v>16</v>
      </c>
    </row>
    <row r="446" spans="1:75" ht="15" hidden="1" x14ac:dyDescent="0.2">
      <c r="A446" s="98">
        <v>42569</v>
      </c>
      <c r="B446" s="129" t="str">
        <f t="shared" si="158"/>
        <v>seg</v>
      </c>
      <c r="C446" s="132">
        <v>18</v>
      </c>
      <c r="D446" s="132"/>
      <c r="E446" s="132"/>
      <c r="F446" s="132"/>
      <c r="G446" s="132"/>
      <c r="H446" s="132"/>
      <c r="I446" s="132"/>
      <c r="J446" s="132"/>
      <c r="K446" s="132"/>
      <c r="L446" s="132"/>
      <c r="M446" s="132">
        <v>101</v>
      </c>
      <c r="N446" s="132"/>
      <c r="O446" s="132"/>
      <c r="P446" s="132"/>
      <c r="Q446" s="132"/>
      <c r="R446" s="132"/>
      <c r="S446" s="132"/>
      <c r="T446" s="132"/>
      <c r="U446" s="151"/>
      <c r="V446" s="151"/>
      <c r="W446" s="307" t="s">
        <v>193</v>
      </c>
      <c r="X446" s="308"/>
      <c r="Y446" s="38">
        <f t="shared" si="159"/>
        <v>0</v>
      </c>
      <c r="Z446" s="38">
        <f t="shared" si="160"/>
        <v>8</v>
      </c>
      <c r="AA446" s="38">
        <f t="shared" si="157"/>
        <v>0</v>
      </c>
      <c r="AB446" s="38">
        <f t="shared" si="168"/>
        <v>0</v>
      </c>
      <c r="AC446" s="38">
        <f t="shared" si="169"/>
        <v>0</v>
      </c>
      <c r="AD446" s="38">
        <f t="shared" si="170"/>
        <v>0</v>
      </c>
      <c r="AE446" s="38">
        <f t="shared" si="171"/>
        <v>0</v>
      </c>
      <c r="AF446" s="38">
        <f t="shared" si="172"/>
        <v>0</v>
      </c>
      <c r="AG446" s="33">
        <f t="shared" si="173"/>
        <v>0</v>
      </c>
      <c r="AH446" s="33">
        <f t="shared" si="174"/>
        <v>8</v>
      </c>
      <c r="AI446" s="33">
        <f t="shared" si="175"/>
        <v>0</v>
      </c>
      <c r="AJ446" s="33">
        <f t="shared" si="176"/>
        <v>0</v>
      </c>
      <c r="AK446" s="34">
        <f t="shared" si="177"/>
        <v>0</v>
      </c>
      <c r="AL446" s="35">
        <f t="shared" si="178"/>
        <v>5.6338028169014086E-2</v>
      </c>
      <c r="AM446" s="34">
        <f t="shared" si="161"/>
        <v>0</v>
      </c>
      <c r="AN446" s="36">
        <f t="shared" si="179"/>
        <v>0</v>
      </c>
      <c r="AO446" s="6">
        <f t="shared" si="162"/>
        <v>0</v>
      </c>
      <c r="AP446">
        <f t="shared" si="163"/>
        <v>8</v>
      </c>
      <c r="AQ446" s="6">
        <f t="shared" si="164"/>
        <v>0</v>
      </c>
      <c r="AR446" s="6">
        <f t="shared" si="165"/>
        <v>0</v>
      </c>
      <c r="AS446" s="6"/>
      <c r="AX446" s="95">
        <f t="shared" si="166"/>
        <v>42569</v>
      </c>
      <c r="AY446" s="96" t="str">
        <f t="shared" si="167"/>
        <v>seg</v>
      </c>
      <c r="AZ446" s="97">
        <f>IF(OR(AY446="SÁB",AY446="DOM"),0,IFERROR(8-VLOOKUP(C446,'Dados de consulta'!$A$2:$C$38,3,0),8))</f>
        <v>0</v>
      </c>
      <c r="BA446" s="97">
        <f>IF(OR(AY446="SÁB",AY446="DOM"),0,IFERROR(8-VLOOKUP(D446,'Dados de consulta'!$A$2:$C$38,3,0),8))</f>
        <v>8</v>
      </c>
      <c r="BB446" s="97">
        <f>IF(OR(AY446="SÁB",AY446="DOM"),0,IFERROR(8-VLOOKUP(E446,'Dados de consulta'!$A$2:$C$38,3,0),8))</f>
        <v>8</v>
      </c>
      <c r="BC446" s="97">
        <f>IF(OR(AY446="SÁB",AY446="DOM"),0,IFERROR(8-VLOOKUP(F446,'Dados de consulta'!$A$2:$C$38,3,0),8))</f>
        <v>8</v>
      </c>
      <c r="BD446" s="97">
        <f>IF(OR(AY446="SÁB",AY446="DOM"),0,IFERROR(8-VLOOKUP(G446,'Dados de consulta'!$A$2:$C$38,3,0),8))</f>
        <v>8</v>
      </c>
      <c r="BE446" s="97">
        <f>IF(OR(AY446="SÁB",AY446="DOM"),0,IFERROR(8-VLOOKUP(H446,'Dados de consulta'!$A$2:$C$38,3,0),8))</f>
        <v>8</v>
      </c>
      <c r="BF446" s="97">
        <f>IF(OR(AY446="SÁB",AY446="DOM"),0,IFERROR(8-VLOOKUP(I446,'Dados de consulta'!$A$2:$C$38,3,0),8))</f>
        <v>8</v>
      </c>
      <c r="BG446" s="97">
        <f>IF(OR(AY446="SÁB",AY446="DOM"),0,IFERROR(8-VLOOKUP(J446,'Dados de consulta'!$A$2:$C$38,3,0),8))</f>
        <v>8</v>
      </c>
      <c r="BH446" s="97">
        <f>IF(OR(AY446="SÁB",AY446="DOM"),0,IFERROR(8-VLOOKUP(K446,'Dados de consulta'!$A$2:$C$38,3,0),8))</f>
        <v>8</v>
      </c>
      <c r="BI446" s="97">
        <f>IF(OR(AY446="SÁB",AY446="DOM"),0,IFERROR(8-VLOOKUP(L446,'Dados de consulta'!$A$2:$C$38,3,0),8))</f>
        <v>8</v>
      </c>
      <c r="BJ446" s="97">
        <f>IF(OR(AY446="SÁB",AY446="DOM"),0,IFERROR(8-VLOOKUP(M446,'Dados de consulta'!$A$2:$C$38,3,0),8))</f>
        <v>0</v>
      </c>
      <c r="BK446" s="97">
        <f>IF(OR(AY446="SÁB",AY446="DOM"),0,IFERROR(8-VLOOKUP(N446,'Dados de consulta'!$A$2:$C$38,3,0),8))</f>
        <v>8</v>
      </c>
      <c r="BL446" s="97">
        <f>IF(OR(AY446="SÁB",AY446="DOM"),0,IFERROR(8-VLOOKUP(O446,'Dados de consulta'!$A$2:$C$38,3,0),8))</f>
        <v>8</v>
      </c>
      <c r="BM446" s="97">
        <f>IF(OR(AY446="SÁB",AY446="DOM"),0,IFERROR(8-VLOOKUP(P446,'Dados de consulta'!$A$2:$C$38,3,0),8))</f>
        <v>8</v>
      </c>
      <c r="BN446" s="97">
        <f>IF(OR(AY446="SÁB",AY446="DOM"),0,IFERROR(8-VLOOKUP(Q446,'Dados de consulta'!$A$2:$C$38,3,0),8))</f>
        <v>8</v>
      </c>
      <c r="BO446" s="97">
        <f>IF(OR(AY446="SÁB",AY446="DOM"),0,IFERROR(8-VLOOKUP(R446,'Dados de consulta'!$A$2:$C$38,3,0),8))</f>
        <v>8</v>
      </c>
      <c r="BP446" s="97">
        <f>IF(OR(AY446="SÁB",AY446="DOM"),0,IFERROR(8-VLOOKUP(S446,'Dados de consulta'!$A$2:$C$38,3,0),8))</f>
        <v>8</v>
      </c>
      <c r="BQ446" s="113">
        <f>IFERROR(6-VLOOKUP(T446,'Dados de consulta'!$A$2:$C$38,3,0)+2,6)</f>
        <v>6</v>
      </c>
      <c r="BR446" s="114">
        <f t="shared" si="180"/>
        <v>126</v>
      </c>
      <c r="BS446">
        <f t="shared" ref="BS446:BS509" si="182">IF(R447=17,0,IF(OR(AY446="SÁB",AY446="DOM"),0,((COUNT(AZ446:BQ446)-1)*8+6)-SUM(AO446:AR446)))</f>
        <v>134</v>
      </c>
      <c r="BU446">
        <f>IFERROR(8-VLOOKUP(U446,'Dados de consulta'!$A:$D,3,0),8)</f>
        <v>8</v>
      </c>
      <c r="BV446">
        <f>IFERROR(8-VLOOKUP(V446,'Dados de consulta'!$A:$D,3,0),8)</f>
        <v>8</v>
      </c>
      <c r="BW446">
        <f t="shared" si="181"/>
        <v>16</v>
      </c>
    </row>
    <row r="447" spans="1:75" ht="15" hidden="1" x14ac:dyDescent="0.2">
      <c r="A447" s="98">
        <v>42570</v>
      </c>
      <c r="B447" s="129" t="str">
        <f t="shared" si="158"/>
        <v>ter</v>
      </c>
      <c r="C447" s="132">
        <v>18</v>
      </c>
      <c r="D447" s="132"/>
      <c r="E447" s="132"/>
      <c r="F447" s="132"/>
      <c r="G447" s="132"/>
      <c r="H447" s="132"/>
      <c r="I447" s="132"/>
      <c r="J447" s="132"/>
      <c r="K447" s="132"/>
      <c r="L447" s="132"/>
      <c r="M447" s="132">
        <v>101</v>
      </c>
      <c r="N447" s="132"/>
      <c r="O447" s="132"/>
      <c r="P447" s="132"/>
      <c r="Q447" s="132"/>
      <c r="R447" s="132"/>
      <c r="S447" s="132"/>
      <c r="T447" s="132"/>
      <c r="U447" s="151"/>
      <c r="V447" s="151"/>
      <c r="W447" s="307" t="s">
        <v>193</v>
      </c>
      <c r="X447" s="308"/>
      <c r="Y447" s="38">
        <f t="shared" si="159"/>
        <v>0</v>
      </c>
      <c r="Z447" s="38">
        <f t="shared" si="160"/>
        <v>8</v>
      </c>
      <c r="AA447" s="38">
        <f t="shared" si="157"/>
        <v>0</v>
      </c>
      <c r="AB447" s="38">
        <f t="shared" si="168"/>
        <v>0</v>
      </c>
      <c r="AC447" s="38">
        <f t="shared" si="169"/>
        <v>0</v>
      </c>
      <c r="AD447" s="38">
        <f t="shared" si="170"/>
        <v>0</v>
      </c>
      <c r="AE447" s="38">
        <f t="shared" si="171"/>
        <v>0</v>
      </c>
      <c r="AF447" s="38">
        <f t="shared" si="172"/>
        <v>0</v>
      </c>
      <c r="AG447" s="33">
        <f t="shared" si="173"/>
        <v>0</v>
      </c>
      <c r="AH447" s="33">
        <f t="shared" si="174"/>
        <v>8</v>
      </c>
      <c r="AI447" s="33">
        <f t="shared" si="175"/>
        <v>0</v>
      </c>
      <c r="AJ447" s="33">
        <f t="shared" si="176"/>
        <v>0</v>
      </c>
      <c r="AK447" s="34">
        <f t="shared" si="177"/>
        <v>0</v>
      </c>
      <c r="AL447" s="35">
        <f t="shared" si="178"/>
        <v>5.6338028169014086E-2</v>
      </c>
      <c r="AM447" s="34">
        <f t="shared" si="161"/>
        <v>0</v>
      </c>
      <c r="AN447" s="36">
        <f t="shared" si="179"/>
        <v>0</v>
      </c>
      <c r="AO447" s="6">
        <f t="shared" si="162"/>
        <v>0</v>
      </c>
      <c r="AP447">
        <f t="shared" si="163"/>
        <v>8</v>
      </c>
      <c r="AQ447" s="6">
        <f t="shared" si="164"/>
        <v>0</v>
      </c>
      <c r="AR447" s="6">
        <f t="shared" si="165"/>
        <v>0</v>
      </c>
      <c r="AS447" s="6"/>
      <c r="AX447" s="95">
        <f t="shared" si="166"/>
        <v>42570</v>
      </c>
      <c r="AY447" s="96" t="str">
        <f t="shared" si="167"/>
        <v>ter</v>
      </c>
      <c r="AZ447" s="97">
        <f>IF(OR(AY447="SÁB",AY447="DOM"),0,IFERROR(8-VLOOKUP(C447,'Dados de consulta'!$A$2:$C$38,3,0),8))</f>
        <v>0</v>
      </c>
      <c r="BA447" s="97">
        <f>IF(OR(AY447="SÁB",AY447="DOM"),0,IFERROR(8-VLOOKUP(D447,'Dados de consulta'!$A$2:$C$38,3,0),8))</f>
        <v>8</v>
      </c>
      <c r="BB447" s="97">
        <f>IF(OR(AY447="SÁB",AY447="DOM"),0,IFERROR(8-VLOOKUP(E447,'Dados de consulta'!$A$2:$C$38,3,0),8))</f>
        <v>8</v>
      </c>
      <c r="BC447" s="97">
        <f>IF(OR(AY447="SÁB",AY447="DOM"),0,IFERROR(8-VLOOKUP(F447,'Dados de consulta'!$A$2:$C$38,3,0),8))</f>
        <v>8</v>
      </c>
      <c r="BD447" s="97">
        <f>IF(OR(AY447="SÁB",AY447="DOM"),0,IFERROR(8-VLOOKUP(G447,'Dados de consulta'!$A$2:$C$38,3,0),8))</f>
        <v>8</v>
      </c>
      <c r="BE447" s="97">
        <f>IF(OR(AY447="SÁB",AY447="DOM"),0,IFERROR(8-VLOOKUP(H447,'Dados de consulta'!$A$2:$C$38,3,0),8))</f>
        <v>8</v>
      </c>
      <c r="BF447" s="97">
        <f>IF(OR(AY447="SÁB",AY447="DOM"),0,IFERROR(8-VLOOKUP(I447,'Dados de consulta'!$A$2:$C$38,3,0),8))</f>
        <v>8</v>
      </c>
      <c r="BG447" s="97">
        <f>IF(OR(AY447="SÁB",AY447="DOM"),0,IFERROR(8-VLOOKUP(J447,'Dados de consulta'!$A$2:$C$38,3,0),8))</f>
        <v>8</v>
      </c>
      <c r="BH447" s="97">
        <f>IF(OR(AY447="SÁB",AY447="DOM"),0,IFERROR(8-VLOOKUP(K447,'Dados de consulta'!$A$2:$C$38,3,0),8))</f>
        <v>8</v>
      </c>
      <c r="BI447" s="97">
        <f>IF(OR(AY447="SÁB",AY447="DOM"),0,IFERROR(8-VLOOKUP(L447,'Dados de consulta'!$A$2:$C$38,3,0),8))</f>
        <v>8</v>
      </c>
      <c r="BJ447" s="97">
        <f>IF(OR(AY447="SÁB",AY447="DOM"),0,IFERROR(8-VLOOKUP(M447,'Dados de consulta'!$A$2:$C$38,3,0),8))</f>
        <v>0</v>
      </c>
      <c r="BK447" s="97">
        <f>IF(OR(AY447="SÁB",AY447="DOM"),0,IFERROR(8-VLOOKUP(N447,'Dados de consulta'!$A$2:$C$38,3,0),8))</f>
        <v>8</v>
      </c>
      <c r="BL447" s="97">
        <f>IF(OR(AY447="SÁB",AY447="DOM"),0,IFERROR(8-VLOOKUP(O447,'Dados de consulta'!$A$2:$C$38,3,0),8))</f>
        <v>8</v>
      </c>
      <c r="BM447" s="97">
        <f>IF(OR(AY447="SÁB",AY447="DOM"),0,IFERROR(8-VLOOKUP(P447,'Dados de consulta'!$A$2:$C$38,3,0),8))</f>
        <v>8</v>
      </c>
      <c r="BN447" s="97">
        <f>IF(OR(AY447="SÁB",AY447="DOM"),0,IFERROR(8-VLOOKUP(Q447,'Dados de consulta'!$A$2:$C$38,3,0),8))</f>
        <v>8</v>
      </c>
      <c r="BO447" s="97">
        <f>IF(OR(AY447="SÁB",AY447="DOM"),0,IFERROR(8-VLOOKUP(R447,'Dados de consulta'!$A$2:$C$38,3,0),8))</f>
        <v>8</v>
      </c>
      <c r="BP447" s="97">
        <f>IF(OR(AY447="SÁB",AY447="DOM"),0,IFERROR(8-VLOOKUP(S447,'Dados de consulta'!$A$2:$C$38,3,0),8))</f>
        <v>8</v>
      </c>
      <c r="BQ447" s="113">
        <f>IFERROR(6-VLOOKUP(T447,'Dados de consulta'!$A$2:$C$38,3,0)+2,6)</f>
        <v>6</v>
      </c>
      <c r="BR447" s="114">
        <f t="shared" si="180"/>
        <v>126</v>
      </c>
      <c r="BS447">
        <f t="shared" si="182"/>
        <v>134</v>
      </c>
      <c r="BU447">
        <f>IFERROR(8-VLOOKUP(U447,'Dados de consulta'!$A:$D,3,0),8)</f>
        <v>8</v>
      </c>
      <c r="BV447">
        <f>IFERROR(8-VLOOKUP(V447,'Dados de consulta'!$A:$D,3,0),8)</f>
        <v>8</v>
      </c>
      <c r="BW447">
        <f t="shared" si="181"/>
        <v>16</v>
      </c>
    </row>
    <row r="448" spans="1:75" ht="15" hidden="1" x14ac:dyDescent="0.2">
      <c r="A448" s="98">
        <v>42571</v>
      </c>
      <c r="B448" s="129" t="str">
        <f t="shared" si="158"/>
        <v>qua</v>
      </c>
      <c r="C448" s="132">
        <v>18</v>
      </c>
      <c r="D448" s="132"/>
      <c r="E448" s="132"/>
      <c r="F448" s="132"/>
      <c r="G448" s="132"/>
      <c r="H448" s="132"/>
      <c r="I448" s="132"/>
      <c r="J448" s="132"/>
      <c r="K448" s="132"/>
      <c r="L448" s="132"/>
      <c r="M448" s="132">
        <v>101</v>
      </c>
      <c r="N448" s="132"/>
      <c r="O448" s="132"/>
      <c r="P448" s="132"/>
      <c r="Q448" s="132"/>
      <c r="R448" s="132"/>
      <c r="S448" s="132"/>
      <c r="T448" s="132"/>
      <c r="U448" s="151"/>
      <c r="V448" s="151"/>
      <c r="W448" s="307" t="s">
        <v>193</v>
      </c>
      <c r="X448" s="308"/>
      <c r="Y448" s="38">
        <f t="shared" si="159"/>
        <v>0</v>
      </c>
      <c r="Z448" s="38">
        <f t="shared" si="160"/>
        <v>8</v>
      </c>
      <c r="AA448" s="38">
        <f t="shared" si="157"/>
        <v>0</v>
      </c>
      <c r="AB448" s="38">
        <f t="shared" si="168"/>
        <v>0</v>
      </c>
      <c r="AC448" s="38">
        <f t="shared" si="169"/>
        <v>0</v>
      </c>
      <c r="AD448" s="38">
        <f t="shared" si="170"/>
        <v>0</v>
      </c>
      <c r="AE448" s="38">
        <f t="shared" si="171"/>
        <v>0</v>
      </c>
      <c r="AF448" s="38">
        <f t="shared" si="172"/>
        <v>0</v>
      </c>
      <c r="AG448" s="33">
        <f t="shared" si="173"/>
        <v>0</v>
      </c>
      <c r="AH448" s="33">
        <f t="shared" si="174"/>
        <v>8</v>
      </c>
      <c r="AI448" s="33">
        <f t="shared" si="175"/>
        <v>0</v>
      </c>
      <c r="AJ448" s="33">
        <f t="shared" si="176"/>
        <v>0</v>
      </c>
      <c r="AK448" s="34">
        <f t="shared" si="177"/>
        <v>0</v>
      </c>
      <c r="AL448" s="35">
        <f t="shared" si="178"/>
        <v>5.6338028169014086E-2</v>
      </c>
      <c r="AM448" s="34">
        <f t="shared" si="161"/>
        <v>0</v>
      </c>
      <c r="AN448" s="36">
        <f t="shared" si="179"/>
        <v>0</v>
      </c>
      <c r="AO448" s="6">
        <f t="shared" si="162"/>
        <v>0</v>
      </c>
      <c r="AP448">
        <f t="shared" si="163"/>
        <v>8</v>
      </c>
      <c r="AQ448" s="6">
        <f t="shared" si="164"/>
        <v>0</v>
      </c>
      <c r="AR448" s="6">
        <f t="shared" si="165"/>
        <v>0</v>
      </c>
      <c r="AS448" s="6"/>
      <c r="AX448" s="95">
        <f t="shared" si="166"/>
        <v>42571</v>
      </c>
      <c r="AY448" s="96" t="str">
        <f t="shared" si="167"/>
        <v>qua</v>
      </c>
      <c r="AZ448" s="97">
        <f>IF(OR(AY448="SÁB",AY448="DOM"),0,IFERROR(8-VLOOKUP(C448,'Dados de consulta'!$A$2:$C$38,3,0),8))</f>
        <v>0</v>
      </c>
      <c r="BA448" s="97">
        <f>IF(OR(AY448="SÁB",AY448="DOM"),0,IFERROR(8-VLOOKUP(D448,'Dados de consulta'!$A$2:$C$38,3,0),8))</f>
        <v>8</v>
      </c>
      <c r="BB448" s="97">
        <f>IF(OR(AY448="SÁB",AY448="DOM"),0,IFERROR(8-VLOOKUP(E448,'Dados de consulta'!$A$2:$C$38,3,0),8))</f>
        <v>8</v>
      </c>
      <c r="BC448" s="97">
        <f>IF(OR(AY448="SÁB",AY448="DOM"),0,IFERROR(8-VLOOKUP(F448,'Dados de consulta'!$A$2:$C$38,3,0),8))</f>
        <v>8</v>
      </c>
      <c r="BD448" s="97">
        <f>IF(OR(AY448="SÁB",AY448="DOM"),0,IFERROR(8-VLOOKUP(G448,'Dados de consulta'!$A$2:$C$38,3,0),8))</f>
        <v>8</v>
      </c>
      <c r="BE448" s="97">
        <f>IF(OR(AY448="SÁB",AY448="DOM"),0,IFERROR(8-VLOOKUP(H448,'Dados de consulta'!$A$2:$C$38,3,0),8))</f>
        <v>8</v>
      </c>
      <c r="BF448" s="97">
        <f>IF(OR(AY448="SÁB",AY448="DOM"),0,IFERROR(8-VLOOKUP(I448,'Dados de consulta'!$A$2:$C$38,3,0),8))</f>
        <v>8</v>
      </c>
      <c r="BG448" s="97">
        <f>IF(OR(AY448="SÁB",AY448="DOM"),0,IFERROR(8-VLOOKUP(J448,'Dados de consulta'!$A$2:$C$38,3,0),8))</f>
        <v>8</v>
      </c>
      <c r="BH448" s="97">
        <f>IF(OR(AY448="SÁB",AY448="DOM"),0,IFERROR(8-VLOOKUP(K448,'Dados de consulta'!$A$2:$C$38,3,0),8))</f>
        <v>8</v>
      </c>
      <c r="BI448" s="97">
        <f>IF(OR(AY448="SÁB",AY448="DOM"),0,IFERROR(8-VLOOKUP(L448,'Dados de consulta'!$A$2:$C$38,3,0),8))</f>
        <v>8</v>
      </c>
      <c r="BJ448" s="97">
        <f>IF(OR(AY448="SÁB",AY448="DOM"),0,IFERROR(8-VLOOKUP(M448,'Dados de consulta'!$A$2:$C$38,3,0),8))</f>
        <v>0</v>
      </c>
      <c r="BK448" s="97">
        <f>IF(OR(AY448="SÁB",AY448="DOM"),0,IFERROR(8-VLOOKUP(N448,'Dados de consulta'!$A$2:$C$38,3,0),8))</f>
        <v>8</v>
      </c>
      <c r="BL448" s="97">
        <f>IF(OR(AY448="SÁB",AY448="DOM"),0,IFERROR(8-VLOOKUP(O448,'Dados de consulta'!$A$2:$C$38,3,0),8))</f>
        <v>8</v>
      </c>
      <c r="BM448" s="97">
        <f>IF(OR(AY448="SÁB",AY448="DOM"),0,IFERROR(8-VLOOKUP(P448,'Dados de consulta'!$A$2:$C$38,3,0),8))</f>
        <v>8</v>
      </c>
      <c r="BN448" s="97">
        <f>IF(OR(AY448="SÁB",AY448="DOM"),0,IFERROR(8-VLOOKUP(Q448,'Dados de consulta'!$A$2:$C$38,3,0),8))</f>
        <v>8</v>
      </c>
      <c r="BO448" s="97">
        <f>IF(OR(AY448="SÁB",AY448="DOM"),0,IFERROR(8-VLOOKUP(R448,'Dados de consulta'!$A$2:$C$38,3,0),8))</f>
        <v>8</v>
      </c>
      <c r="BP448" s="97">
        <f>IF(OR(AY448="SÁB",AY448="DOM"),0,IFERROR(8-VLOOKUP(S448,'Dados de consulta'!$A$2:$C$38,3,0),8))</f>
        <v>8</v>
      </c>
      <c r="BQ448" s="113">
        <f>IFERROR(6-VLOOKUP(T448,'Dados de consulta'!$A$2:$C$38,3,0)+2,6)</f>
        <v>6</v>
      </c>
      <c r="BR448" s="114">
        <f t="shared" si="180"/>
        <v>126</v>
      </c>
      <c r="BS448">
        <f t="shared" si="182"/>
        <v>134</v>
      </c>
      <c r="BU448">
        <f>IFERROR(8-VLOOKUP(U448,'Dados de consulta'!$A:$D,3,0),8)</f>
        <v>8</v>
      </c>
      <c r="BV448">
        <f>IFERROR(8-VLOOKUP(V448,'Dados de consulta'!$A:$D,3,0),8)</f>
        <v>8</v>
      </c>
      <c r="BW448">
        <f t="shared" si="181"/>
        <v>16</v>
      </c>
    </row>
    <row r="449" spans="1:75" ht="15" hidden="1" x14ac:dyDescent="0.2">
      <c r="A449" s="98">
        <v>42572</v>
      </c>
      <c r="B449" s="129" t="str">
        <f t="shared" si="158"/>
        <v>qui</v>
      </c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>
        <v>101</v>
      </c>
      <c r="N449" s="132"/>
      <c r="O449" s="132"/>
      <c r="P449" s="132"/>
      <c r="Q449" s="132"/>
      <c r="R449" s="132"/>
      <c r="S449" s="132"/>
      <c r="T449" s="132"/>
      <c r="U449" s="151"/>
      <c r="V449" s="151"/>
      <c r="W449" s="307" t="s">
        <v>193</v>
      </c>
      <c r="X449" s="308"/>
      <c r="Y449" s="38">
        <f t="shared" si="159"/>
        <v>0</v>
      </c>
      <c r="Z449" s="38">
        <f t="shared" si="160"/>
        <v>0</v>
      </c>
      <c r="AA449" s="38">
        <f t="shared" ref="AA449:AA512" si="183">(COUNTIF(C449:S449,28)+COUNTIF(C449:S449,"28P")/2+COUNTIF(C449:S449,29))*8</f>
        <v>0</v>
      </c>
      <c r="AB449" s="38">
        <f t="shared" si="168"/>
        <v>0</v>
      </c>
      <c r="AC449" s="38">
        <f t="shared" si="169"/>
        <v>0</v>
      </c>
      <c r="AD449" s="38">
        <f t="shared" si="170"/>
        <v>0</v>
      </c>
      <c r="AE449" s="38">
        <f t="shared" si="171"/>
        <v>0</v>
      </c>
      <c r="AF449" s="38">
        <f t="shared" si="172"/>
        <v>0</v>
      </c>
      <c r="AG449" s="33">
        <f t="shared" si="173"/>
        <v>0</v>
      </c>
      <c r="AH449" s="33">
        <f t="shared" si="174"/>
        <v>0</v>
      </c>
      <c r="AI449" s="33">
        <f t="shared" si="175"/>
        <v>0</v>
      </c>
      <c r="AJ449" s="33">
        <f t="shared" si="176"/>
        <v>0</v>
      </c>
      <c r="AK449" s="34">
        <f t="shared" si="177"/>
        <v>0</v>
      </c>
      <c r="AL449" s="35">
        <f t="shared" si="178"/>
        <v>0</v>
      </c>
      <c r="AM449" s="34">
        <f t="shared" si="161"/>
        <v>0</v>
      </c>
      <c r="AN449" s="36">
        <f t="shared" si="179"/>
        <v>0</v>
      </c>
      <c r="AO449" s="6">
        <f t="shared" si="162"/>
        <v>0</v>
      </c>
      <c r="AP449">
        <f t="shared" si="163"/>
        <v>8</v>
      </c>
      <c r="AQ449" s="6">
        <f t="shared" si="164"/>
        <v>0</v>
      </c>
      <c r="AR449" s="6">
        <f t="shared" si="165"/>
        <v>0</v>
      </c>
      <c r="AS449" s="6"/>
      <c r="AX449" s="95">
        <f t="shared" si="166"/>
        <v>42572</v>
      </c>
      <c r="AY449" s="96" t="str">
        <f t="shared" si="167"/>
        <v>qui</v>
      </c>
      <c r="AZ449" s="97">
        <f>IF(OR(AY449="SÁB",AY449="DOM"),0,IFERROR(8-VLOOKUP(C449,'Dados de consulta'!$A$2:$C$38,3,0),8))</f>
        <v>8</v>
      </c>
      <c r="BA449" s="97">
        <f>IF(OR(AY449="SÁB",AY449="DOM"),0,IFERROR(8-VLOOKUP(D449,'Dados de consulta'!$A$2:$C$38,3,0),8))</f>
        <v>8</v>
      </c>
      <c r="BB449" s="97">
        <f>IF(OR(AY449="SÁB",AY449="DOM"),0,IFERROR(8-VLOOKUP(E449,'Dados de consulta'!$A$2:$C$38,3,0),8))</f>
        <v>8</v>
      </c>
      <c r="BC449" s="97">
        <f>IF(OR(AY449="SÁB",AY449="DOM"),0,IFERROR(8-VLOOKUP(F449,'Dados de consulta'!$A$2:$C$38,3,0),8))</f>
        <v>8</v>
      </c>
      <c r="BD449" s="97">
        <f>IF(OR(AY449="SÁB",AY449="DOM"),0,IFERROR(8-VLOOKUP(G449,'Dados de consulta'!$A$2:$C$38,3,0),8))</f>
        <v>8</v>
      </c>
      <c r="BE449" s="97">
        <f>IF(OR(AY449="SÁB",AY449="DOM"),0,IFERROR(8-VLOOKUP(H449,'Dados de consulta'!$A$2:$C$38,3,0),8))</f>
        <v>8</v>
      </c>
      <c r="BF449" s="97">
        <f>IF(OR(AY449="SÁB",AY449="DOM"),0,IFERROR(8-VLOOKUP(I449,'Dados de consulta'!$A$2:$C$38,3,0),8))</f>
        <v>8</v>
      </c>
      <c r="BG449" s="97">
        <f>IF(OR(AY449="SÁB",AY449="DOM"),0,IFERROR(8-VLOOKUP(J449,'Dados de consulta'!$A$2:$C$38,3,0),8))</f>
        <v>8</v>
      </c>
      <c r="BH449" s="97">
        <f>IF(OR(AY449="SÁB",AY449="DOM"),0,IFERROR(8-VLOOKUP(K449,'Dados de consulta'!$A$2:$C$38,3,0),8))</f>
        <v>8</v>
      </c>
      <c r="BI449" s="97">
        <f>IF(OR(AY449="SÁB",AY449="DOM"),0,IFERROR(8-VLOOKUP(L449,'Dados de consulta'!$A$2:$C$38,3,0),8))</f>
        <v>8</v>
      </c>
      <c r="BJ449" s="97">
        <f>IF(OR(AY449="SÁB",AY449="DOM"),0,IFERROR(8-VLOOKUP(M449,'Dados de consulta'!$A$2:$C$38,3,0),8))</f>
        <v>0</v>
      </c>
      <c r="BK449" s="97">
        <f>IF(OR(AY449="SÁB",AY449="DOM"),0,IFERROR(8-VLOOKUP(N449,'Dados de consulta'!$A$2:$C$38,3,0),8))</f>
        <v>8</v>
      </c>
      <c r="BL449" s="97">
        <f>IF(OR(AY449="SÁB",AY449="DOM"),0,IFERROR(8-VLOOKUP(O449,'Dados de consulta'!$A$2:$C$38,3,0),8))</f>
        <v>8</v>
      </c>
      <c r="BM449" s="97">
        <f>IF(OR(AY449="SÁB",AY449="DOM"),0,IFERROR(8-VLOOKUP(P449,'Dados de consulta'!$A$2:$C$38,3,0),8))</f>
        <v>8</v>
      </c>
      <c r="BN449" s="97">
        <f>IF(OR(AY449="SÁB",AY449="DOM"),0,IFERROR(8-VLOOKUP(Q449,'Dados de consulta'!$A$2:$C$38,3,0),8))</f>
        <v>8</v>
      </c>
      <c r="BO449" s="97">
        <f>IF(OR(AY449="SÁB",AY449="DOM"),0,IFERROR(8-VLOOKUP(R449,'Dados de consulta'!$A$2:$C$38,3,0),8))</f>
        <v>8</v>
      </c>
      <c r="BP449" s="97">
        <f>IF(OR(AY449="SÁB",AY449="DOM"),0,IFERROR(8-VLOOKUP(S449,'Dados de consulta'!$A$2:$C$38,3,0),8))</f>
        <v>8</v>
      </c>
      <c r="BQ449" s="113">
        <f>IFERROR(6-VLOOKUP(T449,'Dados de consulta'!$A$2:$C$38,3,0)+2,6)</f>
        <v>6</v>
      </c>
      <c r="BR449" s="114">
        <f t="shared" si="180"/>
        <v>134</v>
      </c>
      <c r="BS449">
        <f t="shared" si="182"/>
        <v>134</v>
      </c>
      <c r="BU449">
        <f>IFERROR(8-VLOOKUP(U449,'Dados de consulta'!$A:$D,3,0),8)</f>
        <v>8</v>
      </c>
      <c r="BV449">
        <f>IFERROR(8-VLOOKUP(V449,'Dados de consulta'!$A:$D,3,0),8)</f>
        <v>8</v>
      </c>
      <c r="BW449">
        <f t="shared" si="181"/>
        <v>16</v>
      </c>
    </row>
    <row r="450" spans="1:75" ht="15" hidden="1" x14ac:dyDescent="0.2">
      <c r="A450" s="98">
        <v>42573</v>
      </c>
      <c r="B450" s="129" t="str">
        <f t="shared" ref="B450:B513" si="184">TEXT(A450,"ddd")</f>
        <v>sex</v>
      </c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>
        <v>101</v>
      </c>
      <c r="N450" s="132"/>
      <c r="O450" s="132"/>
      <c r="P450" s="132"/>
      <c r="Q450" s="132"/>
      <c r="R450" s="132"/>
      <c r="S450" s="132"/>
      <c r="T450" s="132"/>
      <c r="U450" s="151"/>
      <c r="V450" s="151"/>
      <c r="W450" s="307" t="s">
        <v>193</v>
      </c>
      <c r="X450" s="308"/>
      <c r="Y450" s="38">
        <f t="shared" ref="Y450:Y513" si="185">(COUNTIF(C450:S450,4)+COUNTIF(C450:S450,8)+COUNTIF(C450:S450,"8P")/2+COUNTIF(C450:S450,9)+COUNTIF(C450:S450,"9P")/2+COUNTIF(C450:S450,14))*8</f>
        <v>0</v>
      </c>
      <c r="Z450" s="38">
        <f t="shared" ref="Z450:Z513" si="186">(COUNTIF(C450:S450,1)+COUNTIF(C450:S450,2)+COUNTIF(C450:S450,3)+COUNTIF(C450:S450,5)+COUNTIF(C450:S450,10)+COUNTIF(C450:S450,13)+COUNTIF(C450:S450,"13P")/2+COUNTIF(C450:S450,15)+COUNTIF(C450:S450,18)+COUNTIF(C450:S450,20)+COUNTIF(C450:S450,22)+COUNTIF(C450:S450,23)+COUNTIF(C450:S450,24)+COUNTIF(C450:S450,25)+COUNTIF(C450:S450,26)+COUNTIF(C450:S450,99))*8</f>
        <v>0</v>
      </c>
      <c r="AA450" s="38">
        <f t="shared" si="183"/>
        <v>0</v>
      </c>
      <c r="AB450" s="38">
        <f t="shared" si="168"/>
        <v>0</v>
      </c>
      <c r="AC450" s="38">
        <f t="shared" si="169"/>
        <v>0</v>
      </c>
      <c r="AD450" s="38">
        <f t="shared" si="170"/>
        <v>0</v>
      </c>
      <c r="AE450" s="38">
        <f t="shared" si="171"/>
        <v>0</v>
      </c>
      <c r="AF450" s="38">
        <f t="shared" si="172"/>
        <v>0</v>
      </c>
      <c r="AG450" s="33">
        <f t="shared" si="173"/>
        <v>0</v>
      </c>
      <c r="AH450" s="33">
        <f t="shared" si="174"/>
        <v>0</v>
      </c>
      <c r="AI450" s="33">
        <f t="shared" si="175"/>
        <v>0</v>
      </c>
      <c r="AJ450" s="33">
        <f t="shared" si="176"/>
        <v>0</v>
      </c>
      <c r="AK450" s="34">
        <f t="shared" si="177"/>
        <v>0</v>
      </c>
      <c r="AL450" s="35">
        <f t="shared" si="178"/>
        <v>0</v>
      </c>
      <c r="AM450" s="34">
        <f t="shared" ref="AM450:AM513" si="187">(AA450+AE450)/(COUNTA($C$1:$S$1)*8+COUNTA($T$1:$T$1)*6)</f>
        <v>0</v>
      </c>
      <c r="AN450" s="36">
        <f t="shared" si="179"/>
        <v>0</v>
      </c>
      <c r="AO450" s="6">
        <f t="shared" ref="AO450:AO513" si="188">COUNTIF(C450:S450,100)*8</f>
        <v>0</v>
      </c>
      <c r="AP450">
        <f t="shared" ref="AP450:AP513" si="189">COUNTIF(C450:S450,101)*8</f>
        <v>8</v>
      </c>
      <c r="AQ450" s="6">
        <f t="shared" ref="AQ450:AQ513" si="190">COUNTIF(T450:T450,101)*6</f>
        <v>0</v>
      </c>
      <c r="AR450" s="6">
        <f t="shared" ref="AR450:AR513" si="191">COUNTIF(T450:T450,100)*6</f>
        <v>0</v>
      </c>
      <c r="AS450" s="6"/>
      <c r="AX450" s="95">
        <f t="shared" ref="AX450:AX513" si="192">A450</f>
        <v>42573</v>
      </c>
      <c r="AY450" s="96" t="str">
        <f t="shared" ref="AY450:AY513" si="193">B450</f>
        <v>sex</v>
      </c>
      <c r="AZ450" s="97">
        <f>IF(OR(AY450="SÁB",AY450="DOM"),0,IFERROR(8-VLOOKUP(C450,'Dados de consulta'!$A$2:$C$38,3,0),8))</f>
        <v>8</v>
      </c>
      <c r="BA450" s="97">
        <f>IF(OR(AY450="SÁB",AY450="DOM"),0,IFERROR(8-VLOOKUP(D450,'Dados de consulta'!$A$2:$C$38,3,0),8))</f>
        <v>8</v>
      </c>
      <c r="BB450" s="97">
        <f>IF(OR(AY450="SÁB",AY450="DOM"),0,IFERROR(8-VLOOKUP(E450,'Dados de consulta'!$A$2:$C$38,3,0),8))</f>
        <v>8</v>
      </c>
      <c r="BC450" s="97">
        <f>IF(OR(AY450="SÁB",AY450="DOM"),0,IFERROR(8-VLOOKUP(F450,'Dados de consulta'!$A$2:$C$38,3,0),8))</f>
        <v>8</v>
      </c>
      <c r="BD450" s="97">
        <f>IF(OR(AY450="SÁB",AY450="DOM"),0,IFERROR(8-VLOOKUP(G450,'Dados de consulta'!$A$2:$C$38,3,0),8))</f>
        <v>8</v>
      </c>
      <c r="BE450" s="97">
        <f>IF(OR(AY450="SÁB",AY450="DOM"),0,IFERROR(8-VLOOKUP(H450,'Dados de consulta'!$A$2:$C$38,3,0),8))</f>
        <v>8</v>
      </c>
      <c r="BF450" s="97">
        <f>IF(OR(AY450="SÁB",AY450="DOM"),0,IFERROR(8-VLOOKUP(I450,'Dados de consulta'!$A$2:$C$38,3,0),8))</f>
        <v>8</v>
      </c>
      <c r="BG450" s="97">
        <f>IF(OR(AY450="SÁB",AY450="DOM"),0,IFERROR(8-VLOOKUP(J450,'Dados de consulta'!$A$2:$C$38,3,0),8))</f>
        <v>8</v>
      </c>
      <c r="BH450" s="97">
        <f>IF(OR(AY450="SÁB",AY450="DOM"),0,IFERROR(8-VLOOKUP(K450,'Dados de consulta'!$A$2:$C$38,3,0),8))</f>
        <v>8</v>
      </c>
      <c r="BI450" s="97">
        <f>IF(OR(AY450="SÁB",AY450="DOM"),0,IFERROR(8-VLOOKUP(L450,'Dados de consulta'!$A$2:$C$38,3,0),8))</f>
        <v>8</v>
      </c>
      <c r="BJ450" s="97">
        <f>IF(OR(AY450="SÁB",AY450="DOM"),0,IFERROR(8-VLOOKUP(M450,'Dados de consulta'!$A$2:$C$38,3,0),8))</f>
        <v>0</v>
      </c>
      <c r="BK450" s="97">
        <f>IF(OR(AY450="SÁB",AY450="DOM"),0,IFERROR(8-VLOOKUP(N450,'Dados de consulta'!$A$2:$C$38,3,0),8))</f>
        <v>8</v>
      </c>
      <c r="BL450" s="97">
        <f>IF(OR(AY450="SÁB",AY450="DOM"),0,IFERROR(8-VLOOKUP(O450,'Dados de consulta'!$A$2:$C$38,3,0),8))</f>
        <v>8</v>
      </c>
      <c r="BM450" s="97">
        <f>IF(OR(AY450="SÁB",AY450="DOM"),0,IFERROR(8-VLOOKUP(P450,'Dados de consulta'!$A$2:$C$38,3,0),8))</f>
        <v>8</v>
      </c>
      <c r="BN450" s="97">
        <f>IF(OR(AY450="SÁB",AY450="DOM"),0,IFERROR(8-VLOOKUP(Q450,'Dados de consulta'!$A$2:$C$38,3,0),8))</f>
        <v>8</v>
      </c>
      <c r="BO450" s="97">
        <f>IF(OR(AY450="SÁB",AY450="DOM"),0,IFERROR(8-VLOOKUP(R450,'Dados de consulta'!$A$2:$C$38,3,0),8))</f>
        <v>8</v>
      </c>
      <c r="BP450" s="97">
        <f>IF(OR(AY450="SÁB",AY450="DOM"),0,IFERROR(8-VLOOKUP(S450,'Dados de consulta'!$A$2:$C$38,3,0),8))</f>
        <v>8</v>
      </c>
      <c r="BQ450" s="113">
        <f>IFERROR(6-VLOOKUP(T450,'Dados de consulta'!$A$2:$C$38,3,0)+2,6)</f>
        <v>6</v>
      </c>
      <c r="BR450" s="114">
        <f t="shared" si="180"/>
        <v>134</v>
      </c>
      <c r="BS450">
        <f t="shared" si="182"/>
        <v>134</v>
      </c>
      <c r="BU450">
        <f>IFERROR(8-VLOOKUP(U450,'Dados de consulta'!$A:$D,3,0),8)</f>
        <v>8</v>
      </c>
      <c r="BV450">
        <f>IFERROR(8-VLOOKUP(V450,'Dados de consulta'!$A:$D,3,0),8)</f>
        <v>8</v>
      </c>
      <c r="BW450">
        <f t="shared" si="181"/>
        <v>16</v>
      </c>
    </row>
    <row r="451" spans="1:75" ht="15" hidden="1" x14ac:dyDescent="0.2">
      <c r="A451" s="98">
        <v>42574</v>
      </c>
      <c r="B451" s="129" t="str">
        <f t="shared" si="184"/>
        <v>sáb</v>
      </c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>
        <v>101</v>
      </c>
      <c r="N451" s="132"/>
      <c r="O451" s="132"/>
      <c r="P451" s="132"/>
      <c r="Q451" s="132"/>
      <c r="R451" s="132"/>
      <c r="S451" s="132"/>
      <c r="T451" s="132"/>
      <c r="U451" s="151"/>
      <c r="V451" s="151"/>
      <c r="W451" s="307" t="s">
        <v>193</v>
      </c>
      <c r="X451" s="308"/>
      <c r="Y451" s="38">
        <f t="shared" si="185"/>
        <v>0</v>
      </c>
      <c r="Z451" s="38">
        <f t="shared" si="186"/>
        <v>0</v>
      </c>
      <c r="AA451" s="38">
        <f t="shared" si="183"/>
        <v>0</v>
      </c>
      <c r="AB451" s="38">
        <f t="shared" ref="AB451:AB514" si="194">(COUNTIF(C451:S451,6)+COUNTIF(C451:S451,"6P")/2+COUNTIF(C451:S451,7)+COUNTIF(C451:S451,11)+COUNTIF(C451:S451,12)+COUNTIF(C451:S451,19))*8</f>
        <v>0</v>
      </c>
      <c r="AC451" s="38">
        <f t="shared" ref="AC451:AC514" si="195">(COUNTIF(T451,4)+COUNTIF(T451,8)+COUNTIF(T451,"8P")+COUNTIF(T451,9)+COUNTIF(T451,"9P")+COUNTIF(T451,14))*6</f>
        <v>0</v>
      </c>
      <c r="AD451" s="38">
        <f t="shared" ref="AD451:AD514" si="196">(COUNTIF(T451,1)+COUNTIF(T451,2)+COUNTIF(T451,3)+COUNTIF(T451,5)+COUNTIF(T451,10)+COUNTIF(T451,13)+COUNTIF(T451,"13P")+COUNTIF(T451,15)+COUNTIF(T451,16)+COUNTIF(T451,18)+COUNTIF(T451,20)+COUNTIF(T451,21)+COUNTIF(T451,22)+COUNTIF(T451,23)+COUNTIF(T451,24)+COUNTIF(T451,25)+COUNTIF(T451,26)+COUNTIF(T451,99))*6</f>
        <v>0</v>
      </c>
      <c r="AE451" s="38">
        <f t="shared" ref="AE451:AE514" si="197">(COUNTIF(T451,28)+COUNTIF(T451,"28P")+COUNTIF(T451,29))*6</f>
        <v>0</v>
      </c>
      <c r="AF451" s="38">
        <f t="shared" ref="AF451:AF514" si="198">(COUNTIF(T451,6)+COUNTIF(T451,"6P")+COUNTIF(T451,7)+COUNTIF(T451,11)+COUNTIF(T451,12))*6</f>
        <v>0</v>
      </c>
      <c r="AG451" s="33">
        <f t="shared" ref="AG451:AG514" si="199">IF(OR(B451="SÁB",B451="DOM"),0,Y451+AC451)</f>
        <v>0</v>
      </c>
      <c r="AH451" s="33">
        <f t="shared" ref="AH451:AH514" si="200">IF(OR(B451="SÁB",B451="DOM"),0,Z451+AD451)</f>
        <v>0</v>
      </c>
      <c r="AI451" s="33">
        <f t="shared" ref="AI451:AI514" si="201">IF(OR(B451="SÁB",B451="DOM"),0,AA451+AE451)</f>
        <v>0</v>
      </c>
      <c r="AJ451" s="33">
        <f t="shared" ref="AJ451:AJ514" si="202">IF(OR(B451="SÁB",B451="DOM"),0,AB451+AF451)</f>
        <v>0</v>
      </c>
      <c r="AK451" s="34">
        <f t="shared" ref="AK451:AK514" si="203">AG451/(COUNTA($C$1:$S$1)*8+6)</f>
        <v>0</v>
      </c>
      <c r="AL451" s="35">
        <f t="shared" ref="AL451:AL514" si="204">AH451/(COUNTA($C$1:$S$1)*8+6)</f>
        <v>0</v>
      </c>
      <c r="AM451" s="34">
        <f t="shared" si="187"/>
        <v>0</v>
      </c>
      <c r="AN451" s="36">
        <f t="shared" ref="AN451:AN514" si="205">AJ451/(COUNTA($C$1:$S$1)*8+6)</f>
        <v>0</v>
      </c>
      <c r="AO451" s="6">
        <f t="shared" si="188"/>
        <v>0</v>
      </c>
      <c r="AP451">
        <f t="shared" si="189"/>
        <v>8</v>
      </c>
      <c r="AQ451" s="6">
        <f t="shared" si="190"/>
        <v>0</v>
      </c>
      <c r="AR451" s="6">
        <f t="shared" si="191"/>
        <v>0</v>
      </c>
      <c r="AS451" s="6"/>
      <c r="AX451" s="95">
        <f t="shared" si="192"/>
        <v>42574</v>
      </c>
      <c r="AY451" s="96" t="str">
        <f t="shared" si="193"/>
        <v>sáb</v>
      </c>
      <c r="AZ451" s="97">
        <f>IF(OR(AY451="SÁB",AY451="DOM"),0,IFERROR(8-VLOOKUP(C451,'Dados de consulta'!$A$2:$C$38,3,0),8))</f>
        <v>0</v>
      </c>
      <c r="BA451" s="97">
        <f>IF(OR(AY451="SÁB",AY451="DOM"),0,IFERROR(8-VLOOKUP(D451,'Dados de consulta'!$A$2:$C$38,3,0),8))</f>
        <v>0</v>
      </c>
      <c r="BB451" s="97">
        <f>IF(OR(AY451="SÁB",AY451="DOM"),0,IFERROR(8-VLOOKUP(E451,'Dados de consulta'!$A$2:$C$38,3,0),8))</f>
        <v>0</v>
      </c>
      <c r="BC451" s="97">
        <f>IF(OR(AY451="SÁB",AY451="DOM"),0,IFERROR(8-VLOOKUP(F451,'Dados de consulta'!$A$2:$C$38,3,0),8))</f>
        <v>0</v>
      </c>
      <c r="BD451" s="97">
        <f>IF(OR(AY451="SÁB",AY451="DOM"),0,IFERROR(8-VLOOKUP(G451,'Dados de consulta'!$A$2:$C$38,3,0),8))</f>
        <v>0</v>
      </c>
      <c r="BE451" s="97">
        <f>IF(OR(AY451="SÁB",AY451="DOM"),0,IFERROR(8-VLOOKUP(H451,'Dados de consulta'!$A$2:$C$38,3,0),8))</f>
        <v>0</v>
      </c>
      <c r="BF451" s="97">
        <f>IF(OR(AY451="SÁB",AY451="DOM"),0,IFERROR(8-VLOOKUP(I451,'Dados de consulta'!$A$2:$C$38,3,0),8))</f>
        <v>0</v>
      </c>
      <c r="BG451" s="97">
        <f>IF(OR(AY451="SÁB",AY451="DOM"),0,IFERROR(8-VLOOKUP(J451,'Dados de consulta'!$A$2:$C$38,3,0),8))</f>
        <v>0</v>
      </c>
      <c r="BH451" s="97">
        <f>IF(OR(AY451="SÁB",AY451="DOM"),0,IFERROR(8-VLOOKUP(K451,'Dados de consulta'!$A$2:$C$38,3,0),8))</f>
        <v>0</v>
      </c>
      <c r="BI451" s="97">
        <f>IF(OR(AY451="SÁB",AY451="DOM"),0,IFERROR(8-VLOOKUP(L451,'Dados de consulta'!$A$2:$C$38,3,0),8))</f>
        <v>0</v>
      </c>
      <c r="BJ451" s="97">
        <f>IF(OR(AY451="SÁB",AY451="DOM"),0,IFERROR(8-VLOOKUP(M451,'Dados de consulta'!$A$2:$C$38,3,0),8))</f>
        <v>0</v>
      </c>
      <c r="BK451" s="97">
        <f>IF(OR(AY451="SÁB",AY451="DOM"),0,IFERROR(8-VLOOKUP(N451,'Dados de consulta'!$A$2:$C$38,3,0),8))</f>
        <v>0</v>
      </c>
      <c r="BL451" s="97">
        <f>IF(OR(AY451="SÁB",AY451="DOM"),0,IFERROR(8-VLOOKUP(O451,'Dados de consulta'!$A$2:$C$38,3,0),8))</f>
        <v>0</v>
      </c>
      <c r="BM451" s="97">
        <f>IF(OR(AY451="SÁB",AY451="DOM"),0,IFERROR(8-VLOOKUP(P451,'Dados de consulta'!$A$2:$C$38,3,0),8))</f>
        <v>0</v>
      </c>
      <c r="BN451" s="97">
        <f>IF(OR(AY451="SÁB",AY451="DOM"),0,IFERROR(8-VLOOKUP(Q451,'Dados de consulta'!$A$2:$C$38,3,0),8))</f>
        <v>0</v>
      </c>
      <c r="BO451" s="97">
        <f>IF(OR(AY451="SÁB",AY451="DOM"),0,IFERROR(8-VLOOKUP(R451,'Dados de consulta'!$A$2:$C$38,3,0),8))</f>
        <v>0</v>
      </c>
      <c r="BP451" s="97">
        <f>IF(OR(AY451="SÁB",AY451="DOM"),0,IFERROR(8-VLOOKUP(S451,'Dados de consulta'!$A$2:$C$38,3,0),8))</f>
        <v>0</v>
      </c>
      <c r="BQ451" s="113">
        <f>IFERROR(6-VLOOKUP(T451,'Dados de consulta'!$A$2:$C$38,3,0)+2,6)</f>
        <v>6</v>
      </c>
      <c r="BR451" s="114">
        <f t="shared" ref="BR451:BR514" si="206">IF(OR(AY451="SÁB",AY451="DOM"),0,SUM(AZ451:BQ451))</f>
        <v>0</v>
      </c>
      <c r="BS451">
        <f t="shared" si="182"/>
        <v>0</v>
      </c>
      <c r="BU451">
        <f>IFERROR(8-VLOOKUP(U451,'Dados de consulta'!$A:$D,3,0),8)</f>
        <v>8</v>
      </c>
      <c r="BV451">
        <f>IFERROR(8-VLOOKUP(V451,'Dados de consulta'!$A:$D,3,0),8)</f>
        <v>8</v>
      </c>
      <c r="BW451">
        <f t="shared" ref="BW451:BW514" si="207">BU451+BV451</f>
        <v>16</v>
      </c>
    </row>
    <row r="452" spans="1:75" ht="15" hidden="1" x14ac:dyDescent="0.2">
      <c r="A452" s="98">
        <v>42575</v>
      </c>
      <c r="B452" s="129" t="str">
        <f t="shared" si="184"/>
        <v>dom</v>
      </c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>
        <v>101</v>
      </c>
      <c r="N452" s="132"/>
      <c r="O452" s="132"/>
      <c r="P452" s="132"/>
      <c r="Q452" s="132"/>
      <c r="R452" s="132"/>
      <c r="S452" s="132"/>
      <c r="T452" s="132"/>
      <c r="U452" s="151"/>
      <c r="V452" s="151"/>
      <c r="W452" s="307" t="s">
        <v>193</v>
      </c>
      <c r="X452" s="308"/>
      <c r="Y452" s="38">
        <f t="shared" si="185"/>
        <v>0</v>
      </c>
      <c r="Z452" s="38">
        <f t="shared" si="186"/>
        <v>0</v>
      </c>
      <c r="AA452" s="38">
        <f t="shared" si="183"/>
        <v>0</v>
      </c>
      <c r="AB452" s="38">
        <f t="shared" si="194"/>
        <v>0</v>
      </c>
      <c r="AC452" s="38">
        <f t="shared" si="195"/>
        <v>0</v>
      </c>
      <c r="AD452" s="38">
        <f t="shared" si="196"/>
        <v>0</v>
      </c>
      <c r="AE452" s="38">
        <f t="shared" si="197"/>
        <v>0</v>
      </c>
      <c r="AF452" s="38">
        <f t="shared" si="198"/>
        <v>0</v>
      </c>
      <c r="AG452" s="33">
        <f t="shared" si="199"/>
        <v>0</v>
      </c>
      <c r="AH452" s="33">
        <f t="shared" si="200"/>
        <v>0</v>
      </c>
      <c r="AI452" s="33">
        <f t="shared" si="201"/>
        <v>0</v>
      </c>
      <c r="AJ452" s="33">
        <f t="shared" si="202"/>
        <v>0</v>
      </c>
      <c r="AK452" s="34">
        <f t="shared" si="203"/>
        <v>0</v>
      </c>
      <c r="AL452" s="35">
        <f t="shared" si="204"/>
        <v>0</v>
      </c>
      <c r="AM452" s="34">
        <f t="shared" si="187"/>
        <v>0</v>
      </c>
      <c r="AN452" s="36">
        <f t="shared" si="205"/>
        <v>0</v>
      </c>
      <c r="AO452" s="6">
        <f t="shared" si="188"/>
        <v>0</v>
      </c>
      <c r="AP452">
        <f t="shared" si="189"/>
        <v>8</v>
      </c>
      <c r="AQ452" s="6">
        <f t="shared" si="190"/>
        <v>0</v>
      </c>
      <c r="AR452" s="6">
        <f t="shared" si="191"/>
        <v>0</v>
      </c>
      <c r="AS452" s="6"/>
      <c r="AX452" s="95">
        <f t="shared" si="192"/>
        <v>42575</v>
      </c>
      <c r="AY452" s="96" t="str">
        <f t="shared" si="193"/>
        <v>dom</v>
      </c>
      <c r="AZ452" s="97">
        <f>IF(OR(AY452="SÁB",AY452="DOM"),0,IFERROR(8-VLOOKUP(C452,'Dados de consulta'!$A$2:$C$38,3,0),8))</f>
        <v>0</v>
      </c>
      <c r="BA452" s="97">
        <f>IF(OR(AY452="SÁB",AY452="DOM"),0,IFERROR(8-VLOOKUP(D452,'Dados de consulta'!$A$2:$C$38,3,0),8))</f>
        <v>0</v>
      </c>
      <c r="BB452" s="97">
        <f>IF(OR(AY452="SÁB",AY452="DOM"),0,IFERROR(8-VLOOKUP(E452,'Dados de consulta'!$A$2:$C$38,3,0),8))</f>
        <v>0</v>
      </c>
      <c r="BC452" s="97">
        <f>IF(OR(AY452="SÁB",AY452="DOM"),0,IFERROR(8-VLOOKUP(F452,'Dados de consulta'!$A$2:$C$38,3,0),8))</f>
        <v>0</v>
      </c>
      <c r="BD452" s="97">
        <f>IF(OR(AY452="SÁB",AY452="DOM"),0,IFERROR(8-VLOOKUP(G452,'Dados de consulta'!$A$2:$C$38,3,0),8))</f>
        <v>0</v>
      </c>
      <c r="BE452" s="97">
        <f>IF(OR(AY452="SÁB",AY452="DOM"),0,IFERROR(8-VLOOKUP(H452,'Dados de consulta'!$A$2:$C$38,3,0),8))</f>
        <v>0</v>
      </c>
      <c r="BF452" s="97">
        <f>IF(OR(AY452="SÁB",AY452="DOM"),0,IFERROR(8-VLOOKUP(I452,'Dados de consulta'!$A$2:$C$38,3,0),8))</f>
        <v>0</v>
      </c>
      <c r="BG452" s="97">
        <f>IF(OR(AY452="SÁB",AY452="DOM"),0,IFERROR(8-VLOOKUP(J452,'Dados de consulta'!$A$2:$C$38,3,0),8))</f>
        <v>0</v>
      </c>
      <c r="BH452" s="97">
        <f>IF(OR(AY452="SÁB",AY452="DOM"),0,IFERROR(8-VLOOKUP(K452,'Dados de consulta'!$A$2:$C$38,3,0),8))</f>
        <v>0</v>
      </c>
      <c r="BI452" s="97">
        <f>IF(OR(AY452="SÁB",AY452="DOM"),0,IFERROR(8-VLOOKUP(L452,'Dados de consulta'!$A$2:$C$38,3,0),8))</f>
        <v>0</v>
      </c>
      <c r="BJ452" s="97">
        <f>IF(OR(AY452="SÁB",AY452="DOM"),0,IFERROR(8-VLOOKUP(M452,'Dados de consulta'!$A$2:$C$38,3,0),8))</f>
        <v>0</v>
      </c>
      <c r="BK452" s="97">
        <f>IF(OR(AY452="SÁB",AY452="DOM"),0,IFERROR(8-VLOOKUP(N452,'Dados de consulta'!$A$2:$C$38,3,0),8))</f>
        <v>0</v>
      </c>
      <c r="BL452" s="97">
        <f>IF(OR(AY452="SÁB",AY452="DOM"),0,IFERROR(8-VLOOKUP(O452,'Dados de consulta'!$A$2:$C$38,3,0),8))</f>
        <v>0</v>
      </c>
      <c r="BM452" s="97">
        <f>IF(OR(AY452="SÁB",AY452="DOM"),0,IFERROR(8-VLOOKUP(P452,'Dados de consulta'!$A$2:$C$38,3,0),8))</f>
        <v>0</v>
      </c>
      <c r="BN452" s="97">
        <f>IF(OR(AY452="SÁB",AY452="DOM"),0,IFERROR(8-VLOOKUP(Q452,'Dados de consulta'!$A$2:$C$38,3,0),8))</f>
        <v>0</v>
      </c>
      <c r="BO452" s="97">
        <f>IF(OR(AY452="SÁB",AY452="DOM"),0,IFERROR(8-VLOOKUP(R452,'Dados de consulta'!$A$2:$C$38,3,0),8))</f>
        <v>0</v>
      </c>
      <c r="BP452" s="97">
        <f>IF(OR(AY452="SÁB",AY452="DOM"),0,IFERROR(8-VLOOKUP(S452,'Dados de consulta'!$A$2:$C$38,3,0),8))</f>
        <v>0</v>
      </c>
      <c r="BQ452" s="113">
        <f>IFERROR(6-VLOOKUP(T452,'Dados de consulta'!$A$2:$C$38,3,0)+2,6)</f>
        <v>6</v>
      </c>
      <c r="BR452" s="114">
        <f t="shared" si="206"/>
        <v>0</v>
      </c>
      <c r="BS452">
        <f t="shared" si="182"/>
        <v>0</v>
      </c>
      <c r="BU452">
        <f>IFERROR(8-VLOOKUP(U452,'Dados de consulta'!$A:$D,3,0),8)</f>
        <v>8</v>
      </c>
      <c r="BV452">
        <f>IFERROR(8-VLOOKUP(V452,'Dados de consulta'!$A:$D,3,0),8)</f>
        <v>8</v>
      </c>
      <c r="BW452">
        <f t="shared" si="207"/>
        <v>16</v>
      </c>
    </row>
    <row r="453" spans="1:75" ht="15" hidden="1" x14ac:dyDescent="0.2">
      <c r="A453" s="98">
        <v>42576</v>
      </c>
      <c r="B453" s="129" t="str">
        <f t="shared" si="184"/>
        <v>seg</v>
      </c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>
        <v>101</v>
      </c>
      <c r="N453" s="132"/>
      <c r="O453" s="132"/>
      <c r="P453" s="132"/>
      <c r="Q453" s="132"/>
      <c r="R453" s="132"/>
      <c r="S453" s="132">
        <v>18</v>
      </c>
      <c r="T453" s="132"/>
      <c r="U453" s="151"/>
      <c r="V453" s="151"/>
      <c r="W453" s="307" t="s">
        <v>193</v>
      </c>
      <c r="X453" s="308"/>
      <c r="Y453" s="38">
        <f t="shared" si="185"/>
        <v>0</v>
      </c>
      <c r="Z453" s="38">
        <f t="shared" si="186"/>
        <v>8</v>
      </c>
      <c r="AA453" s="38">
        <f t="shared" si="183"/>
        <v>0</v>
      </c>
      <c r="AB453" s="38">
        <f t="shared" si="194"/>
        <v>0</v>
      </c>
      <c r="AC453" s="38">
        <f t="shared" si="195"/>
        <v>0</v>
      </c>
      <c r="AD453" s="38">
        <f t="shared" si="196"/>
        <v>0</v>
      </c>
      <c r="AE453" s="38">
        <f t="shared" si="197"/>
        <v>0</v>
      </c>
      <c r="AF453" s="38">
        <f t="shared" si="198"/>
        <v>0</v>
      </c>
      <c r="AG453" s="33">
        <f t="shared" si="199"/>
        <v>0</v>
      </c>
      <c r="AH453" s="33">
        <f t="shared" si="200"/>
        <v>8</v>
      </c>
      <c r="AI453" s="33">
        <f t="shared" si="201"/>
        <v>0</v>
      </c>
      <c r="AJ453" s="33">
        <f t="shared" si="202"/>
        <v>0</v>
      </c>
      <c r="AK453" s="34">
        <f t="shared" si="203"/>
        <v>0</v>
      </c>
      <c r="AL453" s="35">
        <f t="shared" si="204"/>
        <v>5.6338028169014086E-2</v>
      </c>
      <c r="AM453" s="34">
        <f t="shared" si="187"/>
        <v>0</v>
      </c>
      <c r="AN453" s="36">
        <f t="shared" si="205"/>
        <v>0</v>
      </c>
      <c r="AO453" s="6">
        <f t="shared" si="188"/>
        <v>0</v>
      </c>
      <c r="AP453">
        <f t="shared" si="189"/>
        <v>8</v>
      </c>
      <c r="AQ453" s="6">
        <f t="shared" si="190"/>
        <v>0</v>
      </c>
      <c r="AR453" s="6">
        <f t="shared" si="191"/>
        <v>0</v>
      </c>
      <c r="AS453" s="6"/>
      <c r="AX453" s="95">
        <f t="shared" si="192"/>
        <v>42576</v>
      </c>
      <c r="AY453" s="96" t="str">
        <f t="shared" si="193"/>
        <v>seg</v>
      </c>
      <c r="AZ453" s="97">
        <f>IF(OR(AY453="SÁB",AY453="DOM"),0,IFERROR(8-VLOOKUP(C453,'Dados de consulta'!$A$2:$C$38,3,0),8))</f>
        <v>8</v>
      </c>
      <c r="BA453" s="97">
        <f>IF(OR(AY453="SÁB",AY453="DOM"),0,IFERROR(8-VLOOKUP(D453,'Dados de consulta'!$A$2:$C$38,3,0),8))</f>
        <v>8</v>
      </c>
      <c r="BB453" s="97">
        <f>IF(OR(AY453="SÁB",AY453="DOM"),0,IFERROR(8-VLOOKUP(E453,'Dados de consulta'!$A$2:$C$38,3,0),8))</f>
        <v>8</v>
      </c>
      <c r="BC453" s="97">
        <f>IF(OR(AY453="SÁB",AY453="DOM"),0,IFERROR(8-VLOOKUP(F453,'Dados de consulta'!$A$2:$C$38,3,0),8))</f>
        <v>8</v>
      </c>
      <c r="BD453" s="97">
        <f>IF(OR(AY453="SÁB",AY453="DOM"),0,IFERROR(8-VLOOKUP(G453,'Dados de consulta'!$A$2:$C$38,3,0),8))</f>
        <v>8</v>
      </c>
      <c r="BE453" s="97">
        <f>IF(OR(AY453="SÁB",AY453="DOM"),0,IFERROR(8-VLOOKUP(H453,'Dados de consulta'!$A$2:$C$38,3,0),8))</f>
        <v>8</v>
      </c>
      <c r="BF453" s="97">
        <f>IF(OR(AY453="SÁB",AY453="DOM"),0,IFERROR(8-VLOOKUP(I453,'Dados de consulta'!$A$2:$C$38,3,0),8))</f>
        <v>8</v>
      </c>
      <c r="BG453" s="97">
        <f>IF(OR(AY453="SÁB",AY453="DOM"),0,IFERROR(8-VLOOKUP(J453,'Dados de consulta'!$A$2:$C$38,3,0),8))</f>
        <v>8</v>
      </c>
      <c r="BH453" s="97">
        <f>IF(OR(AY453="SÁB",AY453="DOM"),0,IFERROR(8-VLOOKUP(K453,'Dados de consulta'!$A$2:$C$38,3,0),8))</f>
        <v>8</v>
      </c>
      <c r="BI453" s="97">
        <f>IF(OR(AY453="SÁB",AY453="DOM"),0,IFERROR(8-VLOOKUP(L453,'Dados de consulta'!$A$2:$C$38,3,0),8))</f>
        <v>8</v>
      </c>
      <c r="BJ453" s="97">
        <f>IF(OR(AY453="SÁB",AY453="DOM"),0,IFERROR(8-VLOOKUP(M453,'Dados de consulta'!$A$2:$C$38,3,0),8))</f>
        <v>0</v>
      </c>
      <c r="BK453" s="97">
        <f>IF(OR(AY453="SÁB",AY453="DOM"),0,IFERROR(8-VLOOKUP(N453,'Dados de consulta'!$A$2:$C$38,3,0),8))</f>
        <v>8</v>
      </c>
      <c r="BL453" s="97">
        <f>IF(OR(AY453="SÁB",AY453="DOM"),0,IFERROR(8-VLOOKUP(O453,'Dados de consulta'!$A$2:$C$38,3,0),8))</f>
        <v>8</v>
      </c>
      <c r="BM453" s="97">
        <f>IF(OR(AY453="SÁB",AY453="DOM"),0,IFERROR(8-VLOOKUP(P453,'Dados de consulta'!$A$2:$C$38,3,0),8))</f>
        <v>8</v>
      </c>
      <c r="BN453" s="97">
        <f>IF(OR(AY453="SÁB",AY453="DOM"),0,IFERROR(8-VLOOKUP(Q453,'Dados de consulta'!$A$2:$C$38,3,0),8))</f>
        <v>8</v>
      </c>
      <c r="BO453" s="97">
        <f>IF(OR(AY453="SÁB",AY453="DOM"),0,IFERROR(8-VLOOKUP(R453,'Dados de consulta'!$A$2:$C$38,3,0),8))</f>
        <v>8</v>
      </c>
      <c r="BP453" s="97">
        <f>IF(OR(AY453="SÁB",AY453="DOM"),0,IFERROR(8-VLOOKUP(S453,'Dados de consulta'!$A$2:$C$38,3,0),8))</f>
        <v>0</v>
      </c>
      <c r="BQ453" s="113">
        <f>IFERROR(6-VLOOKUP(T453,'Dados de consulta'!$A$2:$C$38,3,0)+2,6)</f>
        <v>6</v>
      </c>
      <c r="BR453" s="114">
        <f t="shared" si="206"/>
        <v>126</v>
      </c>
      <c r="BS453">
        <f t="shared" si="182"/>
        <v>134</v>
      </c>
      <c r="BU453">
        <f>IFERROR(8-VLOOKUP(U453,'Dados de consulta'!$A:$D,3,0),8)</f>
        <v>8</v>
      </c>
      <c r="BV453">
        <f>IFERROR(8-VLOOKUP(V453,'Dados de consulta'!$A:$D,3,0),8)</f>
        <v>8</v>
      </c>
      <c r="BW453">
        <f t="shared" si="207"/>
        <v>16</v>
      </c>
    </row>
    <row r="454" spans="1:75" ht="15" hidden="1" x14ac:dyDescent="0.2">
      <c r="A454" s="98">
        <v>42577</v>
      </c>
      <c r="B454" s="129" t="str">
        <f t="shared" si="184"/>
        <v>ter</v>
      </c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>
        <v>101</v>
      </c>
      <c r="N454" s="132"/>
      <c r="O454" s="132"/>
      <c r="P454" s="132"/>
      <c r="Q454" s="132"/>
      <c r="R454" s="132"/>
      <c r="S454" s="132">
        <v>18</v>
      </c>
      <c r="T454" s="132"/>
      <c r="U454" s="151"/>
      <c r="V454" s="151"/>
      <c r="W454" s="307" t="s">
        <v>193</v>
      </c>
      <c r="X454" s="308"/>
      <c r="Y454" s="38">
        <f t="shared" si="185"/>
        <v>0</v>
      </c>
      <c r="Z454" s="38">
        <f t="shared" si="186"/>
        <v>8</v>
      </c>
      <c r="AA454" s="38">
        <f t="shared" si="183"/>
        <v>0</v>
      </c>
      <c r="AB454" s="38">
        <f t="shared" si="194"/>
        <v>0</v>
      </c>
      <c r="AC454" s="38">
        <f t="shared" si="195"/>
        <v>0</v>
      </c>
      <c r="AD454" s="38">
        <f t="shared" si="196"/>
        <v>0</v>
      </c>
      <c r="AE454" s="38">
        <f t="shared" si="197"/>
        <v>0</v>
      </c>
      <c r="AF454" s="38">
        <f t="shared" si="198"/>
        <v>0</v>
      </c>
      <c r="AG454" s="33">
        <f t="shared" si="199"/>
        <v>0</v>
      </c>
      <c r="AH454" s="33">
        <f t="shared" si="200"/>
        <v>8</v>
      </c>
      <c r="AI454" s="33">
        <f t="shared" si="201"/>
        <v>0</v>
      </c>
      <c r="AJ454" s="33">
        <f t="shared" si="202"/>
        <v>0</v>
      </c>
      <c r="AK454" s="34">
        <f t="shared" si="203"/>
        <v>0</v>
      </c>
      <c r="AL454" s="35">
        <f t="shared" si="204"/>
        <v>5.6338028169014086E-2</v>
      </c>
      <c r="AM454" s="34">
        <f t="shared" si="187"/>
        <v>0</v>
      </c>
      <c r="AN454" s="36">
        <f t="shared" si="205"/>
        <v>0</v>
      </c>
      <c r="AO454" s="6">
        <f t="shared" si="188"/>
        <v>0</v>
      </c>
      <c r="AP454">
        <f t="shared" si="189"/>
        <v>8</v>
      </c>
      <c r="AQ454" s="6">
        <f t="shared" si="190"/>
        <v>0</v>
      </c>
      <c r="AR454" s="6">
        <f t="shared" si="191"/>
        <v>0</v>
      </c>
      <c r="AS454" s="6"/>
      <c r="AX454" s="95">
        <f t="shared" si="192"/>
        <v>42577</v>
      </c>
      <c r="AY454" s="96" t="str">
        <f t="shared" si="193"/>
        <v>ter</v>
      </c>
      <c r="AZ454" s="97">
        <f>IF(OR(AY454="SÁB",AY454="DOM"),0,IFERROR(8-VLOOKUP(C454,'Dados de consulta'!$A$2:$C$38,3,0),8))</f>
        <v>8</v>
      </c>
      <c r="BA454" s="97">
        <f>IF(OR(AY454="SÁB",AY454="DOM"),0,IFERROR(8-VLOOKUP(D454,'Dados de consulta'!$A$2:$C$38,3,0),8))</f>
        <v>8</v>
      </c>
      <c r="BB454" s="97">
        <f>IF(OR(AY454="SÁB",AY454="DOM"),0,IFERROR(8-VLOOKUP(E454,'Dados de consulta'!$A$2:$C$38,3,0),8))</f>
        <v>8</v>
      </c>
      <c r="BC454" s="97">
        <f>IF(OR(AY454="SÁB",AY454="DOM"),0,IFERROR(8-VLOOKUP(F454,'Dados de consulta'!$A$2:$C$38,3,0),8))</f>
        <v>8</v>
      </c>
      <c r="BD454" s="97">
        <f>IF(OR(AY454="SÁB",AY454="DOM"),0,IFERROR(8-VLOOKUP(G454,'Dados de consulta'!$A$2:$C$38,3,0),8))</f>
        <v>8</v>
      </c>
      <c r="BE454" s="97">
        <f>IF(OR(AY454="SÁB",AY454="DOM"),0,IFERROR(8-VLOOKUP(H454,'Dados de consulta'!$A$2:$C$38,3,0),8))</f>
        <v>8</v>
      </c>
      <c r="BF454" s="97">
        <f>IF(OR(AY454="SÁB",AY454="DOM"),0,IFERROR(8-VLOOKUP(I454,'Dados de consulta'!$A$2:$C$38,3,0),8))</f>
        <v>8</v>
      </c>
      <c r="BG454" s="97">
        <f>IF(OR(AY454="SÁB",AY454="DOM"),0,IFERROR(8-VLOOKUP(J454,'Dados de consulta'!$A$2:$C$38,3,0),8))</f>
        <v>8</v>
      </c>
      <c r="BH454" s="97">
        <f>IF(OR(AY454="SÁB",AY454="DOM"),0,IFERROR(8-VLOOKUP(K454,'Dados de consulta'!$A$2:$C$38,3,0),8))</f>
        <v>8</v>
      </c>
      <c r="BI454" s="97">
        <f>IF(OR(AY454="SÁB",AY454="DOM"),0,IFERROR(8-VLOOKUP(L454,'Dados de consulta'!$A$2:$C$38,3,0),8))</f>
        <v>8</v>
      </c>
      <c r="BJ454" s="97">
        <f>IF(OR(AY454="SÁB",AY454="DOM"),0,IFERROR(8-VLOOKUP(M454,'Dados de consulta'!$A$2:$C$38,3,0),8))</f>
        <v>0</v>
      </c>
      <c r="BK454" s="97">
        <f>IF(OR(AY454="SÁB",AY454="DOM"),0,IFERROR(8-VLOOKUP(N454,'Dados de consulta'!$A$2:$C$38,3,0),8))</f>
        <v>8</v>
      </c>
      <c r="BL454" s="97">
        <f>IF(OR(AY454="SÁB",AY454="DOM"),0,IFERROR(8-VLOOKUP(O454,'Dados de consulta'!$A$2:$C$38,3,0),8))</f>
        <v>8</v>
      </c>
      <c r="BM454" s="97">
        <f>IF(OR(AY454="SÁB",AY454="DOM"),0,IFERROR(8-VLOOKUP(P454,'Dados de consulta'!$A$2:$C$38,3,0),8))</f>
        <v>8</v>
      </c>
      <c r="BN454" s="97">
        <f>IF(OR(AY454="SÁB",AY454="DOM"),0,IFERROR(8-VLOOKUP(Q454,'Dados de consulta'!$A$2:$C$38,3,0),8))</f>
        <v>8</v>
      </c>
      <c r="BO454" s="97">
        <f>IF(OR(AY454="SÁB",AY454="DOM"),0,IFERROR(8-VLOOKUP(R454,'Dados de consulta'!$A$2:$C$38,3,0),8))</f>
        <v>8</v>
      </c>
      <c r="BP454" s="97">
        <f>IF(OR(AY454="SÁB",AY454="DOM"),0,IFERROR(8-VLOOKUP(S454,'Dados de consulta'!$A$2:$C$38,3,0),8))</f>
        <v>0</v>
      </c>
      <c r="BQ454" s="113">
        <f>IFERROR(6-VLOOKUP(T454,'Dados de consulta'!$A$2:$C$38,3,0)+2,6)</f>
        <v>6</v>
      </c>
      <c r="BR454" s="114">
        <f t="shared" si="206"/>
        <v>126</v>
      </c>
      <c r="BS454">
        <f t="shared" si="182"/>
        <v>134</v>
      </c>
      <c r="BU454">
        <f>IFERROR(8-VLOOKUP(U454,'Dados de consulta'!$A:$D,3,0),8)</f>
        <v>8</v>
      </c>
      <c r="BV454">
        <f>IFERROR(8-VLOOKUP(V454,'Dados de consulta'!$A:$D,3,0),8)</f>
        <v>8</v>
      </c>
      <c r="BW454">
        <f t="shared" si="207"/>
        <v>16</v>
      </c>
    </row>
    <row r="455" spans="1:75" ht="15" hidden="1" x14ac:dyDescent="0.2">
      <c r="A455" s="98">
        <v>42578</v>
      </c>
      <c r="B455" s="129" t="str">
        <f t="shared" si="184"/>
        <v>qua</v>
      </c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>
        <v>101</v>
      </c>
      <c r="N455" s="132"/>
      <c r="O455" s="132"/>
      <c r="P455" s="132"/>
      <c r="Q455" s="132"/>
      <c r="R455" s="132"/>
      <c r="S455" s="132">
        <v>18</v>
      </c>
      <c r="T455" s="132"/>
      <c r="U455" s="151"/>
      <c r="V455" s="151"/>
      <c r="W455" s="307" t="s">
        <v>193</v>
      </c>
      <c r="X455" s="308"/>
      <c r="Y455" s="38">
        <f t="shared" si="185"/>
        <v>0</v>
      </c>
      <c r="Z455" s="38">
        <f t="shared" si="186"/>
        <v>8</v>
      </c>
      <c r="AA455" s="38">
        <f t="shared" si="183"/>
        <v>0</v>
      </c>
      <c r="AB455" s="38">
        <f t="shared" si="194"/>
        <v>0</v>
      </c>
      <c r="AC455" s="38">
        <f t="shared" si="195"/>
        <v>0</v>
      </c>
      <c r="AD455" s="38">
        <f t="shared" si="196"/>
        <v>0</v>
      </c>
      <c r="AE455" s="38">
        <f t="shared" si="197"/>
        <v>0</v>
      </c>
      <c r="AF455" s="38">
        <f t="shared" si="198"/>
        <v>0</v>
      </c>
      <c r="AG455" s="33">
        <f t="shared" si="199"/>
        <v>0</v>
      </c>
      <c r="AH455" s="33">
        <f t="shared" si="200"/>
        <v>8</v>
      </c>
      <c r="AI455" s="33">
        <f t="shared" si="201"/>
        <v>0</v>
      </c>
      <c r="AJ455" s="33">
        <f t="shared" si="202"/>
        <v>0</v>
      </c>
      <c r="AK455" s="34">
        <f t="shared" si="203"/>
        <v>0</v>
      </c>
      <c r="AL455" s="35">
        <f t="shared" si="204"/>
        <v>5.6338028169014086E-2</v>
      </c>
      <c r="AM455" s="34">
        <f t="shared" si="187"/>
        <v>0</v>
      </c>
      <c r="AN455" s="36">
        <f t="shared" si="205"/>
        <v>0</v>
      </c>
      <c r="AO455" s="6">
        <f t="shared" si="188"/>
        <v>0</v>
      </c>
      <c r="AP455">
        <f t="shared" si="189"/>
        <v>8</v>
      </c>
      <c r="AQ455" s="6">
        <f t="shared" si="190"/>
        <v>0</v>
      </c>
      <c r="AR455" s="6">
        <f t="shared" si="191"/>
        <v>0</v>
      </c>
      <c r="AS455" s="6"/>
      <c r="AX455" s="95">
        <f t="shared" si="192"/>
        <v>42578</v>
      </c>
      <c r="AY455" s="96" t="str">
        <f t="shared" si="193"/>
        <v>qua</v>
      </c>
      <c r="AZ455" s="97">
        <f>IF(OR(AY455="SÁB",AY455="DOM"),0,IFERROR(8-VLOOKUP(C455,'Dados de consulta'!$A$2:$C$38,3,0),8))</f>
        <v>8</v>
      </c>
      <c r="BA455" s="97">
        <f>IF(OR(AY455="SÁB",AY455="DOM"),0,IFERROR(8-VLOOKUP(D455,'Dados de consulta'!$A$2:$C$38,3,0),8))</f>
        <v>8</v>
      </c>
      <c r="BB455" s="97">
        <f>IF(OR(AY455="SÁB",AY455="DOM"),0,IFERROR(8-VLOOKUP(E455,'Dados de consulta'!$A$2:$C$38,3,0),8))</f>
        <v>8</v>
      </c>
      <c r="BC455" s="97">
        <f>IF(OR(AY455="SÁB",AY455="DOM"),0,IFERROR(8-VLOOKUP(F455,'Dados de consulta'!$A$2:$C$38,3,0),8))</f>
        <v>8</v>
      </c>
      <c r="BD455" s="97">
        <f>IF(OR(AY455="SÁB",AY455="DOM"),0,IFERROR(8-VLOOKUP(G455,'Dados de consulta'!$A$2:$C$38,3,0),8))</f>
        <v>8</v>
      </c>
      <c r="BE455" s="97">
        <f>IF(OR(AY455="SÁB",AY455="DOM"),0,IFERROR(8-VLOOKUP(H455,'Dados de consulta'!$A$2:$C$38,3,0),8))</f>
        <v>8</v>
      </c>
      <c r="BF455" s="97">
        <f>IF(OR(AY455="SÁB",AY455="DOM"),0,IFERROR(8-VLOOKUP(I455,'Dados de consulta'!$A$2:$C$38,3,0),8))</f>
        <v>8</v>
      </c>
      <c r="BG455" s="97">
        <f>IF(OR(AY455="SÁB",AY455="DOM"),0,IFERROR(8-VLOOKUP(J455,'Dados de consulta'!$A$2:$C$38,3,0),8))</f>
        <v>8</v>
      </c>
      <c r="BH455" s="97">
        <f>IF(OR(AY455="SÁB",AY455="DOM"),0,IFERROR(8-VLOOKUP(K455,'Dados de consulta'!$A$2:$C$38,3,0),8))</f>
        <v>8</v>
      </c>
      <c r="BI455" s="97">
        <f>IF(OR(AY455="SÁB",AY455="DOM"),0,IFERROR(8-VLOOKUP(L455,'Dados de consulta'!$A$2:$C$38,3,0),8))</f>
        <v>8</v>
      </c>
      <c r="BJ455" s="97">
        <f>IF(OR(AY455="SÁB",AY455="DOM"),0,IFERROR(8-VLOOKUP(M455,'Dados de consulta'!$A$2:$C$38,3,0),8))</f>
        <v>0</v>
      </c>
      <c r="BK455" s="97">
        <f>IF(OR(AY455="SÁB",AY455="DOM"),0,IFERROR(8-VLOOKUP(N455,'Dados de consulta'!$A$2:$C$38,3,0),8))</f>
        <v>8</v>
      </c>
      <c r="BL455" s="97">
        <f>IF(OR(AY455="SÁB",AY455="DOM"),0,IFERROR(8-VLOOKUP(O455,'Dados de consulta'!$A$2:$C$38,3,0),8))</f>
        <v>8</v>
      </c>
      <c r="BM455" s="97">
        <f>IF(OR(AY455="SÁB",AY455="DOM"),0,IFERROR(8-VLOOKUP(P455,'Dados de consulta'!$A$2:$C$38,3,0),8))</f>
        <v>8</v>
      </c>
      <c r="BN455" s="97">
        <f>IF(OR(AY455="SÁB",AY455="DOM"),0,IFERROR(8-VLOOKUP(Q455,'Dados de consulta'!$A$2:$C$38,3,0),8))</f>
        <v>8</v>
      </c>
      <c r="BO455" s="97">
        <f>IF(OR(AY455="SÁB",AY455="DOM"),0,IFERROR(8-VLOOKUP(R455,'Dados de consulta'!$A$2:$C$38,3,0),8))</f>
        <v>8</v>
      </c>
      <c r="BP455" s="97">
        <f>IF(OR(AY455="SÁB",AY455="DOM"),0,IFERROR(8-VLOOKUP(S455,'Dados de consulta'!$A$2:$C$38,3,0),8))</f>
        <v>0</v>
      </c>
      <c r="BQ455" s="113">
        <f>IFERROR(6-VLOOKUP(T455,'Dados de consulta'!$A$2:$C$38,3,0)+2,6)</f>
        <v>6</v>
      </c>
      <c r="BR455" s="114">
        <f t="shared" si="206"/>
        <v>126</v>
      </c>
      <c r="BS455">
        <f t="shared" si="182"/>
        <v>134</v>
      </c>
      <c r="BU455">
        <f>IFERROR(8-VLOOKUP(U455,'Dados de consulta'!$A:$D,3,0),8)</f>
        <v>8</v>
      </c>
      <c r="BV455">
        <f>IFERROR(8-VLOOKUP(V455,'Dados de consulta'!$A:$D,3,0),8)</f>
        <v>8</v>
      </c>
      <c r="BW455">
        <f t="shared" si="207"/>
        <v>16</v>
      </c>
    </row>
    <row r="456" spans="1:75" ht="15" hidden="1" x14ac:dyDescent="0.2">
      <c r="A456" s="98">
        <v>42579</v>
      </c>
      <c r="B456" s="129" t="str">
        <f t="shared" si="184"/>
        <v>qui</v>
      </c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>
        <v>101</v>
      </c>
      <c r="N456" s="132"/>
      <c r="O456" s="132"/>
      <c r="P456" s="132"/>
      <c r="Q456" s="132"/>
      <c r="R456" s="132"/>
      <c r="S456" s="132">
        <v>18</v>
      </c>
      <c r="T456" s="132"/>
      <c r="U456" s="151"/>
      <c r="V456" s="151"/>
      <c r="W456" s="307" t="s">
        <v>193</v>
      </c>
      <c r="X456" s="308"/>
      <c r="Y456" s="38">
        <f t="shared" si="185"/>
        <v>0</v>
      </c>
      <c r="Z456" s="38">
        <f t="shared" si="186"/>
        <v>8</v>
      </c>
      <c r="AA456" s="38">
        <f t="shared" si="183"/>
        <v>0</v>
      </c>
      <c r="AB456" s="38">
        <f t="shared" si="194"/>
        <v>0</v>
      </c>
      <c r="AC456" s="38">
        <f t="shared" si="195"/>
        <v>0</v>
      </c>
      <c r="AD456" s="38">
        <f t="shared" si="196"/>
        <v>0</v>
      </c>
      <c r="AE456" s="38">
        <f t="shared" si="197"/>
        <v>0</v>
      </c>
      <c r="AF456" s="38">
        <f t="shared" si="198"/>
        <v>0</v>
      </c>
      <c r="AG456" s="33">
        <f t="shared" si="199"/>
        <v>0</v>
      </c>
      <c r="AH456" s="33">
        <f t="shared" si="200"/>
        <v>8</v>
      </c>
      <c r="AI456" s="33">
        <f t="shared" si="201"/>
        <v>0</v>
      </c>
      <c r="AJ456" s="33">
        <f t="shared" si="202"/>
        <v>0</v>
      </c>
      <c r="AK456" s="34">
        <f t="shared" si="203"/>
        <v>0</v>
      </c>
      <c r="AL456" s="35">
        <f t="shared" si="204"/>
        <v>5.6338028169014086E-2</v>
      </c>
      <c r="AM456" s="34">
        <f t="shared" si="187"/>
        <v>0</v>
      </c>
      <c r="AN456" s="36">
        <f t="shared" si="205"/>
        <v>0</v>
      </c>
      <c r="AO456" s="6">
        <f t="shared" si="188"/>
        <v>0</v>
      </c>
      <c r="AP456">
        <f t="shared" si="189"/>
        <v>8</v>
      </c>
      <c r="AQ456" s="6">
        <f t="shared" si="190"/>
        <v>0</v>
      </c>
      <c r="AR456" s="6">
        <f t="shared" si="191"/>
        <v>0</v>
      </c>
      <c r="AS456" s="6"/>
      <c r="AX456" s="95">
        <f t="shared" si="192"/>
        <v>42579</v>
      </c>
      <c r="AY456" s="96" t="str">
        <f t="shared" si="193"/>
        <v>qui</v>
      </c>
      <c r="AZ456" s="97">
        <f>IF(OR(AY456="SÁB",AY456="DOM"),0,IFERROR(8-VLOOKUP(C456,'Dados de consulta'!$A$2:$C$38,3,0),8))</f>
        <v>8</v>
      </c>
      <c r="BA456" s="97">
        <f>IF(OR(AY456="SÁB",AY456="DOM"),0,IFERROR(8-VLOOKUP(D456,'Dados de consulta'!$A$2:$C$38,3,0),8))</f>
        <v>8</v>
      </c>
      <c r="BB456" s="97">
        <f>IF(OR(AY456="SÁB",AY456="DOM"),0,IFERROR(8-VLOOKUP(E456,'Dados de consulta'!$A$2:$C$38,3,0),8))</f>
        <v>8</v>
      </c>
      <c r="BC456" s="97">
        <f>IF(OR(AY456="SÁB",AY456="DOM"),0,IFERROR(8-VLOOKUP(F456,'Dados de consulta'!$A$2:$C$38,3,0),8))</f>
        <v>8</v>
      </c>
      <c r="BD456" s="97">
        <f>IF(OR(AY456="SÁB",AY456="DOM"),0,IFERROR(8-VLOOKUP(G456,'Dados de consulta'!$A$2:$C$38,3,0),8))</f>
        <v>8</v>
      </c>
      <c r="BE456" s="97">
        <f>IF(OR(AY456="SÁB",AY456="DOM"),0,IFERROR(8-VLOOKUP(H456,'Dados de consulta'!$A$2:$C$38,3,0),8))</f>
        <v>8</v>
      </c>
      <c r="BF456" s="97">
        <f>IF(OR(AY456="SÁB",AY456="DOM"),0,IFERROR(8-VLOOKUP(I456,'Dados de consulta'!$A$2:$C$38,3,0),8))</f>
        <v>8</v>
      </c>
      <c r="BG456" s="97">
        <f>IF(OR(AY456="SÁB",AY456="DOM"),0,IFERROR(8-VLOOKUP(J456,'Dados de consulta'!$A$2:$C$38,3,0),8))</f>
        <v>8</v>
      </c>
      <c r="BH456" s="97">
        <f>IF(OR(AY456="SÁB",AY456="DOM"),0,IFERROR(8-VLOOKUP(K456,'Dados de consulta'!$A$2:$C$38,3,0),8))</f>
        <v>8</v>
      </c>
      <c r="BI456" s="97">
        <f>IF(OR(AY456="SÁB",AY456="DOM"),0,IFERROR(8-VLOOKUP(L456,'Dados de consulta'!$A$2:$C$38,3,0),8))</f>
        <v>8</v>
      </c>
      <c r="BJ456" s="97">
        <f>IF(OR(AY456="SÁB",AY456="DOM"),0,IFERROR(8-VLOOKUP(M456,'Dados de consulta'!$A$2:$C$38,3,0),8))</f>
        <v>0</v>
      </c>
      <c r="BK456" s="97">
        <f>IF(OR(AY456="SÁB",AY456="DOM"),0,IFERROR(8-VLOOKUP(N456,'Dados de consulta'!$A$2:$C$38,3,0),8))</f>
        <v>8</v>
      </c>
      <c r="BL456" s="97">
        <f>IF(OR(AY456="SÁB",AY456="DOM"),0,IFERROR(8-VLOOKUP(O456,'Dados de consulta'!$A$2:$C$38,3,0),8))</f>
        <v>8</v>
      </c>
      <c r="BM456" s="97">
        <f>IF(OR(AY456="SÁB",AY456="DOM"),0,IFERROR(8-VLOOKUP(P456,'Dados de consulta'!$A$2:$C$38,3,0),8))</f>
        <v>8</v>
      </c>
      <c r="BN456" s="97">
        <f>IF(OR(AY456="SÁB",AY456="DOM"),0,IFERROR(8-VLOOKUP(Q456,'Dados de consulta'!$A$2:$C$38,3,0),8))</f>
        <v>8</v>
      </c>
      <c r="BO456" s="97">
        <f>IF(OR(AY456="SÁB",AY456="DOM"),0,IFERROR(8-VLOOKUP(R456,'Dados de consulta'!$A$2:$C$38,3,0),8))</f>
        <v>8</v>
      </c>
      <c r="BP456" s="97">
        <f>IF(OR(AY456="SÁB",AY456="DOM"),0,IFERROR(8-VLOOKUP(S456,'Dados de consulta'!$A$2:$C$38,3,0),8))</f>
        <v>0</v>
      </c>
      <c r="BQ456" s="113">
        <f>IFERROR(6-VLOOKUP(T456,'Dados de consulta'!$A$2:$C$38,3,0)+2,6)</f>
        <v>6</v>
      </c>
      <c r="BR456" s="114">
        <f t="shared" si="206"/>
        <v>126</v>
      </c>
      <c r="BS456">
        <f t="shared" si="182"/>
        <v>134</v>
      </c>
      <c r="BU456">
        <f>IFERROR(8-VLOOKUP(U456,'Dados de consulta'!$A:$D,3,0),8)</f>
        <v>8</v>
      </c>
      <c r="BV456">
        <f>IFERROR(8-VLOOKUP(V456,'Dados de consulta'!$A:$D,3,0),8)</f>
        <v>8</v>
      </c>
      <c r="BW456">
        <f t="shared" si="207"/>
        <v>16</v>
      </c>
    </row>
    <row r="457" spans="1:75" ht="15" hidden="1" x14ac:dyDescent="0.2">
      <c r="A457" s="98">
        <v>42580</v>
      </c>
      <c r="B457" s="129" t="str">
        <f t="shared" si="184"/>
        <v>sex</v>
      </c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>
        <v>101</v>
      </c>
      <c r="N457" s="132"/>
      <c r="O457" s="132"/>
      <c r="P457" s="132"/>
      <c r="Q457" s="132"/>
      <c r="R457" s="132"/>
      <c r="S457" s="132">
        <v>18</v>
      </c>
      <c r="T457" s="132"/>
      <c r="U457" s="151"/>
      <c r="V457" s="151"/>
      <c r="W457" s="307" t="s">
        <v>193</v>
      </c>
      <c r="X457" s="308"/>
      <c r="Y457" s="38">
        <f t="shared" si="185"/>
        <v>0</v>
      </c>
      <c r="Z457" s="38">
        <f t="shared" si="186"/>
        <v>8</v>
      </c>
      <c r="AA457" s="38">
        <f t="shared" si="183"/>
        <v>0</v>
      </c>
      <c r="AB457" s="38">
        <f t="shared" si="194"/>
        <v>0</v>
      </c>
      <c r="AC457" s="38">
        <f t="shared" si="195"/>
        <v>0</v>
      </c>
      <c r="AD457" s="38">
        <f t="shared" si="196"/>
        <v>0</v>
      </c>
      <c r="AE457" s="38">
        <f t="shared" si="197"/>
        <v>0</v>
      </c>
      <c r="AF457" s="38">
        <f t="shared" si="198"/>
        <v>0</v>
      </c>
      <c r="AG457" s="33">
        <f t="shared" si="199"/>
        <v>0</v>
      </c>
      <c r="AH457" s="33">
        <f t="shared" si="200"/>
        <v>8</v>
      </c>
      <c r="AI457" s="33">
        <f t="shared" si="201"/>
        <v>0</v>
      </c>
      <c r="AJ457" s="33">
        <f t="shared" si="202"/>
        <v>0</v>
      </c>
      <c r="AK457" s="34">
        <f t="shared" si="203"/>
        <v>0</v>
      </c>
      <c r="AL457" s="35">
        <f t="shared" si="204"/>
        <v>5.6338028169014086E-2</v>
      </c>
      <c r="AM457" s="34">
        <f t="shared" si="187"/>
        <v>0</v>
      </c>
      <c r="AN457" s="36">
        <f t="shared" si="205"/>
        <v>0</v>
      </c>
      <c r="AO457" s="6">
        <f t="shared" si="188"/>
        <v>0</v>
      </c>
      <c r="AP457">
        <f t="shared" si="189"/>
        <v>8</v>
      </c>
      <c r="AQ457" s="6">
        <f t="shared" si="190"/>
        <v>0</v>
      </c>
      <c r="AR457" s="6">
        <f t="shared" si="191"/>
        <v>0</v>
      </c>
      <c r="AS457" s="6"/>
      <c r="AX457" s="95">
        <f t="shared" si="192"/>
        <v>42580</v>
      </c>
      <c r="AY457" s="96" t="str">
        <f t="shared" si="193"/>
        <v>sex</v>
      </c>
      <c r="AZ457" s="97">
        <f>IF(OR(AY457="SÁB",AY457="DOM"),0,IFERROR(8-VLOOKUP(C457,'Dados de consulta'!$A$2:$C$38,3,0),8))</f>
        <v>8</v>
      </c>
      <c r="BA457" s="97">
        <f>IF(OR(AY457="SÁB",AY457="DOM"),0,IFERROR(8-VLOOKUP(D457,'Dados de consulta'!$A$2:$C$38,3,0),8))</f>
        <v>8</v>
      </c>
      <c r="BB457" s="97">
        <f>IF(OR(AY457="SÁB",AY457="DOM"),0,IFERROR(8-VLOOKUP(E457,'Dados de consulta'!$A$2:$C$38,3,0),8))</f>
        <v>8</v>
      </c>
      <c r="BC457" s="97">
        <f>IF(OR(AY457="SÁB",AY457="DOM"),0,IFERROR(8-VLOOKUP(F457,'Dados de consulta'!$A$2:$C$38,3,0),8))</f>
        <v>8</v>
      </c>
      <c r="BD457" s="97">
        <f>IF(OR(AY457="SÁB",AY457="DOM"),0,IFERROR(8-VLOOKUP(G457,'Dados de consulta'!$A$2:$C$38,3,0),8))</f>
        <v>8</v>
      </c>
      <c r="BE457" s="97">
        <f>IF(OR(AY457="SÁB",AY457="DOM"),0,IFERROR(8-VLOOKUP(H457,'Dados de consulta'!$A$2:$C$38,3,0),8))</f>
        <v>8</v>
      </c>
      <c r="BF457" s="97">
        <f>IF(OR(AY457="SÁB",AY457="DOM"),0,IFERROR(8-VLOOKUP(I457,'Dados de consulta'!$A$2:$C$38,3,0),8))</f>
        <v>8</v>
      </c>
      <c r="BG457" s="97">
        <f>IF(OR(AY457="SÁB",AY457="DOM"),0,IFERROR(8-VLOOKUP(J457,'Dados de consulta'!$A$2:$C$38,3,0),8))</f>
        <v>8</v>
      </c>
      <c r="BH457" s="97">
        <f>IF(OR(AY457="SÁB",AY457="DOM"),0,IFERROR(8-VLOOKUP(K457,'Dados de consulta'!$A$2:$C$38,3,0),8))</f>
        <v>8</v>
      </c>
      <c r="BI457" s="97">
        <f>IF(OR(AY457="SÁB",AY457="DOM"),0,IFERROR(8-VLOOKUP(L457,'Dados de consulta'!$A$2:$C$38,3,0),8))</f>
        <v>8</v>
      </c>
      <c r="BJ457" s="97">
        <f>IF(OR(AY457="SÁB",AY457="DOM"),0,IFERROR(8-VLOOKUP(M457,'Dados de consulta'!$A$2:$C$38,3,0),8))</f>
        <v>0</v>
      </c>
      <c r="BK457" s="97">
        <f>IF(OR(AY457="SÁB",AY457="DOM"),0,IFERROR(8-VLOOKUP(N457,'Dados de consulta'!$A$2:$C$38,3,0),8))</f>
        <v>8</v>
      </c>
      <c r="BL457" s="97">
        <f>IF(OR(AY457="SÁB",AY457="DOM"),0,IFERROR(8-VLOOKUP(O457,'Dados de consulta'!$A$2:$C$38,3,0),8))</f>
        <v>8</v>
      </c>
      <c r="BM457" s="97">
        <f>IF(OR(AY457="SÁB",AY457="DOM"),0,IFERROR(8-VLOOKUP(P457,'Dados de consulta'!$A$2:$C$38,3,0),8))</f>
        <v>8</v>
      </c>
      <c r="BN457" s="97">
        <f>IF(OR(AY457="SÁB",AY457="DOM"),0,IFERROR(8-VLOOKUP(Q457,'Dados de consulta'!$A$2:$C$38,3,0),8))</f>
        <v>8</v>
      </c>
      <c r="BO457" s="97">
        <f>IF(OR(AY457="SÁB",AY457="DOM"),0,IFERROR(8-VLOOKUP(R457,'Dados de consulta'!$A$2:$C$38,3,0),8))</f>
        <v>8</v>
      </c>
      <c r="BP457" s="97">
        <f>IF(OR(AY457="SÁB",AY457="DOM"),0,IFERROR(8-VLOOKUP(S457,'Dados de consulta'!$A$2:$C$38,3,0),8))</f>
        <v>0</v>
      </c>
      <c r="BQ457" s="113">
        <f>IFERROR(6-VLOOKUP(T457,'Dados de consulta'!$A$2:$C$38,3,0)+2,6)</f>
        <v>6</v>
      </c>
      <c r="BR457" s="114">
        <f t="shared" si="206"/>
        <v>126</v>
      </c>
      <c r="BS457">
        <f t="shared" si="182"/>
        <v>134</v>
      </c>
      <c r="BU457">
        <f>IFERROR(8-VLOOKUP(U457,'Dados de consulta'!$A:$D,3,0),8)</f>
        <v>8</v>
      </c>
      <c r="BV457">
        <f>IFERROR(8-VLOOKUP(V457,'Dados de consulta'!$A:$D,3,0),8)</f>
        <v>8</v>
      </c>
      <c r="BW457">
        <f t="shared" si="207"/>
        <v>16</v>
      </c>
    </row>
    <row r="458" spans="1:75" ht="15" hidden="1" x14ac:dyDescent="0.2">
      <c r="A458" s="98">
        <v>42581</v>
      </c>
      <c r="B458" s="129" t="str">
        <f t="shared" si="184"/>
        <v>sáb</v>
      </c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>
        <v>101</v>
      </c>
      <c r="N458" s="132"/>
      <c r="O458" s="132"/>
      <c r="P458" s="132"/>
      <c r="Q458" s="132"/>
      <c r="R458" s="132"/>
      <c r="S458" s="132">
        <v>18</v>
      </c>
      <c r="T458" s="132"/>
      <c r="U458" s="151"/>
      <c r="V458" s="151"/>
      <c r="W458" s="307" t="s">
        <v>193</v>
      </c>
      <c r="X458" s="308"/>
      <c r="Y458" s="38">
        <f t="shared" si="185"/>
        <v>0</v>
      </c>
      <c r="Z458" s="38">
        <f t="shared" si="186"/>
        <v>8</v>
      </c>
      <c r="AA458" s="38">
        <f t="shared" si="183"/>
        <v>0</v>
      </c>
      <c r="AB458" s="38">
        <f t="shared" si="194"/>
        <v>0</v>
      </c>
      <c r="AC458" s="38">
        <f t="shared" si="195"/>
        <v>0</v>
      </c>
      <c r="AD458" s="38">
        <f t="shared" si="196"/>
        <v>0</v>
      </c>
      <c r="AE458" s="38">
        <f t="shared" si="197"/>
        <v>0</v>
      </c>
      <c r="AF458" s="38">
        <f t="shared" si="198"/>
        <v>0</v>
      </c>
      <c r="AG458" s="33">
        <f t="shared" si="199"/>
        <v>0</v>
      </c>
      <c r="AH458" s="33">
        <f t="shared" si="200"/>
        <v>0</v>
      </c>
      <c r="AI458" s="33">
        <f t="shared" si="201"/>
        <v>0</v>
      </c>
      <c r="AJ458" s="33">
        <f t="shared" si="202"/>
        <v>0</v>
      </c>
      <c r="AK458" s="34">
        <f t="shared" si="203"/>
        <v>0</v>
      </c>
      <c r="AL458" s="35">
        <f t="shared" si="204"/>
        <v>0</v>
      </c>
      <c r="AM458" s="34">
        <f t="shared" si="187"/>
        <v>0</v>
      </c>
      <c r="AN458" s="36">
        <f t="shared" si="205"/>
        <v>0</v>
      </c>
      <c r="AO458" s="6">
        <f t="shared" si="188"/>
        <v>0</v>
      </c>
      <c r="AP458">
        <f t="shared" si="189"/>
        <v>8</v>
      </c>
      <c r="AQ458" s="6">
        <f t="shared" si="190"/>
        <v>0</v>
      </c>
      <c r="AR458" s="6">
        <f t="shared" si="191"/>
        <v>0</v>
      </c>
      <c r="AS458" s="6"/>
      <c r="AX458" s="95">
        <f t="shared" si="192"/>
        <v>42581</v>
      </c>
      <c r="AY458" s="96" t="str">
        <f t="shared" si="193"/>
        <v>sáb</v>
      </c>
      <c r="AZ458" s="97">
        <f>IF(OR(AY458="SÁB",AY458="DOM"),0,IFERROR(8-VLOOKUP(C458,'Dados de consulta'!$A$2:$C$38,3,0),8))</f>
        <v>0</v>
      </c>
      <c r="BA458" s="97">
        <f>IF(OR(AY458="SÁB",AY458="DOM"),0,IFERROR(8-VLOOKUP(D458,'Dados de consulta'!$A$2:$C$38,3,0),8))</f>
        <v>0</v>
      </c>
      <c r="BB458" s="97">
        <f>IF(OR(AY458="SÁB",AY458="DOM"),0,IFERROR(8-VLOOKUP(E458,'Dados de consulta'!$A$2:$C$38,3,0),8))</f>
        <v>0</v>
      </c>
      <c r="BC458" s="97">
        <f>IF(OR(AY458="SÁB",AY458="DOM"),0,IFERROR(8-VLOOKUP(F458,'Dados de consulta'!$A$2:$C$38,3,0),8))</f>
        <v>0</v>
      </c>
      <c r="BD458" s="97">
        <f>IF(OR(AY458="SÁB",AY458="DOM"),0,IFERROR(8-VLOOKUP(G458,'Dados de consulta'!$A$2:$C$38,3,0),8))</f>
        <v>0</v>
      </c>
      <c r="BE458" s="97">
        <f>IF(OR(AY458="SÁB",AY458="DOM"),0,IFERROR(8-VLOOKUP(H458,'Dados de consulta'!$A$2:$C$38,3,0),8))</f>
        <v>0</v>
      </c>
      <c r="BF458" s="97">
        <f>IF(OR(AY458="SÁB",AY458="DOM"),0,IFERROR(8-VLOOKUP(I458,'Dados de consulta'!$A$2:$C$38,3,0),8))</f>
        <v>0</v>
      </c>
      <c r="BG458" s="97">
        <f>IF(OR(AY458="SÁB",AY458="DOM"),0,IFERROR(8-VLOOKUP(J458,'Dados de consulta'!$A$2:$C$38,3,0),8))</f>
        <v>0</v>
      </c>
      <c r="BH458" s="97">
        <f>IF(OR(AY458="SÁB",AY458="DOM"),0,IFERROR(8-VLOOKUP(K458,'Dados de consulta'!$A$2:$C$38,3,0),8))</f>
        <v>0</v>
      </c>
      <c r="BI458" s="97">
        <f>IF(OR(AY458="SÁB",AY458="DOM"),0,IFERROR(8-VLOOKUP(L458,'Dados de consulta'!$A$2:$C$38,3,0),8))</f>
        <v>0</v>
      </c>
      <c r="BJ458" s="97">
        <f>IF(OR(AY458="SÁB",AY458="DOM"),0,IFERROR(8-VLOOKUP(M458,'Dados de consulta'!$A$2:$C$38,3,0),8))</f>
        <v>0</v>
      </c>
      <c r="BK458" s="97">
        <f>IF(OR(AY458="SÁB",AY458="DOM"),0,IFERROR(8-VLOOKUP(N458,'Dados de consulta'!$A$2:$C$38,3,0),8))</f>
        <v>0</v>
      </c>
      <c r="BL458" s="97">
        <f>IF(OR(AY458="SÁB",AY458="DOM"),0,IFERROR(8-VLOOKUP(O458,'Dados de consulta'!$A$2:$C$38,3,0),8))</f>
        <v>0</v>
      </c>
      <c r="BM458" s="97">
        <f>IF(OR(AY458="SÁB",AY458="DOM"),0,IFERROR(8-VLOOKUP(P458,'Dados de consulta'!$A$2:$C$38,3,0),8))</f>
        <v>0</v>
      </c>
      <c r="BN458" s="97">
        <f>IF(OR(AY458="SÁB",AY458="DOM"),0,IFERROR(8-VLOOKUP(Q458,'Dados de consulta'!$A$2:$C$38,3,0),8))</f>
        <v>0</v>
      </c>
      <c r="BO458" s="97">
        <f>IF(OR(AY458="SÁB",AY458="DOM"),0,IFERROR(8-VLOOKUP(R458,'Dados de consulta'!$A$2:$C$38,3,0),8))</f>
        <v>0</v>
      </c>
      <c r="BP458" s="97">
        <f>IF(OR(AY458="SÁB",AY458="DOM"),0,IFERROR(8-VLOOKUP(S458,'Dados de consulta'!$A$2:$C$38,3,0),8))</f>
        <v>0</v>
      </c>
      <c r="BQ458" s="113">
        <f>IFERROR(6-VLOOKUP(T458,'Dados de consulta'!$A$2:$C$38,3,0)+2,6)</f>
        <v>6</v>
      </c>
      <c r="BR458" s="114">
        <f t="shared" si="206"/>
        <v>0</v>
      </c>
      <c r="BS458">
        <f t="shared" si="182"/>
        <v>0</v>
      </c>
      <c r="BU458">
        <f>IFERROR(8-VLOOKUP(U458,'Dados de consulta'!$A:$D,3,0),8)</f>
        <v>8</v>
      </c>
      <c r="BV458">
        <f>IFERROR(8-VLOOKUP(V458,'Dados de consulta'!$A:$D,3,0),8)</f>
        <v>8</v>
      </c>
      <c r="BW458">
        <f t="shared" si="207"/>
        <v>16</v>
      </c>
    </row>
    <row r="459" spans="1:75" ht="15" hidden="1" x14ac:dyDescent="0.2">
      <c r="A459" s="98">
        <v>42582</v>
      </c>
      <c r="B459" s="129" t="str">
        <f t="shared" si="184"/>
        <v>dom</v>
      </c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>
        <v>101</v>
      </c>
      <c r="N459" s="132"/>
      <c r="O459" s="132"/>
      <c r="P459" s="132"/>
      <c r="Q459" s="132"/>
      <c r="R459" s="132"/>
      <c r="S459" s="132">
        <v>18</v>
      </c>
      <c r="T459" s="132"/>
      <c r="U459" s="151"/>
      <c r="V459" s="151"/>
      <c r="W459" s="307" t="s">
        <v>193</v>
      </c>
      <c r="X459" s="308"/>
      <c r="Y459" s="38">
        <f t="shared" si="185"/>
        <v>0</v>
      </c>
      <c r="Z459" s="38">
        <f t="shared" si="186"/>
        <v>8</v>
      </c>
      <c r="AA459" s="38">
        <f t="shared" si="183"/>
        <v>0</v>
      </c>
      <c r="AB459" s="38">
        <f t="shared" si="194"/>
        <v>0</v>
      </c>
      <c r="AC459" s="38">
        <f t="shared" si="195"/>
        <v>0</v>
      </c>
      <c r="AD459" s="38">
        <f t="shared" si="196"/>
        <v>0</v>
      </c>
      <c r="AE459" s="38">
        <f t="shared" si="197"/>
        <v>0</v>
      </c>
      <c r="AF459" s="38">
        <f t="shared" si="198"/>
        <v>0</v>
      </c>
      <c r="AG459" s="33">
        <f t="shared" si="199"/>
        <v>0</v>
      </c>
      <c r="AH459" s="33">
        <f t="shared" si="200"/>
        <v>0</v>
      </c>
      <c r="AI459" s="33">
        <f t="shared" si="201"/>
        <v>0</v>
      </c>
      <c r="AJ459" s="33">
        <f t="shared" si="202"/>
        <v>0</v>
      </c>
      <c r="AK459" s="34">
        <f t="shared" si="203"/>
        <v>0</v>
      </c>
      <c r="AL459" s="35">
        <f t="shared" si="204"/>
        <v>0</v>
      </c>
      <c r="AM459" s="34">
        <f t="shared" si="187"/>
        <v>0</v>
      </c>
      <c r="AN459" s="36">
        <f t="shared" si="205"/>
        <v>0</v>
      </c>
      <c r="AO459" s="6">
        <f t="shared" si="188"/>
        <v>0</v>
      </c>
      <c r="AP459">
        <f t="shared" si="189"/>
        <v>8</v>
      </c>
      <c r="AQ459" s="6">
        <f t="shared" si="190"/>
        <v>0</v>
      </c>
      <c r="AR459" s="6">
        <f t="shared" si="191"/>
        <v>0</v>
      </c>
      <c r="AS459" s="6"/>
      <c r="AX459" s="95">
        <f t="shared" si="192"/>
        <v>42582</v>
      </c>
      <c r="AY459" s="96" t="str">
        <f t="shared" si="193"/>
        <v>dom</v>
      </c>
      <c r="AZ459" s="97">
        <f>IF(OR(AY459="SÁB",AY459="DOM"),0,IFERROR(8-VLOOKUP(C459,'Dados de consulta'!$A$2:$C$38,3,0),8))</f>
        <v>0</v>
      </c>
      <c r="BA459" s="97">
        <f>IF(OR(AY459="SÁB",AY459="DOM"),0,IFERROR(8-VLOOKUP(D459,'Dados de consulta'!$A$2:$C$38,3,0),8))</f>
        <v>0</v>
      </c>
      <c r="BB459" s="97">
        <f>IF(OR(AY459="SÁB",AY459="DOM"),0,IFERROR(8-VLOOKUP(E459,'Dados de consulta'!$A$2:$C$38,3,0),8))</f>
        <v>0</v>
      </c>
      <c r="BC459" s="97">
        <f>IF(OR(AY459="SÁB",AY459="DOM"),0,IFERROR(8-VLOOKUP(F459,'Dados de consulta'!$A$2:$C$38,3,0),8))</f>
        <v>0</v>
      </c>
      <c r="BD459" s="97">
        <f>IF(OR(AY459="SÁB",AY459="DOM"),0,IFERROR(8-VLOOKUP(G459,'Dados de consulta'!$A$2:$C$38,3,0),8))</f>
        <v>0</v>
      </c>
      <c r="BE459" s="97">
        <f>IF(OR(AY459="SÁB",AY459="DOM"),0,IFERROR(8-VLOOKUP(H459,'Dados de consulta'!$A$2:$C$38,3,0),8))</f>
        <v>0</v>
      </c>
      <c r="BF459" s="97">
        <f>IF(OR(AY459="SÁB",AY459="DOM"),0,IFERROR(8-VLOOKUP(I459,'Dados de consulta'!$A$2:$C$38,3,0),8))</f>
        <v>0</v>
      </c>
      <c r="BG459" s="97">
        <f>IF(OR(AY459="SÁB",AY459="DOM"),0,IFERROR(8-VLOOKUP(J459,'Dados de consulta'!$A$2:$C$38,3,0),8))</f>
        <v>0</v>
      </c>
      <c r="BH459" s="97">
        <f>IF(OR(AY459="SÁB",AY459="DOM"),0,IFERROR(8-VLOOKUP(K459,'Dados de consulta'!$A$2:$C$38,3,0),8))</f>
        <v>0</v>
      </c>
      <c r="BI459" s="97">
        <f>IF(OR(AY459="SÁB",AY459="DOM"),0,IFERROR(8-VLOOKUP(L459,'Dados de consulta'!$A$2:$C$38,3,0),8))</f>
        <v>0</v>
      </c>
      <c r="BJ459" s="97">
        <f>IF(OR(AY459="SÁB",AY459="DOM"),0,IFERROR(8-VLOOKUP(M459,'Dados de consulta'!$A$2:$C$38,3,0),8))</f>
        <v>0</v>
      </c>
      <c r="BK459" s="97">
        <f>IF(OR(AY459="SÁB",AY459="DOM"),0,IFERROR(8-VLOOKUP(N459,'Dados de consulta'!$A$2:$C$38,3,0),8))</f>
        <v>0</v>
      </c>
      <c r="BL459" s="97">
        <f>IF(OR(AY459="SÁB",AY459="DOM"),0,IFERROR(8-VLOOKUP(O459,'Dados de consulta'!$A$2:$C$38,3,0),8))</f>
        <v>0</v>
      </c>
      <c r="BM459" s="97">
        <f>IF(OR(AY459="SÁB",AY459="DOM"),0,IFERROR(8-VLOOKUP(P459,'Dados de consulta'!$A$2:$C$38,3,0),8))</f>
        <v>0</v>
      </c>
      <c r="BN459" s="97">
        <f>IF(OR(AY459="SÁB",AY459="DOM"),0,IFERROR(8-VLOOKUP(Q459,'Dados de consulta'!$A$2:$C$38,3,0),8))</f>
        <v>0</v>
      </c>
      <c r="BO459" s="97">
        <f>IF(OR(AY459="SÁB",AY459="DOM"),0,IFERROR(8-VLOOKUP(R459,'Dados de consulta'!$A$2:$C$38,3,0),8))</f>
        <v>0</v>
      </c>
      <c r="BP459" s="97">
        <f>IF(OR(AY459="SÁB",AY459="DOM"),0,IFERROR(8-VLOOKUP(S459,'Dados de consulta'!$A$2:$C$38,3,0),8))</f>
        <v>0</v>
      </c>
      <c r="BQ459" s="113">
        <f>IFERROR(6-VLOOKUP(T459,'Dados de consulta'!$A$2:$C$38,3,0)+2,6)</f>
        <v>6</v>
      </c>
      <c r="BR459" s="114">
        <f t="shared" si="206"/>
        <v>0</v>
      </c>
      <c r="BS459">
        <f t="shared" si="182"/>
        <v>0</v>
      </c>
      <c r="BU459">
        <f>IFERROR(8-VLOOKUP(U459,'Dados de consulta'!$A:$D,3,0),8)</f>
        <v>8</v>
      </c>
      <c r="BV459">
        <f>IFERROR(8-VLOOKUP(V459,'Dados de consulta'!$A:$D,3,0),8)</f>
        <v>8</v>
      </c>
      <c r="BW459">
        <f t="shared" si="207"/>
        <v>16</v>
      </c>
    </row>
    <row r="460" spans="1:75" ht="15" hidden="1" x14ac:dyDescent="0.2">
      <c r="A460" s="98">
        <v>42583</v>
      </c>
      <c r="B460" s="129" t="str">
        <f t="shared" si="184"/>
        <v>seg</v>
      </c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>
        <v>101</v>
      </c>
      <c r="N460" s="132"/>
      <c r="O460" s="132"/>
      <c r="P460" s="132"/>
      <c r="Q460" s="132"/>
      <c r="R460" s="132"/>
      <c r="S460" s="132">
        <v>18</v>
      </c>
      <c r="T460" s="132"/>
      <c r="U460" s="151"/>
      <c r="V460" s="151"/>
      <c r="W460" s="307" t="s">
        <v>193</v>
      </c>
      <c r="X460" s="308"/>
      <c r="Y460" s="38">
        <f t="shared" si="185"/>
        <v>0</v>
      </c>
      <c r="Z460" s="38">
        <f t="shared" si="186"/>
        <v>8</v>
      </c>
      <c r="AA460" s="38">
        <f t="shared" si="183"/>
        <v>0</v>
      </c>
      <c r="AB460" s="38">
        <f t="shared" si="194"/>
        <v>0</v>
      </c>
      <c r="AC460" s="38">
        <f t="shared" si="195"/>
        <v>0</v>
      </c>
      <c r="AD460" s="38">
        <f t="shared" si="196"/>
        <v>0</v>
      </c>
      <c r="AE460" s="38">
        <f t="shared" si="197"/>
        <v>0</v>
      </c>
      <c r="AF460" s="38">
        <f t="shared" si="198"/>
        <v>0</v>
      </c>
      <c r="AG460" s="33">
        <f t="shared" si="199"/>
        <v>0</v>
      </c>
      <c r="AH460" s="33">
        <f t="shared" si="200"/>
        <v>8</v>
      </c>
      <c r="AI460" s="33">
        <f t="shared" si="201"/>
        <v>0</v>
      </c>
      <c r="AJ460" s="33">
        <f t="shared" si="202"/>
        <v>0</v>
      </c>
      <c r="AK460" s="34">
        <f t="shared" si="203"/>
        <v>0</v>
      </c>
      <c r="AL460" s="35">
        <f t="shared" si="204"/>
        <v>5.6338028169014086E-2</v>
      </c>
      <c r="AM460" s="34">
        <f t="shared" si="187"/>
        <v>0</v>
      </c>
      <c r="AN460" s="36">
        <f t="shared" si="205"/>
        <v>0</v>
      </c>
      <c r="AO460" s="6">
        <f t="shared" si="188"/>
        <v>0</v>
      </c>
      <c r="AP460">
        <f t="shared" si="189"/>
        <v>8</v>
      </c>
      <c r="AQ460" s="6">
        <f t="shared" si="190"/>
        <v>0</v>
      </c>
      <c r="AR460" s="6">
        <f t="shared" si="191"/>
        <v>0</v>
      </c>
      <c r="AS460" s="6"/>
      <c r="AX460" s="95">
        <f t="shared" si="192"/>
        <v>42583</v>
      </c>
      <c r="AY460" s="96" t="str">
        <f t="shared" si="193"/>
        <v>seg</v>
      </c>
      <c r="AZ460" s="97">
        <f>IF(OR(AY460="SÁB",AY460="DOM"),0,IFERROR(8-VLOOKUP(C460,'Dados de consulta'!$A$2:$C$38,3,0),8))</f>
        <v>8</v>
      </c>
      <c r="BA460" s="97">
        <f>IF(OR(AY460="SÁB",AY460="DOM"),0,IFERROR(8-VLOOKUP(D460,'Dados de consulta'!$A$2:$C$38,3,0),8))</f>
        <v>8</v>
      </c>
      <c r="BB460" s="97">
        <f>IF(OR(AY460="SÁB",AY460="DOM"),0,IFERROR(8-VLOOKUP(E460,'Dados de consulta'!$A$2:$C$38,3,0),8))</f>
        <v>8</v>
      </c>
      <c r="BC460" s="97">
        <f>IF(OR(AY460="SÁB",AY460="DOM"),0,IFERROR(8-VLOOKUP(F460,'Dados de consulta'!$A$2:$C$38,3,0),8))</f>
        <v>8</v>
      </c>
      <c r="BD460" s="97">
        <f>IF(OR(AY460="SÁB",AY460="DOM"),0,IFERROR(8-VLOOKUP(G460,'Dados de consulta'!$A$2:$C$38,3,0),8))</f>
        <v>8</v>
      </c>
      <c r="BE460" s="97">
        <f>IF(OR(AY460="SÁB",AY460="DOM"),0,IFERROR(8-VLOOKUP(H460,'Dados de consulta'!$A$2:$C$38,3,0),8))</f>
        <v>8</v>
      </c>
      <c r="BF460" s="97">
        <f>IF(OR(AY460="SÁB",AY460="DOM"),0,IFERROR(8-VLOOKUP(I460,'Dados de consulta'!$A$2:$C$38,3,0),8))</f>
        <v>8</v>
      </c>
      <c r="BG460" s="97">
        <f>IF(OR(AY460="SÁB",AY460="DOM"),0,IFERROR(8-VLOOKUP(J460,'Dados de consulta'!$A$2:$C$38,3,0),8))</f>
        <v>8</v>
      </c>
      <c r="BH460" s="97">
        <f>IF(OR(AY460="SÁB",AY460="DOM"),0,IFERROR(8-VLOOKUP(K460,'Dados de consulta'!$A$2:$C$38,3,0),8))</f>
        <v>8</v>
      </c>
      <c r="BI460" s="97">
        <f>IF(OR(AY460="SÁB",AY460="DOM"),0,IFERROR(8-VLOOKUP(L460,'Dados de consulta'!$A$2:$C$38,3,0),8))</f>
        <v>8</v>
      </c>
      <c r="BJ460" s="97">
        <f>IF(OR(AY460="SÁB",AY460="DOM"),0,IFERROR(8-VLOOKUP(M460,'Dados de consulta'!$A$2:$C$38,3,0),8))</f>
        <v>0</v>
      </c>
      <c r="BK460" s="97">
        <f>IF(OR(AY460="SÁB",AY460="DOM"),0,IFERROR(8-VLOOKUP(N460,'Dados de consulta'!$A$2:$C$38,3,0),8))</f>
        <v>8</v>
      </c>
      <c r="BL460" s="97">
        <f>IF(OR(AY460="SÁB",AY460="DOM"),0,IFERROR(8-VLOOKUP(O460,'Dados de consulta'!$A$2:$C$38,3,0),8))</f>
        <v>8</v>
      </c>
      <c r="BM460" s="97">
        <f>IF(OR(AY460="SÁB",AY460="DOM"),0,IFERROR(8-VLOOKUP(P460,'Dados de consulta'!$A$2:$C$38,3,0),8))</f>
        <v>8</v>
      </c>
      <c r="BN460" s="97">
        <f>IF(OR(AY460="SÁB",AY460="DOM"),0,IFERROR(8-VLOOKUP(Q460,'Dados de consulta'!$A$2:$C$38,3,0),8))</f>
        <v>8</v>
      </c>
      <c r="BO460" s="97">
        <f>IF(OR(AY460="SÁB",AY460="DOM"),0,IFERROR(8-VLOOKUP(R460,'Dados de consulta'!$A$2:$C$38,3,0),8))</f>
        <v>8</v>
      </c>
      <c r="BP460" s="97">
        <f>IF(OR(AY460="SÁB",AY460="DOM"),0,IFERROR(8-VLOOKUP(S460,'Dados de consulta'!$A$2:$C$38,3,0),8))</f>
        <v>0</v>
      </c>
      <c r="BQ460" s="113">
        <f>IFERROR(6-VLOOKUP(T460,'Dados de consulta'!$A$2:$C$38,3,0)+2,6)</f>
        <v>6</v>
      </c>
      <c r="BR460" s="114">
        <f t="shared" si="206"/>
        <v>126</v>
      </c>
      <c r="BS460">
        <f t="shared" si="182"/>
        <v>134</v>
      </c>
      <c r="BU460">
        <f>IFERROR(8-VLOOKUP(U460,'Dados de consulta'!$A:$D,3,0),8)</f>
        <v>8</v>
      </c>
      <c r="BV460">
        <f>IFERROR(8-VLOOKUP(V460,'Dados de consulta'!$A:$D,3,0),8)</f>
        <v>8</v>
      </c>
      <c r="BW460">
        <f t="shared" si="207"/>
        <v>16</v>
      </c>
    </row>
    <row r="461" spans="1:75" ht="15" hidden="1" x14ac:dyDescent="0.2">
      <c r="A461" s="98">
        <v>42584</v>
      </c>
      <c r="B461" s="129" t="str">
        <f t="shared" si="184"/>
        <v>ter</v>
      </c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>
        <v>101</v>
      </c>
      <c r="N461" s="132"/>
      <c r="O461" s="132"/>
      <c r="P461" s="132"/>
      <c r="Q461" s="132"/>
      <c r="R461" s="132"/>
      <c r="S461" s="132">
        <v>18</v>
      </c>
      <c r="T461" s="132"/>
      <c r="U461" s="151"/>
      <c r="V461" s="151"/>
      <c r="W461" s="307" t="s">
        <v>193</v>
      </c>
      <c r="X461" s="308"/>
      <c r="Y461" s="38">
        <f t="shared" si="185"/>
        <v>0</v>
      </c>
      <c r="Z461" s="38">
        <f t="shared" si="186"/>
        <v>8</v>
      </c>
      <c r="AA461" s="38">
        <f t="shared" si="183"/>
        <v>0</v>
      </c>
      <c r="AB461" s="38">
        <f t="shared" si="194"/>
        <v>0</v>
      </c>
      <c r="AC461" s="38">
        <f t="shared" si="195"/>
        <v>0</v>
      </c>
      <c r="AD461" s="38">
        <f t="shared" si="196"/>
        <v>0</v>
      </c>
      <c r="AE461" s="38">
        <f t="shared" si="197"/>
        <v>0</v>
      </c>
      <c r="AF461" s="38">
        <f t="shared" si="198"/>
        <v>0</v>
      </c>
      <c r="AG461" s="33">
        <f t="shared" si="199"/>
        <v>0</v>
      </c>
      <c r="AH461" s="33">
        <f t="shared" si="200"/>
        <v>8</v>
      </c>
      <c r="AI461" s="33">
        <f t="shared" si="201"/>
        <v>0</v>
      </c>
      <c r="AJ461" s="33">
        <f t="shared" si="202"/>
        <v>0</v>
      </c>
      <c r="AK461" s="34">
        <f t="shared" si="203"/>
        <v>0</v>
      </c>
      <c r="AL461" s="35">
        <f t="shared" si="204"/>
        <v>5.6338028169014086E-2</v>
      </c>
      <c r="AM461" s="34">
        <f t="shared" si="187"/>
        <v>0</v>
      </c>
      <c r="AN461" s="36">
        <f t="shared" si="205"/>
        <v>0</v>
      </c>
      <c r="AO461" s="6">
        <f t="shared" si="188"/>
        <v>0</v>
      </c>
      <c r="AP461">
        <f t="shared" si="189"/>
        <v>8</v>
      </c>
      <c r="AQ461" s="6">
        <f t="shared" si="190"/>
        <v>0</v>
      </c>
      <c r="AR461" s="6">
        <f t="shared" si="191"/>
        <v>0</v>
      </c>
      <c r="AS461" s="6"/>
      <c r="AX461" s="95">
        <f t="shared" si="192"/>
        <v>42584</v>
      </c>
      <c r="AY461" s="96" t="str">
        <f t="shared" si="193"/>
        <v>ter</v>
      </c>
      <c r="AZ461" s="97">
        <f>IF(OR(AY461="SÁB",AY461="DOM"),0,IFERROR(8-VLOOKUP(C461,'Dados de consulta'!$A$2:$C$38,3,0),8))</f>
        <v>8</v>
      </c>
      <c r="BA461" s="97">
        <f>IF(OR(AY461="SÁB",AY461="DOM"),0,IFERROR(8-VLOOKUP(D461,'Dados de consulta'!$A$2:$C$38,3,0),8))</f>
        <v>8</v>
      </c>
      <c r="BB461" s="97">
        <f>IF(OR(AY461="SÁB",AY461="DOM"),0,IFERROR(8-VLOOKUP(E461,'Dados de consulta'!$A$2:$C$38,3,0),8))</f>
        <v>8</v>
      </c>
      <c r="BC461" s="97">
        <f>IF(OR(AY461="SÁB",AY461="DOM"),0,IFERROR(8-VLOOKUP(F461,'Dados de consulta'!$A$2:$C$38,3,0),8))</f>
        <v>8</v>
      </c>
      <c r="BD461" s="97">
        <f>IF(OR(AY461="SÁB",AY461="DOM"),0,IFERROR(8-VLOOKUP(G461,'Dados de consulta'!$A$2:$C$38,3,0),8))</f>
        <v>8</v>
      </c>
      <c r="BE461" s="97">
        <f>IF(OR(AY461="SÁB",AY461="DOM"),0,IFERROR(8-VLOOKUP(H461,'Dados de consulta'!$A$2:$C$38,3,0),8))</f>
        <v>8</v>
      </c>
      <c r="BF461" s="97">
        <f>IF(OR(AY461="SÁB",AY461="DOM"),0,IFERROR(8-VLOOKUP(I461,'Dados de consulta'!$A$2:$C$38,3,0),8))</f>
        <v>8</v>
      </c>
      <c r="BG461" s="97">
        <f>IF(OR(AY461="SÁB",AY461="DOM"),0,IFERROR(8-VLOOKUP(J461,'Dados de consulta'!$A$2:$C$38,3,0),8))</f>
        <v>8</v>
      </c>
      <c r="BH461" s="97">
        <f>IF(OR(AY461="SÁB",AY461="DOM"),0,IFERROR(8-VLOOKUP(K461,'Dados de consulta'!$A$2:$C$38,3,0),8))</f>
        <v>8</v>
      </c>
      <c r="BI461" s="97">
        <f>IF(OR(AY461="SÁB",AY461="DOM"),0,IFERROR(8-VLOOKUP(L461,'Dados de consulta'!$A$2:$C$38,3,0),8))</f>
        <v>8</v>
      </c>
      <c r="BJ461" s="97">
        <f>IF(OR(AY461="SÁB",AY461="DOM"),0,IFERROR(8-VLOOKUP(M461,'Dados de consulta'!$A$2:$C$38,3,0),8))</f>
        <v>0</v>
      </c>
      <c r="BK461" s="97">
        <f>IF(OR(AY461="SÁB",AY461="DOM"),0,IFERROR(8-VLOOKUP(N461,'Dados de consulta'!$A$2:$C$38,3,0),8))</f>
        <v>8</v>
      </c>
      <c r="BL461" s="97">
        <f>IF(OR(AY461="SÁB",AY461="DOM"),0,IFERROR(8-VLOOKUP(O461,'Dados de consulta'!$A$2:$C$38,3,0),8))</f>
        <v>8</v>
      </c>
      <c r="BM461" s="97">
        <f>IF(OR(AY461="SÁB",AY461="DOM"),0,IFERROR(8-VLOOKUP(P461,'Dados de consulta'!$A$2:$C$38,3,0),8))</f>
        <v>8</v>
      </c>
      <c r="BN461" s="97">
        <f>IF(OR(AY461="SÁB",AY461="DOM"),0,IFERROR(8-VLOOKUP(Q461,'Dados de consulta'!$A$2:$C$38,3,0),8))</f>
        <v>8</v>
      </c>
      <c r="BO461" s="97">
        <f>IF(OR(AY461="SÁB",AY461="DOM"),0,IFERROR(8-VLOOKUP(R461,'Dados de consulta'!$A$2:$C$38,3,0),8))</f>
        <v>8</v>
      </c>
      <c r="BP461" s="97">
        <f>IF(OR(AY461="SÁB",AY461="DOM"),0,IFERROR(8-VLOOKUP(S461,'Dados de consulta'!$A$2:$C$38,3,0),8))</f>
        <v>0</v>
      </c>
      <c r="BQ461" s="113">
        <f>IFERROR(6-VLOOKUP(T461,'Dados de consulta'!$A$2:$C$38,3,0)+2,6)</f>
        <v>6</v>
      </c>
      <c r="BR461" s="114">
        <f t="shared" si="206"/>
        <v>126</v>
      </c>
      <c r="BS461">
        <f t="shared" si="182"/>
        <v>134</v>
      </c>
      <c r="BU461">
        <f>IFERROR(8-VLOOKUP(U461,'Dados de consulta'!$A:$D,3,0),8)</f>
        <v>8</v>
      </c>
      <c r="BV461">
        <f>IFERROR(8-VLOOKUP(V461,'Dados de consulta'!$A:$D,3,0),8)</f>
        <v>8</v>
      </c>
      <c r="BW461">
        <f t="shared" si="207"/>
        <v>16</v>
      </c>
    </row>
    <row r="462" spans="1:75" ht="15" hidden="1" x14ac:dyDescent="0.2">
      <c r="A462" s="98">
        <v>42585</v>
      </c>
      <c r="B462" s="129" t="str">
        <f t="shared" si="184"/>
        <v>qua</v>
      </c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>
        <v>101</v>
      </c>
      <c r="N462" s="132"/>
      <c r="O462" s="132"/>
      <c r="P462" s="132"/>
      <c r="Q462" s="132"/>
      <c r="R462" s="132"/>
      <c r="S462" s="132">
        <v>18</v>
      </c>
      <c r="T462" s="132"/>
      <c r="U462" s="151"/>
      <c r="V462" s="151"/>
      <c r="W462" s="307" t="s">
        <v>193</v>
      </c>
      <c r="X462" s="308"/>
      <c r="Y462" s="38">
        <f t="shared" si="185"/>
        <v>0</v>
      </c>
      <c r="Z462" s="38">
        <f t="shared" si="186"/>
        <v>8</v>
      </c>
      <c r="AA462" s="38">
        <f t="shared" si="183"/>
        <v>0</v>
      </c>
      <c r="AB462" s="38">
        <f t="shared" si="194"/>
        <v>0</v>
      </c>
      <c r="AC462" s="38">
        <f t="shared" si="195"/>
        <v>0</v>
      </c>
      <c r="AD462" s="38">
        <f t="shared" si="196"/>
        <v>0</v>
      </c>
      <c r="AE462" s="38">
        <f t="shared" si="197"/>
        <v>0</v>
      </c>
      <c r="AF462" s="38">
        <f t="shared" si="198"/>
        <v>0</v>
      </c>
      <c r="AG462" s="33">
        <f t="shared" si="199"/>
        <v>0</v>
      </c>
      <c r="AH462" s="33">
        <f t="shared" si="200"/>
        <v>8</v>
      </c>
      <c r="AI462" s="33">
        <f t="shared" si="201"/>
        <v>0</v>
      </c>
      <c r="AJ462" s="33">
        <f t="shared" si="202"/>
        <v>0</v>
      </c>
      <c r="AK462" s="34">
        <f t="shared" si="203"/>
        <v>0</v>
      </c>
      <c r="AL462" s="35">
        <f t="shared" si="204"/>
        <v>5.6338028169014086E-2</v>
      </c>
      <c r="AM462" s="34">
        <f t="shared" si="187"/>
        <v>0</v>
      </c>
      <c r="AN462" s="36">
        <f t="shared" si="205"/>
        <v>0</v>
      </c>
      <c r="AO462" s="6">
        <f t="shared" si="188"/>
        <v>0</v>
      </c>
      <c r="AP462">
        <f t="shared" si="189"/>
        <v>8</v>
      </c>
      <c r="AQ462" s="6">
        <f t="shared" si="190"/>
        <v>0</v>
      </c>
      <c r="AR462" s="6">
        <f t="shared" si="191"/>
        <v>0</v>
      </c>
      <c r="AS462" s="6"/>
      <c r="AX462" s="95">
        <f t="shared" si="192"/>
        <v>42585</v>
      </c>
      <c r="AY462" s="96" t="str">
        <f t="shared" si="193"/>
        <v>qua</v>
      </c>
      <c r="AZ462" s="97">
        <f>IF(OR(AY462="SÁB",AY462="DOM"),0,IFERROR(8-VLOOKUP(C462,'Dados de consulta'!$A$2:$C$38,3,0),8))</f>
        <v>8</v>
      </c>
      <c r="BA462" s="97">
        <f>IF(OR(AY462="SÁB",AY462="DOM"),0,IFERROR(8-VLOOKUP(D462,'Dados de consulta'!$A$2:$C$38,3,0),8))</f>
        <v>8</v>
      </c>
      <c r="BB462" s="97">
        <f>IF(OR(AY462="SÁB",AY462="DOM"),0,IFERROR(8-VLOOKUP(E462,'Dados de consulta'!$A$2:$C$38,3,0),8))</f>
        <v>8</v>
      </c>
      <c r="BC462" s="97">
        <f>IF(OR(AY462="SÁB",AY462="DOM"),0,IFERROR(8-VLOOKUP(F462,'Dados de consulta'!$A$2:$C$38,3,0),8))</f>
        <v>8</v>
      </c>
      <c r="BD462" s="97">
        <f>IF(OR(AY462="SÁB",AY462="DOM"),0,IFERROR(8-VLOOKUP(G462,'Dados de consulta'!$A$2:$C$38,3,0),8))</f>
        <v>8</v>
      </c>
      <c r="BE462" s="97">
        <f>IF(OR(AY462="SÁB",AY462="DOM"),0,IFERROR(8-VLOOKUP(H462,'Dados de consulta'!$A$2:$C$38,3,0),8))</f>
        <v>8</v>
      </c>
      <c r="BF462" s="97">
        <f>IF(OR(AY462="SÁB",AY462="DOM"),0,IFERROR(8-VLOOKUP(I462,'Dados de consulta'!$A$2:$C$38,3,0),8))</f>
        <v>8</v>
      </c>
      <c r="BG462" s="97">
        <f>IF(OR(AY462="SÁB",AY462="DOM"),0,IFERROR(8-VLOOKUP(J462,'Dados de consulta'!$A$2:$C$38,3,0),8))</f>
        <v>8</v>
      </c>
      <c r="BH462" s="97">
        <f>IF(OR(AY462="SÁB",AY462="DOM"),0,IFERROR(8-VLOOKUP(K462,'Dados de consulta'!$A$2:$C$38,3,0),8))</f>
        <v>8</v>
      </c>
      <c r="BI462" s="97">
        <f>IF(OR(AY462="SÁB",AY462="DOM"),0,IFERROR(8-VLOOKUP(L462,'Dados de consulta'!$A$2:$C$38,3,0),8))</f>
        <v>8</v>
      </c>
      <c r="BJ462" s="97">
        <f>IF(OR(AY462="SÁB",AY462="DOM"),0,IFERROR(8-VLOOKUP(M462,'Dados de consulta'!$A$2:$C$38,3,0),8))</f>
        <v>0</v>
      </c>
      <c r="BK462" s="97">
        <f>IF(OR(AY462="SÁB",AY462="DOM"),0,IFERROR(8-VLOOKUP(N462,'Dados de consulta'!$A$2:$C$38,3,0),8))</f>
        <v>8</v>
      </c>
      <c r="BL462" s="97">
        <f>IF(OR(AY462="SÁB",AY462="DOM"),0,IFERROR(8-VLOOKUP(O462,'Dados de consulta'!$A$2:$C$38,3,0),8))</f>
        <v>8</v>
      </c>
      <c r="BM462" s="97">
        <f>IF(OR(AY462="SÁB",AY462="DOM"),0,IFERROR(8-VLOOKUP(P462,'Dados de consulta'!$A$2:$C$38,3,0),8))</f>
        <v>8</v>
      </c>
      <c r="BN462" s="97">
        <f>IF(OR(AY462="SÁB",AY462="DOM"),0,IFERROR(8-VLOOKUP(Q462,'Dados de consulta'!$A$2:$C$38,3,0),8))</f>
        <v>8</v>
      </c>
      <c r="BO462" s="97">
        <f>IF(OR(AY462="SÁB",AY462="DOM"),0,IFERROR(8-VLOOKUP(R462,'Dados de consulta'!$A$2:$C$38,3,0),8))</f>
        <v>8</v>
      </c>
      <c r="BP462" s="97">
        <f>IF(OR(AY462="SÁB",AY462="DOM"),0,IFERROR(8-VLOOKUP(S462,'Dados de consulta'!$A$2:$C$38,3,0),8))</f>
        <v>0</v>
      </c>
      <c r="BQ462" s="113">
        <f>IFERROR(6-VLOOKUP(T462,'Dados de consulta'!$A$2:$C$38,3,0)+2,6)</f>
        <v>6</v>
      </c>
      <c r="BR462" s="114">
        <f t="shared" si="206"/>
        <v>126</v>
      </c>
      <c r="BS462">
        <f t="shared" si="182"/>
        <v>134</v>
      </c>
      <c r="BU462">
        <f>IFERROR(8-VLOOKUP(U462,'Dados de consulta'!$A:$D,3,0),8)</f>
        <v>8</v>
      </c>
      <c r="BV462">
        <f>IFERROR(8-VLOOKUP(V462,'Dados de consulta'!$A:$D,3,0),8)</f>
        <v>8</v>
      </c>
      <c r="BW462">
        <f t="shared" si="207"/>
        <v>16</v>
      </c>
    </row>
    <row r="463" spans="1:75" ht="15" hidden="1" x14ac:dyDescent="0.2">
      <c r="A463" s="98">
        <v>42586</v>
      </c>
      <c r="B463" s="129" t="str">
        <f t="shared" si="184"/>
        <v>qui</v>
      </c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>
        <v>101</v>
      </c>
      <c r="N463" s="132"/>
      <c r="O463" s="132"/>
      <c r="P463" s="132"/>
      <c r="Q463" s="132"/>
      <c r="R463" s="132"/>
      <c r="S463" s="132">
        <v>18</v>
      </c>
      <c r="T463" s="132"/>
      <c r="U463" s="151"/>
      <c r="V463" s="151"/>
      <c r="W463" s="307" t="s">
        <v>193</v>
      </c>
      <c r="X463" s="308"/>
      <c r="Y463" s="38">
        <f t="shared" si="185"/>
        <v>0</v>
      </c>
      <c r="Z463" s="38">
        <f t="shared" si="186"/>
        <v>8</v>
      </c>
      <c r="AA463" s="38">
        <f t="shared" si="183"/>
        <v>0</v>
      </c>
      <c r="AB463" s="38">
        <f t="shared" si="194"/>
        <v>0</v>
      </c>
      <c r="AC463" s="38">
        <f t="shared" si="195"/>
        <v>0</v>
      </c>
      <c r="AD463" s="38">
        <f t="shared" si="196"/>
        <v>0</v>
      </c>
      <c r="AE463" s="38">
        <f t="shared" si="197"/>
        <v>0</v>
      </c>
      <c r="AF463" s="38">
        <f t="shared" si="198"/>
        <v>0</v>
      </c>
      <c r="AG463" s="33">
        <f t="shared" si="199"/>
        <v>0</v>
      </c>
      <c r="AH463" s="33">
        <f t="shared" si="200"/>
        <v>8</v>
      </c>
      <c r="AI463" s="33">
        <f t="shared" si="201"/>
        <v>0</v>
      </c>
      <c r="AJ463" s="33">
        <f t="shared" si="202"/>
        <v>0</v>
      </c>
      <c r="AK463" s="34">
        <f t="shared" si="203"/>
        <v>0</v>
      </c>
      <c r="AL463" s="35">
        <f t="shared" si="204"/>
        <v>5.6338028169014086E-2</v>
      </c>
      <c r="AM463" s="34">
        <f t="shared" si="187"/>
        <v>0</v>
      </c>
      <c r="AN463" s="36">
        <f t="shared" si="205"/>
        <v>0</v>
      </c>
      <c r="AO463" s="6">
        <f t="shared" si="188"/>
        <v>0</v>
      </c>
      <c r="AP463">
        <f t="shared" si="189"/>
        <v>8</v>
      </c>
      <c r="AQ463" s="6">
        <f t="shared" si="190"/>
        <v>0</v>
      </c>
      <c r="AR463" s="6">
        <f t="shared" si="191"/>
        <v>0</v>
      </c>
      <c r="AS463" s="6"/>
      <c r="AX463" s="95">
        <f t="shared" si="192"/>
        <v>42586</v>
      </c>
      <c r="AY463" s="96" t="str">
        <f t="shared" si="193"/>
        <v>qui</v>
      </c>
      <c r="AZ463" s="97">
        <f>IF(OR(AY463="SÁB",AY463="DOM"),0,IFERROR(8-VLOOKUP(C463,'Dados de consulta'!$A$2:$C$38,3,0),8))</f>
        <v>8</v>
      </c>
      <c r="BA463" s="97">
        <f>IF(OR(AY463="SÁB",AY463="DOM"),0,IFERROR(8-VLOOKUP(D463,'Dados de consulta'!$A$2:$C$38,3,0),8))</f>
        <v>8</v>
      </c>
      <c r="BB463" s="97">
        <f>IF(OR(AY463="SÁB",AY463="DOM"),0,IFERROR(8-VLOOKUP(E463,'Dados de consulta'!$A$2:$C$38,3,0),8))</f>
        <v>8</v>
      </c>
      <c r="BC463" s="97">
        <f>IF(OR(AY463="SÁB",AY463="DOM"),0,IFERROR(8-VLOOKUP(F463,'Dados de consulta'!$A$2:$C$38,3,0),8))</f>
        <v>8</v>
      </c>
      <c r="BD463" s="97">
        <f>IF(OR(AY463="SÁB",AY463="DOM"),0,IFERROR(8-VLOOKUP(G463,'Dados de consulta'!$A$2:$C$38,3,0),8))</f>
        <v>8</v>
      </c>
      <c r="BE463" s="97">
        <f>IF(OR(AY463="SÁB",AY463="DOM"),0,IFERROR(8-VLOOKUP(H463,'Dados de consulta'!$A$2:$C$38,3,0),8))</f>
        <v>8</v>
      </c>
      <c r="BF463" s="97">
        <f>IF(OR(AY463="SÁB",AY463="DOM"),0,IFERROR(8-VLOOKUP(I463,'Dados de consulta'!$A$2:$C$38,3,0),8))</f>
        <v>8</v>
      </c>
      <c r="BG463" s="97">
        <f>IF(OR(AY463="SÁB",AY463="DOM"),0,IFERROR(8-VLOOKUP(J463,'Dados de consulta'!$A$2:$C$38,3,0),8))</f>
        <v>8</v>
      </c>
      <c r="BH463" s="97">
        <f>IF(OR(AY463="SÁB",AY463="DOM"),0,IFERROR(8-VLOOKUP(K463,'Dados de consulta'!$A$2:$C$38,3,0),8))</f>
        <v>8</v>
      </c>
      <c r="BI463" s="97">
        <f>IF(OR(AY463="SÁB",AY463="DOM"),0,IFERROR(8-VLOOKUP(L463,'Dados de consulta'!$A$2:$C$38,3,0),8))</f>
        <v>8</v>
      </c>
      <c r="BJ463" s="97">
        <f>IF(OR(AY463="SÁB",AY463="DOM"),0,IFERROR(8-VLOOKUP(M463,'Dados de consulta'!$A$2:$C$38,3,0),8))</f>
        <v>0</v>
      </c>
      <c r="BK463" s="97">
        <f>IF(OR(AY463="SÁB",AY463="DOM"),0,IFERROR(8-VLOOKUP(N463,'Dados de consulta'!$A$2:$C$38,3,0),8))</f>
        <v>8</v>
      </c>
      <c r="BL463" s="97">
        <f>IF(OR(AY463="SÁB",AY463="DOM"),0,IFERROR(8-VLOOKUP(O463,'Dados de consulta'!$A$2:$C$38,3,0),8))</f>
        <v>8</v>
      </c>
      <c r="BM463" s="97">
        <f>IF(OR(AY463="SÁB",AY463="DOM"),0,IFERROR(8-VLOOKUP(P463,'Dados de consulta'!$A$2:$C$38,3,0),8))</f>
        <v>8</v>
      </c>
      <c r="BN463" s="97">
        <f>IF(OR(AY463="SÁB",AY463="DOM"),0,IFERROR(8-VLOOKUP(Q463,'Dados de consulta'!$A$2:$C$38,3,0),8))</f>
        <v>8</v>
      </c>
      <c r="BO463" s="97">
        <f>IF(OR(AY463="SÁB",AY463="DOM"),0,IFERROR(8-VLOOKUP(R463,'Dados de consulta'!$A$2:$C$38,3,0),8))</f>
        <v>8</v>
      </c>
      <c r="BP463" s="97">
        <f>IF(OR(AY463="SÁB",AY463="DOM"),0,IFERROR(8-VLOOKUP(S463,'Dados de consulta'!$A$2:$C$38,3,0),8))</f>
        <v>0</v>
      </c>
      <c r="BQ463" s="113">
        <f>IFERROR(6-VLOOKUP(T463,'Dados de consulta'!$A$2:$C$38,3,0)+2,6)</f>
        <v>6</v>
      </c>
      <c r="BR463" s="114">
        <f t="shared" si="206"/>
        <v>126</v>
      </c>
      <c r="BS463">
        <f t="shared" si="182"/>
        <v>134</v>
      </c>
      <c r="BU463">
        <f>IFERROR(8-VLOOKUP(U463,'Dados de consulta'!$A:$D,3,0),8)</f>
        <v>8</v>
      </c>
      <c r="BV463">
        <f>IFERROR(8-VLOOKUP(V463,'Dados de consulta'!$A:$D,3,0),8)</f>
        <v>8</v>
      </c>
      <c r="BW463">
        <f t="shared" si="207"/>
        <v>16</v>
      </c>
    </row>
    <row r="464" spans="1:75" ht="15" hidden="1" x14ac:dyDescent="0.2">
      <c r="A464" s="98">
        <v>42587</v>
      </c>
      <c r="B464" s="129" t="str">
        <f t="shared" si="184"/>
        <v>sex</v>
      </c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>
        <v>101</v>
      </c>
      <c r="N464" s="132"/>
      <c r="O464" s="132"/>
      <c r="P464" s="132"/>
      <c r="Q464" s="132"/>
      <c r="R464" s="132"/>
      <c r="S464" s="132">
        <v>18</v>
      </c>
      <c r="T464" s="132"/>
      <c r="U464" s="151"/>
      <c r="V464" s="151"/>
      <c r="W464" s="307" t="s">
        <v>193</v>
      </c>
      <c r="X464" s="308"/>
      <c r="Y464" s="38">
        <f t="shared" si="185"/>
        <v>0</v>
      </c>
      <c r="Z464" s="38">
        <f t="shared" si="186"/>
        <v>8</v>
      </c>
      <c r="AA464" s="38">
        <f t="shared" si="183"/>
        <v>0</v>
      </c>
      <c r="AB464" s="38">
        <f t="shared" si="194"/>
        <v>0</v>
      </c>
      <c r="AC464" s="38">
        <f t="shared" si="195"/>
        <v>0</v>
      </c>
      <c r="AD464" s="38">
        <f t="shared" si="196"/>
        <v>0</v>
      </c>
      <c r="AE464" s="38">
        <f t="shared" si="197"/>
        <v>0</v>
      </c>
      <c r="AF464" s="38">
        <f t="shared" si="198"/>
        <v>0</v>
      </c>
      <c r="AG464" s="33">
        <f t="shared" si="199"/>
        <v>0</v>
      </c>
      <c r="AH464" s="33">
        <f t="shared" si="200"/>
        <v>8</v>
      </c>
      <c r="AI464" s="33">
        <f t="shared" si="201"/>
        <v>0</v>
      </c>
      <c r="AJ464" s="33">
        <f t="shared" si="202"/>
        <v>0</v>
      </c>
      <c r="AK464" s="34">
        <f t="shared" si="203"/>
        <v>0</v>
      </c>
      <c r="AL464" s="35">
        <f t="shared" si="204"/>
        <v>5.6338028169014086E-2</v>
      </c>
      <c r="AM464" s="34">
        <f t="shared" si="187"/>
        <v>0</v>
      </c>
      <c r="AN464" s="36">
        <f t="shared" si="205"/>
        <v>0</v>
      </c>
      <c r="AO464" s="6">
        <f t="shared" si="188"/>
        <v>0</v>
      </c>
      <c r="AP464">
        <f t="shared" si="189"/>
        <v>8</v>
      </c>
      <c r="AQ464" s="6">
        <f t="shared" si="190"/>
        <v>0</v>
      </c>
      <c r="AR464" s="6">
        <f t="shared" si="191"/>
        <v>0</v>
      </c>
      <c r="AS464" s="6"/>
      <c r="AX464" s="95">
        <f t="shared" si="192"/>
        <v>42587</v>
      </c>
      <c r="AY464" s="96" t="str">
        <f t="shared" si="193"/>
        <v>sex</v>
      </c>
      <c r="AZ464" s="97">
        <f>IF(OR(AY464="SÁB",AY464="DOM"),0,IFERROR(8-VLOOKUP(C464,'Dados de consulta'!$A$2:$C$38,3,0),8))</f>
        <v>8</v>
      </c>
      <c r="BA464" s="97">
        <f>IF(OR(AY464="SÁB",AY464="DOM"),0,IFERROR(8-VLOOKUP(D464,'Dados de consulta'!$A$2:$C$38,3,0),8))</f>
        <v>8</v>
      </c>
      <c r="BB464" s="97">
        <f>IF(OR(AY464="SÁB",AY464="DOM"),0,IFERROR(8-VLOOKUP(E464,'Dados de consulta'!$A$2:$C$38,3,0),8))</f>
        <v>8</v>
      </c>
      <c r="BC464" s="97">
        <f>IF(OR(AY464="SÁB",AY464="DOM"),0,IFERROR(8-VLOOKUP(F464,'Dados de consulta'!$A$2:$C$38,3,0),8))</f>
        <v>8</v>
      </c>
      <c r="BD464" s="97">
        <f>IF(OR(AY464="SÁB",AY464="DOM"),0,IFERROR(8-VLOOKUP(G464,'Dados de consulta'!$A$2:$C$38,3,0),8))</f>
        <v>8</v>
      </c>
      <c r="BE464" s="97">
        <f>IF(OR(AY464="SÁB",AY464="DOM"),0,IFERROR(8-VLOOKUP(H464,'Dados de consulta'!$A$2:$C$38,3,0),8))</f>
        <v>8</v>
      </c>
      <c r="BF464" s="97">
        <f>IF(OR(AY464="SÁB",AY464="DOM"),0,IFERROR(8-VLOOKUP(I464,'Dados de consulta'!$A$2:$C$38,3,0),8))</f>
        <v>8</v>
      </c>
      <c r="BG464" s="97">
        <f>IF(OR(AY464="SÁB",AY464="DOM"),0,IFERROR(8-VLOOKUP(J464,'Dados de consulta'!$A$2:$C$38,3,0),8))</f>
        <v>8</v>
      </c>
      <c r="BH464" s="97">
        <f>IF(OR(AY464="SÁB",AY464="DOM"),0,IFERROR(8-VLOOKUP(K464,'Dados de consulta'!$A$2:$C$38,3,0),8))</f>
        <v>8</v>
      </c>
      <c r="BI464" s="97">
        <f>IF(OR(AY464="SÁB",AY464="DOM"),0,IFERROR(8-VLOOKUP(L464,'Dados de consulta'!$A$2:$C$38,3,0),8))</f>
        <v>8</v>
      </c>
      <c r="BJ464" s="97">
        <f>IF(OR(AY464="SÁB",AY464="DOM"),0,IFERROR(8-VLOOKUP(M464,'Dados de consulta'!$A$2:$C$38,3,0),8))</f>
        <v>0</v>
      </c>
      <c r="BK464" s="97">
        <f>IF(OR(AY464="SÁB",AY464="DOM"),0,IFERROR(8-VLOOKUP(N464,'Dados de consulta'!$A$2:$C$38,3,0),8))</f>
        <v>8</v>
      </c>
      <c r="BL464" s="97">
        <f>IF(OR(AY464="SÁB",AY464="DOM"),0,IFERROR(8-VLOOKUP(O464,'Dados de consulta'!$A$2:$C$38,3,0),8))</f>
        <v>8</v>
      </c>
      <c r="BM464" s="97">
        <f>IF(OR(AY464="SÁB",AY464="DOM"),0,IFERROR(8-VLOOKUP(P464,'Dados de consulta'!$A$2:$C$38,3,0),8))</f>
        <v>8</v>
      </c>
      <c r="BN464" s="97">
        <f>IF(OR(AY464="SÁB",AY464="DOM"),0,IFERROR(8-VLOOKUP(Q464,'Dados de consulta'!$A$2:$C$38,3,0),8))</f>
        <v>8</v>
      </c>
      <c r="BO464" s="97">
        <f>IF(OR(AY464="SÁB",AY464="DOM"),0,IFERROR(8-VLOOKUP(R464,'Dados de consulta'!$A$2:$C$38,3,0),8))</f>
        <v>8</v>
      </c>
      <c r="BP464" s="97">
        <f>IF(OR(AY464="SÁB",AY464="DOM"),0,IFERROR(8-VLOOKUP(S464,'Dados de consulta'!$A$2:$C$38,3,0),8))</f>
        <v>0</v>
      </c>
      <c r="BQ464" s="113">
        <f>IFERROR(6-VLOOKUP(T464,'Dados de consulta'!$A$2:$C$38,3,0)+2,6)</f>
        <v>6</v>
      </c>
      <c r="BR464" s="114">
        <f t="shared" si="206"/>
        <v>126</v>
      </c>
      <c r="BS464">
        <f t="shared" si="182"/>
        <v>134</v>
      </c>
      <c r="BU464">
        <f>IFERROR(8-VLOOKUP(U464,'Dados de consulta'!$A:$D,3,0),8)</f>
        <v>8</v>
      </c>
      <c r="BV464">
        <f>IFERROR(8-VLOOKUP(V464,'Dados de consulta'!$A:$D,3,0),8)</f>
        <v>8</v>
      </c>
      <c r="BW464">
        <f t="shared" si="207"/>
        <v>16</v>
      </c>
    </row>
    <row r="465" spans="1:75" ht="15" hidden="1" x14ac:dyDescent="0.2">
      <c r="A465" s="98">
        <v>42588</v>
      </c>
      <c r="B465" s="129" t="str">
        <f t="shared" si="184"/>
        <v>sáb</v>
      </c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>
        <v>101</v>
      </c>
      <c r="N465" s="132"/>
      <c r="O465" s="132"/>
      <c r="P465" s="132"/>
      <c r="Q465" s="132"/>
      <c r="R465" s="132"/>
      <c r="S465" s="132">
        <v>18</v>
      </c>
      <c r="T465" s="132"/>
      <c r="U465" s="151"/>
      <c r="V465" s="151"/>
      <c r="W465" s="307" t="s">
        <v>193</v>
      </c>
      <c r="X465" s="308"/>
      <c r="Y465" s="38">
        <f t="shared" si="185"/>
        <v>0</v>
      </c>
      <c r="Z465" s="38">
        <f t="shared" si="186"/>
        <v>8</v>
      </c>
      <c r="AA465" s="38">
        <f t="shared" si="183"/>
        <v>0</v>
      </c>
      <c r="AB465" s="38">
        <f t="shared" si="194"/>
        <v>0</v>
      </c>
      <c r="AC465" s="38">
        <f t="shared" si="195"/>
        <v>0</v>
      </c>
      <c r="AD465" s="38">
        <f t="shared" si="196"/>
        <v>0</v>
      </c>
      <c r="AE465" s="38">
        <f t="shared" si="197"/>
        <v>0</v>
      </c>
      <c r="AF465" s="38">
        <f t="shared" si="198"/>
        <v>0</v>
      </c>
      <c r="AG465" s="33">
        <f t="shared" si="199"/>
        <v>0</v>
      </c>
      <c r="AH465" s="33">
        <f t="shared" si="200"/>
        <v>0</v>
      </c>
      <c r="AI465" s="33">
        <f t="shared" si="201"/>
        <v>0</v>
      </c>
      <c r="AJ465" s="33">
        <f t="shared" si="202"/>
        <v>0</v>
      </c>
      <c r="AK465" s="34">
        <f t="shared" si="203"/>
        <v>0</v>
      </c>
      <c r="AL465" s="35">
        <f t="shared" si="204"/>
        <v>0</v>
      </c>
      <c r="AM465" s="34">
        <f t="shared" si="187"/>
        <v>0</v>
      </c>
      <c r="AN465" s="36">
        <f t="shared" si="205"/>
        <v>0</v>
      </c>
      <c r="AO465" s="6">
        <f t="shared" si="188"/>
        <v>0</v>
      </c>
      <c r="AP465">
        <f t="shared" si="189"/>
        <v>8</v>
      </c>
      <c r="AQ465" s="6">
        <f t="shared" si="190"/>
        <v>0</v>
      </c>
      <c r="AR465" s="6">
        <f t="shared" si="191"/>
        <v>0</v>
      </c>
      <c r="AS465" s="6"/>
      <c r="AX465" s="95">
        <f t="shared" si="192"/>
        <v>42588</v>
      </c>
      <c r="AY465" s="96" t="str">
        <f t="shared" si="193"/>
        <v>sáb</v>
      </c>
      <c r="AZ465" s="97">
        <f>IF(OR(AY465="SÁB",AY465="DOM"),0,IFERROR(8-VLOOKUP(C465,'Dados de consulta'!$A$2:$C$38,3,0),8))</f>
        <v>0</v>
      </c>
      <c r="BA465" s="97">
        <f>IF(OR(AY465="SÁB",AY465="DOM"),0,IFERROR(8-VLOOKUP(D465,'Dados de consulta'!$A$2:$C$38,3,0),8))</f>
        <v>0</v>
      </c>
      <c r="BB465" s="97">
        <f>IF(OR(AY465="SÁB",AY465="DOM"),0,IFERROR(8-VLOOKUP(E465,'Dados de consulta'!$A$2:$C$38,3,0),8))</f>
        <v>0</v>
      </c>
      <c r="BC465" s="97">
        <f>IF(OR(AY465="SÁB",AY465="DOM"),0,IFERROR(8-VLOOKUP(F465,'Dados de consulta'!$A$2:$C$38,3,0),8))</f>
        <v>0</v>
      </c>
      <c r="BD465" s="97">
        <f>IF(OR(AY465="SÁB",AY465="DOM"),0,IFERROR(8-VLOOKUP(G465,'Dados de consulta'!$A$2:$C$38,3,0),8))</f>
        <v>0</v>
      </c>
      <c r="BE465" s="97">
        <f>IF(OR(AY465="SÁB",AY465="DOM"),0,IFERROR(8-VLOOKUP(H465,'Dados de consulta'!$A$2:$C$38,3,0),8))</f>
        <v>0</v>
      </c>
      <c r="BF465" s="97">
        <f>IF(OR(AY465="SÁB",AY465="DOM"),0,IFERROR(8-VLOOKUP(I465,'Dados de consulta'!$A$2:$C$38,3,0),8))</f>
        <v>0</v>
      </c>
      <c r="BG465" s="97">
        <f>IF(OR(AY465="SÁB",AY465="DOM"),0,IFERROR(8-VLOOKUP(J465,'Dados de consulta'!$A$2:$C$38,3,0),8))</f>
        <v>0</v>
      </c>
      <c r="BH465" s="97">
        <f>IF(OR(AY465="SÁB",AY465="DOM"),0,IFERROR(8-VLOOKUP(K465,'Dados de consulta'!$A$2:$C$38,3,0),8))</f>
        <v>0</v>
      </c>
      <c r="BI465" s="97">
        <f>IF(OR(AY465="SÁB",AY465="DOM"),0,IFERROR(8-VLOOKUP(L465,'Dados de consulta'!$A$2:$C$38,3,0),8))</f>
        <v>0</v>
      </c>
      <c r="BJ465" s="97">
        <f>IF(OR(AY465="SÁB",AY465="DOM"),0,IFERROR(8-VLOOKUP(M465,'Dados de consulta'!$A$2:$C$38,3,0),8))</f>
        <v>0</v>
      </c>
      <c r="BK465" s="97">
        <f>IF(OR(AY465="SÁB",AY465="DOM"),0,IFERROR(8-VLOOKUP(N465,'Dados de consulta'!$A$2:$C$38,3,0),8))</f>
        <v>0</v>
      </c>
      <c r="BL465" s="97">
        <f>IF(OR(AY465="SÁB",AY465="DOM"),0,IFERROR(8-VLOOKUP(O465,'Dados de consulta'!$A$2:$C$38,3,0),8))</f>
        <v>0</v>
      </c>
      <c r="BM465" s="97">
        <f>IF(OR(AY465="SÁB",AY465="DOM"),0,IFERROR(8-VLOOKUP(P465,'Dados de consulta'!$A$2:$C$38,3,0),8))</f>
        <v>0</v>
      </c>
      <c r="BN465" s="97">
        <f>IF(OR(AY465="SÁB",AY465="DOM"),0,IFERROR(8-VLOOKUP(Q465,'Dados de consulta'!$A$2:$C$38,3,0),8))</f>
        <v>0</v>
      </c>
      <c r="BO465" s="97">
        <f>IF(OR(AY465="SÁB",AY465="DOM"),0,IFERROR(8-VLOOKUP(R465,'Dados de consulta'!$A$2:$C$38,3,0),8))</f>
        <v>0</v>
      </c>
      <c r="BP465" s="97">
        <f>IF(OR(AY465="SÁB",AY465="DOM"),0,IFERROR(8-VLOOKUP(S465,'Dados de consulta'!$A$2:$C$38,3,0),8))</f>
        <v>0</v>
      </c>
      <c r="BQ465" s="113">
        <f>IFERROR(6-VLOOKUP(T465,'Dados de consulta'!$A$2:$C$38,3,0)+2,6)</f>
        <v>6</v>
      </c>
      <c r="BR465" s="114">
        <f t="shared" si="206"/>
        <v>0</v>
      </c>
      <c r="BS465">
        <f t="shared" si="182"/>
        <v>0</v>
      </c>
      <c r="BU465">
        <f>IFERROR(8-VLOOKUP(U465,'Dados de consulta'!$A:$D,3,0),8)</f>
        <v>8</v>
      </c>
      <c r="BV465">
        <f>IFERROR(8-VLOOKUP(V465,'Dados de consulta'!$A:$D,3,0),8)</f>
        <v>8</v>
      </c>
      <c r="BW465">
        <f t="shared" si="207"/>
        <v>16</v>
      </c>
    </row>
    <row r="466" spans="1:75" ht="15" hidden="1" x14ac:dyDescent="0.2">
      <c r="A466" s="98">
        <v>42589</v>
      </c>
      <c r="B466" s="129" t="str">
        <f t="shared" si="184"/>
        <v>dom</v>
      </c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>
        <v>101</v>
      </c>
      <c r="N466" s="132"/>
      <c r="O466" s="132"/>
      <c r="P466" s="132"/>
      <c r="Q466" s="132"/>
      <c r="R466" s="132"/>
      <c r="S466" s="132">
        <v>18</v>
      </c>
      <c r="T466" s="132"/>
      <c r="U466" s="151"/>
      <c r="V466" s="151"/>
      <c r="W466" s="307" t="s">
        <v>193</v>
      </c>
      <c r="X466" s="308"/>
      <c r="Y466" s="38">
        <f t="shared" si="185"/>
        <v>0</v>
      </c>
      <c r="Z466" s="38">
        <f t="shared" si="186"/>
        <v>8</v>
      </c>
      <c r="AA466" s="38">
        <f t="shared" si="183"/>
        <v>0</v>
      </c>
      <c r="AB466" s="38">
        <f t="shared" si="194"/>
        <v>0</v>
      </c>
      <c r="AC466" s="38">
        <f t="shared" si="195"/>
        <v>0</v>
      </c>
      <c r="AD466" s="38">
        <f t="shared" si="196"/>
        <v>0</v>
      </c>
      <c r="AE466" s="38">
        <f t="shared" si="197"/>
        <v>0</v>
      </c>
      <c r="AF466" s="38">
        <f t="shared" si="198"/>
        <v>0</v>
      </c>
      <c r="AG466" s="33">
        <f t="shared" si="199"/>
        <v>0</v>
      </c>
      <c r="AH466" s="33">
        <f t="shared" si="200"/>
        <v>0</v>
      </c>
      <c r="AI466" s="33">
        <f t="shared" si="201"/>
        <v>0</v>
      </c>
      <c r="AJ466" s="33">
        <f t="shared" si="202"/>
        <v>0</v>
      </c>
      <c r="AK466" s="34">
        <f t="shared" si="203"/>
        <v>0</v>
      </c>
      <c r="AL466" s="35">
        <f t="shared" si="204"/>
        <v>0</v>
      </c>
      <c r="AM466" s="34">
        <f t="shared" si="187"/>
        <v>0</v>
      </c>
      <c r="AN466" s="36">
        <f t="shared" si="205"/>
        <v>0</v>
      </c>
      <c r="AO466" s="6">
        <f t="shared" si="188"/>
        <v>0</v>
      </c>
      <c r="AP466">
        <f t="shared" si="189"/>
        <v>8</v>
      </c>
      <c r="AQ466" s="6">
        <f t="shared" si="190"/>
        <v>0</v>
      </c>
      <c r="AR466" s="6">
        <f t="shared" si="191"/>
        <v>0</v>
      </c>
      <c r="AS466" s="6"/>
      <c r="AX466" s="95">
        <f t="shared" si="192"/>
        <v>42589</v>
      </c>
      <c r="AY466" s="96" t="str">
        <f t="shared" si="193"/>
        <v>dom</v>
      </c>
      <c r="AZ466" s="97">
        <f>IF(OR(AY466="SÁB",AY466="DOM"),0,IFERROR(8-VLOOKUP(C466,'Dados de consulta'!$A$2:$C$38,3,0),8))</f>
        <v>0</v>
      </c>
      <c r="BA466" s="97">
        <f>IF(OR(AY466="SÁB",AY466="DOM"),0,IFERROR(8-VLOOKUP(D466,'Dados de consulta'!$A$2:$C$38,3,0),8))</f>
        <v>0</v>
      </c>
      <c r="BB466" s="97">
        <f>IF(OR(AY466="SÁB",AY466="DOM"),0,IFERROR(8-VLOOKUP(E466,'Dados de consulta'!$A$2:$C$38,3,0),8))</f>
        <v>0</v>
      </c>
      <c r="BC466" s="97">
        <f>IF(OR(AY466="SÁB",AY466="DOM"),0,IFERROR(8-VLOOKUP(F466,'Dados de consulta'!$A$2:$C$38,3,0),8))</f>
        <v>0</v>
      </c>
      <c r="BD466" s="97">
        <f>IF(OR(AY466="SÁB",AY466="DOM"),0,IFERROR(8-VLOOKUP(G466,'Dados de consulta'!$A$2:$C$38,3,0),8))</f>
        <v>0</v>
      </c>
      <c r="BE466" s="97">
        <f>IF(OR(AY466="SÁB",AY466="DOM"),0,IFERROR(8-VLOOKUP(H466,'Dados de consulta'!$A$2:$C$38,3,0),8))</f>
        <v>0</v>
      </c>
      <c r="BF466" s="97">
        <f>IF(OR(AY466="SÁB",AY466="DOM"),0,IFERROR(8-VLOOKUP(I466,'Dados de consulta'!$A$2:$C$38,3,0),8))</f>
        <v>0</v>
      </c>
      <c r="BG466" s="97">
        <f>IF(OR(AY466="SÁB",AY466="DOM"),0,IFERROR(8-VLOOKUP(J466,'Dados de consulta'!$A$2:$C$38,3,0),8))</f>
        <v>0</v>
      </c>
      <c r="BH466" s="97">
        <f>IF(OR(AY466="SÁB",AY466="DOM"),0,IFERROR(8-VLOOKUP(K466,'Dados de consulta'!$A$2:$C$38,3,0),8))</f>
        <v>0</v>
      </c>
      <c r="BI466" s="97">
        <f>IF(OR(AY466="SÁB",AY466="DOM"),0,IFERROR(8-VLOOKUP(L466,'Dados de consulta'!$A$2:$C$38,3,0),8))</f>
        <v>0</v>
      </c>
      <c r="BJ466" s="97">
        <f>IF(OR(AY466="SÁB",AY466="DOM"),0,IFERROR(8-VLOOKUP(M466,'Dados de consulta'!$A$2:$C$38,3,0),8))</f>
        <v>0</v>
      </c>
      <c r="BK466" s="97">
        <f>IF(OR(AY466="SÁB",AY466="DOM"),0,IFERROR(8-VLOOKUP(N466,'Dados de consulta'!$A$2:$C$38,3,0),8))</f>
        <v>0</v>
      </c>
      <c r="BL466" s="97">
        <f>IF(OR(AY466="SÁB",AY466="DOM"),0,IFERROR(8-VLOOKUP(O466,'Dados de consulta'!$A$2:$C$38,3,0),8))</f>
        <v>0</v>
      </c>
      <c r="BM466" s="97">
        <f>IF(OR(AY466="SÁB",AY466="DOM"),0,IFERROR(8-VLOOKUP(P466,'Dados de consulta'!$A$2:$C$38,3,0),8))</f>
        <v>0</v>
      </c>
      <c r="BN466" s="97">
        <f>IF(OR(AY466="SÁB",AY466="DOM"),0,IFERROR(8-VLOOKUP(Q466,'Dados de consulta'!$A$2:$C$38,3,0),8))</f>
        <v>0</v>
      </c>
      <c r="BO466" s="97">
        <f>IF(OR(AY466="SÁB",AY466="DOM"),0,IFERROR(8-VLOOKUP(R466,'Dados de consulta'!$A$2:$C$38,3,0),8))</f>
        <v>0</v>
      </c>
      <c r="BP466" s="97">
        <f>IF(OR(AY466="SÁB",AY466="DOM"),0,IFERROR(8-VLOOKUP(S466,'Dados de consulta'!$A$2:$C$38,3,0),8))</f>
        <v>0</v>
      </c>
      <c r="BQ466" s="113">
        <f>IFERROR(6-VLOOKUP(T466,'Dados de consulta'!$A$2:$C$38,3,0)+2,6)</f>
        <v>6</v>
      </c>
      <c r="BR466" s="114">
        <f t="shared" si="206"/>
        <v>0</v>
      </c>
      <c r="BS466">
        <f t="shared" si="182"/>
        <v>0</v>
      </c>
      <c r="BU466">
        <f>IFERROR(8-VLOOKUP(U466,'Dados de consulta'!$A:$D,3,0),8)</f>
        <v>8</v>
      </c>
      <c r="BV466">
        <f>IFERROR(8-VLOOKUP(V466,'Dados de consulta'!$A:$D,3,0),8)</f>
        <v>8</v>
      </c>
      <c r="BW466">
        <f t="shared" si="207"/>
        <v>16</v>
      </c>
    </row>
    <row r="467" spans="1:75" ht="15" hidden="1" x14ac:dyDescent="0.2">
      <c r="A467" s="98">
        <v>42590</v>
      </c>
      <c r="B467" s="129" t="str">
        <f t="shared" si="184"/>
        <v>seg</v>
      </c>
      <c r="C467" s="132"/>
      <c r="D467" s="132"/>
      <c r="E467" s="132">
        <v>18</v>
      </c>
      <c r="F467" s="132"/>
      <c r="G467" s="132"/>
      <c r="H467" s="132"/>
      <c r="I467" s="132"/>
      <c r="J467" s="132"/>
      <c r="K467" s="132"/>
      <c r="L467" s="132"/>
      <c r="M467" s="132">
        <v>101</v>
      </c>
      <c r="N467" s="132"/>
      <c r="O467" s="132"/>
      <c r="P467" s="132">
        <v>18</v>
      </c>
      <c r="Q467" s="132"/>
      <c r="R467" s="132"/>
      <c r="S467" s="132">
        <v>18</v>
      </c>
      <c r="T467" s="132"/>
      <c r="U467" s="151"/>
      <c r="V467" s="151"/>
      <c r="W467" s="307" t="s">
        <v>193</v>
      </c>
      <c r="X467" s="308"/>
      <c r="Y467" s="38">
        <f t="shared" si="185"/>
        <v>0</v>
      </c>
      <c r="Z467" s="38">
        <f t="shared" si="186"/>
        <v>24</v>
      </c>
      <c r="AA467" s="38">
        <f t="shared" si="183"/>
        <v>0</v>
      </c>
      <c r="AB467" s="38">
        <f t="shared" si="194"/>
        <v>0</v>
      </c>
      <c r="AC467" s="38">
        <f t="shared" si="195"/>
        <v>0</v>
      </c>
      <c r="AD467" s="38">
        <f t="shared" si="196"/>
        <v>0</v>
      </c>
      <c r="AE467" s="38">
        <f t="shared" si="197"/>
        <v>0</v>
      </c>
      <c r="AF467" s="38">
        <f t="shared" si="198"/>
        <v>0</v>
      </c>
      <c r="AG467" s="33">
        <f t="shared" si="199"/>
        <v>0</v>
      </c>
      <c r="AH467" s="33">
        <f t="shared" si="200"/>
        <v>24</v>
      </c>
      <c r="AI467" s="33">
        <f t="shared" si="201"/>
        <v>0</v>
      </c>
      <c r="AJ467" s="33">
        <f t="shared" si="202"/>
        <v>0</v>
      </c>
      <c r="AK467" s="34">
        <f t="shared" si="203"/>
        <v>0</v>
      </c>
      <c r="AL467" s="35">
        <f t="shared" si="204"/>
        <v>0.16901408450704225</v>
      </c>
      <c r="AM467" s="34">
        <f t="shared" si="187"/>
        <v>0</v>
      </c>
      <c r="AN467" s="36">
        <f t="shared" si="205"/>
        <v>0</v>
      </c>
      <c r="AO467" s="6">
        <f t="shared" si="188"/>
        <v>0</v>
      </c>
      <c r="AP467">
        <f t="shared" si="189"/>
        <v>8</v>
      </c>
      <c r="AQ467" s="6">
        <f t="shared" si="190"/>
        <v>0</v>
      </c>
      <c r="AR467" s="6">
        <f t="shared" si="191"/>
        <v>0</v>
      </c>
      <c r="AS467" s="6"/>
      <c r="AX467" s="95">
        <f t="shared" si="192"/>
        <v>42590</v>
      </c>
      <c r="AY467" s="96" t="str">
        <f t="shared" si="193"/>
        <v>seg</v>
      </c>
      <c r="AZ467" s="97">
        <f>IF(OR(AY467="SÁB",AY467="DOM"),0,IFERROR(8-VLOOKUP(C467,'Dados de consulta'!$A$2:$C$38,3,0),8))</f>
        <v>8</v>
      </c>
      <c r="BA467" s="97">
        <f>IF(OR(AY467="SÁB",AY467="DOM"),0,IFERROR(8-VLOOKUP(D467,'Dados de consulta'!$A$2:$C$38,3,0),8))</f>
        <v>8</v>
      </c>
      <c r="BB467" s="97">
        <f>IF(OR(AY467="SÁB",AY467="DOM"),0,IFERROR(8-VLOOKUP(E467,'Dados de consulta'!$A$2:$C$38,3,0),8))</f>
        <v>0</v>
      </c>
      <c r="BC467" s="97">
        <f>IF(OR(AY467="SÁB",AY467="DOM"),0,IFERROR(8-VLOOKUP(F467,'Dados de consulta'!$A$2:$C$38,3,0),8))</f>
        <v>8</v>
      </c>
      <c r="BD467" s="97">
        <f>IF(OR(AY467="SÁB",AY467="DOM"),0,IFERROR(8-VLOOKUP(G467,'Dados de consulta'!$A$2:$C$38,3,0),8))</f>
        <v>8</v>
      </c>
      <c r="BE467" s="97">
        <f>IF(OR(AY467="SÁB",AY467="DOM"),0,IFERROR(8-VLOOKUP(H467,'Dados de consulta'!$A$2:$C$38,3,0),8))</f>
        <v>8</v>
      </c>
      <c r="BF467" s="97">
        <f>IF(OR(AY467="SÁB",AY467="DOM"),0,IFERROR(8-VLOOKUP(I467,'Dados de consulta'!$A$2:$C$38,3,0),8))</f>
        <v>8</v>
      </c>
      <c r="BG467" s="97">
        <f>IF(OR(AY467="SÁB",AY467="DOM"),0,IFERROR(8-VLOOKUP(J467,'Dados de consulta'!$A$2:$C$38,3,0),8))</f>
        <v>8</v>
      </c>
      <c r="BH467" s="97">
        <f>IF(OR(AY467="SÁB",AY467="DOM"),0,IFERROR(8-VLOOKUP(K467,'Dados de consulta'!$A$2:$C$38,3,0),8))</f>
        <v>8</v>
      </c>
      <c r="BI467" s="97">
        <f>IF(OR(AY467="SÁB",AY467="DOM"),0,IFERROR(8-VLOOKUP(L467,'Dados de consulta'!$A$2:$C$38,3,0),8))</f>
        <v>8</v>
      </c>
      <c r="BJ467" s="97">
        <f>IF(OR(AY467="SÁB",AY467="DOM"),0,IFERROR(8-VLOOKUP(M467,'Dados de consulta'!$A$2:$C$38,3,0),8))</f>
        <v>0</v>
      </c>
      <c r="BK467" s="97">
        <f>IF(OR(AY467="SÁB",AY467="DOM"),0,IFERROR(8-VLOOKUP(N467,'Dados de consulta'!$A$2:$C$38,3,0),8))</f>
        <v>8</v>
      </c>
      <c r="BL467" s="97">
        <f>IF(OR(AY467="SÁB",AY467="DOM"),0,IFERROR(8-VLOOKUP(O467,'Dados de consulta'!$A$2:$C$38,3,0),8))</f>
        <v>8</v>
      </c>
      <c r="BM467" s="97">
        <f>IF(OR(AY467="SÁB",AY467="DOM"),0,IFERROR(8-VLOOKUP(P467,'Dados de consulta'!$A$2:$C$38,3,0),8))</f>
        <v>0</v>
      </c>
      <c r="BN467" s="97">
        <f>IF(OR(AY467="SÁB",AY467="DOM"),0,IFERROR(8-VLOOKUP(Q467,'Dados de consulta'!$A$2:$C$38,3,0),8))</f>
        <v>8</v>
      </c>
      <c r="BO467" s="97">
        <f>IF(OR(AY467="SÁB",AY467="DOM"),0,IFERROR(8-VLOOKUP(R467,'Dados de consulta'!$A$2:$C$38,3,0),8))</f>
        <v>8</v>
      </c>
      <c r="BP467" s="97">
        <f>IF(OR(AY467="SÁB",AY467="DOM"),0,IFERROR(8-VLOOKUP(S467,'Dados de consulta'!$A$2:$C$38,3,0),8))</f>
        <v>0</v>
      </c>
      <c r="BQ467" s="113">
        <f>IFERROR(6-VLOOKUP(T467,'Dados de consulta'!$A$2:$C$38,3,0)+2,6)</f>
        <v>6</v>
      </c>
      <c r="BR467" s="114">
        <f t="shared" si="206"/>
        <v>110</v>
      </c>
      <c r="BS467">
        <f t="shared" si="182"/>
        <v>134</v>
      </c>
      <c r="BU467">
        <f>IFERROR(8-VLOOKUP(U467,'Dados de consulta'!$A:$D,3,0),8)</f>
        <v>8</v>
      </c>
      <c r="BV467">
        <f>IFERROR(8-VLOOKUP(V467,'Dados de consulta'!$A:$D,3,0),8)</f>
        <v>8</v>
      </c>
      <c r="BW467">
        <f t="shared" si="207"/>
        <v>16</v>
      </c>
    </row>
    <row r="468" spans="1:75" ht="15" hidden="1" x14ac:dyDescent="0.2">
      <c r="A468" s="98">
        <v>42591</v>
      </c>
      <c r="B468" s="129" t="str">
        <f t="shared" si="184"/>
        <v>ter</v>
      </c>
      <c r="C468" s="132"/>
      <c r="D468" s="132"/>
      <c r="E468" s="132">
        <v>18</v>
      </c>
      <c r="F468" s="132"/>
      <c r="G468" s="132"/>
      <c r="H468" s="132"/>
      <c r="I468" s="132"/>
      <c r="J468" s="132"/>
      <c r="K468" s="132"/>
      <c r="L468" s="132"/>
      <c r="M468" s="132">
        <v>101</v>
      </c>
      <c r="N468" s="132"/>
      <c r="O468" s="132"/>
      <c r="P468" s="132">
        <v>18</v>
      </c>
      <c r="Q468" s="132"/>
      <c r="R468" s="132"/>
      <c r="S468" s="132">
        <v>18</v>
      </c>
      <c r="T468" s="132"/>
      <c r="U468" s="151"/>
      <c r="V468" s="151"/>
      <c r="W468" s="307" t="s">
        <v>193</v>
      </c>
      <c r="X468" s="308"/>
      <c r="Y468" s="38">
        <f t="shared" si="185"/>
        <v>0</v>
      </c>
      <c r="Z468" s="38">
        <f t="shared" si="186"/>
        <v>24</v>
      </c>
      <c r="AA468" s="38">
        <f t="shared" si="183"/>
        <v>0</v>
      </c>
      <c r="AB468" s="38">
        <f t="shared" si="194"/>
        <v>0</v>
      </c>
      <c r="AC468" s="38">
        <f t="shared" si="195"/>
        <v>0</v>
      </c>
      <c r="AD468" s="38">
        <f t="shared" si="196"/>
        <v>0</v>
      </c>
      <c r="AE468" s="38">
        <f t="shared" si="197"/>
        <v>0</v>
      </c>
      <c r="AF468" s="38">
        <f t="shared" si="198"/>
        <v>0</v>
      </c>
      <c r="AG468" s="33">
        <f t="shared" si="199"/>
        <v>0</v>
      </c>
      <c r="AH468" s="33">
        <f t="shared" si="200"/>
        <v>24</v>
      </c>
      <c r="AI468" s="33">
        <f t="shared" si="201"/>
        <v>0</v>
      </c>
      <c r="AJ468" s="33">
        <f t="shared" si="202"/>
        <v>0</v>
      </c>
      <c r="AK468" s="34">
        <f t="shared" si="203"/>
        <v>0</v>
      </c>
      <c r="AL468" s="35">
        <f t="shared" si="204"/>
        <v>0.16901408450704225</v>
      </c>
      <c r="AM468" s="34">
        <f t="shared" si="187"/>
        <v>0</v>
      </c>
      <c r="AN468" s="36">
        <f t="shared" si="205"/>
        <v>0</v>
      </c>
      <c r="AO468" s="6">
        <f t="shared" si="188"/>
        <v>0</v>
      </c>
      <c r="AP468">
        <f t="shared" si="189"/>
        <v>8</v>
      </c>
      <c r="AQ468" s="6">
        <f t="shared" si="190"/>
        <v>0</v>
      </c>
      <c r="AR468" s="6">
        <f t="shared" si="191"/>
        <v>0</v>
      </c>
      <c r="AS468" s="6"/>
      <c r="AX468" s="95">
        <f t="shared" si="192"/>
        <v>42591</v>
      </c>
      <c r="AY468" s="96" t="str">
        <f t="shared" si="193"/>
        <v>ter</v>
      </c>
      <c r="AZ468" s="97">
        <f>IF(OR(AY468="SÁB",AY468="DOM"),0,IFERROR(8-VLOOKUP(C468,'Dados de consulta'!$A$2:$C$38,3,0),8))</f>
        <v>8</v>
      </c>
      <c r="BA468" s="97">
        <f>IF(OR(AY468="SÁB",AY468="DOM"),0,IFERROR(8-VLOOKUP(D468,'Dados de consulta'!$A$2:$C$38,3,0),8))</f>
        <v>8</v>
      </c>
      <c r="BB468" s="97">
        <f>IF(OR(AY468="SÁB",AY468="DOM"),0,IFERROR(8-VLOOKUP(E468,'Dados de consulta'!$A$2:$C$38,3,0),8))</f>
        <v>0</v>
      </c>
      <c r="BC468" s="97">
        <f>IF(OR(AY468="SÁB",AY468="DOM"),0,IFERROR(8-VLOOKUP(F468,'Dados de consulta'!$A$2:$C$38,3,0),8))</f>
        <v>8</v>
      </c>
      <c r="BD468" s="97">
        <f>IF(OR(AY468="SÁB",AY468="DOM"),0,IFERROR(8-VLOOKUP(G468,'Dados de consulta'!$A$2:$C$38,3,0),8))</f>
        <v>8</v>
      </c>
      <c r="BE468" s="97">
        <f>IF(OR(AY468="SÁB",AY468="DOM"),0,IFERROR(8-VLOOKUP(H468,'Dados de consulta'!$A$2:$C$38,3,0),8))</f>
        <v>8</v>
      </c>
      <c r="BF468" s="97">
        <f>IF(OR(AY468="SÁB",AY468="DOM"),0,IFERROR(8-VLOOKUP(I468,'Dados de consulta'!$A$2:$C$38,3,0),8))</f>
        <v>8</v>
      </c>
      <c r="BG468" s="97">
        <f>IF(OR(AY468="SÁB",AY468="DOM"),0,IFERROR(8-VLOOKUP(J468,'Dados de consulta'!$A$2:$C$38,3,0),8))</f>
        <v>8</v>
      </c>
      <c r="BH468" s="97">
        <f>IF(OR(AY468="SÁB",AY468="DOM"),0,IFERROR(8-VLOOKUP(K468,'Dados de consulta'!$A$2:$C$38,3,0),8))</f>
        <v>8</v>
      </c>
      <c r="BI468" s="97">
        <f>IF(OR(AY468="SÁB",AY468="DOM"),0,IFERROR(8-VLOOKUP(L468,'Dados de consulta'!$A$2:$C$38,3,0),8))</f>
        <v>8</v>
      </c>
      <c r="BJ468" s="97">
        <f>IF(OR(AY468="SÁB",AY468="DOM"),0,IFERROR(8-VLOOKUP(M468,'Dados de consulta'!$A$2:$C$38,3,0),8))</f>
        <v>0</v>
      </c>
      <c r="BK468" s="97">
        <f>IF(OR(AY468="SÁB",AY468="DOM"),0,IFERROR(8-VLOOKUP(N468,'Dados de consulta'!$A$2:$C$38,3,0),8))</f>
        <v>8</v>
      </c>
      <c r="BL468" s="97">
        <f>IF(OR(AY468="SÁB",AY468="DOM"),0,IFERROR(8-VLOOKUP(O468,'Dados de consulta'!$A$2:$C$38,3,0),8))</f>
        <v>8</v>
      </c>
      <c r="BM468" s="97">
        <f>IF(OR(AY468="SÁB",AY468="DOM"),0,IFERROR(8-VLOOKUP(P468,'Dados de consulta'!$A$2:$C$38,3,0),8))</f>
        <v>0</v>
      </c>
      <c r="BN468" s="97">
        <f>IF(OR(AY468="SÁB",AY468="DOM"),0,IFERROR(8-VLOOKUP(Q468,'Dados de consulta'!$A$2:$C$38,3,0),8))</f>
        <v>8</v>
      </c>
      <c r="BO468" s="97">
        <f>IF(OR(AY468="SÁB",AY468="DOM"),0,IFERROR(8-VLOOKUP(R468,'Dados de consulta'!$A$2:$C$38,3,0),8))</f>
        <v>8</v>
      </c>
      <c r="BP468" s="97">
        <f>IF(OR(AY468="SÁB",AY468="DOM"),0,IFERROR(8-VLOOKUP(S468,'Dados de consulta'!$A$2:$C$38,3,0),8))</f>
        <v>0</v>
      </c>
      <c r="BQ468" s="113">
        <f>IFERROR(6-VLOOKUP(T468,'Dados de consulta'!$A$2:$C$38,3,0)+2,6)</f>
        <v>6</v>
      </c>
      <c r="BR468" s="114">
        <f t="shared" si="206"/>
        <v>110</v>
      </c>
      <c r="BS468">
        <f t="shared" si="182"/>
        <v>134</v>
      </c>
      <c r="BU468">
        <f>IFERROR(8-VLOOKUP(U468,'Dados de consulta'!$A:$D,3,0),8)</f>
        <v>8</v>
      </c>
      <c r="BV468">
        <f>IFERROR(8-VLOOKUP(V468,'Dados de consulta'!$A:$D,3,0),8)</f>
        <v>8</v>
      </c>
      <c r="BW468">
        <f t="shared" si="207"/>
        <v>16</v>
      </c>
    </row>
    <row r="469" spans="1:75" ht="15" hidden="1" x14ac:dyDescent="0.2">
      <c r="A469" s="98">
        <v>42592</v>
      </c>
      <c r="B469" s="129" t="str">
        <f t="shared" si="184"/>
        <v>qua</v>
      </c>
      <c r="C469" s="132"/>
      <c r="D469" s="132"/>
      <c r="E469" s="132">
        <v>18</v>
      </c>
      <c r="F469" s="132"/>
      <c r="G469" s="132"/>
      <c r="H469" s="132"/>
      <c r="I469" s="132"/>
      <c r="J469" s="132"/>
      <c r="K469" s="132"/>
      <c r="L469" s="132"/>
      <c r="M469" s="132">
        <v>101</v>
      </c>
      <c r="N469" s="132"/>
      <c r="O469" s="132"/>
      <c r="P469" s="132">
        <v>18</v>
      </c>
      <c r="Q469" s="132"/>
      <c r="R469" s="132"/>
      <c r="S469" s="132">
        <v>18</v>
      </c>
      <c r="T469" s="132"/>
      <c r="U469" s="151"/>
      <c r="V469" s="151"/>
      <c r="W469" s="307" t="s">
        <v>193</v>
      </c>
      <c r="X469" s="308"/>
      <c r="Y469" s="38">
        <f t="shared" si="185"/>
        <v>0</v>
      </c>
      <c r="Z469" s="38">
        <f t="shared" si="186"/>
        <v>24</v>
      </c>
      <c r="AA469" s="38">
        <f t="shared" si="183"/>
        <v>0</v>
      </c>
      <c r="AB469" s="38">
        <f t="shared" si="194"/>
        <v>0</v>
      </c>
      <c r="AC469" s="38">
        <f t="shared" si="195"/>
        <v>0</v>
      </c>
      <c r="AD469" s="38">
        <f t="shared" si="196"/>
        <v>0</v>
      </c>
      <c r="AE469" s="38">
        <f t="shared" si="197"/>
        <v>0</v>
      </c>
      <c r="AF469" s="38">
        <f t="shared" si="198"/>
        <v>0</v>
      </c>
      <c r="AG469" s="33">
        <f t="shared" si="199"/>
        <v>0</v>
      </c>
      <c r="AH469" s="33">
        <f t="shared" si="200"/>
        <v>24</v>
      </c>
      <c r="AI469" s="33">
        <f t="shared" si="201"/>
        <v>0</v>
      </c>
      <c r="AJ469" s="33">
        <f t="shared" si="202"/>
        <v>0</v>
      </c>
      <c r="AK469" s="34">
        <f t="shared" si="203"/>
        <v>0</v>
      </c>
      <c r="AL469" s="35">
        <f t="shared" si="204"/>
        <v>0.16901408450704225</v>
      </c>
      <c r="AM469" s="34">
        <f t="shared" si="187"/>
        <v>0</v>
      </c>
      <c r="AN469" s="36">
        <f t="shared" si="205"/>
        <v>0</v>
      </c>
      <c r="AO469" s="6">
        <f t="shared" si="188"/>
        <v>0</v>
      </c>
      <c r="AP469">
        <f t="shared" si="189"/>
        <v>8</v>
      </c>
      <c r="AQ469" s="6">
        <f t="shared" si="190"/>
        <v>0</v>
      </c>
      <c r="AR469" s="6">
        <f t="shared" si="191"/>
        <v>0</v>
      </c>
      <c r="AS469" s="6"/>
      <c r="AX469" s="95">
        <f t="shared" si="192"/>
        <v>42592</v>
      </c>
      <c r="AY469" s="96" t="str">
        <f t="shared" si="193"/>
        <v>qua</v>
      </c>
      <c r="AZ469" s="97">
        <f>IF(OR(AY469="SÁB",AY469="DOM"),0,IFERROR(8-VLOOKUP(C469,'Dados de consulta'!$A$2:$C$38,3,0),8))</f>
        <v>8</v>
      </c>
      <c r="BA469" s="97">
        <f>IF(OR(AY469="SÁB",AY469="DOM"),0,IFERROR(8-VLOOKUP(D469,'Dados de consulta'!$A$2:$C$38,3,0),8))</f>
        <v>8</v>
      </c>
      <c r="BB469" s="97">
        <f>IF(OR(AY469="SÁB",AY469="DOM"),0,IFERROR(8-VLOOKUP(E469,'Dados de consulta'!$A$2:$C$38,3,0),8))</f>
        <v>0</v>
      </c>
      <c r="BC469" s="97">
        <f>IF(OR(AY469="SÁB",AY469="DOM"),0,IFERROR(8-VLOOKUP(F469,'Dados de consulta'!$A$2:$C$38,3,0),8))</f>
        <v>8</v>
      </c>
      <c r="BD469" s="97">
        <f>IF(OR(AY469="SÁB",AY469="DOM"),0,IFERROR(8-VLOOKUP(G469,'Dados de consulta'!$A$2:$C$38,3,0),8))</f>
        <v>8</v>
      </c>
      <c r="BE469" s="97">
        <f>IF(OR(AY469="SÁB",AY469="DOM"),0,IFERROR(8-VLOOKUP(H469,'Dados de consulta'!$A$2:$C$38,3,0),8))</f>
        <v>8</v>
      </c>
      <c r="BF469" s="97">
        <f>IF(OR(AY469="SÁB",AY469="DOM"),0,IFERROR(8-VLOOKUP(I469,'Dados de consulta'!$A$2:$C$38,3,0),8))</f>
        <v>8</v>
      </c>
      <c r="BG469" s="97">
        <f>IF(OR(AY469="SÁB",AY469="DOM"),0,IFERROR(8-VLOOKUP(J469,'Dados de consulta'!$A$2:$C$38,3,0),8))</f>
        <v>8</v>
      </c>
      <c r="BH469" s="97">
        <f>IF(OR(AY469="SÁB",AY469="DOM"),0,IFERROR(8-VLOOKUP(K469,'Dados de consulta'!$A$2:$C$38,3,0),8))</f>
        <v>8</v>
      </c>
      <c r="BI469" s="97">
        <f>IF(OR(AY469="SÁB",AY469="DOM"),0,IFERROR(8-VLOOKUP(L469,'Dados de consulta'!$A$2:$C$38,3,0),8))</f>
        <v>8</v>
      </c>
      <c r="BJ469" s="97">
        <f>IF(OR(AY469="SÁB",AY469="DOM"),0,IFERROR(8-VLOOKUP(M469,'Dados de consulta'!$A$2:$C$38,3,0),8))</f>
        <v>0</v>
      </c>
      <c r="BK469" s="97">
        <f>IF(OR(AY469="SÁB",AY469="DOM"),0,IFERROR(8-VLOOKUP(N469,'Dados de consulta'!$A$2:$C$38,3,0),8))</f>
        <v>8</v>
      </c>
      <c r="BL469" s="97">
        <f>IF(OR(AY469="SÁB",AY469="DOM"),0,IFERROR(8-VLOOKUP(O469,'Dados de consulta'!$A$2:$C$38,3,0),8))</f>
        <v>8</v>
      </c>
      <c r="BM469" s="97">
        <f>IF(OR(AY469="SÁB",AY469="DOM"),0,IFERROR(8-VLOOKUP(P469,'Dados de consulta'!$A$2:$C$38,3,0),8))</f>
        <v>0</v>
      </c>
      <c r="BN469" s="97">
        <f>IF(OR(AY469="SÁB",AY469="DOM"),0,IFERROR(8-VLOOKUP(Q469,'Dados de consulta'!$A$2:$C$38,3,0),8))</f>
        <v>8</v>
      </c>
      <c r="BO469" s="97">
        <f>IF(OR(AY469="SÁB",AY469="DOM"),0,IFERROR(8-VLOOKUP(R469,'Dados de consulta'!$A$2:$C$38,3,0),8))</f>
        <v>8</v>
      </c>
      <c r="BP469" s="97">
        <f>IF(OR(AY469="SÁB",AY469="DOM"),0,IFERROR(8-VLOOKUP(S469,'Dados de consulta'!$A$2:$C$38,3,0),8))</f>
        <v>0</v>
      </c>
      <c r="BQ469" s="113">
        <f>IFERROR(6-VLOOKUP(T469,'Dados de consulta'!$A$2:$C$38,3,0)+2,6)</f>
        <v>6</v>
      </c>
      <c r="BR469" s="114">
        <f t="shared" si="206"/>
        <v>110</v>
      </c>
      <c r="BS469">
        <f t="shared" si="182"/>
        <v>134</v>
      </c>
      <c r="BU469">
        <f>IFERROR(8-VLOOKUP(U469,'Dados de consulta'!$A:$D,3,0),8)</f>
        <v>8</v>
      </c>
      <c r="BV469">
        <f>IFERROR(8-VLOOKUP(V469,'Dados de consulta'!$A:$D,3,0),8)</f>
        <v>8</v>
      </c>
      <c r="BW469">
        <f t="shared" si="207"/>
        <v>16</v>
      </c>
    </row>
    <row r="470" spans="1:75" ht="15" hidden="1" x14ac:dyDescent="0.2">
      <c r="A470" s="98">
        <v>42593</v>
      </c>
      <c r="B470" s="129" t="str">
        <f t="shared" si="184"/>
        <v>qui</v>
      </c>
      <c r="C470" s="132"/>
      <c r="D470" s="132"/>
      <c r="E470" s="132">
        <v>18</v>
      </c>
      <c r="F470" s="132"/>
      <c r="G470" s="132"/>
      <c r="H470" s="132"/>
      <c r="I470" s="132"/>
      <c r="J470" s="132"/>
      <c r="K470" s="132"/>
      <c r="L470" s="132"/>
      <c r="M470" s="132">
        <v>101</v>
      </c>
      <c r="N470" s="132"/>
      <c r="O470" s="132"/>
      <c r="P470" s="132">
        <v>18</v>
      </c>
      <c r="Q470" s="132"/>
      <c r="R470" s="132"/>
      <c r="S470" s="132">
        <v>18</v>
      </c>
      <c r="T470" s="132"/>
      <c r="U470" s="151"/>
      <c r="V470" s="151"/>
      <c r="W470" s="307" t="s">
        <v>193</v>
      </c>
      <c r="X470" s="308"/>
      <c r="Y470" s="38">
        <f t="shared" si="185"/>
        <v>0</v>
      </c>
      <c r="Z470" s="38">
        <f t="shared" si="186"/>
        <v>24</v>
      </c>
      <c r="AA470" s="38">
        <f t="shared" si="183"/>
        <v>0</v>
      </c>
      <c r="AB470" s="38">
        <f t="shared" si="194"/>
        <v>0</v>
      </c>
      <c r="AC470" s="38">
        <f t="shared" si="195"/>
        <v>0</v>
      </c>
      <c r="AD470" s="38">
        <f t="shared" si="196"/>
        <v>0</v>
      </c>
      <c r="AE470" s="38">
        <f t="shared" si="197"/>
        <v>0</v>
      </c>
      <c r="AF470" s="38">
        <f t="shared" si="198"/>
        <v>0</v>
      </c>
      <c r="AG470" s="33">
        <f t="shared" si="199"/>
        <v>0</v>
      </c>
      <c r="AH470" s="33">
        <f t="shared" si="200"/>
        <v>24</v>
      </c>
      <c r="AI470" s="33">
        <f t="shared" si="201"/>
        <v>0</v>
      </c>
      <c r="AJ470" s="33">
        <f t="shared" si="202"/>
        <v>0</v>
      </c>
      <c r="AK470" s="34">
        <f t="shared" si="203"/>
        <v>0</v>
      </c>
      <c r="AL470" s="35">
        <f t="shared" si="204"/>
        <v>0.16901408450704225</v>
      </c>
      <c r="AM470" s="34">
        <f t="shared" si="187"/>
        <v>0</v>
      </c>
      <c r="AN470" s="36">
        <f t="shared" si="205"/>
        <v>0</v>
      </c>
      <c r="AO470" s="6">
        <f t="shared" si="188"/>
        <v>0</v>
      </c>
      <c r="AP470">
        <f t="shared" si="189"/>
        <v>8</v>
      </c>
      <c r="AQ470" s="6">
        <f t="shared" si="190"/>
        <v>0</v>
      </c>
      <c r="AR470" s="6">
        <f t="shared" si="191"/>
        <v>0</v>
      </c>
      <c r="AS470" s="6"/>
      <c r="AX470" s="95">
        <f t="shared" si="192"/>
        <v>42593</v>
      </c>
      <c r="AY470" s="96" t="str">
        <f t="shared" si="193"/>
        <v>qui</v>
      </c>
      <c r="AZ470" s="97">
        <f>IF(OR(AY470="SÁB",AY470="DOM"),0,IFERROR(8-VLOOKUP(C470,'Dados de consulta'!$A$2:$C$38,3,0),8))</f>
        <v>8</v>
      </c>
      <c r="BA470" s="97">
        <f>IF(OR(AY470="SÁB",AY470="DOM"),0,IFERROR(8-VLOOKUP(D470,'Dados de consulta'!$A$2:$C$38,3,0),8))</f>
        <v>8</v>
      </c>
      <c r="BB470" s="97">
        <f>IF(OR(AY470="SÁB",AY470="DOM"),0,IFERROR(8-VLOOKUP(E470,'Dados de consulta'!$A$2:$C$38,3,0),8))</f>
        <v>0</v>
      </c>
      <c r="BC470" s="97">
        <f>IF(OR(AY470="SÁB",AY470="DOM"),0,IFERROR(8-VLOOKUP(F470,'Dados de consulta'!$A$2:$C$38,3,0),8))</f>
        <v>8</v>
      </c>
      <c r="BD470" s="97">
        <f>IF(OR(AY470="SÁB",AY470="DOM"),0,IFERROR(8-VLOOKUP(G470,'Dados de consulta'!$A$2:$C$38,3,0),8))</f>
        <v>8</v>
      </c>
      <c r="BE470" s="97">
        <f>IF(OR(AY470="SÁB",AY470="DOM"),0,IFERROR(8-VLOOKUP(H470,'Dados de consulta'!$A$2:$C$38,3,0),8))</f>
        <v>8</v>
      </c>
      <c r="BF470" s="97">
        <f>IF(OR(AY470="SÁB",AY470="DOM"),0,IFERROR(8-VLOOKUP(I470,'Dados de consulta'!$A$2:$C$38,3,0),8))</f>
        <v>8</v>
      </c>
      <c r="BG470" s="97">
        <f>IF(OR(AY470="SÁB",AY470="DOM"),0,IFERROR(8-VLOOKUP(J470,'Dados de consulta'!$A$2:$C$38,3,0),8))</f>
        <v>8</v>
      </c>
      <c r="BH470" s="97">
        <f>IF(OR(AY470="SÁB",AY470="DOM"),0,IFERROR(8-VLOOKUP(K470,'Dados de consulta'!$A$2:$C$38,3,0),8))</f>
        <v>8</v>
      </c>
      <c r="BI470" s="97">
        <f>IF(OR(AY470="SÁB",AY470="DOM"),0,IFERROR(8-VLOOKUP(L470,'Dados de consulta'!$A$2:$C$38,3,0),8))</f>
        <v>8</v>
      </c>
      <c r="BJ470" s="97">
        <f>IF(OR(AY470="SÁB",AY470="DOM"),0,IFERROR(8-VLOOKUP(M470,'Dados de consulta'!$A$2:$C$38,3,0),8))</f>
        <v>0</v>
      </c>
      <c r="BK470" s="97">
        <f>IF(OR(AY470="SÁB",AY470="DOM"),0,IFERROR(8-VLOOKUP(N470,'Dados de consulta'!$A$2:$C$38,3,0),8))</f>
        <v>8</v>
      </c>
      <c r="BL470" s="97">
        <f>IF(OR(AY470="SÁB",AY470="DOM"),0,IFERROR(8-VLOOKUP(O470,'Dados de consulta'!$A$2:$C$38,3,0),8))</f>
        <v>8</v>
      </c>
      <c r="BM470" s="97">
        <f>IF(OR(AY470="SÁB",AY470="DOM"),0,IFERROR(8-VLOOKUP(P470,'Dados de consulta'!$A$2:$C$38,3,0),8))</f>
        <v>0</v>
      </c>
      <c r="BN470" s="97">
        <f>IF(OR(AY470="SÁB",AY470="DOM"),0,IFERROR(8-VLOOKUP(Q470,'Dados de consulta'!$A$2:$C$38,3,0),8))</f>
        <v>8</v>
      </c>
      <c r="BO470" s="97">
        <f>IF(OR(AY470="SÁB",AY470="DOM"),0,IFERROR(8-VLOOKUP(R470,'Dados de consulta'!$A$2:$C$38,3,0),8))</f>
        <v>8</v>
      </c>
      <c r="BP470" s="97">
        <f>IF(OR(AY470="SÁB",AY470="DOM"),0,IFERROR(8-VLOOKUP(S470,'Dados de consulta'!$A$2:$C$38,3,0),8))</f>
        <v>0</v>
      </c>
      <c r="BQ470" s="113">
        <f>IFERROR(6-VLOOKUP(T470,'Dados de consulta'!$A$2:$C$38,3,0)+2,6)</f>
        <v>6</v>
      </c>
      <c r="BR470" s="114">
        <f t="shared" si="206"/>
        <v>110</v>
      </c>
      <c r="BS470">
        <f t="shared" si="182"/>
        <v>134</v>
      </c>
      <c r="BU470">
        <f>IFERROR(8-VLOOKUP(U470,'Dados de consulta'!$A:$D,3,0),8)</f>
        <v>8</v>
      </c>
      <c r="BV470">
        <f>IFERROR(8-VLOOKUP(V470,'Dados de consulta'!$A:$D,3,0),8)</f>
        <v>8</v>
      </c>
      <c r="BW470">
        <f t="shared" si="207"/>
        <v>16</v>
      </c>
    </row>
    <row r="471" spans="1:75" ht="15" hidden="1" x14ac:dyDescent="0.2">
      <c r="A471" s="98">
        <v>42594</v>
      </c>
      <c r="B471" s="129" t="str">
        <f t="shared" si="184"/>
        <v>sex</v>
      </c>
      <c r="C471" s="132"/>
      <c r="D471" s="132"/>
      <c r="E471" s="132">
        <v>18</v>
      </c>
      <c r="F471" s="132"/>
      <c r="G471" s="132"/>
      <c r="H471" s="132"/>
      <c r="I471" s="132"/>
      <c r="J471" s="132"/>
      <c r="K471" s="132"/>
      <c r="L471" s="132"/>
      <c r="M471" s="132">
        <v>101</v>
      </c>
      <c r="N471" s="132"/>
      <c r="O471" s="132"/>
      <c r="P471" s="132">
        <v>18</v>
      </c>
      <c r="Q471" s="132"/>
      <c r="R471" s="132"/>
      <c r="S471" s="132">
        <v>18</v>
      </c>
      <c r="T471" s="132"/>
      <c r="U471" s="151"/>
      <c r="V471" s="151"/>
      <c r="W471" s="307" t="s">
        <v>193</v>
      </c>
      <c r="X471" s="308"/>
      <c r="Y471" s="38">
        <f t="shared" si="185"/>
        <v>0</v>
      </c>
      <c r="Z471" s="38">
        <f t="shared" si="186"/>
        <v>24</v>
      </c>
      <c r="AA471" s="38">
        <f t="shared" si="183"/>
        <v>0</v>
      </c>
      <c r="AB471" s="38">
        <f t="shared" si="194"/>
        <v>0</v>
      </c>
      <c r="AC471" s="38">
        <f t="shared" si="195"/>
        <v>0</v>
      </c>
      <c r="AD471" s="38">
        <f t="shared" si="196"/>
        <v>0</v>
      </c>
      <c r="AE471" s="38">
        <f t="shared" si="197"/>
        <v>0</v>
      </c>
      <c r="AF471" s="38">
        <f t="shared" si="198"/>
        <v>0</v>
      </c>
      <c r="AG471" s="33">
        <f t="shared" si="199"/>
        <v>0</v>
      </c>
      <c r="AH471" s="33">
        <f t="shared" si="200"/>
        <v>24</v>
      </c>
      <c r="AI471" s="33">
        <f t="shared" si="201"/>
        <v>0</v>
      </c>
      <c r="AJ471" s="33">
        <f t="shared" si="202"/>
        <v>0</v>
      </c>
      <c r="AK471" s="34">
        <f t="shared" si="203"/>
        <v>0</v>
      </c>
      <c r="AL471" s="35">
        <f t="shared" si="204"/>
        <v>0.16901408450704225</v>
      </c>
      <c r="AM471" s="34">
        <f t="shared" si="187"/>
        <v>0</v>
      </c>
      <c r="AN471" s="36">
        <f t="shared" si="205"/>
        <v>0</v>
      </c>
      <c r="AO471" s="6">
        <f t="shared" si="188"/>
        <v>0</v>
      </c>
      <c r="AP471">
        <f t="shared" si="189"/>
        <v>8</v>
      </c>
      <c r="AQ471" s="6">
        <f t="shared" si="190"/>
        <v>0</v>
      </c>
      <c r="AR471" s="6">
        <f t="shared" si="191"/>
        <v>0</v>
      </c>
      <c r="AS471" s="6"/>
      <c r="AX471" s="95">
        <f t="shared" si="192"/>
        <v>42594</v>
      </c>
      <c r="AY471" s="96" t="str">
        <f t="shared" si="193"/>
        <v>sex</v>
      </c>
      <c r="AZ471" s="97">
        <f>IF(OR(AY471="SÁB",AY471="DOM"),0,IFERROR(8-VLOOKUP(C471,'Dados de consulta'!$A$2:$C$38,3,0),8))</f>
        <v>8</v>
      </c>
      <c r="BA471" s="97">
        <f>IF(OR(AY471="SÁB",AY471="DOM"),0,IFERROR(8-VLOOKUP(D471,'Dados de consulta'!$A$2:$C$38,3,0),8))</f>
        <v>8</v>
      </c>
      <c r="BB471" s="97">
        <f>IF(OR(AY471="SÁB",AY471="DOM"),0,IFERROR(8-VLOOKUP(E471,'Dados de consulta'!$A$2:$C$38,3,0),8))</f>
        <v>0</v>
      </c>
      <c r="BC471" s="97">
        <f>IF(OR(AY471="SÁB",AY471="DOM"),0,IFERROR(8-VLOOKUP(F471,'Dados de consulta'!$A$2:$C$38,3,0),8))</f>
        <v>8</v>
      </c>
      <c r="BD471" s="97">
        <f>IF(OR(AY471="SÁB",AY471="DOM"),0,IFERROR(8-VLOOKUP(G471,'Dados de consulta'!$A$2:$C$38,3,0),8))</f>
        <v>8</v>
      </c>
      <c r="BE471" s="97">
        <f>IF(OR(AY471="SÁB",AY471="DOM"),0,IFERROR(8-VLOOKUP(H471,'Dados de consulta'!$A$2:$C$38,3,0),8))</f>
        <v>8</v>
      </c>
      <c r="BF471" s="97">
        <f>IF(OR(AY471="SÁB",AY471="DOM"),0,IFERROR(8-VLOOKUP(I471,'Dados de consulta'!$A$2:$C$38,3,0),8))</f>
        <v>8</v>
      </c>
      <c r="BG471" s="97">
        <f>IF(OR(AY471="SÁB",AY471="DOM"),0,IFERROR(8-VLOOKUP(J471,'Dados de consulta'!$A$2:$C$38,3,0),8))</f>
        <v>8</v>
      </c>
      <c r="BH471" s="97">
        <f>IF(OR(AY471="SÁB",AY471="DOM"),0,IFERROR(8-VLOOKUP(K471,'Dados de consulta'!$A$2:$C$38,3,0),8))</f>
        <v>8</v>
      </c>
      <c r="BI471" s="97">
        <f>IF(OR(AY471="SÁB",AY471="DOM"),0,IFERROR(8-VLOOKUP(L471,'Dados de consulta'!$A$2:$C$38,3,0),8))</f>
        <v>8</v>
      </c>
      <c r="BJ471" s="97">
        <f>IF(OR(AY471="SÁB",AY471="DOM"),0,IFERROR(8-VLOOKUP(M471,'Dados de consulta'!$A$2:$C$38,3,0),8))</f>
        <v>0</v>
      </c>
      <c r="BK471" s="97">
        <f>IF(OR(AY471="SÁB",AY471="DOM"),0,IFERROR(8-VLOOKUP(N471,'Dados de consulta'!$A$2:$C$38,3,0),8))</f>
        <v>8</v>
      </c>
      <c r="BL471" s="97">
        <f>IF(OR(AY471="SÁB",AY471="DOM"),0,IFERROR(8-VLOOKUP(O471,'Dados de consulta'!$A$2:$C$38,3,0),8))</f>
        <v>8</v>
      </c>
      <c r="BM471" s="97">
        <f>IF(OR(AY471="SÁB",AY471="DOM"),0,IFERROR(8-VLOOKUP(P471,'Dados de consulta'!$A$2:$C$38,3,0),8))</f>
        <v>0</v>
      </c>
      <c r="BN471" s="97">
        <f>IF(OR(AY471="SÁB",AY471="DOM"),0,IFERROR(8-VLOOKUP(Q471,'Dados de consulta'!$A$2:$C$38,3,0),8))</f>
        <v>8</v>
      </c>
      <c r="BO471" s="97">
        <f>IF(OR(AY471="SÁB",AY471="DOM"),0,IFERROR(8-VLOOKUP(R471,'Dados de consulta'!$A$2:$C$38,3,0),8))</f>
        <v>8</v>
      </c>
      <c r="BP471" s="97">
        <f>IF(OR(AY471="SÁB",AY471="DOM"),0,IFERROR(8-VLOOKUP(S471,'Dados de consulta'!$A$2:$C$38,3,0),8))</f>
        <v>0</v>
      </c>
      <c r="BQ471" s="113">
        <f>IFERROR(6-VLOOKUP(T471,'Dados de consulta'!$A$2:$C$38,3,0)+2,6)</f>
        <v>6</v>
      </c>
      <c r="BR471" s="114">
        <f t="shared" si="206"/>
        <v>110</v>
      </c>
      <c r="BS471">
        <f t="shared" si="182"/>
        <v>134</v>
      </c>
      <c r="BU471">
        <f>IFERROR(8-VLOOKUP(U471,'Dados de consulta'!$A:$D,3,0),8)</f>
        <v>8</v>
      </c>
      <c r="BV471">
        <f>IFERROR(8-VLOOKUP(V471,'Dados de consulta'!$A:$D,3,0),8)</f>
        <v>8</v>
      </c>
      <c r="BW471">
        <f t="shared" si="207"/>
        <v>16</v>
      </c>
    </row>
    <row r="472" spans="1:75" ht="15" hidden="1" x14ac:dyDescent="0.2">
      <c r="A472" s="98">
        <v>42595</v>
      </c>
      <c r="B472" s="129" t="str">
        <f t="shared" si="184"/>
        <v>sáb</v>
      </c>
      <c r="C472" s="132"/>
      <c r="D472" s="132"/>
      <c r="E472" s="132">
        <v>18</v>
      </c>
      <c r="F472" s="132"/>
      <c r="G472" s="132"/>
      <c r="H472" s="132"/>
      <c r="I472" s="132"/>
      <c r="J472" s="132"/>
      <c r="K472" s="132"/>
      <c r="L472" s="132"/>
      <c r="M472" s="132">
        <v>101</v>
      </c>
      <c r="N472" s="132"/>
      <c r="O472" s="132"/>
      <c r="P472" s="132">
        <v>18</v>
      </c>
      <c r="Q472" s="132"/>
      <c r="R472" s="132"/>
      <c r="S472" s="132">
        <v>18</v>
      </c>
      <c r="T472" s="132"/>
      <c r="U472" s="151"/>
      <c r="V472" s="151"/>
      <c r="W472" s="307" t="s">
        <v>193</v>
      </c>
      <c r="X472" s="308"/>
      <c r="Y472" s="38">
        <f t="shared" si="185"/>
        <v>0</v>
      </c>
      <c r="Z472" s="38">
        <f t="shared" si="186"/>
        <v>24</v>
      </c>
      <c r="AA472" s="38">
        <f t="shared" si="183"/>
        <v>0</v>
      </c>
      <c r="AB472" s="38">
        <f t="shared" si="194"/>
        <v>0</v>
      </c>
      <c r="AC472" s="38">
        <f t="shared" si="195"/>
        <v>0</v>
      </c>
      <c r="AD472" s="38">
        <f t="shared" si="196"/>
        <v>0</v>
      </c>
      <c r="AE472" s="38">
        <f t="shared" si="197"/>
        <v>0</v>
      </c>
      <c r="AF472" s="38">
        <f t="shared" si="198"/>
        <v>0</v>
      </c>
      <c r="AG472" s="33">
        <f t="shared" si="199"/>
        <v>0</v>
      </c>
      <c r="AH472" s="33">
        <f t="shared" si="200"/>
        <v>0</v>
      </c>
      <c r="AI472" s="33">
        <f t="shared" si="201"/>
        <v>0</v>
      </c>
      <c r="AJ472" s="33">
        <f t="shared" si="202"/>
        <v>0</v>
      </c>
      <c r="AK472" s="34">
        <f t="shared" si="203"/>
        <v>0</v>
      </c>
      <c r="AL472" s="35">
        <f t="shared" si="204"/>
        <v>0</v>
      </c>
      <c r="AM472" s="34">
        <f t="shared" si="187"/>
        <v>0</v>
      </c>
      <c r="AN472" s="36">
        <f t="shared" si="205"/>
        <v>0</v>
      </c>
      <c r="AO472" s="6">
        <f t="shared" si="188"/>
        <v>0</v>
      </c>
      <c r="AP472">
        <f t="shared" si="189"/>
        <v>8</v>
      </c>
      <c r="AQ472" s="6">
        <f t="shared" si="190"/>
        <v>0</v>
      </c>
      <c r="AR472" s="6">
        <f t="shared" si="191"/>
        <v>0</v>
      </c>
      <c r="AS472" s="6"/>
      <c r="AX472" s="95">
        <f t="shared" si="192"/>
        <v>42595</v>
      </c>
      <c r="AY472" s="96" t="str">
        <f t="shared" si="193"/>
        <v>sáb</v>
      </c>
      <c r="AZ472" s="97">
        <f>IF(OR(AY472="SÁB",AY472="DOM"),0,IFERROR(8-VLOOKUP(C472,'Dados de consulta'!$A$2:$C$38,3,0),8))</f>
        <v>0</v>
      </c>
      <c r="BA472" s="97">
        <f>IF(OR(AY472="SÁB",AY472="DOM"),0,IFERROR(8-VLOOKUP(D472,'Dados de consulta'!$A$2:$C$38,3,0),8))</f>
        <v>0</v>
      </c>
      <c r="BB472" s="97">
        <f>IF(OR(AY472="SÁB",AY472="DOM"),0,IFERROR(8-VLOOKUP(E472,'Dados de consulta'!$A$2:$C$38,3,0),8))</f>
        <v>0</v>
      </c>
      <c r="BC472" s="97">
        <f>IF(OR(AY472="SÁB",AY472="DOM"),0,IFERROR(8-VLOOKUP(F472,'Dados de consulta'!$A$2:$C$38,3,0),8))</f>
        <v>0</v>
      </c>
      <c r="BD472" s="97">
        <f>IF(OR(AY472="SÁB",AY472="DOM"),0,IFERROR(8-VLOOKUP(G472,'Dados de consulta'!$A$2:$C$38,3,0),8))</f>
        <v>0</v>
      </c>
      <c r="BE472" s="97">
        <f>IF(OR(AY472="SÁB",AY472="DOM"),0,IFERROR(8-VLOOKUP(H472,'Dados de consulta'!$A$2:$C$38,3,0),8))</f>
        <v>0</v>
      </c>
      <c r="BF472" s="97">
        <f>IF(OR(AY472="SÁB",AY472="DOM"),0,IFERROR(8-VLOOKUP(I472,'Dados de consulta'!$A$2:$C$38,3,0),8))</f>
        <v>0</v>
      </c>
      <c r="BG472" s="97">
        <f>IF(OR(AY472="SÁB",AY472="DOM"),0,IFERROR(8-VLOOKUP(J472,'Dados de consulta'!$A$2:$C$38,3,0),8))</f>
        <v>0</v>
      </c>
      <c r="BH472" s="97">
        <f>IF(OR(AY472="SÁB",AY472="DOM"),0,IFERROR(8-VLOOKUP(K472,'Dados de consulta'!$A$2:$C$38,3,0),8))</f>
        <v>0</v>
      </c>
      <c r="BI472" s="97">
        <f>IF(OR(AY472="SÁB",AY472="DOM"),0,IFERROR(8-VLOOKUP(L472,'Dados de consulta'!$A$2:$C$38,3,0),8))</f>
        <v>0</v>
      </c>
      <c r="BJ472" s="97">
        <f>IF(OR(AY472="SÁB",AY472="DOM"),0,IFERROR(8-VLOOKUP(M472,'Dados de consulta'!$A$2:$C$38,3,0),8))</f>
        <v>0</v>
      </c>
      <c r="BK472" s="97">
        <f>IF(OR(AY472="SÁB",AY472="DOM"),0,IFERROR(8-VLOOKUP(N472,'Dados de consulta'!$A$2:$C$38,3,0),8))</f>
        <v>0</v>
      </c>
      <c r="BL472" s="97">
        <f>IF(OR(AY472="SÁB",AY472="DOM"),0,IFERROR(8-VLOOKUP(O472,'Dados de consulta'!$A$2:$C$38,3,0),8))</f>
        <v>0</v>
      </c>
      <c r="BM472" s="97">
        <f>IF(OR(AY472="SÁB",AY472="DOM"),0,IFERROR(8-VLOOKUP(P472,'Dados de consulta'!$A$2:$C$38,3,0),8))</f>
        <v>0</v>
      </c>
      <c r="BN472" s="97">
        <f>IF(OR(AY472="SÁB",AY472="DOM"),0,IFERROR(8-VLOOKUP(Q472,'Dados de consulta'!$A$2:$C$38,3,0),8))</f>
        <v>0</v>
      </c>
      <c r="BO472" s="97">
        <f>IF(OR(AY472="SÁB",AY472="DOM"),0,IFERROR(8-VLOOKUP(R472,'Dados de consulta'!$A$2:$C$38,3,0),8))</f>
        <v>0</v>
      </c>
      <c r="BP472" s="97">
        <f>IF(OR(AY472="SÁB",AY472="DOM"),0,IFERROR(8-VLOOKUP(S472,'Dados de consulta'!$A$2:$C$38,3,0),8))</f>
        <v>0</v>
      </c>
      <c r="BQ472" s="113">
        <f>IFERROR(6-VLOOKUP(T472,'Dados de consulta'!$A$2:$C$38,3,0)+2,6)</f>
        <v>6</v>
      </c>
      <c r="BR472" s="114">
        <f t="shared" si="206"/>
        <v>0</v>
      </c>
      <c r="BS472">
        <f t="shared" si="182"/>
        <v>0</v>
      </c>
      <c r="BU472">
        <f>IFERROR(8-VLOOKUP(U472,'Dados de consulta'!$A:$D,3,0),8)</f>
        <v>8</v>
      </c>
      <c r="BV472">
        <f>IFERROR(8-VLOOKUP(V472,'Dados de consulta'!$A:$D,3,0),8)</f>
        <v>8</v>
      </c>
      <c r="BW472">
        <f t="shared" si="207"/>
        <v>16</v>
      </c>
    </row>
    <row r="473" spans="1:75" ht="15" hidden="1" x14ac:dyDescent="0.2">
      <c r="A473" s="98">
        <v>42596</v>
      </c>
      <c r="B473" s="129" t="str">
        <f t="shared" si="184"/>
        <v>dom</v>
      </c>
      <c r="C473" s="132"/>
      <c r="D473" s="132"/>
      <c r="E473" s="132">
        <v>18</v>
      </c>
      <c r="F473" s="132"/>
      <c r="G473" s="132"/>
      <c r="H473" s="132"/>
      <c r="I473" s="132"/>
      <c r="J473" s="132"/>
      <c r="K473" s="132"/>
      <c r="L473" s="132"/>
      <c r="M473" s="132">
        <v>101</v>
      </c>
      <c r="N473" s="132"/>
      <c r="O473" s="132"/>
      <c r="P473" s="132">
        <v>18</v>
      </c>
      <c r="Q473" s="132"/>
      <c r="R473" s="132"/>
      <c r="S473" s="132"/>
      <c r="T473" s="132"/>
      <c r="U473" s="151"/>
      <c r="V473" s="151"/>
      <c r="W473" s="307" t="s">
        <v>193</v>
      </c>
      <c r="X473" s="308"/>
      <c r="Y473" s="38">
        <f t="shared" si="185"/>
        <v>0</v>
      </c>
      <c r="Z473" s="38">
        <f t="shared" si="186"/>
        <v>16</v>
      </c>
      <c r="AA473" s="38">
        <f t="shared" si="183"/>
        <v>0</v>
      </c>
      <c r="AB473" s="38">
        <f t="shared" si="194"/>
        <v>0</v>
      </c>
      <c r="AC473" s="38">
        <f t="shared" si="195"/>
        <v>0</v>
      </c>
      <c r="AD473" s="38">
        <f t="shared" si="196"/>
        <v>0</v>
      </c>
      <c r="AE473" s="38">
        <f t="shared" si="197"/>
        <v>0</v>
      </c>
      <c r="AF473" s="38">
        <f t="shared" si="198"/>
        <v>0</v>
      </c>
      <c r="AG473" s="33">
        <f t="shared" si="199"/>
        <v>0</v>
      </c>
      <c r="AH473" s="33">
        <f t="shared" si="200"/>
        <v>0</v>
      </c>
      <c r="AI473" s="33">
        <f t="shared" si="201"/>
        <v>0</v>
      </c>
      <c r="AJ473" s="33">
        <f t="shared" si="202"/>
        <v>0</v>
      </c>
      <c r="AK473" s="34">
        <f t="shared" si="203"/>
        <v>0</v>
      </c>
      <c r="AL473" s="35">
        <f t="shared" si="204"/>
        <v>0</v>
      </c>
      <c r="AM473" s="34">
        <f t="shared" si="187"/>
        <v>0</v>
      </c>
      <c r="AN473" s="36">
        <f t="shared" si="205"/>
        <v>0</v>
      </c>
      <c r="AO473" s="6">
        <f t="shared" si="188"/>
        <v>0</v>
      </c>
      <c r="AP473">
        <f t="shared" si="189"/>
        <v>8</v>
      </c>
      <c r="AQ473" s="6">
        <f t="shared" si="190"/>
        <v>0</v>
      </c>
      <c r="AR473" s="6">
        <f t="shared" si="191"/>
        <v>0</v>
      </c>
      <c r="AS473" s="6"/>
      <c r="AX473" s="95">
        <f t="shared" si="192"/>
        <v>42596</v>
      </c>
      <c r="AY473" s="96" t="str">
        <f t="shared" si="193"/>
        <v>dom</v>
      </c>
      <c r="AZ473" s="97">
        <f>IF(OR(AY473="SÁB",AY473="DOM"),0,IFERROR(8-VLOOKUP(C473,'Dados de consulta'!$A$2:$C$38,3,0),8))</f>
        <v>0</v>
      </c>
      <c r="BA473" s="97">
        <f>IF(OR(AY473="SÁB",AY473="DOM"),0,IFERROR(8-VLOOKUP(D473,'Dados de consulta'!$A$2:$C$38,3,0),8))</f>
        <v>0</v>
      </c>
      <c r="BB473" s="97">
        <f>IF(OR(AY473="SÁB",AY473="DOM"),0,IFERROR(8-VLOOKUP(E473,'Dados de consulta'!$A$2:$C$38,3,0),8))</f>
        <v>0</v>
      </c>
      <c r="BC473" s="97">
        <f>IF(OR(AY473="SÁB",AY473="DOM"),0,IFERROR(8-VLOOKUP(F473,'Dados de consulta'!$A$2:$C$38,3,0),8))</f>
        <v>0</v>
      </c>
      <c r="BD473" s="97">
        <f>IF(OR(AY473="SÁB",AY473="DOM"),0,IFERROR(8-VLOOKUP(G473,'Dados de consulta'!$A$2:$C$38,3,0),8))</f>
        <v>0</v>
      </c>
      <c r="BE473" s="97">
        <f>IF(OR(AY473="SÁB",AY473="DOM"),0,IFERROR(8-VLOOKUP(H473,'Dados de consulta'!$A$2:$C$38,3,0),8))</f>
        <v>0</v>
      </c>
      <c r="BF473" s="97">
        <f>IF(OR(AY473="SÁB",AY473="DOM"),0,IFERROR(8-VLOOKUP(I473,'Dados de consulta'!$A$2:$C$38,3,0),8))</f>
        <v>0</v>
      </c>
      <c r="BG473" s="97">
        <f>IF(OR(AY473="SÁB",AY473="DOM"),0,IFERROR(8-VLOOKUP(J473,'Dados de consulta'!$A$2:$C$38,3,0),8))</f>
        <v>0</v>
      </c>
      <c r="BH473" s="97">
        <f>IF(OR(AY473="SÁB",AY473="DOM"),0,IFERROR(8-VLOOKUP(K473,'Dados de consulta'!$A$2:$C$38,3,0),8))</f>
        <v>0</v>
      </c>
      <c r="BI473" s="97">
        <f>IF(OR(AY473="SÁB",AY473="DOM"),0,IFERROR(8-VLOOKUP(L473,'Dados de consulta'!$A$2:$C$38,3,0),8))</f>
        <v>0</v>
      </c>
      <c r="BJ473" s="97">
        <f>IF(OR(AY473="SÁB",AY473="DOM"),0,IFERROR(8-VLOOKUP(M473,'Dados de consulta'!$A$2:$C$38,3,0),8))</f>
        <v>0</v>
      </c>
      <c r="BK473" s="97">
        <f>IF(OR(AY473="SÁB",AY473="DOM"),0,IFERROR(8-VLOOKUP(N473,'Dados de consulta'!$A$2:$C$38,3,0),8))</f>
        <v>0</v>
      </c>
      <c r="BL473" s="97">
        <f>IF(OR(AY473="SÁB",AY473="DOM"),0,IFERROR(8-VLOOKUP(O473,'Dados de consulta'!$A$2:$C$38,3,0),8))</f>
        <v>0</v>
      </c>
      <c r="BM473" s="97">
        <f>IF(OR(AY473="SÁB",AY473="DOM"),0,IFERROR(8-VLOOKUP(P473,'Dados de consulta'!$A$2:$C$38,3,0),8))</f>
        <v>0</v>
      </c>
      <c r="BN473" s="97">
        <f>IF(OR(AY473="SÁB",AY473="DOM"),0,IFERROR(8-VLOOKUP(Q473,'Dados de consulta'!$A$2:$C$38,3,0),8))</f>
        <v>0</v>
      </c>
      <c r="BO473" s="97">
        <f>IF(OR(AY473="SÁB",AY473="DOM"),0,IFERROR(8-VLOOKUP(R473,'Dados de consulta'!$A$2:$C$38,3,0),8))</f>
        <v>0</v>
      </c>
      <c r="BP473" s="97">
        <f>IF(OR(AY473="SÁB",AY473="DOM"),0,IFERROR(8-VLOOKUP(S473,'Dados de consulta'!$A$2:$C$38,3,0),8))</f>
        <v>0</v>
      </c>
      <c r="BQ473" s="113">
        <f>IFERROR(6-VLOOKUP(T473,'Dados de consulta'!$A$2:$C$38,3,0)+2,6)</f>
        <v>6</v>
      </c>
      <c r="BR473" s="114">
        <f t="shared" si="206"/>
        <v>0</v>
      </c>
      <c r="BS473">
        <f t="shared" si="182"/>
        <v>0</v>
      </c>
      <c r="BU473">
        <f>IFERROR(8-VLOOKUP(U473,'Dados de consulta'!$A:$D,3,0),8)</f>
        <v>8</v>
      </c>
      <c r="BV473">
        <f>IFERROR(8-VLOOKUP(V473,'Dados de consulta'!$A:$D,3,0),8)</f>
        <v>8</v>
      </c>
      <c r="BW473">
        <f t="shared" si="207"/>
        <v>16</v>
      </c>
    </row>
    <row r="474" spans="1:75" ht="15" hidden="1" x14ac:dyDescent="0.2">
      <c r="A474" s="98">
        <v>42597</v>
      </c>
      <c r="B474" s="129" t="str">
        <f t="shared" si="184"/>
        <v>seg</v>
      </c>
      <c r="C474" s="132"/>
      <c r="D474" s="132"/>
      <c r="E474" s="132">
        <v>18</v>
      </c>
      <c r="F474" s="132"/>
      <c r="G474" s="132"/>
      <c r="H474" s="132"/>
      <c r="I474" s="132"/>
      <c r="J474" s="132"/>
      <c r="K474" s="132"/>
      <c r="L474" s="132"/>
      <c r="M474" s="132">
        <v>101</v>
      </c>
      <c r="N474" s="132"/>
      <c r="O474" s="132"/>
      <c r="P474" s="132">
        <v>18</v>
      </c>
      <c r="Q474" s="132"/>
      <c r="R474" s="132"/>
      <c r="S474" s="132"/>
      <c r="T474" s="132"/>
      <c r="U474" s="151"/>
      <c r="V474" s="151"/>
      <c r="W474" s="307" t="s">
        <v>193</v>
      </c>
      <c r="X474" s="308"/>
      <c r="Y474" s="38">
        <f t="shared" si="185"/>
        <v>0</v>
      </c>
      <c r="Z474" s="38">
        <f t="shared" si="186"/>
        <v>16</v>
      </c>
      <c r="AA474" s="38">
        <f t="shared" si="183"/>
        <v>0</v>
      </c>
      <c r="AB474" s="38">
        <f t="shared" si="194"/>
        <v>0</v>
      </c>
      <c r="AC474" s="38">
        <f t="shared" si="195"/>
        <v>0</v>
      </c>
      <c r="AD474" s="38">
        <f t="shared" si="196"/>
        <v>0</v>
      </c>
      <c r="AE474" s="38">
        <f t="shared" si="197"/>
        <v>0</v>
      </c>
      <c r="AF474" s="38">
        <f t="shared" si="198"/>
        <v>0</v>
      </c>
      <c r="AG474" s="33">
        <f t="shared" si="199"/>
        <v>0</v>
      </c>
      <c r="AH474" s="33">
        <f t="shared" si="200"/>
        <v>16</v>
      </c>
      <c r="AI474" s="33">
        <f t="shared" si="201"/>
        <v>0</v>
      </c>
      <c r="AJ474" s="33">
        <f t="shared" si="202"/>
        <v>0</v>
      </c>
      <c r="AK474" s="34">
        <f t="shared" si="203"/>
        <v>0</v>
      </c>
      <c r="AL474" s="35">
        <f t="shared" si="204"/>
        <v>0.11267605633802817</v>
      </c>
      <c r="AM474" s="34">
        <f t="shared" si="187"/>
        <v>0</v>
      </c>
      <c r="AN474" s="36">
        <f t="shared" si="205"/>
        <v>0</v>
      </c>
      <c r="AO474" s="6">
        <f t="shared" si="188"/>
        <v>0</v>
      </c>
      <c r="AP474">
        <f t="shared" si="189"/>
        <v>8</v>
      </c>
      <c r="AQ474" s="6">
        <f t="shared" si="190"/>
        <v>0</v>
      </c>
      <c r="AR474" s="6">
        <f t="shared" si="191"/>
        <v>0</v>
      </c>
      <c r="AS474" s="6"/>
      <c r="AX474" s="95">
        <f t="shared" si="192"/>
        <v>42597</v>
      </c>
      <c r="AY474" s="96" t="str">
        <f t="shared" si="193"/>
        <v>seg</v>
      </c>
      <c r="AZ474" s="97">
        <f>IF(OR(AY474="SÁB",AY474="DOM"),0,IFERROR(8-VLOOKUP(C474,'Dados de consulta'!$A$2:$C$38,3,0),8))</f>
        <v>8</v>
      </c>
      <c r="BA474" s="97">
        <f>IF(OR(AY474="SÁB",AY474="DOM"),0,IFERROR(8-VLOOKUP(D474,'Dados de consulta'!$A$2:$C$38,3,0),8))</f>
        <v>8</v>
      </c>
      <c r="BB474" s="97">
        <f>IF(OR(AY474="SÁB",AY474="DOM"),0,IFERROR(8-VLOOKUP(E474,'Dados de consulta'!$A$2:$C$38,3,0),8))</f>
        <v>0</v>
      </c>
      <c r="BC474" s="97">
        <f>IF(OR(AY474="SÁB",AY474="DOM"),0,IFERROR(8-VLOOKUP(F474,'Dados de consulta'!$A$2:$C$38,3,0),8))</f>
        <v>8</v>
      </c>
      <c r="BD474" s="97">
        <f>IF(OR(AY474="SÁB",AY474="DOM"),0,IFERROR(8-VLOOKUP(G474,'Dados de consulta'!$A$2:$C$38,3,0),8))</f>
        <v>8</v>
      </c>
      <c r="BE474" s="97">
        <f>IF(OR(AY474="SÁB",AY474="DOM"),0,IFERROR(8-VLOOKUP(H474,'Dados de consulta'!$A$2:$C$38,3,0),8))</f>
        <v>8</v>
      </c>
      <c r="BF474" s="97">
        <f>IF(OR(AY474="SÁB",AY474="DOM"),0,IFERROR(8-VLOOKUP(I474,'Dados de consulta'!$A$2:$C$38,3,0),8))</f>
        <v>8</v>
      </c>
      <c r="BG474" s="97">
        <f>IF(OR(AY474="SÁB",AY474="DOM"),0,IFERROR(8-VLOOKUP(J474,'Dados de consulta'!$A$2:$C$38,3,0),8))</f>
        <v>8</v>
      </c>
      <c r="BH474" s="97">
        <f>IF(OR(AY474="SÁB",AY474="DOM"),0,IFERROR(8-VLOOKUP(K474,'Dados de consulta'!$A$2:$C$38,3,0),8))</f>
        <v>8</v>
      </c>
      <c r="BI474" s="97">
        <f>IF(OR(AY474="SÁB",AY474="DOM"),0,IFERROR(8-VLOOKUP(L474,'Dados de consulta'!$A$2:$C$38,3,0),8))</f>
        <v>8</v>
      </c>
      <c r="BJ474" s="97">
        <f>IF(OR(AY474="SÁB",AY474="DOM"),0,IFERROR(8-VLOOKUP(M474,'Dados de consulta'!$A$2:$C$38,3,0),8))</f>
        <v>0</v>
      </c>
      <c r="BK474" s="97">
        <f>IF(OR(AY474="SÁB",AY474="DOM"),0,IFERROR(8-VLOOKUP(N474,'Dados de consulta'!$A$2:$C$38,3,0),8))</f>
        <v>8</v>
      </c>
      <c r="BL474" s="97">
        <f>IF(OR(AY474="SÁB",AY474="DOM"),0,IFERROR(8-VLOOKUP(O474,'Dados de consulta'!$A$2:$C$38,3,0),8))</f>
        <v>8</v>
      </c>
      <c r="BM474" s="97">
        <f>IF(OR(AY474="SÁB",AY474="DOM"),0,IFERROR(8-VLOOKUP(P474,'Dados de consulta'!$A$2:$C$38,3,0),8))</f>
        <v>0</v>
      </c>
      <c r="BN474" s="97">
        <f>IF(OR(AY474="SÁB",AY474="DOM"),0,IFERROR(8-VLOOKUP(Q474,'Dados de consulta'!$A$2:$C$38,3,0),8))</f>
        <v>8</v>
      </c>
      <c r="BO474" s="97">
        <f>IF(OR(AY474="SÁB",AY474="DOM"),0,IFERROR(8-VLOOKUP(R474,'Dados de consulta'!$A$2:$C$38,3,0),8))</f>
        <v>8</v>
      </c>
      <c r="BP474" s="97">
        <f>IF(OR(AY474="SÁB",AY474="DOM"),0,IFERROR(8-VLOOKUP(S474,'Dados de consulta'!$A$2:$C$38,3,0),8))</f>
        <v>8</v>
      </c>
      <c r="BQ474" s="113">
        <f>IFERROR(6-VLOOKUP(T474,'Dados de consulta'!$A$2:$C$38,3,0)+2,6)</f>
        <v>6</v>
      </c>
      <c r="BR474" s="114">
        <f t="shared" si="206"/>
        <v>118</v>
      </c>
      <c r="BS474">
        <f t="shared" si="182"/>
        <v>134</v>
      </c>
      <c r="BU474">
        <f>IFERROR(8-VLOOKUP(U474,'Dados de consulta'!$A:$D,3,0),8)</f>
        <v>8</v>
      </c>
      <c r="BV474">
        <f>IFERROR(8-VLOOKUP(V474,'Dados de consulta'!$A:$D,3,0),8)</f>
        <v>8</v>
      </c>
      <c r="BW474">
        <f t="shared" si="207"/>
        <v>16</v>
      </c>
    </row>
    <row r="475" spans="1:75" ht="15" hidden="1" x14ac:dyDescent="0.2">
      <c r="A475" s="98">
        <v>42598</v>
      </c>
      <c r="B475" s="129" t="str">
        <f t="shared" si="184"/>
        <v>ter</v>
      </c>
      <c r="C475" s="132"/>
      <c r="D475" s="132"/>
      <c r="E475" s="132">
        <v>18</v>
      </c>
      <c r="F475" s="132"/>
      <c r="G475" s="132"/>
      <c r="H475" s="132"/>
      <c r="I475" s="132"/>
      <c r="J475" s="132"/>
      <c r="K475" s="132"/>
      <c r="L475" s="132"/>
      <c r="M475" s="132">
        <v>101</v>
      </c>
      <c r="N475" s="132"/>
      <c r="O475" s="132"/>
      <c r="P475" s="132">
        <v>18</v>
      </c>
      <c r="Q475" s="132"/>
      <c r="R475" s="132"/>
      <c r="S475" s="132"/>
      <c r="T475" s="132"/>
      <c r="U475" s="151"/>
      <c r="V475" s="151"/>
      <c r="W475" s="307" t="s">
        <v>193</v>
      </c>
      <c r="X475" s="308"/>
      <c r="Y475" s="38">
        <f t="shared" si="185"/>
        <v>0</v>
      </c>
      <c r="Z475" s="38">
        <f t="shared" si="186"/>
        <v>16</v>
      </c>
      <c r="AA475" s="38">
        <f t="shared" si="183"/>
        <v>0</v>
      </c>
      <c r="AB475" s="38">
        <f t="shared" si="194"/>
        <v>0</v>
      </c>
      <c r="AC475" s="38">
        <f t="shared" si="195"/>
        <v>0</v>
      </c>
      <c r="AD475" s="38">
        <f t="shared" si="196"/>
        <v>0</v>
      </c>
      <c r="AE475" s="38">
        <f t="shared" si="197"/>
        <v>0</v>
      </c>
      <c r="AF475" s="38">
        <f t="shared" si="198"/>
        <v>0</v>
      </c>
      <c r="AG475" s="33">
        <f t="shared" si="199"/>
        <v>0</v>
      </c>
      <c r="AH475" s="33">
        <f t="shared" si="200"/>
        <v>16</v>
      </c>
      <c r="AI475" s="33">
        <f t="shared" si="201"/>
        <v>0</v>
      </c>
      <c r="AJ475" s="33">
        <f t="shared" si="202"/>
        <v>0</v>
      </c>
      <c r="AK475" s="34">
        <f t="shared" si="203"/>
        <v>0</v>
      </c>
      <c r="AL475" s="35">
        <f t="shared" si="204"/>
        <v>0.11267605633802817</v>
      </c>
      <c r="AM475" s="34">
        <f t="shared" si="187"/>
        <v>0</v>
      </c>
      <c r="AN475" s="36">
        <f t="shared" si="205"/>
        <v>0</v>
      </c>
      <c r="AO475" s="6">
        <f t="shared" si="188"/>
        <v>0</v>
      </c>
      <c r="AP475">
        <f t="shared" si="189"/>
        <v>8</v>
      </c>
      <c r="AQ475" s="6">
        <f t="shared" si="190"/>
        <v>0</v>
      </c>
      <c r="AR475" s="6">
        <f t="shared" si="191"/>
        <v>0</v>
      </c>
      <c r="AS475" s="6"/>
      <c r="AX475" s="95">
        <f t="shared" si="192"/>
        <v>42598</v>
      </c>
      <c r="AY475" s="96" t="str">
        <f t="shared" si="193"/>
        <v>ter</v>
      </c>
      <c r="AZ475" s="97">
        <f>IF(OR(AY475="SÁB",AY475="DOM"),0,IFERROR(8-VLOOKUP(C475,'Dados de consulta'!$A$2:$C$38,3,0),8))</f>
        <v>8</v>
      </c>
      <c r="BA475" s="97">
        <f>IF(OR(AY475="SÁB",AY475="DOM"),0,IFERROR(8-VLOOKUP(D475,'Dados de consulta'!$A$2:$C$38,3,0),8))</f>
        <v>8</v>
      </c>
      <c r="BB475" s="97">
        <f>IF(OR(AY475="SÁB",AY475="DOM"),0,IFERROR(8-VLOOKUP(E475,'Dados de consulta'!$A$2:$C$38,3,0),8))</f>
        <v>0</v>
      </c>
      <c r="BC475" s="97">
        <f>IF(OR(AY475="SÁB",AY475="DOM"),0,IFERROR(8-VLOOKUP(F475,'Dados de consulta'!$A$2:$C$38,3,0),8))</f>
        <v>8</v>
      </c>
      <c r="BD475" s="97">
        <f>IF(OR(AY475="SÁB",AY475="DOM"),0,IFERROR(8-VLOOKUP(G475,'Dados de consulta'!$A$2:$C$38,3,0),8))</f>
        <v>8</v>
      </c>
      <c r="BE475" s="97">
        <f>IF(OR(AY475="SÁB",AY475="DOM"),0,IFERROR(8-VLOOKUP(H475,'Dados de consulta'!$A$2:$C$38,3,0),8))</f>
        <v>8</v>
      </c>
      <c r="BF475" s="97">
        <f>IF(OR(AY475="SÁB",AY475="DOM"),0,IFERROR(8-VLOOKUP(I475,'Dados de consulta'!$A$2:$C$38,3,0),8))</f>
        <v>8</v>
      </c>
      <c r="BG475" s="97">
        <f>IF(OR(AY475="SÁB",AY475="DOM"),0,IFERROR(8-VLOOKUP(J475,'Dados de consulta'!$A$2:$C$38,3,0),8))</f>
        <v>8</v>
      </c>
      <c r="BH475" s="97">
        <f>IF(OR(AY475="SÁB",AY475="DOM"),0,IFERROR(8-VLOOKUP(K475,'Dados de consulta'!$A$2:$C$38,3,0),8))</f>
        <v>8</v>
      </c>
      <c r="BI475" s="97">
        <f>IF(OR(AY475="SÁB",AY475="DOM"),0,IFERROR(8-VLOOKUP(L475,'Dados de consulta'!$A$2:$C$38,3,0),8))</f>
        <v>8</v>
      </c>
      <c r="BJ475" s="97">
        <f>IF(OR(AY475="SÁB",AY475="DOM"),0,IFERROR(8-VLOOKUP(M475,'Dados de consulta'!$A$2:$C$38,3,0),8))</f>
        <v>0</v>
      </c>
      <c r="BK475" s="97">
        <f>IF(OR(AY475="SÁB",AY475="DOM"),0,IFERROR(8-VLOOKUP(N475,'Dados de consulta'!$A$2:$C$38,3,0),8))</f>
        <v>8</v>
      </c>
      <c r="BL475" s="97">
        <f>IF(OR(AY475="SÁB",AY475="DOM"),0,IFERROR(8-VLOOKUP(O475,'Dados de consulta'!$A$2:$C$38,3,0),8))</f>
        <v>8</v>
      </c>
      <c r="BM475" s="97">
        <f>IF(OR(AY475="SÁB",AY475="DOM"),0,IFERROR(8-VLOOKUP(P475,'Dados de consulta'!$A$2:$C$38,3,0),8))</f>
        <v>0</v>
      </c>
      <c r="BN475" s="97">
        <f>IF(OR(AY475="SÁB",AY475="DOM"),0,IFERROR(8-VLOOKUP(Q475,'Dados de consulta'!$A$2:$C$38,3,0),8))</f>
        <v>8</v>
      </c>
      <c r="BO475" s="97">
        <f>IF(OR(AY475="SÁB",AY475="DOM"),0,IFERROR(8-VLOOKUP(R475,'Dados de consulta'!$A$2:$C$38,3,0),8))</f>
        <v>8</v>
      </c>
      <c r="BP475" s="97">
        <f>IF(OR(AY475="SÁB",AY475="DOM"),0,IFERROR(8-VLOOKUP(S475,'Dados de consulta'!$A$2:$C$38,3,0),8))</f>
        <v>8</v>
      </c>
      <c r="BQ475" s="113">
        <f>IFERROR(6-VLOOKUP(T475,'Dados de consulta'!$A$2:$C$38,3,0)+2,6)</f>
        <v>6</v>
      </c>
      <c r="BR475" s="114">
        <f t="shared" si="206"/>
        <v>118</v>
      </c>
      <c r="BS475">
        <f t="shared" si="182"/>
        <v>134</v>
      </c>
      <c r="BU475">
        <f>IFERROR(8-VLOOKUP(U475,'Dados de consulta'!$A:$D,3,0),8)</f>
        <v>8</v>
      </c>
      <c r="BV475">
        <f>IFERROR(8-VLOOKUP(V475,'Dados de consulta'!$A:$D,3,0),8)</f>
        <v>8</v>
      </c>
      <c r="BW475">
        <f t="shared" si="207"/>
        <v>16</v>
      </c>
    </row>
    <row r="476" spans="1:75" ht="15" hidden="1" x14ac:dyDescent="0.2">
      <c r="A476" s="98">
        <v>42599</v>
      </c>
      <c r="B476" s="129" t="str">
        <f t="shared" si="184"/>
        <v>qua</v>
      </c>
      <c r="C476" s="132"/>
      <c r="D476" s="132"/>
      <c r="E476" s="132">
        <v>18</v>
      </c>
      <c r="F476" s="132"/>
      <c r="G476" s="132"/>
      <c r="H476" s="132"/>
      <c r="I476" s="132"/>
      <c r="J476" s="132"/>
      <c r="K476" s="132"/>
      <c r="L476" s="132"/>
      <c r="M476" s="132">
        <v>101</v>
      </c>
      <c r="N476" s="132"/>
      <c r="O476" s="132"/>
      <c r="P476" s="132">
        <v>18</v>
      </c>
      <c r="Q476" s="132"/>
      <c r="R476" s="132"/>
      <c r="S476" s="132"/>
      <c r="T476" s="132"/>
      <c r="U476" s="151"/>
      <c r="V476" s="151"/>
      <c r="W476" s="307" t="s">
        <v>193</v>
      </c>
      <c r="X476" s="308"/>
      <c r="Y476" s="38">
        <f t="shared" si="185"/>
        <v>0</v>
      </c>
      <c r="Z476" s="38">
        <f t="shared" si="186"/>
        <v>16</v>
      </c>
      <c r="AA476" s="38">
        <f t="shared" si="183"/>
        <v>0</v>
      </c>
      <c r="AB476" s="38">
        <f t="shared" si="194"/>
        <v>0</v>
      </c>
      <c r="AC476" s="38">
        <f t="shared" si="195"/>
        <v>0</v>
      </c>
      <c r="AD476" s="38">
        <f t="shared" si="196"/>
        <v>0</v>
      </c>
      <c r="AE476" s="38">
        <f t="shared" si="197"/>
        <v>0</v>
      </c>
      <c r="AF476" s="38">
        <f t="shared" si="198"/>
        <v>0</v>
      </c>
      <c r="AG476" s="33">
        <f t="shared" si="199"/>
        <v>0</v>
      </c>
      <c r="AH476" s="33">
        <f t="shared" si="200"/>
        <v>16</v>
      </c>
      <c r="AI476" s="33">
        <f t="shared" si="201"/>
        <v>0</v>
      </c>
      <c r="AJ476" s="33">
        <f t="shared" si="202"/>
        <v>0</v>
      </c>
      <c r="AK476" s="34">
        <f t="shared" si="203"/>
        <v>0</v>
      </c>
      <c r="AL476" s="35">
        <f t="shared" si="204"/>
        <v>0.11267605633802817</v>
      </c>
      <c r="AM476" s="34">
        <f t="shared" si="187"/>
        <v>0</v>
      </c>
      <c r="AN476" s="36">
        <f t="shared" si="205"/>
        <v>0</v>
      </c>
      <c r="AO476" s="6">
        <f t="shared" si="188"/>
        <v>0</v>
      </c>
      <c r="AP476">
        <f t="shared" si="189"/>
        <v>8</v>
      </c>
      <c r="AQ476" s="6">
        <f t="shared" si="190"/>
        <v>0</v>
      </c>
      <c r="AR476" s="6">
        <f t="shared" si="191"/>
        <v>0</v>
      </c>
      <c r="AS476" s="6"/>
      <c r="AX476" s="95">
        <f t="shared" si="192"/>
        <v>42599</v>
      </c>
      <c r="AY476" s="96" t="str">
        <f t="shared" si="193"/>
        <v>qua</v>
      </c>
      <c r="AZ476" s="97">
        <f>IF(OR(AY476="SÁB",AY476="DOM"),0,IFERROR(8-VLOOKUP(C476,'Dados de consulta'!$A$2:$C$38,3,0),8))</f>
        <v>8</v>
      </c>
      <c r="BA476" s="97">
        <f>IF(OR(AY476="SÁB",AY476="DOM"),0,IFERROR(8-VLOOKUP(D476,'Dados de consulta'!$A$2:$C$38,3,0),8))</f>
        <v>8</v>
      </c>
      <c r="BB476" s="97">
        <f>IF(OR(AY476="SÁB",AY476="DOM"),0,IFERROR(8-VLOOKUP(E476,'Dados de consulta'!$A$2:$C$38,3,0),8))</f>
        <v>0</v>
      </c>
      <c r="BC476" s="97">
        <f>IF(OR(AY476="SÁB",AY476="DOM"),0,IFERROR(8-VLOOKUP(F476,'Dados de consulta'!$A$2:$C$38,3,0),8))</f>
        <v>8</v>
      </c>
      <c r="BD476" s="97">
        <f>IF(OR(AY476="SÁB",AY476="DOM"),0,IFERROR(8-VLOOKUP(G476,'Dados de consulta'!$A$2:$C$38,3,0),8))</f>
        <v>8</v>
      </c>
      <c r="BE476" s="97">
        <f>IF(OR(AY476="SÁB",AY476="DOM"),0,IFERROR(8-VLOOKUP(H476,'Dados de consulta'!$A$2:$C$38,3,0),8))</f>
        <v>8</v>
      </c>
      <c r="BF476" s="97">
        <f>IF(OR(AY476="SÁB",AY476="DOM"),0,IFERROR(8-VLOOKUP(I476,'Dados de consulta'!$A$2:$C$38,3,0),8))</f>
        <v>8</v>
      </c>
      <c r="BG476" s="97">
        <f>IF(OR(AY476="SÁB",AY476="DOM"),0,IFERROR(8-VLOOKUP(J476,'Dados de consulta'!$A$2:$C$38,3,0),8))</f>
        <v>8</v>
      </c>
      <c r="BH476" s="97">
        <f>IF(OR(AY476="SÁB",AY476="DOM"),0,IFERROR(8-VLOOKUP(K476,'Dados de consulta'!$A$2:$C$38,3,0),8))</f>
        <v>8</v>
      </c>
      <c r="BI476" s="97">
        <f>IF(OR(AY476="SÁB",AY476="DOM"),0,IFERROR(8-VLOOKUP(L476,'Dados de consulta'!$A$2:$C$38,3,0),8))</f>
        <v>8</v>
      </c>
      <c r="BJ476" s="97">
        <f>IF(OR(AY476="SÁB",AY476="DOM"),0,IFERROR(8-VLOOKUP(M476,'Dados de consulta'!$A$2:$C$38,3,0),8))</f>
        <v>0</v>
      </c>
      <c r="BK476" s="97">
        <f>IF(OR(AY476="SÁB",AY476="DOM"),0,IFERROR(8-VLOOKUP(N476,'Dados de consulta'!$A$2:$C$38,3,0),8))</f>
        <v>8</v>
      </c>
      <c r="BL476" s="97">
        <f>IF(OR(AY476="SÁB",AY476="DOM"),0,IFERROR(8-VLOOKUP(O476,'Dados de consulta'!$A$2:$C$38,3,0),8))</f>
        <v>8</v>
      </c>
      <c r="BM476" s="97">
        <f>IF(OR(AY476="SÁB",AY476="DOM"),0,IFERROR(8-VLOOKUP(P476,'Dados de consulta'!$A$2:$C$38,3,0),8))</f>
        <v>0</v>
      </c>
      <c r="BN476" s="97">
        <f>IF(OR(AY476="SÁB",AY476="DOM"),0,IFERROR(8-VLOOKUP(Q476,'Dados de consulta'!$A$2:$C$38,3,0),8))</f>
        <v>8</v>
      </c>
      <c r="BO476" s="97">
        <f>IF(OR(AY476="SÁB",AY476="DOM"),0,IFERROR(8-VLOOKUP(R476,'Dados de consulta'!$A$2:$C$38,3,0),8))</f>
        <v>8</v>
      </c>
      <c r="BP476" s="97">
        <f>IF(OR(AY476="SÁB",AY476="DOM"),0,IFERROR(8-VLOOKUP(S476,'Dados de consulta'!$A$2:$C$38,3,0),8))</f>
        <v>8</v>
      </c>
      <c r="BQ476" s="113">
        <f>IFERROR(6-VLOOKUP(T476,'Dados de consulta'!$A$2:$C$38,3,0)+2,6)</f>
        <v>6</v>
      </c>
      <c r="BR476" s="114">
        <f t="shared" si="206"/>
        <v>118</v>
      </c>
      <c r="BS476">
        <f t="shared" si="182"/>
        <v>134</v>
      </c>
      <c r="BU476">
        <f>IFERROR(8-VLOOKUP(U476,'Dados de consulta'!$A:$D,3,0),8)</f>
        <v>8</v>
      </c>
      <c r="BV476">
        <f>IFERROR(8-VLOOKUP(V476,'Dados de consulta'!$A:$D,3,0),8)</f>
        <v>8</v>
      </c>
      <c r="BW476">
        <f t="shared" si="207"/>
        <v>16</v>
      </c>
    </row>
    <row r="477" spans="1:75" ht="15" hidden="1" x14ac:dyDescent="0.2">
      <c r="A477" s="98">
        <v>42600</v>
      </c>
      <c r="B477" s="129" t="str">
        <f t="shared" si="184"/>
        <v>qui</v>
      </c>
      <c r="C477" s="132"/>
      <c r="D477" s="132"/>
      <c r="E477" s="132">
        <v>18</v>
      </c>
      <c r="F477" s="132"/>
      <c r="G477" s="132"/>
      <c r="H477" s="132"/>
      <c r="I477" s="132"/>
      <c r="J477" s="132"/>
      <c r="K477" s="132"/>
      <c r="L477" s="132"/>
      <c r="M477" s="132">
        <v>101</v>
      </c>
      <c r="N477" s="132"/>
      <c r="O477" s="132"/>
      <c r="P477" s="132">
        <v>18</v>
      </c>
      <c r="Q477" s="132"/>
      <c r="R477" s="132"/>
      <c r="S477" s="132"/>
      <c r="T477" s="132"/>
      <c r="U477" s="151"/>
      <c r="V477" s="151"/>
      <c r="W477" s="307" t="s">
        <v>193</v>
      </c>
      <c r="X477" s="308"/>
      <c r="Y477" s="38">
        <f t="shared" si="185"/>
        <v>0</v>
      </c>
      <c r="Z477" s="38">
        <f t="shared" si="186"/>
        <v>16</v>
      </c>
      <c r="AA477" s="38">
        <f t="shared" si="183"/>
        <v>0</v>
      </c>
      <c r="AB477" s="38">
        <f t="shared" si="194"/>
        <v>0</v>
      </c>
      <c r="AC477" s="38">
        <f t="shared" si="195"/>
        <v>0</v>
      </c>
      <c r="AD477" s="38">
        <f t="shared" si="196"/>
        <v>0</v>
      </c>
      <c r="AE477" s="38">
        <f t="shared" si="197"/>
        <v>0</v>
      </c>
      <c r="AF477" s="38">
        <f t="shared" si="198"/>
        <v>0</v>
      </c>
      <c r="AG477" s="33">
        <f t="shared" si="199"/>
        <v>0</v>
      </c>
      <c r="AH477" s="33">
        <f t="shared" si="200"/>
        <v>16</v>
      </c>
      <c r="AI477" s="33">
        <f t="shared" si="201"/>
        <v>0</v>
      </c>
      <c r="AJ477" s="33">
        <f t="shared" si="202"/>
        <v>0</v>
      </c>
      <c r="AK477" s="34">
        <f t="shared" si="203"/>
        <v>0</v>
      </c>
      <c r="AL477" s="35">
        <f t="shared" si="204"/>
        <v>0.11267605633802817</v>
      </c>
      <c r="AM477" s="34">
        <f t="shared" si="187"/>
        <v>0</v>
      </c>
      <c r="AN477" s="36">
        <f t="shared" si="205"/>
        <v>0</v>
      </c>
      <c r="AO477" s="6">
        <f t="shared" si="188"/>
        <v>0</v>
      </c>
      <c r="AP477">
        <f t="shared" si="189"/>
        <v>8</v>
      </c>
      <c r="AQ477" s="6">
        <f t="shared" si="190"/>
        <v>0</v>
      </c>
      <c r="AR477" s="6">
        <f t="shared" si="191"/>
        <v>0</v>
      </c>
      <c r="AS477" s="6"/>
      <c r="AX477" s="95">
        <f t="shared" si="192"/>
        <v>42600</v>
      </c>
      <c r="AY477" s="96" t="str">
        <f t="shared" si="193"/>
        <v>qui</v>
      </c>
      <c r="AZ477" s="97">
        <f>IF(OR(AY477="SÁB",AY477="DOM"),0,IFERROR(8-VLOOKUP(C477,'Dados de consulta'!$A$2:$C$38,3,0),8))</f>
        <v>8</v>
      </c>
      <c r="BA477" s="97">
        <f>IF(OR(AY477="SÁB",AY477="DOM"),0,IFERROR(8-VLOOKUP(D477,'Dados de consulta'!$A$2:$C$38,3,0),8))</f>
        <v>8</v>
      </c>
      <c r="BB477" s="97">
        <f>IF(OR(AY477="SÁB",AY477="DOM"),0,IFERROR(8-VLOOKUP(E477,'Dados de consulta'!$A$2:$C$38,3,0),8))</f>
        <v>0</v>
      </c>
      <c r="BC477" s="97">
        <f>IF(OR(AY477="SÁB",AY477="DOM"),0,IFERROR(8-VLOOKUP(F477,'Dados de consulta'!$A$2:$C$38,3,0),8))</f>
        <v>8</v>
      </c>
      <c r="BD477" s="97">
        <f>IF(OR(AY477="SÁB",AY477="DOM"),0,IFERROR(8-VLOOKUP(G477,'Dados de consulta'!$A$2:$C$38,3,0),8))</f>
        <v>8</v>
      </c>
      <c r="BE477" s="97">
        <f>IF(OR(AY477="SÁB",AY477="DOM"),0,IFERROR(8-VLOOKUP(H477,'Dados de consulta'!$A$2:$C$38,3,0),8))</f>
        <v>8</v>
      </c>
      <c r="BF477" s="97">
        <f>IF(OR(AY477="SÁB",AY477="DOM"),0,IFERROR(8-VLOOKUP(I477,'Dados de consulta'!$A$2:$C$38,3,0),8))</f>
        <v>8</v>
      </c>
      <c r="BG477" s="97">
        <f>IF(OR(AY477="SÁB",AY477="DOM"),0,IFERROR(8-VLOOKUP(J477,'Dados de consulta'!$A$2:$C$38,3,0),8))</f>
        <v>8</v>
      </c>
      <c r="BH477" s="97">
        <f>IF(OR(AY477="SÁB",AY477="DOM"),0,IFERROR(8-VLOOKUP(K477,'Dados de consulta'!$A$2:$C$38,3,0),8))</f>
        <v>8</v>
      </c>
      <c r="BI477" s="97">
        <f>IF(OR(AY477="SÁB",AY477="DOM"),0,IFERROR(8-VLOOKUP(L477,'Dados de consulta'!$A$2:$C$38,3,0),8))</f>
        <v>8</v>
      </c>
      <c r="BJ477" s="97">
        <f>IF(OR(AY477="SÁB",AY477="DOM"),0,IFERROR(8-VLOOKUP(M477,'Dados de consulta'!$A$2:$C$38,3,0),8))</f>
        <v>0</v>
      </c>
      <c r="BK477" s="97">
        <f>IF(OR(AY477="SÁB",AY477="DOM"),0,IFERROR(8-VLOOKUP(N477,'Dados de consulta'!$A$2:$C$38,3,0),8))</f>
        <v>8</v>
      </c>
      <c r="BL477" s="97">
        <f>IF(OR(AY477="SÁB",AY477="DOM"),0,IFERROR(8-VLOOKUP(O477,'Dados de consulta'!$A$2:$C$38,3,0),8))</f>
        <v>8</v>
      </c>
      <c r="BM477" s="97">
        <f>IF(OR(AY477="SÁB",AY477="DOM"),0,IFERROR(8-VLOOKUP(P477,'Dados de consulta'!$A$2:$C$38,3,0),8))</f>
        <v>0</v>
      </c>
      <c r="BN477" s="97">
        <f>IF(OR(AY477="SÁB",AY477="DOM"),0,IFERROR(8-VLOOKUP(Q477,'Dados de consulta'!$A$2:$C$38,3,0),8))</f>
        <v>8</v>
      </c>
      <c r="BO477" s="97">
        <f>IF(OR(AY477="SÁB",AY477="DOM"),0,IFERROR(8-VLOOKUP(R477,'Dados de consulta'!$A$2:$C$38,3,0),8))</f>
        <v>8</v>
      </c>
      <c r="BP477" s="97">
        <f>IF(OR(AY477="SÁB",AY477="DOM"),0,IFERROR(8-VLOOKUP(S477,'Dados de consulta'!$A$2:$C$38,3,0),8))</f>
        <v>8</v>
      </c>
      <c r="BQ477" s="113">
        <f>IFERROR(6-VLOOKUP(T477,'Dados de consulta'!$A$2:$C$38,3,0)+2,6)</f>
        <v>6</v>
      </c>
      <c r="BR477" s="114">
        <f t="shared" si="206"/>
        <v>118</v>
      </c>
      <c r="BS477">
        <f t="shared" si="182"/>
        <v>134</v>
      </c>
      <c r="BU477">
        <f>IFERROR(8-VLOOKUP(U477,'Dados de consulta'!$A:$D,3,0),8)</f>
        <v>8</v>
      </c>
      <c r="BV477">
        <f>IFERROR(8-VLOOKUP(V477,'Dados de consulta'!$A:$D,3,0),8)</f>
        <v>8</v>
      </c>
      <c r="BW477">
        <f t="shared" si="207"/>
        <v>16</v>
      </c>
    </row>
    <row r="478" spans="1:75" ht="15" hidden="1" x14ac:dyDescent="0.2">
      <c r="A478" s="98">
        <v>42601</v>
      </c>
      <c r="B478" s="129" t="str">
        <f t="shared" si="184"/>
        <v>sex</v>
      </c>
      <c r="C478" s="132"/>
      <c r="D478" s="132"/>
      <c r="E478" s="132">
        <v>18</v>
      </c>
      <c r="F478" s="132"/>
      <c r="G478" s="132"/>
      <c r="H478" s="132"/>
      <c r="I478" s="132"/>
      <c r="J478" s="132"/>
      <c r="K478" s="132"/>
      <c r="L478" s="132"/>
      <c r="M478" s="132">
        <v>101</v>
      </c>
      <c r="N478" s="132"/>
      <c r="O478" s="132"/>
      <c r="P478" s="132">
        <v>18</v>
      </c>
      <c r="Q478" s="132"/>
      <c r="R478" s="132"/>
      <c r="S478" s="132"/>
      <c r="T478" s="132"/>
      <c r="U478" s="151"/>
      <c r="V478" s="151"/>
      <c r="W478" s="307" t="s">
        <v>193</v>
      </c>
      <c r="X478" s="308"/>
      <c r="Y478" s="38">
        <f t="shared" si="185"/>
        <v>0</v>
      </c>
      <c r="Z478" s="38">
        <f t="shared" si="186"/>
        <v>16</v>
      </c>
      <c r="AA478" s="38">
        <f t="shared" si="183"/>
        <v>0</v>
      </c>
      <c r="AB478" s="38">
        <f t="shared" si="194"/>
        <v>0</v>
      </c>
      <c r="AC478" s="38">
        <f t="shared" si="195"/>
        <v>0</v>
      </c>
      <c r="AD478" s="38">
        <f t="shared" si="196"/>
        <v>0</v>
      </c>
      <c r="AE478" s="38">
        <f t="shared" si="197"/>
        <v>0</v>
      </c>
      <c r="AF478" s="38">
        <f t="shared" si="198"/>
        <v>0</v>
      </c>
      <c r="AG478" s="33">
        <f t="shared" si="199"/>
        <v>0</v>
      </c>
      <c r="AH478" s="33">
        <f t="shared" si="200"/>
        <v>16</v>
      </c>
      <c r="AI478" s="33">
        <f t="shared" si="201"/>
        <v>0</v>
      </c>
      <c r="AJ478" s="33">
        <f t="shared" si="202"/>
        <v>0</v>
      </c>
      <c r="AK478" s="34">
        <f t="shared" si="203"/>
        <v>0</v>
      </c>
      <c r="AL478" s="35">
        <f t="shared" si="204"/>
        <v>0.11267605633802817</v>
      </c>
      <c r="AM478" s="34">
        <f t="shared" si="187"/>
        <v>0</v>
      </c>
      <c r="AN478" s="36">
        <f t="shared" si="205"/>
        <v>0</v>
      </c>
      <c r="AO478" s="6">
        <f t="shared" si="188"/>
        <v>0</v>
      </c>
      <c r="AP478">
        <f t="shared" si="189"/>
        <v>8</v>
      </c>
      <c r="AQ478" s="6">
        <f t="shared" si="190"/>
        <v>0</v>
      </c>
      <c r="AR478" s="6">
        <f t="shared" si="191"/>
        <v>0</v>
      </c>
      <c r="AS478" s="6"/>
      <c r="AX478" s="95">
        <f t="shared" si="192"/>
        <v>42601</v>
      </c>
      <c r="AY478" s="96" t="str">
        <f t="shared" si="193"/>
        <v>sex</v>
      </c>
      <c r="AZ478" s="97">
        <f>IF(OR(AY478="SÁB",AY478="DOM"),0,IFERROR(8-VLOOKUP(C478,'Dados de consulta'!$A$2:$C$38,3,0),8))</f>
        <v>8</v>
      </c>
      <c r="BA478" s="97">
        <f>IF(OR(AY478="SÁB",AY478="DOM"),0,IFERROR(8-VLOOKUP(D478,'Dados de consulta'!$A$2:$C$38,3,0),8))</f>
        <v>8</v>
      </c>
      <c r="BB478" s="97">
        <f>IF(OR(AY478="SÁB",AY478="DOM"),0,IFERROR(8-VLOOKUP(E478,'Dados de consulta'!$A$2:$C$38,3,0),8))</f>
        <v>0</v>
      </c>
      <c r="BC478" s="97">
        <f>IF(OR(AY478="SÁB",AY478="DOM"),0,IFERROR(8-VLOOKUP(F478,'Dados de consulta'!$A$2:$C$38,3,0),8))</f>
        <v>8</v>
      </c>
      <c r="BD478" s="97">
        <f>IF(OR(AY478="SÁB",AY478="DOM"),0,IFERROR(8-VLOOKUP(G478,'Dados de consulta'!$A$2:$C$38,3,0),8))</f>
        <v>8</v>
      </c>
      <c r="BE478" s="97">
        <f>IF(OR(AY478="SÁB",AY478="DOM"),0,IFERROR(8-VLOOKUP(H478,'Dados de consulta'!$A$2:$C$38,3,0),8))</f>
        <v>8</v>
      </c>
      <c r="BF478" s="97">
        <f>IF(OR(AY478="SÁB",AY478="DOM"),0,IFERROR(8-VLOOKUP(I478,'Dados de consulta'!$A$2:$C$38,3,0),8))</f>
        <v>8</v>
      </c>
      <c r="BG478" s="97">
        <f>IF(OR(AY478="SÁB",AY478="DOM"),0,IFERROR(8-VLOOKUP(J478,'Dados de consulta'!$A$2:$C$38,3,0),8))</f>
        <v>8</v>
      </c>
      <c r="BH478" s="97">
        <f>IF(OR(AY478="SÁB",AY478="DOM"),0,IFERROR(8-VLOOKUP(K478,'Dados de consulta'!$A$2:$C$38,3,0),8))</f>
        <v>8</v>
      </c>
      <c r="BI478" s="97">
        <f>IF(OR(AY478="SÁB",AY478="DOM"),0,IFERROR(8-VLOOKUP(L478,'Dados de consulta'!$A$2:$C$38,3,0),8))</f>
        <v>8</v>
      </c>
      <c r="BJ478" s="97">
        <f>IF(OR(AY478="SÁB",AY478="DOM"),0,IFERROR(8-VLOOKUP(M478,'Dados de consulta'!$A$2:$C$38,3,0),8))</f>
        <v>0</v>
      </c>
      <c r="BK478" s="97">
        <f>IF(OR(AY478="SÁB",AY478="DOM"),0,IFERROR(8-VLOOKUP(N478,'Dados de consulta'!$A$2:$C$38,3,0),8))</f>
        <v>8</v>
      </c>
      <c r="BL478" s="97">
        <f>IF(OR(AY478="SÁB",AY478="DOM"),0,IFERROR(8-VLOOKUP(O478,'Dados de consulta'!$A$2:$C$38,3,0),8))</f>
        <v>8</v>
      </c>
      <c r="BM478" s="97">
        <f>IF(OR(AY478="SÁB",AY478="DOM"),0,IFERROR(8-VLOOKUP(P478,'Dados de consulta'!$A$2:$C$38,3,0),8))</f>
        <v>0</v>
      </c>
      <c r="BN478" s="97">
        <f>IF(OR(AY478="SÁB",AY478="DOM"),0,IFERROR(8-VLOOKUP(Q478,'Dados de consulta'!$A$2:$C$38,3,0),8))</f>
        <v>8</v>
      </c>
      <c r="BO478" s="97">
        <f>IF(OR(AY478="SÁB",AY478="DOM"),0,IFERROR(8-VLOOKUP(R478,'Dados de consulta'!$A$2:$C$38,3,0),8))</f>
        <v>8</v>
      </c>
      <c r="BP478" s="97">
        <f>IF(OR(AY478="SÁB",AY478="DOM"),0,IFERROR(8-VLOOKUP(S478,'Dados de consulta'!$A$2:$C$38,3,0),8))</f>
        <v>8</v>
      </c>
      <c r="BQ478" s="113">
        <f>IFERROR(6-VLOOKUP(T478,'Dados de consulta'!$A$2:$C$38,3,0)+2,6)</f>
        <v>6</v>
      </c>
      <c r="BR478" s="114">
        <f t="shared" si="206"/>
        <v>118</v>
      </c>
      <c r="BS478">
        <f t="shared" si="182"/>
        <v>134</v>
      </c>
      <c r="BU478">
        <f>IFERROR(8-VLOOKUP(U478,'Dados de consulta'!$A:$D,3,0),8)</f>
        <v>8</v>
      </c>
      <c r="BV478">
        <f>IFERROR(8-VLOOKUP(V478,'Dados de consulta'!$A:$D,3,0),8)</f>
        <v>8</v>
      </c>
      <c r="BW478">
        <f t="shared" si="207"/>
        <v>16</v>
      </c>
    </row>
    <row r="479" spans="1:75" ht="15" hidden="1" x14ac:dyDescent="0.2">
      <c r="A479" s="98">
        <v>42602</v>
      </c>
      <c r="B479" s="129" t="str">
        <f t="shared" si="184"/>
        <v>sáb</v>
      </c>
      <c r="C479" s="132"/>
      <c r="D479" s="132"/>
      <c r="E479" s="132">
        <v>18</v>
      </c>
      <c r="F479" s="132"/>
      <c r="G479" s="132"/>
      <c r="H479" s="132"/>
      <c r="I479" s="132"/>
      <c r="J479" s="132"/>
      <c r="K479" s="132"/>
      <c r="L479" s="132"/>
      <c r="M479" s="132">
        <v>101</v>
      </c>
      <c r="N479" s="132"/>
      <c r="O479" s="132"/>
      <c r="P479" s="132">
        <v>18</v>
      </c>
      <c r="Q479" s="132"/>
      <c r="R479" s="132"/>
      <c r="S479" s="132"/>
      <c r="T479" s="132"/>
      <c r="U479" s="151"/>
      <c r="V479" s="151"/>
      <c r="W479" s="307" t="s">
        <v>193</v>
      </c>
      <c r="X479" s="308"/>
      <c r="Y479" s="38">
        <f t="shared" si="185"/>
        <v>0</v>
      </c>
      <c r="Z479" s="38">
        <f t="shared" si="186"/>
        <v>16</v>
      </c>
      <c r="AA479" s="38">
        <f t="shared" si="183"/>
        <v>0</v>
      </c>
      <c r="AB479" s="38">
        <f t="shared" si="194"/>
        <v>0</v>
      </c>
      <c r="AC479" s="38">
        <f t="shared" si="195"/>
        <v>0</v>
      </c>
      <c r="AD479" s="38">
        <f t="shared" si="196"/>
        <v>0</v>
      </c>
      <c r="AE479" s="38">
        <f t="shared" si="197"/>
        <v>0</v>
      </c>
      <c r="AF479" s="38">
        <f t="shared" si="198"/>
        <v>0</v>
      </c>
      <c r="AG479" s="33">
        <f t="shared" si="199"/>
        <v>0</v>
      </c>
      <c r="AH479" s="33">
        <f t="shared" si="200"/>
        <v>0</v>
      </c>
      <c r="AI479" s="33">
        <f t="shared" si="201"/>
        <v>0</v>
      </c>
      <c r="AJ479" s="33">
        <f t="shared" si="202"/>
        <v>0</v>
      </c>
      <c r="AK479" s="34">
        <f t="shared" si="203"/>
        <v>0</v>
      </c>
      <c r="AL479" s="35">
        <f t="shared" si="204"/>
        <v>0</v>
      </c>
      <c r="AM479" s="34">
        <f t="shared" si="187"/>
        <v>0</v>
      </c>
      <c r="AN479" s="36">
        <f t="shared" si="205"/>
        <v>0</v>
      </c>
      <c r="AO479" s="6">
        <f t="shared" si="188"/>
        <v>0</v>
      </c>
      <c r="AP479">
        <f t="shared" si="189"/>
        <v>8</v>
      </c>
      <c r="AQ479" s="6">
        <f t="shared" si="190"/>
        <v>0</v>
      </c>
      <c r="AR479" s="6">
        <f t="shared" si="191"/>
        <v>0</v>
      </c>
      <c r="AS479" s="6"/>
      <c r="AX479" s="95">
        <f t="shared" si="192"/>
        <v>42602</v>
      </c>
      <c r="AY479" s="96" t="str">
        <f t="shared" si="193"/>
        <v>sáb</v>
      </c>
      <c r="AZ479" s="97">
        <f>IF(OR(AY479="SÁB",AY479="DOM"),0,IFERROR(8-VLOOKUP(C479,'Dados de consulta'!$A$2:$C$38,3,0),8))</f>
        <v>0</v>
      </c>
      <c r="BA479" s="97">
        <f>IF(OR(AY479="SÁB",AY479="DOM"),0,IFERROR(8-VLOOKUP(D479,'Dados de consulta'!$A$2:$C$38,3,0),8))</f>
        <v>0</v>
      </c>
      <c r="BB479" s="97">
        <f>IF(OR(AY479="SÁB",AY479="DOM"),0,IFERROR(8-VLOOKUP(E479,'Dados de consulta'!$A$2:$C$38,3,0),8))</f>
        <v>0</v>
      </c>
      <c r="BC479" s="97">
        <f>IF(OR(AY479="SÁB",AY479="DOM"),0,IFERROR(8-VLOOKUP(F479,'Dados de consulta'!$A$2:$C$38,3,0),8))</f>
        <v>0</v>
      </c>
      <c r="BD479" s="97">
        <f>IF(OR(AY479="SÁB",AY479="DOM"),0,IFERROR(8-VLOOKUP(G479,'Dados de consulta'!$A$2:$C$38,3,0),8))</f>
        <v>0</v>
      </c>
      <c r="BE479" s="97">
        <f>IF(OR(AY479="SÁB",AY479="DOM"),0,IFERROR(8-VLOOKUP(H479,'Dados de consulta'!$A$2:$C$38,3,0),8))</f>
        <v>0</v>
      </c>
      <c r="BF479" s="97">
        <f>IF(OR(AY479="SÁB",AY479="DOM"),0,IFERROR(8-VLOOKUP(I479,'Dados de consulta'!$A$2:$C$38,3,0),8))</f>
        <v>0</v>
      </c>
      <c r="BG479" s="97">
        <f>IF(OR(AY479="SÁB",AY479="DOM"),0,IFERROR(8-VLOOKUP(J479,'Dados de consulta'!$A$2:$C$38,3,0),8))</f>
        <v>0</v>
      </c>
      <c r="BH479" s="97">
        <f>IF(OR(AY479="SÁB",AY479="DOM"),0,IFERROR(8-VLOOKUP(K479,'Dados de consulta'!$A$2:$C$38,3,0),8))</f>
        <v>0</v>
      </c>
      <c r="BI479" s="97">
        <f>IF(OR(AY479="SÁB",AY479="DOM"),0,IFERROR(8-VLOOKUP(L479,'Dados de consulta'!$A$2:$C$38,3,0),8))</f>
        <v>0</v>
      </c>
      <c r="BJ479" s="97">
        <f>IF(OR(AY479="SÁB",AY479="DOM"),0,IFERROR(8-VLOOKUP(M479,'Dados de consulta'!$A$2:$C$38,3,0),8))</f>
        <v>0</v>
      </c>
      <c r="BK479" s="97">
        <f>IF(OR(AY479="SÁB",AY479="DOM"),0,IFERROR(8-VLOOKUP(N479,'Dados de consulta'!$A$2:$C$38,3,0),8))</f>
        <v>0</v>
      </c>
      <c r="BL479" s="97">
        <f>IF(OR(AY479="SÁB",AY479="DOM"),0,IFERROR(8-VLOOKUP(O479,'Dados de consulta'!$A$2:$C$38,3,0),8))</f>
        <v>0</v>
      </c>
      <c r="BM479" s="97">
        <f>IF(OR(AY479="SÁB",AY479="DOM"),0,IFERROR(8-VLOOKUP(P479,'Dados de consulta'!$A$2:$C$38,3,0),8))</f>
        <v>0</v>
      </c>
      <c r="BN479" s="97">
        <f>IF(OR(AY479="SÁB",AY479="DOM"),0,IFERROR(8-VLOOKUP(Q479,'Dados de consulta'!$A$2:$C$38,3,0),8))</f>
        <v>0</v>
      </c>
      <c r="BO479" s="97">
        <f>IF(OR(AY479="SÁB",AY479="DOM"),0,IFERROR(8-VLOOKUP(R479,'Dados de consulta'!$A$2:$C$38,3,0),8))</f>
        <v>0</v>
      </c>
      <c r="BP479" s="97">
        <f>IF(OR(AY479="SÁB",AY479="DOM"),0,IFERROR(8-VLOOKUP(S479,'Dados de consulta'!$A$2:$C$38,3,0),8))</f>
        <v>0</v>
      </c>
      <c r="BQ479" s="113">
        <f>IFERROR(6-VLOOKUP(T479,'Dados de consulta'!$A$2:$C$38,3,0)+2,6)</f>
        <v>6</v>
      </c>
      <c r="BR479" s="114">
        <f t="shared" si="206"/>
        <v>0</v>
      </c>
      <c r="BS479">
        <f t="shared" si="182"/>
        <v>0</v>
      </c>
      <c r="BU479">
        <f>IFERROR(8-VLOOKUP(U479,'Dados de consulta'!$A:$D,3,0),8)</f>
        <v>8</v>
      </c>
      <c r="BV479">
        <f>IFERROR(8-VLOOKUP(V479,'Dados de consulta'!$A:$D,3,0),8)</f>
        <v>8</v>
      </c>
      <c r="BW479">
        <f t="shared" si="207"/>
        <v>16</v>
      </c>
    </row>
    <row r="480" spans="1:75" ht="15" hidden="1" x14ac:dyDescent="0.2">
      <c r="A480" s="98">
        <v>42603</v>
      </c>
      <c r="B480" s="129" t="str">
        <f t="shared" si="184"/>
        <v>dom</v>
      </c>
      <c r="C480" s="132"/>
      <c r="D480" s="132"/>
      <c r="E480" s="132">
        <v>18</v>
      </c>
      <c r="F480" s="132"/>
      <c r="G480" s="132"/>
      <c r="H480" s="132"/>
      <c r="I480" s="132"/>
      <c r="J480" s="132"/>
      <c r="K480" s="132"/>
      <c r="L480" s="132"/>
      <c r="M480" s="132">
        <v>101</v>
      </c>
      <c r="N480" s="132"/>
      <c r="O480" s="132"/>
      <c r="P480" s="132">
        <v>18</v>
      </c>
      <c r="Q480" s="132"/>
      <c r="R480" s="132"/>
      <c r="S480" s="132"/>
      <c r="T480" s="132"/>
      <c r="U480" s="151"/>
      <c r="V480" s="151"/>
      <c r="W480" s="307" t="s">
        <v>193</v>
      </c>
      <c r="X480" s="308"/>
      <c r="Y480" s="38">
        <f t="shared" si="185"/>
        <v>0</v>
      </c>
      <c r="Z480" s="38">
        <f t="shared" si="186"/>
        <v>16</v>
      </c>
      <c r="AA480" s="38">
        <f t="shared" si="183"/>
        <v>0</v>
      </c>
      <c r="AB480" s="38">
        <f t="shared" si="194"/>
        <v>0</v>
      </c>
      <c r="AC480" s="38">
        <f t="shared" si="195"/>
        <v>0</v>
      </c>
      <c r="AD480" s="38">
        <f t="shared" si="196"/>
        <v>0</v>
      </c>
      <c r="AE480" s="38">
        <f t="shared" si="197"/>
        <v>0</v>
      </c>
      <c r="AF480" s="38">
        <f t="shared" si="198"/>
        <v>0</v>
      </c>
      <c r="AG480" s="33">
        <f t="shared" si="199"/>
        <v>0</v>
      </c>
      <c r="AH480" s="33">
        <f t="shared" si="200"/>
        <v>0</v>
      </c>
      <c r="AI480" s="33">
        <f t="shared" si="201"/>
        <v>0</v>
      </c>
      <c r="AJ480" s="33">
        <f t="shared" si="202"/>
        <v>0</v>
      </c>
      <c r="AK480" s="34">
        <f t="shared" si="203"/>
        <v>0</v>
      </c>
      <c r="AL480" s="35">
        <f t="shared" si="204"/>
        <v>0</v>
      </c>
      <c r="AM480" s="34">
        <f t="shared" si="187"/>
        <v>0</v>
      </c>
      <c r="AN480" s="36">
        <f t="shared" si="205"/>
        <v>0</v>
      </c>
      <c r="AO480" s="6">
        <f t="shared" si="188"/>
        <v>0</v>
      </c>
      <c r="AP480">
        <f t="shared" si="189"/>
        <v>8</v>
      </c>
      <c r="AQ480" s="6">
        <f t="shared" si="190"/>
        <v>0</v>
      </c>
      <c r="AR480" s="6">
        <f t="shared" si="191"/>
        <v>0</v>
      </c>
      <c r="AS480" s="6"/>
      <c r="AX480" s="95">
        <f t="shared" si="192"/>
        <v>42603</v>
      </c>
      <c r="AY480" s="96" t="str">
        <f t="shared" si="193"/>
        <v>dom</v>
      </c>
      <c r="AZ480" s="97">
        <f>IF(OR(AY480="SÁB",AY480="DOM"),0,IFERROR(8-VLOOKUP(C480,'Dados de consulta'!$A$2:$C$38,3,0),8))</f>
        <v>0</v>
      </c>
      <c r="BA480" s="97">
        <f>IF(OR(AY480="SÁB",AY480="DOM"),0,IFERROR(8-VLOOKUP(D480,'Dados de consulta'!$A$2:$C$38,3,0),8))</f>
        <v>0</v>
      </c>
      <c r="BB480" s="97">
        <f>IF(OR(AY480="SÁB",AY480="DOM"),0,IFERROR(8-VLOOKUP(E480,'Dados de consulta'!$A$2:$C$38,3,0),8))</f>
        <v>0</v>
      </c>
      <c r="BC480" s="97">
        <f>IF(OR(AY480="SÁB",AY480="DOM"),0,IFERROR(8-VLOOKUP(F480,'Dados de consulta'!$A$2:$C$38,3,0),8))</f>
        <v>0</v>
      </c>
      <c r="BD480" s="97">
        <f>IF(OR(AY480="SÁB",AY480="DOM"),0,IFERROR(8-VLOOKUP(G480,'Dados de consulta'!$A$2:$C$38,3,0),8))</f>
        <v>0</v>
      </c>
      <c r="BE480" s="97">
        <f>IF(OR(AY480="SÁB",AY480="DOM"),0,IFERROR(8-VLOOKUP(H480,'Dados de consulta'!$A$2:$C$38,3,0),8))</f>
        <v>0</v>
      </c>
      <c r="BF480" s="97">
        <f>IF(OR(AY480="SÁB",AY480="DOM"),0,IFERROR(8-VLOOKUP(I480,'Dados de consulta'!$A$2:$C$38,3,0),8))</f>
        <v>0</v>
      </c>
      <c r="BG480" s="97">
        <f>IF(OR(AY480="SÁB",AY480="DOM"),0,IFERROR(8-VLOOKUP(J480,'Dados de consulta'!$A$2:$C$38,3,0),8))</f>
        <v>0</v>
      </c>
      <c r="BH480" s="97">
        <f>IF(OR(AY480="SÁB",AY480="DOM"),0,IFERROR(8-VLOOKUP(K480,'Dados de consulta'!$A$2:$C$38,3,0),8))</f>
        <v>0</v>
      </c>
      <c r="BI480" s="97">
        <f>IF(OR(AY480="SÁB",AY480="DOM"),0,IFERROR(8-VLOOKUP(L480,'Dados de consulta'!$A$2:$C$38,3,0),8))</f>
        <v>0</v>
      </c>
      <c r="BJ480" s="97">
        <f>IF(OR(AY480="SÁB",AY480="DOM"),0,IFERROR(8-VLOOKUP(M480,'Dados de consulta'!$A$2:$C$38,3,0),8))</f>
        <v>0</v>
      </c>
      <c r="BK480" s="97">
        <f>IF(OR(AY480="SÁB",AY480="DOM"),0,IFERROR(8-VLOOKUP(N480,'Dados de consulta'!$A$2:$C$38,3,0),8))</f>
        <v>0</v>
      </c>
      <c r="BL480" s="97">
        <f>IF(OR(AY480="SÁB",AY480="DOM"),0,IFERROR(8-VLOOKUP(O480,'Dados de consulta'!$A$2:$C$38,3,0),8))</f>
        <v>0</v>
      </c>
      <c r="BM480" s="97">
        <f>IF(OR(AY480="SÁB",AY480="DOM"),0,IFERROR(8-VLOOKUP(P480,'Dados de consulta'!$A$2:$C$38,3,0),8))</f>
        <v>0</v>
      </c>
      <c r="BN480" s="97">
        <f>IF(OR(AY480="SÁB",AY480="DOM"),0,IFERROR(8-VLOOKUP(Q480,'Dados de consulta'!$A$2:$C$38,3,0),8))</f>
        <v>0</v>
      </c>
      <c r="BO480" s="97">
        <f>IF(OR(AY480="SÁB",AY480="DOM"),0,IFERROR(8-VLOOKUP(R480,'Dados de consulta'!$A$2:$C$38,3,0),8))</f>
        <v>0</v>
      </c>
      <c r="BP480" s="97">
        <f>IF(OR(AY480="SÁB",AY480="DOM"),0,IFERROR(8-VLOOKUP(S480,'Dados de consulta'!$A$2:$C$38,3,0),8))</f>
        <v>0</v>
      </c>
      <c r="BQ480" s="113">
        <f>IFERROR(6-VLOOKUP(T480,'Dados de consulta'!$A$2:$C$38,3,0)+2,6)</f>
        <v>6</v>
      </c>
      <c r="BR480" s="114">
        <f t="shared" si="206"/>
        <v>0</v>
      </c>
      <c r="BS480">
        <f t="shared" si="182"/>
        <v>0</v>
      </c>
      <c r="BU480">
        <f>IFERROR(8-VLOOKUP(U480,'Dados de consulta'!$A:$D,3,0),8)</f>
        <v>8</v>
      </c>
      <c r="BV480">
        <f>IFERROR(8-VLOOKUP(V480,'Dados de consulta'!$A:$D,3,0),8)</f>
        <v>8</v>
      </c>
      <c r="BW480">
        <f t="shared" si="207"/>
        <v>16</v>
      </c>
    </row>
    <row r="481" spans="1:75" ht="15" hidden="1" x14ac:dyDescent="0.2">
      <c r="A481" s="98">
        <v>42604</v>
      </c>
      <c r="B481" s="129" t="str">
        <f t="shared" si="184"/>
        <v>seg</v>
      </c>
      <c r="C481" s="132"/>
      <c r="D481" s="132"/>
      <c r="E481" s="132">
        <v>18</v>
      </c>
      <c r="F481" s="132"/>
      <c r="G481" s="132"/>
      <c r="H481" s="132"/>
      <c r="I481" s="132"/>
      <c r="J481" s="132"/>
      <c r="K481" s="132"/>
      <c r="L481" s="132"/>
      <c r="M481" s="132">
        <v>101</v>
      </c>
      <c r="N481" s="132"/>
      <c r="O481" s="132"/>
      <c r="P481" s="132">
        <v>18</v>
      </c>
      <c r="Q481" s="132"/>
      <c r="R481" s="132"/>
      <c r="S481" s="132"/>
      <c r="T481" s="132"/>
      <c r="U481" s="151"/>
      <c r="V481" s="151"/>
      <c r="W481" s="307" t="s">
        <v>193</v>
      </c>
      <c r="X481" s="308"/>
      <c r="Y481" s="38">
        <f t="shared" si="185"/>
        <v>0</v>
      </c>
      <c r="Z481" s="38">
        <f t="shared" si="186"/>
        <v>16</v>
      </c>
      <c r="AA481" s="38">
        <f t="shared" si="183"/>
        <v>0</v>
      </c>
      <c r="AB481" s="38">
        <f t="shared" si="194"/>
        <v>0</v>
      </c>
      <c r="AC481" s="38">
        <f t="shared" si="195"/>
        <v>0</v>
      </c>
      <c r="AD481" s="38">
        <f t="shared" si="196"/>
        <v>0</v>
      </c>
      <c r="AE481" s="38">
        <f t="shared" si="197"/>
        <v>0</v>
      </c>
      <c r="AF481" s="38">
        <f t="shared" si="198"/>
        <v>0</v>
      </c>
      <c r="AG481" s="33">
        <f t="shared" si="199"/>
        <v>0</v>
      </c>
      <c r="AH481" s="33">
        <f t="shared" si="200"/>
        <v>16</v>
      </c>
      <c r="AI481" s="33">
        <f t="shared" si="201"/>
        <v>0</v>
      </c>
      <c r="AJ481" s="33">
        <f t="shared" si="202"/>
        <v>0</v>
      </c>
      <c r="AK481" s="34">
        <f t="shared" si="203"/>
        <v>0</v>
      </c>
      <c r="AL481" s="35">
        <f t="shared" si="204"/>
        <v>0.11267605633802817</v>
      </c>
      <c r="AM481" s="34">
        <f t="shared" si="187"/>
        <v>0</v>
      </c>
      <c r="AN481" s="36">
        <f t="shared" si="205"/>
        <v>0</v>
      </c>
      <c r="AO481" s="6">
        <f t="shared" si="188"/>
        <v>0</v>
      </c>
      <c r="AP481">
        <f t="shared" si="189"/>
        <v>8</v>
      </c>
      <c r="AQ481" s="6">
        <f t="shared" si="190"/>
        <v>0</v>
      </c>
      <c r="AR481" s="6">
        <f t="shared" si="191"/>
        <v>0</v>
      </c>
      <c r="AS481" s="6"/>
      <c r="AX481" s="95">
        <f t="shared" si="192"/>
        <v>42604</v>
      </c>
      <c r="AY481" s="96" t="str">
        <f t="shared" si="193"/>
        <v>seg</v>
      </c>
      <c r="AZ481" s="97">
        <f>IF(OR(AY481="SÁB",AY481="DOM"),0,IFERROR(8-VLOOKUP(C481,'Dados de consulta'!$A$2:$C$38,3,0),8))</f>
        <v>8</v>
      </c>
      <c r="BA481" s="97">
        <f>IF(OR(AY481="SÁB",AY481="DOM"),0,IFERROR(8-VLOOKUP(D481,'Dados de consulta'!$A$2:$C$38,3,0),8))</f>
        <v>8</v>
      </c>
      <c r="BB481" s="97">
        <f>IF(OR(AY481="SÁB",AY481="DOM"),0,IFERROR(8-VLOOKUP(E481,'Dados de consulta'!$A$2:$C$38,3,0),8))</f>
        <v>0</v>
      </c>
      <c r="BC481" s="97">
        <f>IF(OR(AY481="SÁB",AY481="DOM"),0,IFERROR(8-VLOOKUP(F481,'Dados de consulta'!$A$2:$C$38,3,0),8))</f>
        <v>8</v>
      </c>
      <c r="BD481" s="97">
        <f>IF(OR(AY481="SÁB",AY481="DOM"),0,IFERROR(8-VLOOKUP(G481,'Dados de consulta'!$A$2:$C$38,3,0),8))</f>
        <v>8</v>
      </c>
      <c r="BE481" s="97">
        <f>IF(OR(AY481="SÁB",AY481="DOM"),0,IFERROR(8-VLOOKUP(H481,'Dados de consulta'!$A$2:$C$38,3,0),8))</f>
        <v>8</v>
      </c>
      <c r="BF481" s="97">
        <f>IF(OR(AY481="SÁB",AY481="DOM"),0,IFERROR(8-VLOOKUP(I481,'Dados de consulta'!$A$2:$C$38,3,0),8))</f>
        <v>8</v>
      </c>
      <c r="BG481" s="97">
        <f>IF(OR(AY481="SÁB",AY481="DOM"),0,IFERROR(8-VLOOKUP(J481,'Dados de consulta'!$A$2:$C$38,3,0),8))</f>
        <v>8</v>
      </c>
      <c r="BH481" s="97">
        <f>IF(OR(AY481="SÁB",AY481="DOM"),0,IFERROR(8-VLOOKUP(K481,'Dados de consulta'!$A$2:$C$38,3,0),8))</f>
        <v>8</v>
      </c>
      <c r="BI481" s="97">
        <f>IF(OR(AY481="SÁB",AY481="DOM"),0,IFERROR(8-VLOOKUP(L481,'Dados de consulta'!$A$2:$C$38,3,0),8))</f>
        <v>8</v>
      </c>
      <c r="BJ481" s="97">
        <f>IF(OR(AY481="SÁB",AY481="DOM"),0,IFERROR(8-VLOOKUP(M481,'Dados de consulta'!$A$2:$C$38,3,0),8))</f>
        <v>0</v>
      </c>
      <c r="BK481" s="97">
        <f>IF(OR(AY481="SÁB",AY481="DOM"),0,IFERROR(8-VLOOKUP(N481,'Dados de consulta'!$A$2:$C$38,3,0),8))</f>
        <v>8</v>
      </c>
      <c r="BL481" s="97">
        <f>IF(OR(AY481="SÁB",AY481="DOM"),0,IFERROR(8-VLOOKUP(O481,'Dados de consulta'!$A$2:$C$38,3,0),8))</f>
        <v>8</v>
      </c>
      <c r="BM481" s="97">
        <f>IF(OR(AY481="SÁB",AY481="DOM"),0,IFERROR(8-VLOOKUP(P481,'Dados de consulta'!$A$2:$C$38,3,0),8))</f>
        <v>0</v>
      </c>
      <c r="BN481" s="97">
        <f>IF(OR(AY481="SÁB",AY481="DOM"),0,IFERROR(8-VLOOKUP(Q481,'Dados de consulta'!$A$2:$C$38,3,0),8))</f>
        <v>8</v>
      </c>
      <c r="BO481" s="97">
        <f>IF(OR(AY481="SÁB",AY481="DOM"),0,IFERROR(8-VLOOKUP(R481,'Dados de consulta'!$A$2:$C$38,3,0),8))</f>
        <v>8</v>
      </c>
      <c r="BP481" s="97">
        <f>IF(OR(AY481="SÁB",AY481="DOM"),0,IFERROR(8-VLOOKUP(S481,'Dados de consulta'!$A$2:$C$38,3,0),8))</f>
        <v>8</v>
      </c>
      <c r="BQ481" s="113">
        <f>IFERROR(6-VLOOKUP(T481,'Dados de consulta'!$A$2:$C$38,3,0)+2,6)</f>
        <v>6</v>
      </c>
      <c r="BR481" s="114">
        <f t="shared" si="206"/>
        <v>118</v>
      </c>
      <c r="BS481">
        <f t="shared" si="182"/>
        <v>134</v>
      </c>
      <c r="BU481">
        <f>IFERROR(8-VLOOKUP(U481,'Dados de consulta'!$A:$D,3,0),8)</f>
        <v>8</v>
      </c>
      <c r="BV481">
        <f>IFERROR(8-VLOOKUP(V481,'Dados de consulta'!$A:$D,3,0),8)</f>
        <v>8</v>
      </c>
      <c r="BW481">
        <f t="shared" si="207"/>
        <v>16</v>
      </c>
    </row>
    <row r="482" spans="1:75" ht="15" hidden="1" x14ac:dyDescent="0.2">
      <c r="A482" s="98">
        <v>42605</v>
      </c>
      <c r="B482" s="129" t="str">
        <f t="shared" si="184"/>
        <v>ter</v>
      </c>
      <c r="C482" s="132"/>
      <c r="D482" s="132"/>
      <c r="E482" s="132">
        <v>18</v>
      </c>
      <c r="F482" s="132"/>
      <c r="G482" s="132"/>
      <c r="H482" s="132"/>
      <c r="I482" s="132"/>
      <c r="J482" s="132"/>
      <c r="K482" s="132"/>
      <c r="L482" s="132"/>
      <c r="M482" s="132">
        <v>101</v>
      </c>
      <c r="N482" s="132"/>
      <c r="O482" s="132"/>
      <c r="P482" s="132">
        <v>18</v>
      </c>
      <c r="Q482" s="132"/>
      <c r="R482" s="132"/>
      <c r="S482" s="132"/>
      <c r="T482" s="132"/>
      <c r="U482" s="151"/>
      <c r="V482" s="151"/>
      <c r="W482" s="307" t="s">
        <v>193</v>
      </c>
      <c r="X482" s="308"/>
      <c r="Y482" s="38">
        <f t="shared" si="185"/>
        <v>0</v>
      </c>
      <c r="Z482" s="38">
        <f t="shared" si="186"/>
        <v>16</v>
      </c>
      <c r="AA482" s="38">
        <f t="shared" si="183"/>
        <v>0</v>
      </c>
      <c r="AB482" s="38">
        <f t="shared" si="194"/>
        <v>0</v>
      </c>
      <c r="AC482" s="38">
        <f t="shared" si="195"/>
        <v>0</v>
      </c>
      <c r="AD482" s="38">
        <f t="shared" si="196"/>
        <v>0</v>
      </c>
      <c r="AE482" s="38">
        <f t="shared" si="197"/>
        <v>0</v>
      </c>
      <c r="AF482" s="38">
        <f t="shared" si="198"/>
        <v>0</v>
      </c>
      <c r="AG482" s="33">
        <f t="shared" si="199"/>
        <v>0</v>
      </c>
      <c r="AH482" s="33">
        <f t="shared" si="200"/>
        <v>16</v>
      </c>
      <c r="AI482" s="33">
        <f t="shared" si="201"/>
        <v>0</v>
      </c>
      <c r="AJ482" s="33">
        <f t="shared" si="202"/>
        <v>0</v>
      </c>
      <c r="AK482" s="34">
        <f t="shared" si="203"/>
        <v>0</v>
      </c>
      <c r="AL482" s="35">
        <f t="shared" si="204"/>
        <v>0.11267605633802817</v>
      </c>
      <c r="AM482" s="34">
        <f t="shared" si="187"/>
        <v>0</v>
      </c>
      <c r="AN482" s="36">
        <f t="shared" si="205"/>
        <v>0</v>
      </c>
      <c r="AO482" s="6">
        <f t="shared" si="188"/>
        <v>0</v>
      </c>
      <c r="AP482">
        <f t="shared" si="189"/>
        <v>8</v>
      </c>
      <c r="AQ482" s="6">
        <f t="shared" si="190"/>
        <v>0</v>
      </c>
      <c r="AR482" s="6">
        <f t="shared" si="191"/>
        <v>0</v>
      </c>
      <c r="AS482" s="6"/>
      <c r="AX482" s="95">
        <f t="shared" si="192"/>
        <v>42605</v>
      </c>
      <c r="AY482" s="96" t="str">
        <f t="shared" si="193"/>
        <v>ter</v>
      </c>
      <c r="AZ482" s="97">
        <f>IF(OR(AY482="SÁB",AY482="DOM"),0,IFERROR(8-VLOOKUP(C482,'Dados de consulta'!$A$2:$C$38,3,0),8))</f>
        <v>8</v>
      </c>
      <c r="BA482" s="97">
        <f>IF(OR(AY482="SÁB",AY482="DOM"),0,IFERROR(8-VLOOKUP(D482,'Dados de consulta'!$A$2:$C$38,3,0),8))</f>
        <v>8</v>
      </c>
      <c r="BB482" s="97">
        <f>IF(OR(AY482="SÁB",AY482="DOM"),0,IFERROR(8-VLOOKUP(E482,'Dados de consulta'!$A$2:$C$38,3,0),8))</f>
        <v>0</v>
      </c>
      <c r="BC482" s="97">
        <f>IF(OR(AY482="SÁB",AY482="DOM"),0,IFERROR(8-VLOOKUP(F482,'Dados de consulta'!$A$2:$C$38,3,0),8))</f>
        <v>8</v>
      </c>
      <c r="BD482" s="97">
        <f>IF(OR(AY482="SÁB",AY482="DOM"),0,IFERROR(8-VLOOKUP(G482,'Dados de consulta'!$A$2:$C$38,3,0),8))</f>
        <v>8</v>
      </c>
      <c r="BE482" s="97">
        <f>IF(OR(AY482="SÁB",AY482="DOM"),0,IFERROR(8-VLOOKUP(H482,'Dados de consulta'!$A$2:$C$38,3,0),8))</f>
        <v>8</v>
      </c>
      <c r="BF482" s="97">
        <f>IF(OR(AY482="SÁB",AY482="DOM"),0,IFERROR(8-VLOOKUP(I482,'Dados de consulta'!$A$2:$C$38,3,0),8))</f>
        <v>8</v>
      </c>
      <c r="BG482" s="97">
        <f>IF(OR(AY482="SÁB",AY482="DOM"),0,IFERROR(8-VLOOKUP(J482,'Dados de consulta'!$A$2:$C$38,3,0),8))</f>
        <v>8</v>
      </c>
      <c r="BH482" s="97">
        <f>IF(OR(AY482="SÁB",AY482="DOM"),0,IFERROR(8-VLOOKUP(K482,'Dados de consulta'!$A$2:$C$38,3,0),8))</f>
        <v>8</v>
      </c>
      <c r="BI482" s="97">
        <f>IF(OR(AY482="SÁB",AY482="DOM"),0,IFERROR(8-VLOOKUP(L482,'Dados de consulta'!$A$2:$C$38,3,0),8))</f>
        <v>8</v>
      </c>
      <c r="BJ482" s="97">
        <f>IF(OR(AY482="SÁB",AY482="DOM"),0,IFERROR(8-VLOOKUP(M482,'Dados de consulta'!$A$2:$C$38,3,0),8))</f>
        <v>0</v>
      </c>
      <c r="BK482" s="97">
        <f>IF(OR(AY482="SÁB",AY482="DOM"),0,IFERROR(8-VLOOKUP(N482,'Dados de consulta'!$A$2:$C$38,3,0),8))</f>
        <v>8</v>
      </c>
      <c r="BL482" s="97">
        <f>IF(OR(AY482="SÁB",AY482="DOM"),0,IFERROR(8-VLOOKUP(O482,'Dados de consulta'!$A$2:$C$38,3,0),8))</f>
        <v>8</v>
      </c>
      <c r="BM482" s="97">
        <f>IF(OR(AY482="SÁB",AY482="DOM"),0,IFERROR(8-VLOOKUP(P482,'Dados de consulta'!$A$2:$C$38,3,0),8))</f>
        <v>0</v>
      </c>
      <c r="BN482" s="97">
        <f>IF(OR(AY482="SÁB",AY482="DOM"),0,IFERROR(8-VLOOKUP(Q482,'Dados de consulta'!$A$2:$C$38,3,0),8))</f>
        <v>8</v>
      </c>
      <c r="BO482" s="97">
        <f>IF(OR(AY482="SÁB",AY482="DOM"),0,IFERROR(8-VLOOKUP(R482,'Dados de consulta'!$A$2:$C$38,3,0),8))</f>
        <v>8</v>
      </c>
      <c r="BP482" s="97">
        <f>IF(OR(AY482="SÁB",AY482="DOM"),0,IFERROR(8-VLOOKUP(S482,'Dados de consulta'!$A$2:$C$38,3,0),8))</f>
        <v>8</v>
      </c>
      <c r="BQ482" s="113">
        <f>IFERROR(6-VLOOKUP(T482,'Dados de consulta'!$A$2:$C$38,3,0)+2,6)</f>
        <v>6</v>
      </c>
      <c r="BR482" s="114">
        <f t="shared" si="206"/>
        <v>118</v>
      </c>
      <c r="BS482">
        <f t="shared" si="182"/>
        <v>134</v>
      </c>
      <c r="BU482">
        <f>IFERROR(8-VLOOKUP(U482,'Dados de consulta'!$A:$D,3,0),8)</f>
        <v>8</v>
      </c>
      <c r="BV482">
        <f>IFERROR(8-VLOOKUP(V482,'Dados de consulta'!$A:$D,3,0),8)</f>
        <v>8</v>
      </c>
      <c r="BW482">
        <f t="shared" si="207"/>
        <v>16</v>
      </c>
    </row>
    <row r="483" spans="1:75" ht="15" hidden="1" x14ac:dyDescent="0.2">
      <c r="A483" s="98">
        <v>42606</v>
      </c>
      <c r="B483" s="129" t="str">
        <f t="shared" si="184"/>
        <v>qua</v>
      </c>
      <c r="C483" s="132"/>
      <c r="D483" s="132"/>
      <c r="E483" s="132">
        <v>18</v>
      </c>
      <c r="F483" s="132"/>
      <c r="G483" s="132"/>
      <c r="H483" s="132"/>
      <c r="I483" s="132"/>
      <c r="J483" s="132"/>
      <c r="K483" s="132"/>
      <c r="L483" s="132"/>
      <c r="M483" s="132">
        <v>101</v>
      </c>
      <c r="N483" s="132"/>
      <c r="O483" s="132"/>
      <c r="P483" s="132">
        <v>18</v>
      </c>
      <c r="Q483" s="132"/>
      <c r="R483" s="132"/>
      <c r="S483" s="132"/>
      <c r="T483" s="132"/>
      <c r="U483" s="151"/>
      <c r="V483" s="151"/>
      <c r="W483" s="307" t="s">
        <v>193</v>
      </c>
      <c r="X483" s="308"/>
      <c r="Y483" s="38">
        <f t="shared" si="185"/>
        <v>0</v>
      </c>
      <c r="Z483" s="38">
        <f t="shared" si="186"/>
        <v>16</v>
      </c>
      <c r="AA483" s="38">
        <f t="shared" si="183"/>
        <v>0</v>
      </c>
      <c r="AB483" s="38">
        <f t="shared" si="194"/>
        <v>0</v>
      </c>
      <c r="AC483" s="38">
        <f t="shared" si="195"/>
        <v>0</v>
      </c>
      <c r="AD483" s="38">
        <f t="shared" si="196"/>
        <v>0</v>
      </c>
      <c r="AE483" s="38">
        <f t="shared" si="197"/>
        <v>0</v>
      </c>
      <c r="AF483" s="38">
        <f t="shared" si="198"/>
        <v>0</v>
      </c>
      <c r="AG483" s="33">
        <f t="shared" si="199"/>
        <v>0</v>
      </c>
      <c r="AH483" s="33">
        <f t="shared" si="200"/>
        <v>16</v>
      </c>
      <c r="AI483" s="33">
        <f t="shared" si="201"/>
        <v>0</v>
      </c>
      <c r="AJ483" s="33">
        <f t="shared" si="202"/>
        <v>0</v>
      </c>
      <c r="AK483" s="34">
        <f t="shared" si="203"/>
        <v>0</v>
      </c>
      <c r="AL483" s="35">
        <f t="shared" si="204"/>
        <v>0.11267605633802817</v>
      </c>
      <c r="AM483" s="34">
        <f t="shared" si="187"/>
        <v>0</v>
      </c>
      <c r="AN483" s="36">
        <f t="shared" si="205"/>
        <v>0</v>
      </c>
      <c r="AO483" s="6">
        <f t="shared" si="188"/>
        <v>0</v>
      </c>
      <c r="AP483">
        <f t="shared" si="189"/>
        <v>8</v>
      </c>
      <c r="AQ483" s="6">
        <f t="shared" si="190"/>
        <v>0</v>
      </c>
      <c r="AR483" s="6">
        <f t="shared" si="191"/>
        <v>0</v>
      </c>
      <c r="AS483" s="6"/>
      <c r="AX483" s="95">
        <f t="shared" si="192"/>
        <v>42606</v>
      </c>
      <c r="AY483" s="96" t="str">
        <f t="shared" si="193"/>
        <v>qua</v>
      </c>
      <c r="AZ483" s="97">
        <f>IF(OR(AY483="SÁB",AY483="DOM"),0,IFERROR(8-VLOOKUP(C483,'Dados de consulta'!$A$2:$C$38,3,0),8))</f>
        <v>8</v>
      </c>
      <c r="BA483" s="97">
        <f>IF(OR(AY483="SÁB",AY483="DOM"),0,IFERROR(8-VLOOKUP(D483,'Dados de consulta'!$A$2:$C$38,3,0),8))</f>
        <v>8</v>
      </c>
      <c r="BB483" s="97">
        <f>IF(OR(AY483="SÁB",AY483="DOM"),0,IFERROR(8-VLOOKUP(E483,'Dados de consulta'!$A$2:$C$38,3,0),8))</f>
        <v>0</v>
      </c>
      <c r="BC483" s="97">
        <f>IF(OR(AY483="SÁB",AY483="DOM"),0,IFERROR(8-VLOOKUP(F483,'Dados de consulta'!$A$2:$C$38,3,0),8))</f>
        <v>8</v>
      </c>
      <c r="BD483" s="97">
        <f>IF(OR(AY483="SÁB",AY483="DOM"),0,IFERROR(8-VLOOKUP(G483,'Dados de consulta'!$A$2:$C$38,3,0),8))</f>
        <v>8</v>
      </c>
      <c r="BE483" s="97">
        <f>IF(OR(AY483="SÁB",AY483="DOM"),0,IFERROR(8-VLOOKUP(H483,'Dados de consulta'!$A$2:$C$38,3,0),8))</f>
        <v>8</v>
      </c>
      <c r="BF483" s="97">
        <f>IF(OR(AY483="SÁB",AY483="DOM"),0,IFERROR(8-VLOOKUP(I483,'Dados de consulta'!$A$2:$C$38,3,0),8))</f>
        <v>8</v>
      </c>
      <c r="BG483" s="97">
        <f>IF(OR(AY483="SÁB",AY483="DOM"),0,IFERROR(8-VLOOKUP(J483,'Dados de consulta'!$A$2:$C$38,3,0),8))</f>
        <v>8</v>
      </c>
      <c r="BH483" s="97">
        <f>IF(OR(AY483="SÁB",AY483="DOM"),0,IFERROR(8-VLOOKUP(K483,'Dados de consulta'!$A$2:$C$38,3,0),8))</f>
        <v>8</v>
      </c>
      <c r="BI483" s="97">
        <f>IF(OR(AY483="SÁB",AY483="DOM"),0,IFERROR(8-VLOOKUP(L483,'Dados de consulta'!$A$2:$C$38,3,0),8))</f>
        <v>8</v>
      </c>
      <c r="BJ483" s="97">
        <f>IF(OR(AY483="SÁB",AY483="DOM"),0,IFERROR(8-VLOOKUP(M483,'Dados de consulta'!$A$2:$C$38,3,0),8))</f>
        <v>0</v>
      </c>
      <c r="BK483" s="97">
        <f>IF(OR(AY483="SÁB",AY483="DOM"),0,IFERROR(8-VLOOKUP(N483,'Dados de consulta'!$A$2:$C$38,3,0),8))</f>
        <v>8</v>
      </c>
      <c r="BL483" s="97">
        <f>IF(OR(AY483="SÁB",AY483="DOM"),0,IFERROR(8-VLOOKUP(O483,'Dados de consulta'!$A$2:$C$38,3,0),8))</f>
        <v>8</v>
      </c>
      <c r="BM483" s="97">
        <f>IF(OR(AY483="SÁB",AY483="DOM"),0,IFERROR(8-VLOOKUP(P483,'Dados de consulta'!$A$2:$C$38,3,0),8))</f>
        <v>0</v>
      </c>
      <c r="BN483" s="97">
        <f>IF(OR(AY483="SÁB",AY483="DOM"),0,IFERROR(8-VLOOKUP(Q483,'Dados de consulta'!$A$2:$C$38,3,0),8))</f>
        <v>8</v>
      </c>
      <c r="BO483" s="97">
        <f>IF(OR(AY483="SÁB",AY483="DOM"),0,IFERROR(8-VLOOKUP(R483,'Dados de consulta'!$A$2:$C$38,3,0),8))</f>
        <v>8</v>
      </c>
      <c r="BP483" s="97">
        <f>IF(OR(AY483="SÁB",AY483="DOM"),0,IFERROR(8-VLOOKUP(S483,'Dados de consulta'!$A$2:$C$38,3,0),8))</f>
        <v>8</v>
      </c>
      <c r="BQ483" s="113">
        <f>IFERROR(6-VLOOKUP(T483,'Dados de consulta'!$A$2:$C$38,3,0)+2,6)</f>
        <v>6</v>
      </c>
      <c r="BR483" s="114">
        <f t="shared" si="206"/>
        <v>118</v>
      </c>
      <c r="BS483">
        <f t="shared" si="182"/>
        <v>134</v>
      </c>
      <c r="BU483">
        <f>IFERROR(8-VLOOKUP(U483,'Dados de consulta'!$A:$D,3,0),8)</f>
        <v>8</v>
      </c>
      <c r="BV483">
        <f>IFERROR(8-VLOOKUP(V483,'Dados de consulta'!$A:$D,3,0),8)</f>
        <v>8</v>
      </c>
      <c r="BW483">
        <f t="shared" si="207"/>
        <v>16</v>
      </c>
    </row>
    <row r="484" spans="1:75" ht="15" hidden="1" x14ac:dyDescent="0.2">
      <c r="A484" s="98">
        <v>42607</v>
      </c>
      <c r="B484" s="129" t="str">
        <f t="shared" si="184"/>
        <v>qui</v>
      </c>
      <c r="C484" s="132"/>
      <c r="D484" s="132"/>
      <c r="E484" s="132">
        <v>18</v>
      </c>
      <c r="F484" s="132"/>
      <c r="G484" s="132"/>
      <c r="H484" s="132"/>
      <c r="I484" s="132"/>
      <c r="J484" s="132"/>
      <c r="K484" s="132"/>
      <c r="L484" s="132"/>
      <c r="M484" s="132">
        <v>101</v>
      </c>
      <c r="N484" s="132"/>
      <c r="O484" s="132"/>
      <c r="P484" s="132">
        <v>18</v>
      </c>
      <c r="Q484" s="132"/>
      <c r="R484" s="132"/>
      <c r="S484" s="132"/>
      <c r="T484" s="132"/>
      <c r="U484" s="151"/>
      <c r="V484" s="151"/>
      <c r="W484" s="307" t="s">
        <v>193</v>
      </c>
      <c r="X484" s="308"/>
      <c r="Y484" s="38">
        <f t="shared" si="185"/>
        <v>0</v>
      </c>
      <c r="Z484" s="38">
        <f t="shared" si="186"/>
        <v>16</v>
      </c>
      <c r="AA484" s="38">
        <f t="shared" si="183"/>
        <v>0</v>
      </c>
      <c r="AB484" s="38">
        <f t="shared" si="194"/>
        <v>0</v>
      </c>
      <c r="AC484" s="38">
        <f t="shared" si="195"/>
        <v>0</v>
      </c>
      <c r="AD484" s="38">
        <f t="shared" si="196"/>
        <v>0</v>
      </c>
      <c r="AE484" s="38">
        <f t="shared" si="197"/>
        <v>0</v>
      </c>
      <c r="AF484" s="38">
        <f t="shared" si="198"/>
        <v>0</v>
      </c>
      <c r="AG484" s="33">
        <f t="shared" si="199"/>
        <v>0</v>
      </c>
      <c r="AH484" s="33">
        <f t="shared" si="200"/>
        <v>16</v>
      </c>
      <c r="AI484" s="33">
        <f t="shared" si="201"/>
        <v>0</v>
      </c>
      <c r="AJ484" s="33">
        <f t="shared" si="202"/>
        <v>0</v>
      </c>
      <c r="AK484" s="34">
        <f t="shared" si="203"/>
        <v>0</v>
      </c>
      <c r="AL484" s="35">
        <f t="shared" si="204"/>
        <v>0.11267605633802817</v>
      </c>
      <c r="AM484" s="34">
        <f t="shared" si="187"/>
        <v>0</v>
      </c>
      <c r="AN484" s="36">
        <f t="shared" si="205"/>
        <v>0</v>
      </c>
      <c r="AO484" s="6">
        <f t="shared" si="188"/>
        <v>0</v>
      </c>
      <c r="AP484">
        <f t="shared" si="189"/>
        <v>8</v>
      </c>
      <c r="AQ484" s="6">
        <f t="shared" si="190"/>
        <v>0</v>
      </c>
      <c r="AR484" s="6">
        <f t="shared" si="191"/>
        <v>0</v>
      </c>
      <c r="AS484" s="6"/>
      <c r="AX484" s="95">
        <f t="shared" si="192"/>
        <v>42607</v>
      </c>
      <c r="AY484" s="96" t="str">
        <f t="shared" si="193"/>
        <v>qui</v>
      </c>
      <c r="AZ484" s="97">
        <f>IF(OR(AY484="SÁB",AY484="DOM"),0,IFERROR(8-VLOOKUP(C484,'Dados de consulta'!$A$2:$C$38,3,0),8))</f>
        <v>8</v>
      </c>
      <c r="BA484" s="97">
        <f>IF(OR(AY484="SÁB",AY484="DOM"),0,IFERROR(8-VLOOKUP(D484,'Dados de consulta'!$A$2:$C$38,3,0),8))</f>
        <v>8</v>
      </c>
      <c r="BB484" s="97">
        <f>IF(OR(AY484="SÁB",AY484="DOM"),0,IFERROR(8-VLOOKUP(E484,'Dados de consulta'!$A$2:$C$38,3,0),8))</f>
        <v>0</v>
      </c>
      <c r="BC484" s="97">
        <f>IF(OR(AY484="SÁB",AY484="DOM"),0,IFERROR(8-VLOOKUP(F484,'Dados de consulta'!$A$2:$C$38,3,0),8))</f>
        <v>8</v>
      </c>
      <c r="BD484" s="97">
        <f>IF(OR(AY484="SÁB",AY484="DOM"),0,IFERROR(8-VLOOKUP(G484,'Dados de consulta'!$A$2:$C$38,3,0),8))</f>
        <v>8</v>
      </c>
      <c r="BE484" s="97">
        <f>IF(OR(AY484="SÁB",AY484="DOM"),0,IFERROR(8-VLOOKUP(H484,'Dados de consulta'!$A$2:$C$38,3,0),8))</f>
        <v>8</v>
      </c>
      <c r="BF484" s="97">
        <f>IF(OR(AY484="SÁB",AY484="DOM"),0,IFERROR(8-VLOOKUP(I484,'Dados de consulta'!$A$2:$C$38,3,0),8))</f>
        <v>8</v>
      </c>
      <c r="BG484" s="97">
        <f>IF(OR(AY484="SÁB",AY484="DOM"),0,IFERROR(8-VLOOKUP(J484,'Dados de consulta'!$A$2:$C$38,3,0),8))</f>
        <v>8</v>
      </c>
      <c r="BH484" s="97">
        <f>IF(OR(AY484="SÁB",AY484="DOM"),0,IFERROR(8-VLOOKUP(K484,'Dados de consulta'!$A$2:$C$38,3,0),8))</f>
        <v>8</v>
      </c>
      <c r="BI484" s="97">
        <f>IF(OR(AY484="SÁB",AY484="DOM"),0,IFERROR(8-VLOOKUP(L484,'Dados de consulta'!$A$2:$C$38,3,0),8))</f>
        <v>8</v>
      </c>
      <c r="BJ484" s="97">
        <f>IF(OR(AY484="SÁB",AY484="DOM"),0,IFERROR(8-VLOOKUP(M484,'Dados de consulta'!$A$2:$C$38,3,0),8))</f>
        <v>0</v>
      </c>
      <c r="BK484" s="97">
        <f>IF(OR(AY484="SÁB",AY484="DOM"),0,IFERROR(8-VLOOKUP(N484,'Dados de consulta'!$A$2:$C$38,3,0),8))</f>
        <v>8</v>
      </c>
      <c r="BL484" s="97">
        <f>IF(OR(AY484="SÁB",AY484="DOM"),0,IFERROR(8-VLOOKUP(O484,'Dados de consulta'!$A$2:$C$38,3,0),8))</f>
        <v>8</v>
      </c>
      <c r="BM484" s="97">
        <f>IF(OR(AY484="SÁB",AY484="DOM"),0,IFERROR(8-VLOOKUP(P484,'Dados de consulta'!$A$2:$C$38,3,0),8))</f>
        <v>0</v>
      </c>
      <c r="BN484" s="97">
        <f>IF(OR(AY484="SÁB",AY484="DOM"),0,IFERROR(8-VLOOKUP(Q484,'Dados de consulta'!$A$2:$C$38,3,0),8))</f>
        <v>8</v>
      </c>
      <c r="BO484" s="97">
        <f>IF(OR(AY484="SÁB",AY484="DOM"),0,IFERROR(8-VLOOKUP(R484,'Dados de consulta'!$A$2:$C$38,3,0),8))</f>
        <v>8</v>
      </c>
      <c r="BP484" s="97">
        <f>IF(OR(AY484="SÁB",AY484="DOM"),0,IFERROR(8-VLOOKUP(S484,'Dados de consulta'!$A$2:$C$38,3,0),8))</f>
        <v>8</v>
      </c>
      <c r="BQ484" s="113">
        <f>IFERROR(6-VLOOKUP(T484,'Dados de consulta'!$A$2:$C$38,3,0)+2,6)</f>
        <v>6</v>
      </c>
      <c r="BR484" s="114">
        <f t="shared" si="206"/>
        <v>118</v>
      </c>
      <c r="BS484">
        <f t="shared" si="182"/>
        <v>134</v>
      </c>
      <c r="BU484">
        <f>IFERROR(8-VLOOKUP(U484,'Dados de consulta'!$A:$D,3,0),8)</f>
        <v>8</v>
      </c>
      <c r="BV484">
        <f>IFERROR(8-VLOOKUP(V484,'Dados de consulta'!$A:$D,3,0),8)</f>
        <v>8</v>
      </c>
      <c r="BW484">
        <f t="shared" si="207"/>
        <v>16</v>
      </c>
    </row>
    <row r="485" spans="1:75" ht="15" hidden="1" x14ac:dyDescent="0.2">
      <c r="A485" s="98">
        <v>42608</v>
      </c>
      <c r="B485" s="129" t="str">
        <f t="shared" si="184"/>
        <v>sex</v>
      </c>
      <c r="C485" s="132"/>
      <c r="D485" s="132"/>
      <c r="E485" s="132">
        <v>18</v>
      </c>
      <c r="F485" s="132"/>
      <c r="G485" s="132"/>
      <c r="H485" s="132"/>
      <c r="I485" s="132"/>
      <c r="J485" s="132"/>
      <c r="K485" s="132"/>
      <c r="L485" s="132"/>
      <c r="M485" s="132">
        <v>101</v>
      </c>
      <c r="N485" s="132"/>
      <c r="O485" s="132"/>
      <c r="P485" s="132">
        <v>18</v>
      </c>
      <c r="Q485" s="132"/>
      <c r="R485" s="132"/>
      <c r="S485" s="132"/>
      <c r="T485" s="132"/>
      <c r="U485" s="151"/>
      <c r="V485" s="151"/>
      <c r="W485" s="307" t="s">
        <v>193</v>
      </c>
      <c r="X485" s="308"/>
      <c r="Y485" s="38">
        <f t="shared" si="185"/>
        <v>0</v>
      </c>
      <c r="Z485" s="38">
        <f t="shared" si="186"/>
        <v>16</v>
      </c>
      <c r="AA485" s="38">
        <f t="shared" si="183"/>
        <v>0</v>
      </c>
      <c r="AB485" s="38">
        <f t="shared" si="194"/>
        <v>0</v>
      </c>
      <c r="AC485" s="38">
        <f t="shared" si="195"/>
        <v>0</v>
      </c>
      <c r="AD485" s="38">
        <f t="shared" si="196"/>
        <v>0</v>
      </c>
      <c r="AE485" s="38">
        <f t="shared" si="197"/>
        <v>0</v>
      </c>
      <c r="AF485" s="38">
        <f t="shared" si="198"/>
        <v>0</v>
      </c>
      <c r="AG485" s="33">
        <f t="shared" si="199"/>
        <v>0</v>
      </c>
      <c r="AH485" s="33">
        <f t="shared" si="200"/>
        <v>16</v>
      </c>
      <c r="AI485" s="33">
        <f t="shared" si="201"/>
        <v>0</v>
      </c>
      <c r="AJ485" s="33">
        <f t="shared" si="202"/>
        <v>0</v>
      </c>
      <c r="AK485" s="34">
        <f t="shared" si="203"/>
        <v>0</v>
      </c>
      <c r="AL485" s="35">
        <f t="shared" si="204"/>
        <v>0.11267605633802817</v>
      </c>
      <c r="AM485" s="34">
        <f t="shared" si="187"/>
        <v>0</v>
      </c>
      <c r="AN485" s="36">
        <f t="shared" si="205"/>
        <v>0</v>
      </c>
      <c r="AO485" s="6">
        <f t="shared" si="188"/>
        <v>0</v>
      </c>
      <c r="AP485">
        <f t="shared" si="189"/>
        <v>8</v>
      </c>
      <c r="AQ485" s="6">
        <f t="shared" si="190"/>
        <v>0</v>
      </c>
      <c r="AR485" s="6">
        <f t="shared" si="191"/>
        <v>0</v>
      </c>
      <c r="AS485" s="6"/>
      <c r="AX485" s="95">
        <f t="shared" si="192"/>
        <v>42608</v>
      </c>
      <c r="AY485" s="96" t="str">
        <f t="shared" si="193"/>
        <v>sex</v>
      </c>
      <c r="AZ485" s="97">
        <f>IF(OR(AY485="SÁB",AY485="DOM"),0,IFERROR(8-VLOOKUP(C485,'Dados de consulta'!$A$2:$C$38,3,0),8))</f>
        <v>8</v>
      </c>
      <c r="BA485" s="97">
        <f>IF(OR(AY485="SÁB",AY485="DOM"),0,IFERROR(8-VLOOKUP(D485,'Dados de consulta'!$A$2:$C$38,3,0),8))</f>
        <v>8</v>
      </c>
      <c r="BB485" s="97">
        <f>IF(OR(AY485="SÁB",AY485="DOM"),0,IFERROR(8-VLOOKUP(E485,'Dados de consulta'!$A$2:$C$38,3,0),8))</f>
        <v>0</v>
      </c>
      <c r="BC485" s="97">
        <f>IF(OR(AY485="SÁB",AY485="DOM"),0,IFERROR(8-VLOOKUP(F485,'Dados de consulta'!$A$2:$C$38,3,0),8))</f>
        <v>8</v>
      </c>
      <c r="BD485" s="97">
        <f>IF(OR(AY485="SÁB",AY485="DOM"),0,IFERROR(8-VLOOKUP(G485,'Dados de consulta'!$A$2:$C$38,3,0),8))</f>
        <v>8</v>
      </c>
      <c r="BE485" s="97">
        <f>IF(OR(AY485="SÁB",AY485="DOM"),0,IFERROR(8-VLOOKUP(H485,'Dados de consulta'!$A$2:$C$38,3,0),8))</f>
        <v>8</v>
      </c>
      <c r="BF485" s="97">
        <f>IF(OR(AY485="SÁB",AY485="DOM"),0,IFERROR(8-VLOOKUP(I485,'Dados de consulta'!$A$2:$C$38,3,0),8))</f>
        <v>8</v>
      </c>
      <c r="BG485" s="97">
        <f>IF(OR(AY485="SÁB",AY485="DOM"),0,IFERROR(8-VLOOKUP(J485,'Dados de consulta'!$A$2:$C$38,3,0),8))</f>
        <v>8</v>
      </c>
      <c r="BH485" s="97">
        <f>IF(OR(AY485="SÁB",AY485="DOM"),0,IFERROR(8-VLOOKUP(K485,'Dados de consulta'!$A$2:$C$38,3,0),8))</f>
        <v>8</v>
      </c>
      <c r="BI485" s="97">
        <f>IF(OR(AY485="SÁB",AY485="DOM"),0,IFERROR(8-VLOOKUP(L485,'Dados de consulta'!$A$2:$C$38,3,0),8))</f>
        <v>8</v>
      </c>
      <c r="BJ485" s="97">
        <f>IF(OR(AY485="SÁB",AY485="DOM"),0,IFERROR(8-VLOOKUP(M485,'Dados de consulta'!$A$2:$C$38,3,0),8))</f>
        <v>0</v>
      </c>
      <c r="BK485" s="97">
        <f>IF(OR(AY485="SÁB",AY485="DOM"),0,IFERROR(8-VLOOKUP(N485,'Dados de consulta'!$A$2:$C$38,3,0),8))</f>
        <v>8</v>
      </c>
      <c r="BL485" s="97">
        <f>IF(OR(AY485="SÁB",AY485="DOM"),0,IFERROR(8-VLOOKUP(O485,'Dados de consulta'!$A$2:$C$38,3,0),8))</f>
        <v>8</v>
      </c>
      <c r="BM485" s="97">
        <f>IF(OR(AY485="SÁB",AY485="DOM"),0,IFERROR(8-VLOOKUP(P485,'Dados de consulta'!$A$2:$C$38,3,0),8))</f>
        <v>0</v>
      </c>
      <c r="BN485" s="97">
        <f>IF(OR(AY485="SÁB",AY485="DOM"),0,IFERROR(8-VLOOKUP(Q485,'Dados de consulta'!$A$2:$C$38,3,0),8))</f>
        <v>8</v>
      </c>
      <c r="BO485" s="97">
        <f>IF(OR(AY485="SÁB",AY485="DOM"),0,IFERROR(8-VLOOKUP(R485,'Dados de consulta'!$A$2:$C$38,3,0),8))</f>
        <v>8</v>
      </c>
      <c r="BP485" s="97">
        <f>IF(OR(AY485="SÁB",AY485="DOM"),0,IFERROR(8-VLOOKUP(S485,'Dados de consulta'!$A$2:$C$38,3,0),8))</f>
        <v>8</v>
      </c>
      <c r="BQ485" s="113">
        <f>IFERROR(6-VLOOKUP(T485,'Dados de consulta'!$A$2:$C$38,3,0)+2,6)</f>
        <v>6</v>
      </c>
      <c r="BR485" s="114">
        <f t="shared" si="206"/>
        <v>118</v>
      </c>
      <c r="BS485">
        <f t="shared" si="182"/>
        <v>134</v>
      </c>
      <c r="BU485">
        <f>IFERROR(8-VLOOKUP(U485,'Dados de consulta'!$A:$D,3,0),8)</f>
        <v>8</v>
      </c>
      <c r="BV485">
        <f>IFERROR(8-VLOOKUP(V485,'Dados de consulta'!$A:$D,3,0),8)</f>
        <v>8</v>
      </c>
      <c r="BW485">
        <f t="shared" si="207"/>
        <v>16</v>
      </c>
    </row>
    <row r="486" spans="1:75" ht="15" hidden="1" x14ac:dyDescent="0.2">
      <c r="A486" s="98">
        <v>42609</v>
      </c>
      <c r="B486" s="129" t="str">
        <f t="shared" si="184"/>
        <v>sáb</v>
      </c>
      <c r="C486" s="132"/>
      <c r="D486" s="132"/>
      <c r="E486" s="132">
        <v>18</v>
      </c>
      <c r="F486" s="132"/>
      <c r="G486" s="132"/>
      <c r="H486" s="132"/>
      <c r="I486" s="132"/>
      <c r="J486" s="132"/>
      <c r="K486" s="132"/>
      <c r="L486" s="132"/>
      <c r="M486" s="132">
        <v>101</v>
      </c>
      <c r="N486" s="132"/>
      <c r="O486" s="132"/>
      <c r="P486" s="132">
        <v>18</v>
      </c>
      <c r="Q486" s="132"/>
      <c r="R486" s="132"/>
      <c r="S486" s="132"/>
      <c r="T486" s="132"/>
      <c r="U486" s="151"/>
      <c r="V486" s="151"/>
      <c r="W486" s="307" t="s">
        <v>193</v>
      </c>
      <c r="X486" s="308"/>
      <c r="Y486" s="38">
        <f t="shared" si="185"/>
        <v>0</v>
      </c>
      <c r="Z486" s="38">
        <f t="shared" si="186"/>
        <v>16</v>
      </c>
      <c r="AA486" s="38">
        <f t="shared" si="183"/>
        <v>0</v>
      </c>
      <c r="AB486" s="38">
        <f t="shared" si="194"/>
        <v>0</v>
      </c>
      <c r="AC486" s="38">
        <f t="shared" si="195"/>
        <v>0</v>
      </c>
      <c r="AD486" s="38">
        <f t="shared" si="196"/>
        <v>0</v>
      </c>
      <c r="AE486" s="38">
        <f t="shared" si="197"/>
        <v>0</v>
      </c>
      <c r="AF486" s="38">
        <f t="shared" si="198"/>
        <v>0</v>
      </c>
      <c r="AG486" s="33">
        <f t="shared" si="199"/>
        <v>0</v>
      </c>
      <c r="AH486" s="33">
        <f t="shared" si="200"/>
        <v>0</v>
      </c>
      <c r="AI486" s="33">
        <f t="shared" si="201"/>
        <v>0</v>
      </c>
      <c r="AJ486" s="33">
        <f t="shared" si="202"/>
        <v>0</v>
      </c>
      <c r="AK486" s="34">
        <f t="shared" si="203"/>
        <v>0</v>
      </c>
      <c r="AL486" s="35">
        <f t="shared" si="204"/>
        <v>0</v>
      </c>
      <c r="AM486" s="34">
        <f t="shared" si="187"/>
        <v>0</v>
      </c>
      <c r="AN486" s="36">
        <f t="shared" si="205"/>
        <v>0</v>
      </c>
      <c r="AO486" s="6">
        <f t="shared" si="188"/>
        <v>0</v>
      </c>
      <c r="AP486">
        <f t="shared" si="189"/>
        <v>8</v>
      </c>
      <c r="AQ486" s="6">
        <f t="shared" si="190"/>
        <v>0</v>
      </c>
      <c r="AR486" s="6">
        <f t="shared" si="191"/>
        <v>0</v>
      </c>
      <c r="AS486" s="6"/>
      <c r="AX486" s="95">
        <f t="shared" si="192"/>
        <v>42609</v>
      </c>
      <c r="AY486" s="96" t="str">
        <f t="shared" si="193"/>
        <v>sáb</v>
      </c>
      <c r="AZ486" s="97">
        <f>IF(OR(AY486="SÁB",AY486="DOM"),0,IFERROR(8-VLOOKUP(C486,'Dados de consulta'!$A$2:$C$38,3,0),8))</f>
        <v>0</v>
      </c>
      <c r="BA486" s="97">
        <f>IF(OR(AY486="SÁB",AY486="DOM"),0,IFERROR(8-VLOOKUP(D486,'Dados de consulta'!$A$2:$C$38,3,0),8))</f>
        <v>0</v>
      </c>
      <c r="BB486" s="97">
        <f>IF(OR(AY486="SÁB",AY486="DOM"),0,IFERROR(8-VLOOKUP(E486,'Dados de consulta'!$A$2:$C$38,3,0),8))</f>
        <v>0</v>
      </c>
      <c r="BC486" s="97">
        <f>IF(OR(AY486="SÁB",AY486="DOM"),0,IFERROR(8-VLOOKUP(F486,'Dados de consulta'!$A$2:$C$38,3,0),8))</f>
        <v>0</v>
      </c>
      <c r="BD486" s="97">
        <f>IF(OR(AY486="SÁB",AY486="DOM"),0,IFERROR(8-VLOOKUP(G486,'Dados de consulta'!$A$2:$C$38,3,0),8))</f>
        <v>0</v>
      </c>
      <c r="BE486" s="97">
        <f>IF(OR(AY486="SÁB",AY486="DOM"),0,IFERROR(8-VLOOKUP(H486,'Dados de consulta'!$A$2:$C$38,3,0),8))</f>
        <v>0</v>
      </c>
      <c r="BF486" s="97">
        <f>IF(OR(AY486="SÁB",AY486="DOM"),0,IFERROR(8-VLOOKUP(I486,'Dados de consulta'!$A$2:$C$38,3,0),8))</f>
        <v>0</v>
      </c>
      <c r="BG486" s="97">
        <f>IF(OR(AY486="SÁB",AY486="DOM"),0,IFERROR(8-VLOOKUP(J486,'Dados de consulta'!$A$2:$C$38,3,0),8))</f>
        <v>0</v>
      </c>
      <c r="BH486" s="97">
        <f>IF(OR(AY486="SÁB",AY486="DOM"),0,IFERROR(8-VLOOKUP(K486,'Dados de consulta'!$A$2:$C$38,3,0),8))</f>
        <v>0</v>
      </c>
      <c r="BI486" s="97">
        <f>IF(OR(AY486="SÁB",AY486="DOM"),0,IFERROR(8-VLOOKUP(L486,'Dados de consulta'!$A$2:$C$38,3,0),8))</f>
        <v>0</v>
      </c>
      <c r="BJ486" s="97">
        <f>IF(OR(AY486="SÁB",AY486="DOM"),0,IFERROR(8-VLOOKUP(M486,'Dados de consulta'!$A$2:$C$38,3,0),8))</f>
        <v>0</v>
      </c>
      <c r="BK486" s="97">
        <f>IF(OR(AY486="SÁB",AY486="DOM"),0,IFERROR(8-VLOOKUP(N486,'Dados de consulta'!$A$2:$C$38,3,0),8))</f>
        <v>0</v>
      </c>
      <c r="BL486" s="97">
        <f>IF(OR(AY486="SÁB",AY486="DOM"),0,IFERROR(8-VLOOKUP(O486,'Dados de consulta'!$A$2:$C$38,3,0),8))</f>
        <v>0</v>
      </c>
      <c r="BM486" s="97">
        <f>IF(OR(AY486="SÁB",AY486="DOM"),0,IFERROR(8-VLOOKUP(P486,'Dados de consulta'!$A$2:$C$38,3,0),8))</f>
        <v>0</v>
      </c>
      <c r="BN486" s="97">
        <f>IF(OR(AY486="SÁB",AY486="DOM"),0,IFERROR(8-VLOOKUP(Q486,'Dados de consulta'!$A$2:$C$38,3,0),8))</f>
        <v>0</v>
      </c>
      <c r="BO486" s="97">
        <f>IF(OR(AY486="SÁB",AY486="DOM"),0,IFERROR(8-VLOOKUP(R486,'Dados de consulta'!$A$2:$C$38,3,0),8))</f>
        <v>0</v>
      </c>
      <c r="BP486" s="97">
        <f>IF(OR(AY486="SÁB",AY486="DOM"),0,IFERROR(8-VLOOKUP(S486,'Dados de consulta'!$A$2:$C$38,3,0),8))</f>
        <v>0</v>
      </c>
      <c r="BQ486" s="113">
        <f>IFERROR(6-VLOOKUP(T486,'Dados de consulta'!$A$2:$C$38,3,0)+2,6)</f>
        <v>6</v>
      </c>
      <c r="BR486" s="114">
        <f t="shared" si="206"/>
        <v>0</v>
      </c>
      <c r="BS486">
        <f t="shared" si="182"/>
        <v>0</v>
      </c>
      <c r="BU486">
        <f>IFERROR(8-VLOOKUP(U486,'Dados de consulta'!$A:$D,3,0),8)</f>
        <v>8</v>
      </c>
      <c r="BV486">
        <f>IFERROR(8-VLOOKUP(V486,'Dados de consulta'!$A:$D,3,0),8)</f>
        <v>8</v>
      </c>
      <c r="BW486">
        <f t="shared" si="207"/>
        <v>16</v>
      </c>
    </row>
    <row r="487" spans="1:75" ht="15" hidden="1" x14ac:dyDescent="0.2">
      <c r="A487" s="98">
        <v>42610</v>
      </c>
      <c r="B487" s="129" t="str">
        <f t="shared" si="184"/>
        <v>dom</v>
      </c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>
        <v>101</v>
      </c>
      <c r="N487" s="132"/>
      <c r="O487" s="132"/>
      <c r="P487" s="132"/>
      <c r="Q487" s="132"/>
      <c r="R487" s="132"/>
      <c r="S487" s="132"/>
      <c r="T487" s="132"/>
      <c r="U487" s="151"/>
      <c r="V487" s="151"/>
      <c r="W487" s="307" t="s">
        <v>193</v>
      </c>
      <c r="X487" s="308"/>
      <c r="Y487" s="38">
        <f t="shared" si="185"/>
        <v>0</v>
      </c>
      <c r="Z487" s="38">
        <f t="shared" si="186"/>
        <v>0</v>
      </c>
      <c r="AA487" s="38">
        <f t="shared" si="183"/>
        <v>0</v>
      </c>
      <c r="AB487" s="38">
        <f t="shared" si="194"/>
        <v>0</v>
      </c>
      <c r="AC487" s="38">
        <f t="shared" si="195"/>
        <v>0</v>
      </c>
      <c r="AD487" s="38">
        <f t="shared" si="196"/>
        <v>0</v>
      </c>
      <c r="AE487" s="38">
        <f t="shared" si="197"/>
        <v>0</v>
      </c>
      <c r="AF487" s="38">
        <f t="shared" si="198"/>
        <v>0</v>
      </c>
      <c r="AG487" s="33">
        <f t="shared" si="199"/>
        <v>0</v>
      </c>
      <c r="AH487" s="33">
        <f t="shared" si="200"/>
        <v>0</v>
      </c>
      <c r="AI487" s="33">
        <f t="shared" si="201"/>
        <v>0</v>
      </c>
      <c r="AJ487" s="33">
        <f t="shared" si="202"/>
        <v>0</v>
      </c>
      <c r="AK487" s="34">
        <f t="shared" si="203"/>
        <v>0</v>
      </c>
      <c r="AL487" s="35">
        <f t="shared" si="204"/>
        <v>0</v>
      </c>
      <c r="AM487" s="34">
        <f t="shared" si="187"/>
        <v>0</v>
      </c>
      <c r="AN487" s="36">
        <f t="shared" si="205"/>
        <v>0</v>
      </c>
      <c r="AO487" s="6">
        <f t="shared" si="188"/>
        <v>0</v>
      </c>
      <c r="AP487">
        <f t="shared" si="189"/>
        <v>8</v>
      </c>
      <c r="AQ487" s="6">
        <f t="shared" si="190"/>
        <v>0</v>
      </c>
      <c r="AR487" s="6">
        <f t="shared" si="191"/>
        <v>0</v>
      </c>
      <c r="AS487" s="6"/>
      <c r="AX487" s="95">
        <f t="shared" si="192"/>
        <v>42610</v>
      </c>
      <c r="AY487" s="96" t="str">
        <f t="shared" si="193"/>
        <v>dom</v>
      </c>
      <c r="AZ487" s="97">
        <f>IF(OR(AY487="SÁB",AY487="DOM"),0,IFERROR(8-VLOOKUP(C487,'Dados de consulta'!$A$2:$C$38,3,0),8))</f>
        <v>0</v>
      </c>
      <c r="BA487" s="97">
        <f>IF(OR(AY487="SÁB",AY487="DOM"),0,IFERROR(8-VLOOKUP(D487,'Dados de consulta'!$A$2:$C$38,3,0),8))</f>
        <v>0</v>
      </c>
      <c r="BB487" s="97">
        <f>IF(OR(AY487="SÁB",AY487="DOM"),0,IFERROR(8-VLOOKUP(E487,'Dados de consulta'!$A$2:$C$38,3,0),8))</f>
        <v>0</v>
      </c>
      <c r="BC487" s="97">
        <f>IF(OR(AY487="SÁB",AY487="DOM"),0,IFERROR(8-VLOOKUP(F487,'Dados de consulta'!$A$2:$C$38,3,0),8))</f>
        <v>0</v>
      </c>
      <c r="BD487" s="97">
        <f>IF(OR(AY487="SÁB",AY487="DOM"),0,IFERROR(8-VLOOKUP(G487,'Dados de consulta'!$A$2:$C$38,3,0),8))</f>
        <v>0</v>
      </c>
      <c r="BE487" s="97">
        <f>IF(OR(AY487="SÁB",AY487="DOM"),0,IFERROR(8-VLOOKUP(H487,'Dados de consulta'!$A$2:$C$38,3,0),8))</f>
        <v>0</v>
      </c>
      <c r="BF487" s="97">
        <f>IF(OR(AY487="SÁB",AY487="DOM"),0,IFERROR(8-VLOOKUP(I487,'Dados de consulta'!$A$2:$C$38,3,0),8))</f>
        <v>0</v>
      </c>
      <c r="BG487" s="97">
        <f>IF(OR(AY487="SÁB",AY487="DOM"),0,IFERROR(8-VLOOKUP(J487,'Dados de consulta'!$A$2:$C$38,3,0),8))</f>
        <v>0</v>
      </c>
      <c r="BH487" s="97">
        <f>IF(OR(AY487="SÁB",AY487="DOM"),0,IFERROR(8-VLOOKUP(K487,'Dados de consulta'!$A$2:$C$38,3,0),8))</f>
        <v>0</v>
      </c>
      <c r="BI487" s="97">
        <f>IF(OR(AY487="SÁB",AY487="DOM"),0,IFERROR(8-VLOOKUP(L487,'Dados de consulta'!$A$2:$C$38,3,0),8))</f>
        <v>0</v>
      </c>
      <c r="BJ487" s="97">
        <f>IF(OR(AY487="SÁB",AY487="DOM"),0,IFERROR(8-VLOOKUP(M487,'Dados de consulta'!$A$2:$C$38,3,0),8))</f>
        <v>0</v>
      </c>
      <c r="BK487" s="97">
        <f>IF(OR(AY487="SÁB",AY487="DOM"),0,IFERROR(8-VLOOKUP(N487,'Dados de consulta'!$A$2:$C$38,3,0),8))</f>
        <v>0</v>
      </c>
      <c r="BL487" s="97">
        <f>IF(OR(AY487="SÁB",AY487="DOM"),0,IFERROR(8-VLOOKUP(O487,'Dados de consulta'!$A$2:$C$38,3,0),8))</f>
        <v>0</v>
      </c>
      <c r="BM487" s="97">
        <f>IF(OR(AY487="SÁB",AY487="DOM"),0,IFERROR(8-VLOOKUP(P487,'Dados de consulta'!$A$2:$C$38,3,0),8))</f>
        <v>0</v>
      </c>
      <c r="BN487" s="97">
        <f>IF(OR(AY487="SÁB",AY487="DOM"),0,IFERROR(8-VLOOKUP(Q487,'Dados de consulta'!$A$2:$C$38,3,0),8))</f>
        <v>0</v>
      </c>
      <c r="BO487" s="97">
        <f>IF(OR(AY487="SÁB",AY487="DOM"),0,IFERROR(8-VLOOKUP(R487,'Dados de consulta'!$A$2:$C$38,3,0),8))</f>
        <v>0</v>
      </c>
      <c r="BP487" s="97">
        <f>IF(OR(AY487="SÁB",AY487="DOM"),0,IFERROR(8-VLOOKUP(S487,'Dados de consulta'!$A$2:$C$38,3,0),8))</f>
        <v>0</v>
      </c>
      <c r="BQ487" s="113">
        <f>IFERROR(6-VLOOKUP(T487,'Dados de consulta'!$A$2:$C$38,3,0)+2,6)</f>
        <v>6</v>
      </c>
      <c r="BR487" s="114">
        <f t="shared" si="206"/>
        <v>0</v>
      </c>
      <c r="BS487">
        <f t="shared" si="182"/>
        <v>0</v>
      </c>
      <c r="BU487">
        <f>IFERROR(8-VLOOKUP(U487,'Dados de consulta'!$A:$D,3,0),8)</f>
        <v>8</v>
      </c>
      <c r="BV487">
        <f>IFERROR(8-VLOOKUP(V487,'Dados de consulta'!$A:$D,3,0),8)</f>
        <v>8</v>
      </c>
      <c r="BW487">
        <f t="shared" si="207"/>
        <v>16</v>
      </c>
    </row>
    <row r="488" spans="1:75" ht="15" hidden="1" x14ac:dyDescent="0.2">
      <c r="A488" s="98">
        <v>42611</v>
      </c>
      <c r="B488" s="129" t="str">
        <f t="shared" si="184"/>
        <v>seg</v>
      </c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>
        <v>101</v>
      </c>
      <c r="N488" s="132"/>
      <c r="O488" s="132"/>
      <c r="P488" s="132"/>
      <c r="Q488" s="132"/>
      <c r="R488" s="132"/>
      <c r="S488" s="132"/>
      <c r="T488" s="132"/>
      <c r="U488" s="151"/>
      <c r="V488" s="151"/>
      <c r="W488" s="307" t="s">
        <v>193</v>
      </c>
      <c r="X488" s="308"/>
      <c r="Y488" s="38">
        <f t="shared" si="185"/>
        <v>0</v>
      </c>
      <c r="Z488" s="38">
        <f t="shared" si="186"/>
        <v>0</v>
      </c>
      <c r="AA488" s="38">
        <f t="shared" si="183"/>
        <v>0</v>
      </c>
      <c r="AB488" s="38">
        <f t="shared" si="194"/>
        <v>0</v>
      </c>
      <c r="AC488" s="38">
        <f t="shared" si="195"/>
        <v>0</v>
      </c>
      <c r="AD488" s="38">
        <f t="shared" si="196"/>
        <v>0</v>
      </c>
      <c r="AE488" s="38">
        <f t="shared" si="197"/>
        <v>0</v>
      </c>
      <c r="AF488" s="38">
        <f t="shared" si="198"/>
        <v>0</v>
      </c>
      <c r="AG488" s="33">
        <f t="shared" si="199"/>
        <v>0</v>
      </c>
      <c r="AH488" s="33">
        <f t="shared" si="200"/>
        <v>0</v>
      </c>
      <c r="AI488" s="33">
        <f t="shared" si="201"/>
        <v>0</v>
      </c>
      <c r="AJ488" s="33">
        <f t="shared" si="202"/>
        <v>0</v>
      </c>
      <c r="AK488" s="34">
        <f t="shared" si="203"/>
        <v>0</v>
      </c>
      <c r="AL488" s="35">
        <f t="shared" si="204"/>
        <v>0</v>
      </c>
      <c r="AM488" s="34">
        <f t="shared" si="187"/>
        <v>0</v>
      </c>
      <c r="AN488" s="36">
        <f t="shared" si="205"/>
        <v>0</v>
      </c>
      <c r="AO488" s="6">
        <f t="shared" si="188"/>
        <v>0</v>
      </c>
      <c r="AP488">
        <f t="shared" si="189"/>
        <v>8</v>
      </c>
      <c r="AQ488" s="6">
        <f t="shared" si="190"/>
        <v>0</v>
      </c>
      <c r="AR488" s="6">
        <f t="shared" si="191"/>
        <v>0</v>
      </c>
      <c r="AS488" s="6"/>
      <c r="AX488" s="95">
        <f t="shared" si="192"/>
        <v>42611</v>
      </c>
      <c r="AY488" s="96" t="str">
        <f t="shared" si="193"/>
        <v>seg</v>
      </c>
      <c r="AZ488" s="97">
        <f>IF(OR(AY488="SÁB",AY488="DOM"),0,IFERROR(8-VLOOKUP(C488,'Dados de consulta'!$A$2:$C$38,3,0),8))</f>
        <v>8</v>
      </c>
      <c r="BA488" s="97">
        <f>IF(OR(AY488="SÁB",AY488="DOM"),0,IFERROR(8-VLOOKUP(D488,'Dados de consulta'!$A$2:$C$38,3,0),8))</f>
        <v>8</v>
      </c>
      <c r="BB488" s="97">
        <f>IF(OR(AY488="SÁB",AY488="DOM"),0,IFERROR(8-VLOOKUP(E488,'Dados de consulta'!$A$2:$C$38,3,0),8))</f>
        <v>8</v>
      </c>
      <c r="BC488" s="97">
        <f>IF(OR(AY488="SÁB",AY488="DOM"),0,IFERROR(8-VLOOKUP(F488,'Dados de consulta'!$A$2:$C$38,3,0),8))</f>
        <v>8</v>
      </c>
      <c r="BD488" s="97">
        <f>IF(OR(AY488="SÁB",AY488="DOM"),0,IFERROR(8-VLOOKUP(G488,'Dados de consulta'!$A$2:$C$38,3,0),8))</f>
        <v>8</v>
      </c>
      <c r="BE488" s="97">
        <f>IF(OR(AY488="SÁB",AY488="DOM"),0,IFERROR(8-VLOOKUP(H488,'Dados de consulta'!$A$2:$C$38,3,0),8))</f>
        <v>8</v>
      </c>
      <c r="BF488" s="97">
        <f>IF(OR(AY488="SÁB",AY488="DOM"),0,IFERROR(8-VLOOKUP(I488,'Dados de consulta'!$A$2:$C$38,3,0),8))</f>
        <v>8</v>
      </c>
      <c r="BG488" s="97">
        <f>IF(OR(AY488="SÁB",AY488="DOM"),0,IFERROR(8-VLOOKUP(J488,'Dados de consulta'!$A$2:$C$38,3,0),8))</f>
        <v>8</v>
      </c>
      <c r="BH488" s="97">
        <f>IF(OR(AY488="SÁB",AY488="DOM"),0,IFERROR(8-VLOOKUP(K488,'Dados de consulta'!$A$2:$C$38,3,0),8))</f>
        <v>8</v>
      </c>
      <c r="BI488" s="97">
        <f>IF(OR(AY488="SÁB",AY488="DOM"),0,IFERROR(8-VLOOKUP(L488,'Dados de consulta'!$A$2:$C$38,3,0),8))</f>
        <v>8</v>
      </c>
      <c r="BJ488" s="97">
        <f>IF(OR(AY488="SÁB",AY488="DOM"),0,IFERROR(8-VLOOKUP(M488,'Dados de consulta'!$A$2:$C$38,3,0),8))</f>
        <v>0</v>
      </c>
      <c r="BK488" s="97">
        <f>IF(OR(AY488="SÁB",AY488="DOM"),0,IFERROR(8-VLOOKUP(N488,'Dados de consulta'!$A$2:$C$38,3,0),8))</f>
        <v>8</v>
      </c>
      <c r="BL488" s="97">
        <f>IF(OR(AY488="SÁB",AY488="DOM"),0,IFERROR(8-VLOOKUP(O488,'Dados de consulta'!$A$2:$C$38,3,0),8))</f>
        <v>8</v>
      </c>
      <c r="BM488" s="97">
        <f>IF(OR(AY488="SÁB",AY488="DOM"),0,IFERROR(8-VLOOKUP(P488,'Dados de consulta'!$A$2:$C$38,3,0),8))</f>
        <v>8</v>
      </c>
      <c r="BN488" s="97">
        <f>IF(OR(AY488="SÁB",AY488="DOM"),0,IFERROR(8-VLOOKUP(Q488,'Dados de consulta'!$A$2:$C$38,3,0),8))</f>
        <v>8</v>
      </c>
      <c r="BO488" s="97">
        <f>IF(OR(AY488="SÁB",AY488="DOM"),0,IFERROR(8-VLOOKUP(R488,'Dados de consulta'!$A$2:$C$38,3,0),8))</f>
        <v>8</v>
      </c>
      <c r="BP488" s="97">
        <f>IF(OR(AY488="SÁB",AY488="DOM"),0,IFERROR(8-VLOOKUP(S488,'Dados de consulta'!$A$2:$C$38,3,0),8))</f>
        <v>8</v>
      </c>
      <c r="BQ488" s="113">
        <f>IFERROR(6-VLOOKUP(T488,'Dados de consulta'!$A$2:$C$38,3,0)+2,6)</f>
        <v>6</v>
      </c>
      <c r="BR488" s="114">
        <f t="shared" si="206"/>
        <v>134</v>
      </c>
      <c r="BS488">
        <f t="shared" si="182"/>
        <v>134</v>
      </c>
      <c r="BU488">
        <f>IFERROR(8-VLOOKUP(U488,'Dados de consulta'!$A:$D,3,0),8)</f>
        <v>8</v>
      </c>
      <c r="BV488">
        <f>IFERROR(8-VLOOKUP(V488,'Dados de consulta'!$A:$D,3,0),8)</f>
        <v>8</v>
      </c>
      <c r="BW488">
        <f t="shared" si="207"/>
        <v>16</v>
      </c>
    </row>
    <row r="489" spans="1:75" ht="15" hidden="1" x14ac:dyDescent="0.2">
      <c r="A489" s="98">
        <v>42612</v>
      </c>
      <c r="B489" s="129" t="str">
        <f t="shared" si="184"/>
        <v>ter</v>
      </c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>
        <v>101</v>
      </c>
      <c r="N489" s="132"/>
      <c r="O489" s="132"/>
      <c r="P489" s="132"/>
      <c r="Q489" s="132"/>
      <c r="R489" s="132"/>
      <c r="S489" s="132"/>
      <c r="T489" s="132"/>
      <c r="U489" s="151"/>
      <c r="V489" s="151"/>
      <c r="W489" s="307" t="s">
        <v>193</v>
      </c>
      <c r="X489" s="308"/>
      <c r="Y489" s="38">
        <f t="shared" si="185"/>
        <v>0</v>
      </c>
      <c r="Z489" s="38">
        <f t="shared" si="186"/>
        <v>0</v>
      </c>
      <c r="AA489" s="38">
        <f t="shared" si="183"/>
        <v>0</v>
      </c>
      <c r="AB489" s="38">
        <f t="shared" si="194"/>
        <v>0</v>
      </c>
      <c r="AC489" s="38">
        <f t="shared" si="195"/>
        <v>0</v>
      </c>
      <c r="AD489" s="38">
        <f t="shared" si="196"/>
        <v>0</v>
      </c>
      <c r="AE489" s="38">
        <f t="shared" si="197"/>
        <v>0</v>
      </c>
      <c r="AF489" s="38">
        <f t="shared" si="198"/>
        <v>0</v>
      </c>
      <c r="AG489" s="33">
        <f t="shared" si="199"/>
        <v>0</v>
      </c>
      <c r="AH489" s="33">
        <f t="shared" si="200"/>
        <v>0</v>
      </c>
      <c r="AI489" s="33">
        <f t="shared" si="201"/>
        <v>0</v>
      </c>
      <c r="AJ489" s="33">
        <f t="shared" si="202"/>
        <v>0</v>
      </c>
      <c r="AK489" s="34">
        <f t="shared" si="203"/>
        <v>0</v>
      </c>
      <c r="AL489" s="35">
        <f t="shared" si="204"/>
        <v>0</v>
      </c>
      <c r="AM489" s="34">
        <f t="shared" si="187"/>
        <v>0</v>
      </c>
      <c r="AN489" s="36">
        <f t="shared" si="205"/>
        <v>0</v>
      </c>
      <c r="AO489" s="6">
        <f t="shared" si="188"/>
        <v>0</v>
      </c>
      <c r="AP489">
        <f t="shared" si="189"/>
        <v>8</v>
      </c>
      <c r="AQ489" s="6">
        <f t="shared" si="190"/>
        <v>0</v>
      </c>
      <c r="AR489" s="6">
        <f t="shared" si="191"/>
        <v>0</v>
      </c>
      <c r="AS489" s="6"/>
      <c r="AX489" s="95">
        <f t="shared" si="192"/>
        <v>42612</v>
      </c>
      <c r="AY489" s="96" t="str">
        <f t="shared" si="193"/>
        <v>ter</v>
      </c>
      <c r="AZ489" s="97">
        <f>IF(OR(AY489="SÁB",AY489="DOM"),0,IFERROR(8-VLOOKUP(C489,'Dados de consulta'!$A$2:$C$38,3,0),8))</f>
        <v>8</v>
      </c>
      <c r="BA489" s="97">
        <f>IF(OR(AY489="SÁB",AY489="DOM"),0,IFERROR(8-VLOOKUP(D489,'Dados de consulta'!$A$2:$C$38,3,0),8))</f>
        <v>8</v>
      </c>
      <c r="BB489" s="97">
        <f>IF(OR(AY489="SÁB",AY489="DOM"),0,IFERROR(8-VLOOKUP(E489,'Dados de consulta'!$A$2:$C$38,3,0),8))</f>
        <v>8</v>
      </c>
      <c r="BC489" s="97">
        <f>IF(OR(AY489="SÁB",AY489="DOM"),0,IFERROR(8-VLOOKUP(F489,'Dados de consulta'!$A$2:$C$38,3,0),8))</f>
        <v>8</v>
      </c>
      <c r="BD489" s="97">
        <f>IF(OR(AY489="SÁB",AY489="DOM"),0,IFERROR(8-VLOOKUP(G489,'Dados de consulta'!$A$2:$C$38,3,0),8))</f>
        <v>8</v>
      </c>
      <c r="BE489" s="97">
        <f>IF(OR(AY489="SÁB",AY489="DOM"),0,IFERROR(8-VLOOKUP(H489,'Dados de consulta'!$A$2:$C$38,3,0),8))</f>
        <v>8</v>
      </c>
      <c r="BF489" s="97">
        <f>IF(OR(AY489="SÁB",AY489="DOM"),0,IFERROR(8-VLOOKUP(I489,'Dados de consulta'!$A$2:$C$38,3,0),8))</f>
        <v>8</v>
      </c>
      <c r="BG489" s="97">
        <f>IF(OR(AY489="SÁB",AY489="DOM"),0,IFERROR(8-VLOOKUP(J489,'Dados de consulta'!$A$2:$C$38,3,0),8))</f>
        <v>8</v>
      </c>
      <c r="BH489" s="97">
        <f>IF(OR(AY489="SÁB",AY489="DOM"),0,IFERROR(8-VLOOKUP(K489,'Dados de consulta'!$A$2:$C$38,3,0),8))</f>
        <v>8</v>
      </c>
      <c r="BI489" s="97">
        <f>IF(OR(AY489="SÁB",AY489="DOM"),0,IFERROR(8-VLOOKUP(L489,'Dados de consulta'!$A$2:$C$38,3,0),8))</f>
        <v>8</v>
      </c>
      <c r="BJ489" s="97">
        <f>IF(OR(AY489="SÁB",AY489="DOM"),0,IFERROR(8-VLOOKUP(M489,'Dados de consulta'!$A$2:$C$38,3,0),8))</f>
        <v>0</v>
      </c>
      <c r="BK489" s="97">
        <f>IF(OR(AY489="SÁB",AY489="DOM"),0,IFERROR(8-VLOOKUP(N489,'Dados de consulta'!$A$2:$C$38,3,0),8))</f>
        <v>8</v>
      </c>
      <c r="BL489" s="97">
        <f>IF(OR(AY489="SÁB",AY489="DOM"),0,IFERROR(8-VLOOKUP(O489,'Dados de consulta'!$A$2:$C$38,3,0),8))</f>
        <v>8</v>
      </c>
      <c r="BM489" s="97">
        <f>IF(OR(AY489="SÁB",AY489="DOM"),0,IFERROR(8-VLOOKUP(P489,'Dados de consulta'!$A$2:$C$38,3,0),8))</f>
        <v>8</v>
      </c>
      <c r="BN489" s="97">
        <f>IF(OR(AY489="SÁB",AY489="DOM"),0,IFERROR(8-VLOOKUP(Q489,'Dados de consulta'!$A$2:$C$38,3,0),8))</f>
        <v>8</v>
      </c>
      <c r="BO489" s="97">
        <f>IF(OR(AY489="SÁB",AY489="DOM"),0,IFERROR(8-VLOOKUP(R489,'Dados de consulta'!$A$2:$C$38,3,0),8))</f>
        <v>8</v>
      </c>
      <c r="BP489" s="97">
        <f>IF(OR(AY489="SÁB",AY489="DOM"),0,IFERROR(8-VLOOKUP(S489,'Dados de consulta'!$A$2:$C$38,3,0),8))</f>
        <v>8</v>
      </c>
      <c r="BQ489" s="113">
        <f>IFERROR(6-VLOOKUP(T489,'Dados de consulta'!$A$2:$C$38,3,0)+2,6)</f>
        <v>6</v>
      </c>
      <c r="BR489" s="114">
        <f t="shared" si="206"/>
        <v>134</v>
      </c>
      <c r="BS489">
        <f t="shared" si="182"/>
        <v>134</v>
      </c>
      <c r="BU489">
        <f>IFERROR(8-VLOOKUP(U489,'Dados de consulta'!$A:$D,3,0),8)</f>
        <v>8</v>
      </c>
      <c r="BV489">
        <f>IFERROR(8-VLOOKUP(V489,'Dados de consulta'!$A:$D,3,0),8)</f>
        <v>8</v>
      </c>
      <c r="BW489">
        <f t="shared" si="207"/>
        <v>16</v>
      </c>
    </row>
    <row r="490" spans="1:75" ht="15" hidden="1" x14ac:dyDescent="0.2">
      <c r="A490" s="98">
        <v>42613</v>
      </c>
      <c r="B490" s="129" t="str">
        <f t="shared" si="184"/>
        <v>qua</v>
      </c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>
        <v>101</v>
      </c>
      <c r="N490" s="132"/>
      <c r="O490" s="132"/>
      <c r="P490" s="132"/>
      <c r="Q490" s="132"/>
      <c r="R490" s="132"/>
      <c r="S490" s="132"/>
      <c r="T490" s="132"/>
      <c r="U490" s="151"/>
      <c r="V490" s="151"/>
      <c r="W490" s="307" t="s">
        <v>193</v>
      </c>
      <c r="X490" s="308"/>
      <c r="Y490" s="38">
        <f t="shared" si="185"/>
        <v>0</v>
      </c>
      <c r="Z490" s="38">
        <f t="shared" si="186"/>
        <v>0</v>
      </c>
      <c r="AA490" s="38">
        <f t="shared" si="183"/>
        <v>0</v>
      </c>
      <c r="AB490" s="38">
        <f t="shared" si="194"/>
        <v>0</v>
      </c>
      <c r="AC490" s="38">
        <f t="shared" si="195"/>
        <v>0</v>
      </c>
      <c r="AD490" s="38">
        <f t="shared" si="196"/>
        <v>0</v>
      </c>
      <c r="AE490" s="38">
        <f t="shared" si="197"/>
        <v>0</v>
      </c>
      <c r="AF490" s="38">
        <f t="shared" si="198"/>
        <v>0</v>
      </c>
      <c r="AG490" s="33">
        <f t="shared" si="199"/>
        <v>0</v>
      </c>
      <c r="AH490" s="33">
        <f t="shared" si="200"/>
        <v>0</v>
      </c>
      <c r="AI490" s="33">
        <f t="shared" si="201"/>
        <v>0</v>
      </c>
      <c r="AJ490" s="33">
        <f t="shared" si="202"/>
        <v>0</v>
      </c>
      <c r="AK490" s="34">
        <f t="shared" si="203"/>
        <v>0</v>
      </c>
      <c r="AL490" s="35">
        <f t="shared" si="204"/>
        <v>0</v>
      </c>
      <c r="AM490" s="34">
        <f t="shared" si="187"/>
        <v>0</v>
      </c>
      <c r="AN490" s="36">
        <f t="shared" si="205"/>
        <v>0</v>
      </c>
      <c r="AO490" s="6">
        <f t="shared" si="188"/>
        <v>0</v>
      </c>
      <c r="AP490">
        <f t="shared" si="189"/>
        <v>8</v>
      </c>
      <c r="AQ490" s="6">
        <f t="shared" si="190"/>
        <v>0</v>
      </c>
      <c r="AR490" s="6">
        <f t="shared" si="191"/>
        <v>0</v>
      </c>
      <c r="AS490" s="6"/>
      <c r="AX490" s="95">
        <f t="shared" si="192"/>
        <v>42613</v>
      </c>
      <c r="AY490" s="96" t="str">
        <f t="shared" si="193"/>
        <v>qua</v>
      </c>
      <c r="AZ490" s="97">
        <f>IF(OR(AY490="SÁB",AY490="DOM"),0,IFERROR(8-VLOOKUP(C490,'Dados de consulta'!$A$2:$C$38,3,0),8))</f>
        <v>8</v>
      </c>
      <c r="BA490" s="97">
        <f>IF(OR(AY490="SÁB",AY490="DOM"),0,IFERROR(8-VLOOKUP(D490,'Dados de consulta'!$A$2:$C$38,3,0),8))</f>
        <v>8</v>
      </c>
      <c r="BB490" s="97">
        <f>IF(OR(AY490="SÁB",AY490="DOM"),0,IFERROR(8-VLOOKUP(E490,'Dados de consulta'!$A$2:$C$38,3,0),8))</f>
        <v>8</v>
      </c>
      <c r="BC490" s="97">
        <f>IF(OR(AY490="SÁB",AY490="DOM"),0,IFERROR(8-VLOOKUP(F490,'Dados de consulta'!$A$2:$C$38,3,0),8))</f>
        <v>8</v>
      </c>
      <c r="BD490" s="97">
        <f>IF(OR(AY490="SÁB",AY490="DOM"),0,IFERROR(8-VLOOKUP(G490,'Dados de consulta'!$A$2:$C$38,3,0),8))</f>
        <v>8</v>
      </c>
      <c r="BE490" s="97">
        <f>IF(OR(AY490="SÁB",AY490="DOM"),0,IFERROR(8-VLOOKUP(H490,'Dados de consulta'!$A$2:$C$38,3,0),8))</f>
        <v>8</v>
      </c>
      <c r="BF490" s="97">
        <f>IF(OR(AY490="SÁB",AY490="DOM"),0,IFERROR(8-VLOOKUP(I490,'Dados de consulta'!$A$2:$C$38,3,0),8))</f>
        <v>8</v>
      </c>
      <c r="BG490" s="97">
        <f>IF(OR(AY490="SÁB",AY490="DOM"),0,IFERROR(8-VLOOKUP(J490,'Dados de consulta'!$A$2:$C$38,3,0),8))</f>
        <v>8</v>
      </c>
      <c r="BH490" s="97">
        <f>IF(OR(AY490="SÁB",AY490="DOM"),0,IFERROR(8-VLOOKUP(K490,'Dados de consulta'!$A$2:$C$38,3,0),8))</f>
        <v>8</v>
      </c>
      <c r="BI490" s="97">
        <f>IF(OR(AY490="SÁB",AY490="DOM"),0,IFERROR(8-VLOOKUP(L490,'Dados de consulta'!$A$2:$C$38,3,0),8))</f>
        <v>8</v>
      </c>
      <c r="BJ490" s="97">
        <f>IF(OR(AY490="SÁB",AY490="DOM"),0,IFERROR(8-VLOOKUP(M490,'Dados de consulta'!$A$2:$C$38,3,0),8))</f>
        <v>0</v>
      </c>
      <c r="BK490" s="97">
        <f>IF(OR(AY490="SÁB",AY490="DOM"),0,IFERROR(8-VLOOKUP(N490,'Dados de consulta'!$A$2:$C$38,3,0),8))</f>
        <v>8</v>
      </c>
      <c r="BL490" s="97">
        <f>IF(OR(AY490="SÁB",AY490="DOM"),0,IFERROR(8-VLOOKUP(O490,'Dados de consulta'!$A$2:$C$38,3,0),8))</f>
        <v>8</v>
      </c>
      <c r="BM490" s="97">
        <f>IF(OR(AY490="SÁB",AY490="DOM"),0,IFERROR(8-VLOOKUP(P490,'Dados de consulta'!$A$2:$C$38,3,0),8))</f>
        <v>8</v>
      </c>
      <c r="BN490" s="97">
        <f>IF(OR(AY490="SÁB",AY490="DOM"),0,IFERROR(8-VLOOKUP(Q490,'Dados de consulta'!$A$2:$C$38,3,0),8))</f>
        <v>8</v>
      </c>
      <c r="BO490" s="97">
        <f>IF(OR(AY490="SÁB",AY490="DOM"),0,IFERROR(8-VLOOKUP(R490,'Dados de consulta'!$A$2:$C$38,3,0),8))</f>
        <v>8</v>
      </c>
      <c r="BP490" s="97">
        <f>IF(OR(AY490="SÁB",AY490="DOM"),0,IFERROR(8-VLOOKUP(S490,'Dados de consulta'!$A$2:$C$38,3,0),8))</f>
        <v>8</v>
      </c>
      <c r="BQ490" s="113">
        <f>IFERROR(6-VLOOKUP(T490,'Dados de consulta'!$A$2:$C$38,3,0)+2,6)</f>
        <v>6</v>
      </c>
      <c r="BR490" s="114">
        <f t="shared" si="206"/>
        <v>134</v>
      </c>
      <c r="BS490">
        <f t="shared" si="182"/>
        <v>134</v>
      </c>
      <c r="BU490">
        <f>IFERROR(8-VLOOKUP(U490,'Dados de consulta'!$A:$D,3,0),8)</f>
        <v>8</v>
      </c>
      <c r="BV490">
        <f>IFERROR(8-VLOOKUP(V490,'Dados de consulta'!$A:$D,3,0),8)</f>
        <v>8</v>
      </c>
      <c r="BW490">
        <f t="shared" si="207"/>
        <v>16</v>
      </c>
    </row>
    <row r="491" spans="1:75" ht="15" hidden="1" x14ac:dyDescent="0.2">
      <c r="A491" s="98">
        <v>42614</v>
      </c>
      <c r="B491" s="129" t="str">
        <f t="shared" si="184"/>
        <v>qui</v>
      </c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>
        <v>101</v>
      </c>
      <c r="N491" s="132"/>
      <c r="O491" s="132"/>
      <c r="P491" s="132"/>
      <c r="Q491" s="132"/>
      <c r="R491" s="132"/>
      <c r="S491" s="132"/>
      <c r="T491" s="132"/>
      <c r="U491" s="151"/>
      <c r="V491" s="151"/>
      <c r="W491" s="307" t="s">
        <v>193</v>
      </c>
      <c r="X491" s="308"/>
      <c r="Y491" s="38">
        <f t="shared" si="185"/>
        <v>0</v>
      </c>
      <c r="Z491" s="38">
        <f t="shared" si="186"/>
        <v>0</v>
      </c>
      <c r="AA491" s="38">
        <f t="shared" si="183"/>
        <v>0</v>
      </c>
      <c r="AB491" s="38">
        <f t="shared" si="194"/>
        <v>0</v>
      </c>
      <c r="AC491" s="38">
        <f t="shared" si="195"/>
        <v>0</v>
      </c>
      <c r="AD491" s="38">
        <f t="shared" si="196"/>
        <v>0</v>
      </c>
      <c r="AE491" s="38">
        <f t="shared" si="197"/>
        <v>0</v>
      </c>
      <c r="AF491" s="38">
        <f t="shared" si="198"/>
        <v>0</v>
      </c>
      <c r="AG491" s="33">
        <f t="shared" si="199"/>
        <v>0</v>
      </c>
      <c r="AH491" s="33">
        <f t="shared" si="200"/>
        <v>0</v>
      </c>
      <c r="AI491" s="33">
        <f t="shared" si="201"/>
        <v>0</v>
      </c>
      <c r="AJ491" s="33">
        <f t="shared" si="202"/>
        <v>0</v>
      </c>
      <c r="AK491" s="34">
        <f t="shared" si="203"/>
        <v>0</v>
      </c>
      <c r="AL491" s="35">
        <f t="shared" si="204"/>
        <v>0</v>
      </c>
      <c r="AM491" s="34">
        <f t="shared" si="187"/>
        <v>0</v>
      </c>
      <c r="AN491" s="36">
        <f t="shared" si="205"/>
        <v>0</v>
      </c>
      <c r="AO491" s="6">
        <f t="shared" si="188"/>
        <v>0</v>
      </c>
      <c r="AP491">
        <f t="shared" si="189"/>
        <v>8</v>
      </c>
      <c r="AQ491" s="6">
        <f t="shared" si="190"/>
        <v>0</v>
      </c>
      <c r="AR491" s="6">
        <f t="shared" si="191"/>
        <v>0</v>
      </c>
      <c r="AS491" s="6"/>
      <c r="AX491" s="95">
        <f t="shared" si="192"/>
        <v>42614</v>
      </c>
      <c r="AY491" s="96" t="str">
        <f t="shared" si="193"/>
        <v>qui</v>
      </c>
      <c r="AZ491" s="97">
        <f>IF(OR(AY491="SÁB",AY491="DOM"),0,IFERROR(8-VLOOKUP(C491,'Dados de consulta'!$A$2:$C$38,3,0),8))</f>
        <v>8</v>
      </c>
      <c r="BA491" s="97">
        <f>IF(OR(AY491="SÁB",AY491="DOM"),0,IFERROR(8-VLOOKUP(D491,'Dados de consulta'!$A$2:$C$38,3,0),8))</f>
        <v>8</v>
      </c>
      <c r="BB491" s="97">
        <f>IF(OR(AY491="SÁB",AY491="DOM"),0,IFERROR(8-VLOOKUP(E491,'Dados de consulta'!$A$2:$C$38,3,0),8))</f>
        <v>8</v>
      </c>
      <c r="BC491" s="97">
        <f>IF(OR(AY491="SÁB",AY491="DOM"),0,IFERROR(8-VLOOKUP(F491,'Dados de consulta'!$A$2:$C$38,3,0),8))</f>
        <v>8</v>
      </c>
      <c r="BD491" s="97">
        <f>IF(OR(AY491="SÁB",AY491="DOM"),0,IFERROR(8-VLOOKUP(G491,'Dados de consulta'!$A$2:$C$38,3,0),8))</f>
        <v>8</v>
      </c>
      <c r="BE491" s="97">
        <f>IF(OR(AY491="SÁB",AY491="DOM"),0,IFERROR(8-VLOOKUP(H491,'Dados de consulta'!$A$2:$C$38,3,0),8))</f>
        <v>8</v>
      </c>
      <c r="BF491" s="97">
        <f>IF(OR(AY491="SÁB",AY491="DOM"),0,IFERROR(8-VLOOKUP(I491,'Dados de consulta'!$A$2:$C$38,3,0),8))</f>
        <v>8</v>
      </c>
      <c r="BG491" s="97">
        <f>IF(OR(AY491="SÁB",AY491="DOM"),0,IFERROR(8-VLOOKUP(J491,'Dados de consulta'!$A$2:$C$38,3,0),8))</f>
        <v>8</v>
      </c>
      <c r="BH491" s="97">
        <f>IF(OR(AY491="SÁB",AY491="DOM"),0,IFERROR(8-VLOOKUP(K491,'Dados de consulta'!$A$2:$C$38,3,0),8))</f>
        <v>8</v>
      </c>
      <c r="BI491" s="97">
        <f>IF(OR(AY491="SÁB",AY491="DOM"),0,IFERROR(8-VLOOKUP(L491,'Dados de consulta'!$A$2:$C$38,3,0),8))</f>
        <v>8</v>
      </c>
      <c r="BJ491" s="97">
        <f>IF(OR(AY491="SÁB",AY491="DOM"),0,IFERROR(8-VLOOKUP(M491,'Dados de consulta'!$A$2:$C$38,3,0),8))</f>
        <v>0</v>
      </c>
      <c r="BK491" s="97">
        <f>IF(OR(AY491="SÁB",AY491="DOM"),0,IFERROR(8-VLOOKUP(N491,'Dados de consulta'!$A$2:$C$38,3,0),8))</f>
        <v>8</v>
      </c>
      <c r="BL491" s="97">
        <f>IF(OR(AY491="SÁB",AY491="DOM"),0,IFERROR(8-VLOOKUP(O491,'Dados de consulta'!$A$2:$C$38,3,0),8))</f>
        <v>8</v>
      </c>
      <c r="BM491" s="97">
        <f>IF(OR(AY491="SÁB",AY491="DOM"),0,IFERROR(8-VLOOKUP(P491,'Dados de consulta'!$A$2:$C$38,3,0),8))</f>
        <v>8</v>
      </c>
      <c r="BN491" s="97">
        <f>IF(OR(AY491="SÁB",AY491="DOM"),0,IFERROR(8-VLOOKUP(Q491,'Dados de consulta'!$A$2:$C$38,3,0),8))</f>
        <v>8</v>
      </c>
      <c r="BO491" s="97">
        <f>IF(OR(AY491="SÁB",AY491="DOM"),0,IFERROR(8-VLOOKUP(R491,'Dados de consulta'!$A$2:$C$38,3,0),8))</f>
        <v>8</v>
      </c>
      <c r="BP491" s="97">
        <f>IF(OR(AY491="SÁB",AY491="DOM"),0,IFERROR(8-VLOOKUP(S491,'Dados de consulta'!$A$2:$C$38,3,0),8))</f>
        <v>8</v>
      </c>
      <c r="BQ491" s="113">
        <f>IFERROR(6-VLOOKUP(T491,'Dados de consulta'!$A$2:$C$38,3,0)+2,6)</f>
        <v>6</v>
      </c>
      <c r="BR491" s="114">
        <f t="shared" si="206"/>
        <v>134</v>
      </c>
      <c r="BS491">
        <f t="shared" si="182"/>
        <v>134</v>
      </c>
      <c r="BU491">
        <f>IFERROR(8-VLOOKUP(U491,'Dados de consulta'!$A:$D,3,0),8)</f>
        <v>8</v>
      </c>
      <c r="BV491">
        <f>IFERROR(8-VLOOKUP(V491,'Dados de consulta'!$A:$D,3,0),8)</f>
        <v>8</v>
      </c>
      <c r="BW491">
        <f t="shared" si="207"/>
        <v>16</v>
      </c>
    </row>
    <row r="492" spans="1:75" ht="15" hidden="1" x14ac:dyDescent="0.2">
      <c r="A492" s="98">
        <v>42615</v>
      </c>
      <c r="B492" s="129" t="str">
        <f t="shared" si="184"/>
        <v>sex</v>
      </c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>
        <v>101</v>
      </c>
      <c r="N492" s="132"/>
      <c r="O492" s="132"/>
      <c r="P492" s="132"/>
      <c r="Q492" s="132"/>
      <c r="R492" s="132"/>
      <c r="S492" s="132"/>
      <c r="T492" s="132"/>
      <c r="U492" s="151"/>
      <c r="V492" s="151"/>
      <c r="W492" s="307" t="s">
        <v>193</v>
      </c>
      <c r="X492" s="308"/>
      <c r="Y492" s="38">
        <f t="shared" si="185"/>
        <v>0</v>
      </c>
      <c r="Z492" s="38">
        <f t="shared" si="186"/>
        <v>0</v>
      </c>
      <c r="AA492" s="38">
        <f t="shared" si="183"/>
        <v>0</v>
      </c>
      <c r="AB492" s="38">
        <f t="shared" si="194"/>
        <v>0</v>
      </c>
      <c r="AC492" s="38">
        <f t="shared" si="195"/>
        <v>0</v>
      </c>
      <c r="AD492" s="38">
        <f t="shared" si="196"/>
        <v>0</v>
      </c>
      <c r="AE492" s="38">
        <f t="shared" si="197"/>
        <v>0</v>
      </c>
      <c r="AF492" s="38">
        <f t="shared" si="198"/>
        <v>0</v>
      </c>
      <c r="AG492" s="33">
        <f t="shared" si="199"/>
        <v>0</v>
      </c>
      <c r="AH492" s="33">
        <f t="shared" si="200"/>
        <v>0</v>
      </c>
      <c r="AI492" s="33">
        <f t="shared" si="201"/>
        <v>0</v>
      </c>
      <c r="AJ492" s="33">
        <f t="shared" si="202"/>
        <v>0</v>
      </c>
      <c r="AK492" s="34">
        <f t="shared" si="203"/>
        <v>0</v>
      </c>
      <c r="AL492" s="35">
        <f t="shared" si="204"/>
        <v>0</v>
      </c>
      <c r="AM492" s="34">
        <f t="shared" si="187"/>
        <v>0</v>
      </c>
      <c r="AN492" s="36">
        <f t="shared" si="205"/>
        <v>0</v>
      </c>
      <c r="AO492" s="6">
        <f t="shared" si="188"/>
        <v>0</v>
      </c>
      <c r="AP492">
        <f t="shared" si="189"/>
        <v>8</v>
      </c>
      <c r="AQ492" s="6">
        <f t="shared" si="190"/>
        <v>0</v>
      </c>
      <c r="AR492" s="6">
        <f t="shared" si="191"/>
        <v>0</v>
      </c>
      <c r="AS492" s="6"/>
      <c r="AX492" s="95">
        <f t="shared" si="192"/>
        <v>42615</v>
      </c>
      <c r="AY492" s="96" t="str">
        <f t="shared" si="193"/>
        <v>sex</v>
      </c>
      <c r="AZ492" s="97">
        <f>IF(OR(AY492="SÁB",AY492="DOM"),0,IFERROR(8-VLOOKUP(C492,'Dados de consulta'!$A$2:$C$38,3,0),8))</f>
        <v>8</v>
      </c>
      <c r="BA492" s="97">
        <f>IF(OR(AY492="SÁB",AY492="DOM"),0,IFERROR(8-VLOOKUP(D492,'Dados de consulta'!$A$2:$C$38,3,0),8))</f>
        <v>8</v>
      </c>
      <c r="BB492" s="97">
        <f>IF(OR(AY492="SÁB",AY492="DOM"),0,IFERROR(8-VLOOKUP(E492,'Dados de consulta'!$A$2:$C$38,3,0),8))</f>
        <v>8</v>
      </c>
      <c r="BC492" s="97">
        <f>IF(OR(AY492="SÁB",AY492="DOM"),0,IFERROR(8-VLOOKUP(F492,'Dados de consulta'!$A$2:$C$38,3,0),8))</f>
        <v>8</v>
      </c>
      <c r="BD492" s="97">
        <f>IF(OR(AY492="SÁB",AY492="DOM"),0,IFERROR(8-VLOOKUP(G492,'Dados de consulta'!$A$2:$C$38,3,0),8))</f>
        <v>8</v>
      </c>
      <c r="BE492" s="97">
        <f>IF(OR(AY492="SÁB",AY492="DOM"),0,IFERROR(8-VLOOKUP(H492,'Dados de consulta'!$A$2:$C$38,3,0),8))</f>
        <v>8</v>
      </c>
      <c r="BF492" s="97">
        <f>IF(OR(AY492="SÁB",AY492="DOM"),0,IFERROR(8-VLOOKUP(I492,'Dados de consulta'!$A$2:$C$38,3,0),8))</f>
        <v>8</v>
      </c>
      <c r="BG492" s="97">
        <f>IF(OR(AY492="SÁB",AY492="DOM"),0,IFERROR(8-VLOOKUP(J492,'Dados de consulta'!$A$2:$C$38,3,0),8))</f>
        <v>8</v>
      </c>
      <c r="BH492" s="97">
        <f>IF(OR(AY492="SÁB",AY492="DOM"),0,IFERROR(8-VLOOKUP(K492,'Dados de consulta'!$A$2:$C$38,3,0),8))</f>
        <v>8</v>
      </c>
      <c r="BI492" s="97">
        <f>IF(OR(AY492="SÁB",AY492="DOM"),0,IFERROR(8-VLOOKUP(L492,'Dados de consulta'!$A$2:$C$38,3,0),8))</f>
        <v>8</v>
      </c>
      <c r="BJ492" s="97">
        <f>IF(OR(AY492="SÁB",AY492="DOM"),0,IFERROR(8-VLOOKUP(M492,'Dados de consulta'!$A$2:$C$38,3,0),8))</f>
        <v>0</v>
      </c>
      <c r="BK492" s="97">
        <f>IF(OR(AY492="SÁB",AY492="DOM"),0,IFERROR(8-VLOOKUP(N492,'Dados de consulta'!$A$2:$C$38,3,0),8))</f>
        <v>8</v>
      </c>
      <c r="BL492" s="97">
        <f>IF(OR(AY492="SÁB",AY492="DOM"),0,IFERROR(8-VLOOKUP(O492,'Dados de consulta'!$A$2:$C$38,3,0),8))</f>
        <v>8</v>
      </c>
      <c r="BM492" s="97">
        <f>IF(OR(AY492="SÁB",AY492="DOM"),0,IFERROR(8-VLOOKUP(P492,'Dados de consulta'!$A$2:$C$38,3,0),8))</f>
        <v>8</v>
      </c>
      <c r="BN492" s="97">
        <f>IF(OR(AY492="SÁB",AY492="DOM"),0,IFERROR(8-VLOOKUP(Q492,'Dados de consulta'!$A$2:$C$38,3,0),8))</f>
        <v>8</v>
      </c>
      <c r="BO492" s="97">
        <f>IF(OR(AY492="SÁB",AY492="DOM"),0,IFERROR(8-VLOOKUP(R492,'Dados de consulta'!$A$2:$C$38,3,0),8))</f>
        <v>8</v>
      </c>
      <c r="BP492" s="97">
        <f>IF(OR(AY492="SÁB",AY492="DOM"),0,IFERROR(8-VLOOKUP(S492,'Dados de consulta'!$A$2:$C$38,3,0),8))</f>
        <v>8</v>
      </c>
      <c r="BQ492" s="113">
        <f>IFERROR(6-VLOOKUP(T492,'Dados de consulta'!$A$2:$C$38,3,0)+2,6)</f>
        <v>6</v>
      </c>
      <c r="BR492" s="114">
        <f t="shared" si="206"/>
        <v>134</v>
      </c>
      <c r="BS492">
        <f t="shared" si="182"/>
        <v>134</v>
      </c>
      <c r="BU492">
        <f>IFERROR(8-VLOOKUP(U492,'Dados de consulta'!$A:$D,3,0),8)</f>
        <v>8</v>
      </c>
      <c r="BV492">
        <f>IFERROR(8-VLOOKUP(V492,'Dados de consulta'!$A:$D,3,0),8)</f>
        <v>8</v>
      </c>
      <c r="BW492">
        <f t="shared" si="207"/>
        <v>16</v>
      </c>
    </row>
    <row r="493" spans="1:75" ht="15" hidden="1" x14ac:dyDescent="0.2">
      <c r="A493" s="98">
        <v>42616</v>
      </c>
      <c r="B493" s="129" t="str">
        <f t="shared" si="184"/>
        <v>sáb</v>
      </c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>
        <v>101</v>
      </c>
      <c r="N493" s="132"/>
      <c r="O493" s="132"/>
      <c r="P493" s="132"/>
      <c r="Q493" s="132"/>
      <c r="R493" s="132"/>
      <c r="S493" s="132"/>
      <c r="T493" s="132"/>
      <c r="U493" s="151"/>
      <c r="V493" s="151"/>
      <c r="W493" s="307" t="s">
        <v>193</v>
      </c>
      <c r="X493" s="308"/>
      <c r="Y493" s="38">
        <f t="shared" si="185"/>
        <v>0</v>
      </c>
      <c r="Z493" s="38">
        <f t="shared" si="186"/>
        <v>0</v>
      </c>
      <c r="AA493" s="38">
        <f t="shared" si="183"/>
        <v>0</v>
      </c>
      <c r="AB493" s="38">
        <f t="shared" si="194"/>
        <v>0</v>
      </c>
      <c r="AC493" s="38">
        <f t="shared" si="195"/>
        <v>0</v>
      </c>
      <c r="AD493" s="38">
        <f t="shared" si="196"/>
        <v>0</v>
      </c>
      <c r="AE493" s="38">
        <f t="shared" si="197"/>
        <v>0</v>
      </c>
      <c r="AF493" s="38">
        <f t="shared" si="198"/>
        <v>0</v>
      </c>
      <c r="AG493" s="33">
        <f t="shared" si="199"/>
        <v>0</v>
      </c>
      <c r="AH493" s="33">
        <f t="shared" si="200"/>
        <v>0</v>
      </c>
      <c r="AI493" s="33">
        <f t="shared" si="201"/>
        <v>0</v>
      </c>
      <c r="AJ493" s="33">
        <f t="shared" si="202"/>
        <v>0</v>
      </c>
      <c r="AK493" s="34">
        <f t="shared" si="203"/>
        <v>0</v>
      </c>
      <c r="AL493" s="35">
        <f t="shared" si="204"/>
        <v>0</v>
      </c>
      <c r="AM493" s="34">
        <f t="shared" si="187"/>
        <v>0</v>
      </c>
      <c r="AN493" s="36">
        <f t="shared" si="205"/>
        <v>0</v>
      </c>
      <c r="AO493" s="6">
        <f t="shared" si="188"/>
        <v>0</v>
      </c>
      <c r="AP493">
        <f t="shared" si="189"/>
        <v>8</v>
      </c>
      <c r="AQ493" s="6">
        <f t="shared" si="190"/>
        <v>0</v>
      </c>
      <c r="AR493" s="6">
        <f t="shared" si="191"/>
        <v>0</v>
      </c>
      <c r="AS493" s="6"/>
      <c r="AX493" s="95">
        <f t="shared" si="192"/>
        <v>42616</v>
      </c>
      <c r="AY493" s="96" t="str">
        <f t="shared" si="193"/>
        <v>sáb</v>
      </c>
      <c r="AZ493" s="97">
        <f>IF(OR(AY493="SÁB",AY493="DOM"),0,IFERROR(8-VLOOKUP(C493,'Dados de consulta'!$A$2:$C$38,3,0),8))</f>
        <v>0</v>
      </c>
      <c r="BA493" s="97">
        <f>IF(OR(AY493="SÁB",AY493="DOM"),0,IFERROR(8-VLOOKUP(D493,'Dados de consulta'!$A$2:$C$38,3,0),8))</f>
        <v>0</v>
      </c>
      <c r="BB493" s="97">
        <f>IF(OR(AY493="SÁB",AY493="DOM"),0,IFERROR(8-VLOOKUP(E493,'Dados de consulta'!$A$2:$C$38,3,0),8))</f>
        <v>0</v>
      </c>
      <c r="BC493" s="97">
        <f>IF(OR(AY493="SÁB",AY493="DOM"),0,IFERROR(8-VLOOKUP(F493,'Dados de consulta'!$A$2:$C$38,3,0),8))</f>
        <v>0</v>
      </c>
      <c r="BD493" s="97">
        <f>IF(OR(AY493="SÁB",AY493="DOM"),0,IFERROR(8-VLOOKUP(G493,'Dados de consulta'!$A$2:$C$38,3,0),8))</f>
        <v>0</v>
      </c>
      <c r="BE493" s="97">
        <f>IF(OR(AY493="SÁB",AY493="DOM"),0,IFERROR(8-VLOOKUP(H493,'Dados de consulta'!$A$2:$C$38,3,0),8))</f>
        <v>0</v>
      </c>
      <c r="BF493" s="97">
        <f>IF(OR(AY493="SÁB",AY493="DOM"),0,IFERROR(8-VLOOKUP(I493,'Dados de consulta'!$A$2:$C$38,3,0),8))</f>
        <v>0</v>
      </c>
      <c r="BG493" s="97">
        <f>IF(OR(AY493="SÁB",AY493="DOM"),0,IFERROR(8-VLOOKUP(J493,'Dados de consulta'!$A$2:$C$38,3,0),8))</f>
        <v>0</v>
      </c>
      <c r="BH493" s="97">
        <f>IF(OR(AY493="SÁB",AY493="DOM"),0,IFERROR(8-VLOOKUP(K493,'Dados de consulta'!$A$2:$C$38,3,0),8))</f>
        <v>0</v>
      </c>
      <c r="BI493" s="97">
        <f>IF(OR(AY493="SÁB",AY493="DOM"),0,IFERROR(8-VLOOKUP(L493,'Dados de consulta'!$A$2:$C$38,3,0),8))</f>
        <v>0</v>
      </c>
      <c r="BJ493" s="97">
        <f>IF(OR(AY493="SÁB",AY493="DOM"),0,IFERROR(8-VLOOKUP(M493,'Dados de consulta'!$A$2:$C$38,3,0),8))</f>
        <v>0</v>
      </c>
      <c r="BK493" s="97">
        <f>IF(OR(AY493="SÁB",AY493="DOM"),0,IFERROR(8-VLOOKUP(N493,'Dados de consulta'!$A$2:$C$38,3,0),8))</f>
        <v>0</v>
      </c>
      <c r="BL493" s="97">
        <f>IF(OR(AY493="SÁB",AY493="DOM"),0,IFERROR(8-VLOOKUP(O493,'Dados de consulta'!$A$2:$C$38,3,0),8))</f>
        <v>0</v>
      </c>
      <c r="BM493" s="97">
        <f>IF(OR(AY493="SÁB",AY493="DOM"),0,IFERROR(8-VLOOKUP(P493,'Dados de consulta'!$A$2:$C$38,3,0),8))</f>
        <v>0</v>
      </c>
      <c r="BN493" s="97">
        <f>IF(OR(AY493="SÁB",AY493="DOM"),0,IFERROR(8-VLOOKUP(Q493,'Dados de consulta'!$A$2:$C$38,3,0),8))</f>
        <v>0</v>
      </c>
      <c r="BO493" s="97">
        <f>IF(OR(AY493="SÁB",AY493="DOM"),0,IFERROR(8-VLOOKUP(R493,'Dados de consulta'!$A$2:$C$38,3,0),8))</f>
        <v>0</v>
      </c>
      <c r="BP493" s="97">
        <f>IF(OR(AY493="SÁB",AY493="DOM"),0,IFERROR(8-VLOOKUP(S493,'Dados de consulta'!$A$2:$C$38,3,0),8))</f>
        <v>0</v>
      </c>
      <c r="BQ493" s="113">
        <f>IFERROR(6-VLOOKUP(T493,'Dados de consulta'!$A$2:$C$38,3,0)+2,6)</f>
        <v>6</v>
      </c>
      <c r="BR493" s="114">
        <f t="shared" si="206"/>
        <v>0</v>
      </c>
      <c r="BS493">
        <f t="shared" si="182"/>
        <v>0</v>
      </c>
      <c r="BU493">
        <f>IFERROR(8-VLOOKUP(U493,'Dados de consulta'!$A:$D,3,0),8)</f>
        <v>8</v>
      </c>
      <c r="BV493">
        <f>IFERROR(8-VLOOKUP(V493,'Dados de consulta'!$A:$D,3,0),8)</f>
        <v>8</v>
      </c>
      <c r="BW493">
        <f t="shared" si="207"/>
        <v>16</v>
      </c>
    </row>
    <row r="494" spans="1:75" ht="15" hidden="1" x14ac:dyDescent="0.2">
      <c r="A494" s="98">
        <v>42617</v>
      </c>
      <c r="B494" s="129" t="str">
        <f t="shared" si="184"/>
        <v>dom</v>
      </c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>
        <v>101</v>
      </c>
      <c r="N494" s="132"/>
      <c r="O494" s="132"/>
      <c r="P494" s="132"/>
      <c r="Q494" s="132"/>
      <c r="R494" s="132"/>
      <c r="S494" s="132"/>
      <c r="T494" s="132"/>
      <c r="U494" s="151"/>
      <c r="V494" s="151"/>
      <c r="W494" s="307" t="s">
        <v>193</v>
      </c>
      <c r="X494" s="308"/>
      <c r="Y494" s="38">
        <f t="shared" si="185"/>
        <v>0</v>
      </c>
      <c r="Z494" s="38">
        <f t="shared" si="186"/>
        <v>0</v>
      </c>
      <c r="AA494" s="38">
        <f t="shared" si="183"/>
        <v>0</v>
      </c>
      <c r="AB494" s="38">
        <f t="shared" si="194"/>
        <v>0</v>
      </c>
      <c r="AC494" s="38">
        <f t="shared" si="195"/>
        <v>0</v>
      </c>
      <c r="AD494" s="38">
        <f t="shared" si="196"/>
        <v>0</v>
      </c>
      <c r="AE494" s="38">
        <f t="shared" si="197"/>
        <v>0</v>
      </c>
      <c r="AF494" s="38">
        <f t="shared" si="198"/>
        <v>0</v>
      </c>
      <c r="AG494" s="33">
        <f t="shared" si="199"/>
        <v>0</v>
      </c>
      <c r="AH494" s="33">
        <f t="shared" si="200"/>
        <v>0</v>
      </c>
      <c r="AI494" s="33">
        <f t="shared" si="201"/>
        <v>0</v>
      </c>
      <c r="AJ494" s="33">
        <f t="shared" si="202"/>
        <v>0</v>
      </c>
      <c r="AK494" s="34">
        <f t="shared" si="203"/>
        <v>0</v>
      </c>
      <c r="AL494" s="35">
        <f t="shared" si="204"/>
        <v>0</v>
      </c>
      <c r="AM494" s="34">
        <f t="shared" si="187"/>
        <v>0</v>
      </c>
      <c r="AN494" s="36">
        <f t="shared" si="205"/>
        <v>0</v>
      </c>
      <c r="AO494" s="6">
        <f t="shared" si="188"/>
        <v>0</v>
      </c>
      <c r="AP494">
        <f t="shared" si="189"/>
        <v>8</v>
      </c>
      <c r="AQ494" s="6">
        <f t="shared" si="190"/>
        <v>0</v>
      </c>
      <c r="AR494" s="6">
        <f t="shared" si="191"/>
        <v>0</v>
      </c>
      <c r="AS494" s="6"/>
      <c r="AX494" s="95">
        <f t="shared" si="192"/>
        <v>42617</v>
      </c>
      <c r="AY494" s="96" t="str">
        <f t="shared" si="193"/>
        <v>dom</v>
      </c>
      <c r="AZ494" s="97">
        <f>IF(OR(AY494="SÁB",AY494="DOM"),0,IFERROR(8-VLOOKUP(C494,'Dados de consulta'!$A$2:$C$38,3,0),8))</f>
        <v>0</v>
      </c>
      <c r="BA494" s="97">
        <f>IF(OR(AY494="SÁB",AY494="DOM"),0,IFERROR(8-VLOOKUP(D494,'Dados de consulta'!$A$2:$C$38,3,0),8))</f>
        <v>0</v>
      </c>
      <c r="BB494" s="97">
        <f>IF(OR(AY494="SÁB",AY494="DOM"),0,IFERROR(8-VLOOKUP(E494,'Dados de consulta'!$A$2:$C$38,3,0),8))</f>
        <v>0</v>
      </c>
      <c r="BC494" s="97">
        <f>IF(OR(AY494="SÁB",AY494="DOM"),0,IFERROR(8-VLOOKUP(F494,'Dados de consulta'!$A$2:$C$38,3,0),8))</f>
        <v>0</v>
      </c>
      <c r="BD494" s="97">
        <f>IF(OR(AY494="SÁB",AY494="DOM"),0,IFERROR(8-VLOOKUP(G494,'Dados de consulta'!$A$2:$C$38,3,0),8))</f>
        <v>0</v>
      </c>
      <c r="BE494" s="97">
        <f>IF(OR(AY494="SÁB",AY494="DOM"),0,IFERROR(8-VLOOKUP(H494,'Dados de consulta'!$A$2:$C$38,3,0),8))</f>
        <v>0</v>
      </c>
      <c r="BF494" s="97">
        <f>IF(OR(AY494="SÁB",AY494="DOM"),0,IFERROR(8-VLOOKUP(I494,'Dados de consulta'!$A$2:$C$38,3,0),8))</f>
        <v>0</v>
      </c>
      <c r="BG494" s="97">
        <f>IF(OR(AY494="SÁB",AY494="DOM"),0,IFERROR(8-VLOOKUP(J494,'Dados de consulta'!$A$2:$C$38,3,0),8))</f>
        <v>0</v>
      </c>
      <c r="BH494" s="97">
        <f>IF(OR(AY494="SÁB",AY494="DOM"),0,IFERROR(8-VLOOKUP(K494,'Dados de consulta'!$A$2:$C$38,3,0),8))</f>
        <v>0</v>
      </c>
      <c r="BI494" s="97">
        <f>IF(OR(AY494="SÁB",AY494="DOM"),0,IFERROR(8-VLOOKUP(L494,'Dados de consulta'!$A$2:$C$38,3,0),8))</f>
        <v>0</v>
      </c>
      <c r="BJ494" s="97">
        <f>IF(OR(AY494="SÁB",AY494="DOM"),0,IFERROR(8-VLOOKUP(M494,'Dados de consulta'!$A$2:$C$38,3,0),8))</f>
        <v>0</v>
      </c>
      <c r="BK494" s="97">
        <f>IF(OR(AY494="SÁB",AY494="DOM"),0,IFERROR(8-VLOOKUP(N494,'Dados de consulta'!$A$2:$C$38,3,0),8))</f>
        <v>0</v>
      </c>
      <c r="BL494" s="97">
        <f>IF(OR(AY494="SÁB",AY494="DOM"),0,IFERROR(8-VLOOKUP(O494,'Dados de consulta'!$A$2:$C$38,3,0),8))</f>
        <v>0</v>
      </c>
      <c r="BM494" s="97">
        <f>IF(OR(AY494="SÁB",AY494="DOM"),0,IFERROR(8-VLOOKUP(P494,'Dados de consulta'!$A$2:$C$38,3,0),8))</f>
        <v>0</v>
      </c>
      <c r="BN494" s="97">
        <f>IF(OR(AY494="SÁB",AY494="DOM"),0,IFERROR(8-VLOOKUP(Q494,'Dados de consulta'!$A$2:$C$38,3,0),8))</f>
        <v>0</v>
      </c>
      <c r="BO494" s="97">
        <f>IF(OR(AY494="SÁB",AY494="DOM"),0,IFERROR(8-VLOOKUP(R494,'Dados de consulta'!$A$2:$C$38,3,0),8))</f>
        <v>0</v>
      </c>
      <c r="BP494" s="97">
        <f>IF(OR(AY494="SÁB",AY494="DOM"),0,IFERROR(8-VLOOKUP(S494,'Dados de consulta'!$A$2:$C$38,3,0),8))</f>
        <v>0</v>
      </c>
      <c r="BQ494" s="113">
        <f>IFERROR(6-VLOOKUP(T494,'Dados de consulta'!$A$2:$C$38,3,0)+2,6)</f>
        <v>6</v>
      </c>
      <c r="BR494" s="114">
        <f t="shared" si="206"/>
        <v>0</v>
      </c>
      <c r="BS494">
        <f t="shared" si="182"/>
        <v>0</v>
      </c>
      <c r="BU494">
        <f>IFERROR(8-VLOOKUP(U494,'Dados de consulta'!$A:$D,3,0),8)</f>
        <v>8</v>
      </c>
      <c r="BV494">
        <f>IFERROR(8-VLOOKUP(V494,'Dados de consulta'!$A:$D,3,0),8)</f>
        <v>8</v>
      </c>
      <c r="BW494">
        <f t="shared" si="207"/>
        <v>16</v>
      </c>
    </row>
    <row r="495" spans="1:75" ht="15" hidden="1" x14ac:dyDescent="0.2">
      <c r="A495" s="98">
        <v>42618</v>
      </c>
      <c r="B495" s="129" t="str">
        <f t="shared" si="184"/>
        <v>seg</v>
      </c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>
        <v>101</v>
      </c>
      <c r="N495" s="132">
        <v>18</v>
      </c>
      <c r="O495" s="132"/>
      <c r="P495" s="132"/>
      <c r="Q495" s="132"/>
      <c r="R495" s="132"/>
      <c r="S495" s="132"/>
      <c r="T495" s="132"/>
      <c r="U495" s="151"/>
      <c r="V495" s="151"/>
      <c r="W495" s="307" t="s">
        <v>193</v>
      </c>
      <c r="X495" s="308"/>
      <c r="Y495" s="38">
        <f t="shared" si="185"/>
        <v>0</v>
      </c>
      <c r="Z495" s="38">
        <f t="shared" si="186"/>
        <v>8</v>
      </c>
      <c r="AA495" s="38">
        <f t="shared" si="183"/>
        <v>0</v>
      </c>
      <c r="AB495" s="38">
        <f t="shared" si="194"/>
        <v>0</v>
      </c>
      <c r="AC495" s="38">
        <f t="shared" si="195"/>
        <v>0</v>
      </c>
      <c r="AD495" s="38">
        <f t="shared" si="196"/>
        <v>0</v>
      </c>
      <c r="AE495" s="38">
        <f t="shared" si="197"/>
        <v>0</v>
      </c>
      <c r="AF495" s="38">
        <f t="shared" si="198"/>
        <v>0</v>
      </c>
      <c r="AG495" s="33">
        <f t="shared" si="199"/>
        <v>0</v>
      </c>
      <c r="AH495" s="33">
        <f t="shared" si="200"/>
        <v>8</v>
      </c>
      <c r="AI495" s="33">
        <f t="shared" si="201"/>
        <v>0</v>
      </c>
      <c r="AJ495" s="33">
        <f t="shared" si="202"/>
        <v>0</v>
      </c>
      <c r="AK495" s="34">
        <f t="shared" si="203"/>
        <v>0</v>
      </c>
      <c r="AL495" s="35">
        <f t="shared" si="204"/>
        <v>5.6338028169014086E-2</v>
      </c>
      <c r="AM495" s="34">
        <f t="shared" si="187"/>
        <v>0</v>
      </c>
      <c r="AN495" s="36">
        <f t="shared" si="205"/>
        <v>0</v>
      </c>
      <c r="AO495" s="6">
        <f t="shared" si="188"/>
        <v>0</v>
      </c>
      <c r="AP495">
        <f t="shared" si="189"/>
        <v>8</v>
      </c>
      <c r="AQ495" s="6">
        <f t="shared" si="190"/>
        <v>0</v>
      </c>
      <c r="AR495" s="6">
        <f t="shared" si="191"/>
        <v>0</v>
      </c>
      <c r="AS495" s="6"/>
      <c r="AX495" s="95">
        <f t="shared" si="192"/>
        <v>42618</v>
      </c>
      <c r="AY495" s="96" t="str">
        <f t="shared" si="193"/>
        <v>seg</v>
      </c>
      <c r="AZ495" s="97">
        <f>IF(OR(AY495="SÁB",AY495="DOM"),0,IFERROR(8-VLOOKUP(C495,'Dados de consulta'!$A$2:$C$38,3,0),8))</f>
        <v>8</v>
      </c>
      <c r="BA495" s="97">
        <f>IF(OR(AY495="SÁB",AY495="DOM"),0,IFERROR(8-VLOOKUP(D495,'Dados de consulta'!$A$2:$C$38,3,0),8))</f>
        <v>8</v>
      </c>
      <c r="BB495" s="97">
        <f>IF(OR(AY495="SÁB",AY495="DOM"),0,IFERROR(8-VLOOKUP(E495,'Dados de consulta'!$A$2:$C$38,3,0),8))</f>
        <v>8</v>
      </c>
      <c r="BC495" s="97">
        <f>IF(OR(AY495="SÁB",AY495="DOM"),0,IFERROR(8-VLOOKUP(F495,'Dados de consulta'!$A$2:$C$38,3,0),8))</f>
        <v>8</v>
      </c>
      <c r="BD495" s="97">
        <f>IF(OR(AY495="SÁB",AY495="DOM"),0,IFERROR(8-VLOOKUP(G495,'Dados de consulta'!$A$2:$C$38,3,0),8))</f>
        <v>8</v>
      </c>
      <c r="BE495" s="97">
        <f>IF(OR(AY495="SÁB",AY495="DOM"),0,IFERROR(8-VLOOKUP(H495,'Dados de consulta'!$A$2:$C$38,3,0),8))</f>
        <v>8</v>
      </c>
      <c r="BF495" s="97">
        <f>IF(OR(AY495="SÁB",AY495="DOM"),0,IFERROR(8-VLOOKUP(I495,'Dados de consulta'!$A$2:$C$38,3,0),8))</f>
        <v>8</v>
      </c>
      <c r="BG495" s="97">
        <f>IF(OR(AY495="SÁB",AY495="DOM"),0,IFERROR(8-VLOOKUP(J495,'Dados de consulta'!$A$2:$C$38,3,0),8))</f>
        <v>8</v>
      </c>
      <c r="BH495" s="97">
        <f>IF(OR(AY495="SÁB",AY495="DOM"),0,IFERROR(8-VLOOKUP(K495,'Dados de consulta'!$A$2:$C$38,3,0),8))</f>
        <v>8</v>
      </c>
      <c r="BI495" s="97">
        <f>IF(OR(AY495="SÁB",AY495="DOM"),0,IFERROR(8-VLOOKUP(L495,'Dados de consulta'!$A$2:$C$38,3,0),8))</f>
        <v>8</v>
      </c>
      <c r="BJ495" s="97">
        <f>IF(OR(AY495="SÁB",AY495="DOM"),0,IFERROR(8-VLOOKUP(M495,'Dados de consulta'!$A$2:$C$38,3,0),8))</f>
        <v>0</v>
      </c>
      <c r="BK495" s="97">
        <f>IF(OR(AY495="SÁB",AY495="DOM"),0,IFERROR(8-VLOOKUP(N495,'Dados de consulta'!$A$2:$C$38,3,0),8))</f>
        <v>0</v>
      </c>
      <c r="BL495" s="97">
        <f>IF(OR(AY495="SÁB",AY495="DOM"),0,IFERROR(8-VLOOKUP(O495,'Dados de consulta'!$A$2:$C$38,3,0),8))</f>
        <v>8</v>
      </c>
      <c r="BM495" s="97">
        <f>IF(OR(AY495="SÁB",AY495="DOM"),0,IFERROR(8-VLOOKUP(P495,'Dados de consulta'!$A$2:$C$38,3,0),8))</f>
        <v>8</v>
      </c>
      <c r="BN495" s="97">
        <f>IF(OR(AY495="SÁB",AY495="DOM"),0,IFERROR(8-VLOOKUP(Q495,'Dados de consulta'!$A$2:$C$38,3,0),8))</f>
        <v>8</v>
      </c>
      <c r="BO495" s="97">
        <f>IF(OR(AY495="SÁB",AY495="DOM"),0,IFERROR(8-VLOOKUP(R495,'Dados de consulta'!$A$2:$C$38,3,0),8))</f>
        <v>8</v>
      </c>
      <c r="BP495" s="97">
        <f>IF(OR(AY495="SÁB",AY495="DOM"),0,IFERROR(8-VLOOKUP(S495,'Dados de consulta'!$A$2:$C$38,3,0),8))</f>
        <v>8</v>
      </c>
      <c r="BQ495" s="113">
        <f>IFERROR(6-VLOOKUP(T495,'Dados de consulta'!$A$2:$C$38,3,0)+2,6)</f>
        <v>6</v>
      </c>
      <c r="BR495" s="114">
        <f t="shared" si="206"/>
        <v>126</v>
      </c>
      <c r="BS495">
        <f t="shared" si="182"/>
        <v>134</v>
      </c>
      <c r="BU495">
        <f>IFERROR(8-VLOOKUP(U495,'Dados de consulta'!$A:$D,3,0),8)</f>
        <v>8</v>
      </c>
      <c r="BV495">
        <f>IFERROR(8-VLOOKUP(V495,'Dados de consulta'!$A:$D,3,0),8)</f>
        <v>8</v>
      </c>
      <c r="BW495">
        <f t="shared" si="207"/>
        <v>16</v>
      </c>
    </row>
    <row r="496" spans="1:75" ht="15" hidden="1" x14ac:dyDescent="0.2">
      <c r="A496" s="98">
        <v>42619</v>
      </c>
      <c r="B496" s="129" t="str">
        <f t="shared" si="184"/>
        <v>ter</v>
      </c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>
        <v>101</v>
      </c>
      <c r="N496" s="132">
        <v>18</v>
      </c>
      <c r="O496" s="132"/>
      <c r="P496" s="132"/>
      <c r="Q496" s="132"/>
      <c r="R496" s="132"/>
      <c r="S496" s="132"/>
      <c r="T496" s="132"/>
      <c r="U496" s="151"/>
      <c r="V496" s="151"/>
      <c r="W496" s="307" t="s">
        <v>193</v>
      </c>
      <c r="X496" s="308"/>
      <c r="Y496" s="38">
        <f t="shared" si="185"/>
        <v>0</v>
      </c>
      <c r="Z496" s="38">
        <f t="shared" si="186"/>
        <v>8</v>
      </c>
      <c r="AA496" s="38">
        <f t="shared" si="183"/>
        <v>0</v>
      </c>
      <c r="AB496" s="38">
        <f t="shared" si="194"/>
        <v>0</v>
      </c>
      <c r="AC496" s="38">
        <f t="shared" si="195"/>
        <v>0</v>
      </c>
      <c r="AD496" s="38">
        <f t="shared" si="196"/>
        <v>0</v>
      </c>
      <c r="AE496" s="38">
        <f t="shared" si="197"/>
        <v>0</v>
      </c>
      <c r="AF496" s="38">
        <f t="shared" si="198"/>
        <v>0</v>
      </c>
      <c r="AG496" s="33">
        <f t="shared" si="199"/>
        <v>0</v>
      </c>
      <c r="AH496" s="33">
        <f t="shared" si="200"/>
        <v>8</v>
      </c>
      <c r="AI496" s="33">
        <f t="shared" si="201"/>
        <v>0</v>
      </c>
      <c r="AJ496" s="33">
        <f t="shared" si="202"/>
        <v>0</v>
      </c>
      <c r="AK496" s="34">
        <f t="shared" si="203"/>
        <v>0</v>
      </c>
      <c r="AL496" s="35">
        <f t="shared" si="204"/>
        <v>5.6338028169014086E-2</v>
      </c>
      <c r="AM496" s="34">
        <f t="shared" si="187"/>
        <v>0</v>
      </c>
      <c r="AN496" s="36">
        <f t="shared" si="205"/>
        <v>0</v>
      </c>
      <c r="AO496" s="6">
        <f t="shared" si="188"/>
        <v>0</v>
      </c>
      <c r="AP496">
        <f t="shared" si="189"/>
        <v>8</v>
      </c>
      <c r="AQ496" s="6">
        <f t="shared" si="190"/>
        <v>0</v>
      </c>
      <c r="AR496" s="6">
        <f t="shared" si="191"/>
        <v>0</v>
      </c>
      <c r="AS496" s="6"/>
      <c r="AX496" s="95">
        <f t="shared" si="192"/>
        <v>42619</v>
      </c>
      <c r="AY496" s="96" t="str">
        <f t="shared" si="193"/>
        <v>ter</v>
      </c>
      <c r="AZ496" s="97">
        <f>IF(OR(AY496="SÁB",AY496="DOM"),0,IFERROR(8-VLOOKUP(C496,'Dados de consulta'!$A$2:$C$38,3,0),8))</f>
        <v>8</v>
      </c>
      <c r="BA496" s="97">
        <f>IF(OR(AY496="SÁB",AY496="DOM"),0,IFERROR(8-VLOOKUP(D496,'Dados de consulta'!$A$2:$C$38,3,0),8))</f>
        <v>8</v>
      </c>
      <c r="BB496" s="97">
        <f>IF(OR(AY496="SÁB",AY496="DOM"),0,IFERROR(8-VLOOKUP(E496,'Dados de consulta'!$A$2:$C$38,3,0),8))</f>
        <v>8</v>
      </c>
      <c r="BC496" s="97">
        <f>IF(OR(AY496="SÁB",AY496="DOM"),0,IFERROR(8-VLOOKUP(F496,'Dados de consulta'!$A$2:$C$38,3,0),8))</f>
        <v>8</v>
      </c>
      <c r="BD496" s="97">
        <f>IF(OR(AY496="SÁB",AY496="DOM"),0,IFERROR(8-VLOOKUP(G496,'Dados de consulta'!$A$2:$C$38,3,0),8))</f>
        <v>8</v>
      </c>
      <c r="BE496" s="97">
        <f>IF(OR(AY496="SÁB",AY496="DOM"),0,IFERROR(8-VLOOKUP(H496,'Dados de consulta'!$A$2:$C$38,3,0),8))</f>
        <v>8</v>
      </c>
      <c r="BF496" s="97">
        <f>IF(OR(AY496="SÁB",AY496="DOM"),0,IFERROR(8-VLOOKUP(I496,'Dados de consulta'!$A$2:$C$38,3,0),8))</f>
        <v>8</v>
      </c>
      <c r="BG496" s="97">
        <f>IF(OR(AY496="SÁB",AY496="DOM"),0,IFERROR(8-VLOOKUP(J496,'Dados de consulta'!$A$2:$C$38,3,0),8))</f>
        <v>8</v>
      </c>
      <c r="BH496" s="97">
        <f>IF(OR(AY496="SÁB",AY496="DOM"),0,IFERROR(8-VLOOKUP(K496,'Dados de consulta'!$A$2:$C$38,3,0),8))</f>
        <v>8</v>
      </c>
      <c r="BI496" s="97">
        <f>IF(OR(AY496="SÁB",AY496="DOM"),0,IFERROR(8-VLOOKUP(L496,'Dados de consulta'!$A$2:$C$38,3,0),8))</f>
        <v>8</v>
      </c>
      <c r="BJ496" s="97">
        <f>IF(OR(AY496="SÁB",AY496="DOM"),0,IFERROR(8-VLOOKUP(M496,'Dados de consulta'!$A$2:$C$38,3,0),8))</f>
        <v>0</v>
      </c>
      <c r="BK496" s="97">
        <f>IF(OR(AY496="SÁB",AY496="DOM"),0,IFERROR(8-VLOOKUP(N496,'Dados de consulta'!$A$2:$C$38,3,0),8))</f>
        <v>0</v>
      </c>
      <c r="BL496" s="97">
        <f>IF(OR(AY496="SÁB",AY496="DOM"),0,IFERROR(8-VLOOKUP(O496,'Dados de consulta'!$A$2:$C$38,3,0),8))</f>
        <v>8</v>
      </c>
      <c r="BM496" s="97">
        <f>IF(OR(AY496="SÁB",AY496="DOM"),0,IFERROR(8-VLOOKUP(P496,'Dados de consulta'!$A$2:$C$38,3,0),8))</f>
        <v>8</v>
      </c>
      <c r="BN496" s="97">
        <f>IF(OR(AY496="SÁB",AY496="DOM"),0,IFERROR(8-VLOOKUP(Q496,'Dados de consulta'!$A$2:$C$38,3,0),8))</f>
        <v>8</v>
      </c>
      <c r="BO496" s="97">
        <f>IF(OR(AY496="SÁB",AY496="DOM"),0,IFERROR(8-VLOOKUP(R496,'Dados de consulta'!$A$2:$C$38,3,0),8))</f>
        <v>8</v>
      </c>
      <c r="BP496" s="97">
        <f>IF(OR(AY496="SÁB",AY496="DOM"),0,IFERROR(8-VLOOKUP(S496,'Dados de consulta'!$A$2:$C$38,3,0),8))</f>
        <v>8</v>
      </c>
      <c r="BQ496" s="113">
        <f>IFERROR(6-VLOOKUP(T496,'Dados de consulta'!$A$2:$C$38,3,0)+2,6)</f>
        <v>6</v>
      </c>
      <c r="BR496" s="114">
        <f t="shared" si="206"/>
        <v>126</v>
      </c>
      <c r="BS496">
        <f t="shared" si="182"/>
        <v>134</v>
      </c>
      <c r="BU496">
        <f>IFERROR(8-VLOOKUP(U496,'Dados de consulta'!$A:$D,3,0),8)</f>
        <v>8</v>
      </c>
      <c r="BV496">
        <f>IFERROR(8-VLOOKUP(V496,'Dados de consulta'!$A:$D,3,0),8)</f>
        <v>8</v>
      </c>
      <c r="BW496">
        <f t="shared" si="207"/>
        <v>16</v>
      </c>
    </row>
    <row r="497" spans="1:75" ht="15" hidden="1" x14ac:dyDescent="0.2">
      <c r="A497" s="98">
        <v>42620</v>
      </c>
      <c r="B497" s="129" t="str">
        <f t="shared" si="184"/>
        <v>qua</v>
      </c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>
        <v>101</v>
      </c>
      <c r="N497" s="132">
        <v>18</v>
      </c>
      <c r="O497" s="132"/>
      <c r="P497" s="132"/>
      <c r="Q497" s="132"/>
      <c r="R497" s="132"/>
      <c r="S497" s="132"/>
      <c r="T497" s="132"/>
      <c r="U497" s="151"/>
      <c r="V497" s="151"/>
      <c r="W497" s="307" t="s">
        <v>193</v>
      </c>
      <c r="X497" s="308"/>
      <c r="Y497" s="38">
        <f t="shared" si="185"/>
        <v>0</v>
      </c>
      <c r="Z497" s="38">
        <f t="shared" si="186"/>
        <v>8</v>
      </c>
      <c r="AA497" s="38">
        <f t="shared" si="183"/>
        <v>0</v>
      </c>
      <c r="AB497" s="38">
        <f t="shared" si="194"/>
        <v>0</v>
      </c>
      <c r="AC497" s="38">
        <f t="shared" si="195"/>
        <v>0</v>
      </c>
      <c r="AD497" s="38">
        <f t="shared" si="196"/>
        <v>0</v>
      </c>
      <c r="AE497" s="38">
        <f t="shared" si="197"/>
        <v>0</v>
      </c>
      <c r="AF497" s="38">
        <f t="shared" si="198"/>
        <v>0</v>
      </c>
      <c r="AG497" s="33">
        <f t="shared" si="199"/>
        <v>0</v>
      </c>
      <c r="AH497" s="33">
        <f t="shared" si="200"/>
        <v>8</v>
      </c>
      <c r="AI497" s="33">
        <f t="shared" si="201"/>
        <v>0</v>
      </c>
      <c r="AJ497" s="33">
        <f t="shared" si="202"/>
        <v>0</v>
      </c>
      <c r="AK497" s="34">
        <f t="shared" si="203"/>
        <v>0</v>
      </c>
      <c r="AL497" s="35">
        <f t="shared" si="204"/>
        <v>5.6338028169014086E-2</v>
      </c>
      <c r="AM497" s="34">
        <f t="shared" si="187"/>
        <v>0</v>
      </c>
      <c r="AN497" s="36">
        <f t="shared" si="205"/>
        <v>0</v>
      </c>
      <c r="AO497" s="6">
        <f t="shared" si="188"/>
        <v>0</v>
      </c>
      <c r="AP497">
        <f t="shared" si="189"/>
        <v>8</v>
      </c>
      <c r="AQ497" s="6">
        <f t="shared" si="190"/>
        <v>0</v>
      </c>
      <c r="AR497" s="6">
        <f t="shared" si="191"/>
        <v>0</v>
      </c>
      <c r="AS497" s="6"/>
      <c r="AX497" s="95">
        <f t="shared" si="192"/>
        <v>42620</v>
      </c>
      <c r="AY497" s="96" t="str">
        <f t="shared" si="193"/>
        <v>qua</v>
      </c>
      <c r="AZ497" s="97">
        <f>IF(OR(AY497="SÁB",AY497="DOM"),0,IFERROR(8-VLOOKUP(C497,'Dados de consulta'!$A$2:$C$38,3,0),8))</f>
        <v>8</v>
      </c>
      <c r="BA497" s="97">
        <f>IF(OR(AY497="SÁB",AY497="DOM"),0,IFERROR(8-VLOOKUP(D497,'Dados de consulta'!$A$2:$C$38,3,0),8))</f>
        <v>8</v>
      </c>
      <c r="BB497" s="97">
        <f>IF(OR(AY497="SÁB",AY497="DOM"),0,IFERROR(8-VLOOKUP(E497,'Dados de consulta'!$A$2:$C$38,3,0),8))</f>
        <v>8</v>
      </c>
      <c r="BC497" s="97">
        <f>IF(OR(AY497="SÁB",AY497="DOM"),0,IFERROR(8-VLOOKUP(F497,'Dados de consulta'!$A$2:$C$38,3,0),8))</f>
        <v>8</v>
      </c>
      <c r="BD497" s="97">
        <f>IF(OR(AY497="SÁB",AY497="DOM"),0,IFERROR(8-VLOOKUP(G497,'Dados de consulta'!$A$2:$C$38,3,0),8))</f>
        <v>8</v>
      </c>
      <c r="BE497" s="97">
        <f>IF(OR(AY497="SÁB",AY497="DOM"),0,IFERROR(8-VLOOKUP(H497,'Dados de consulta'!$A$2:$C$38,3,0),8))</f>
        <v>8</v>
      </c>
      <c r="BF497" s="97">
        <f>IF(OR(AY497="SÁB",AY497="DOM"),0,IFERROR(8-VLOOKUP(I497,'Dados de consulta'!$A$2:$C$38,3,0),8))</f>
        <v>8</v>
      </c>
      <c r="BG497" s="97">
        <f>IF(OR(AY497="SÁB",AY497="DOM"),0,IFERROR(8-VLOOKUP(J497,'Dados de consulta'!$A$2:$C$38,3,0),8))</f>
        <v>8</v>
      </c>
      <c r="BH497" s="97">
        <f>IF(OR(AY497="SÁB",AY497="DOM"),0,IFERROR(8-VLOOKUP(K497,'Dados de consulta'!$A$2:$C$38,3,0),8))</f>
        <v>8</v>
      </c>
      <c r="BI497" s="97">
        <f>IF(OR(AY497="SÁB",AY497="DOM"),0,IFERROR(8-VLOOKUP(L497,'Dados de consulta'!$A$2:$C$38,3,0),8))</f>
        <v>8</v>
      </c>
      <c r="BJ497" s="97">
        <f>IF(OR(AY497="SÁB",AY497="DOM"),0,IFERROR(8-VLOOKUP(M497,'Dados de consulta'!$A$2:$C$38,3,0),8))</f>
        <v>0</v>
      </c>
      <c r="BK497" s="97">
        <f>IF(OR(AY497="SÁB",AY497="DOM"),0,IFERROR(8-VLOOKUP(N497,'Dados de consulta'!$A$2:$C$38,3,0),8))</f>
        <v>0</v>
      </c>
      <c r="BL497" s="97">
        <f>IF(OR(AY497="SÁB",AY497="DOM"),0,IFERROR(8-VLOOKUP(O497,'Dados de consulta'!$A$2:$C$38,3,0),8))</f>
        <v>8</v>
      </c>
      <c r="BM497" s="97">
        <f>IF(OR(AY497="SÁB",AY497="DOM"),0,IFERROR(8-VLOOKUP(P497,'Dados de consulta'!$A$2:$C$38,3,0),8))</f>
        <v>8</v>
      </c>
      <c r="BN497" s="97">
        <f>IF(OR(AY497="SÁB",AY497="DOM"),0,IFERROR(8-VLOOKUP(Q497,'Dados de consulta'!$A$2:$C$38,3,0),8))</f>
        <v>8</v>
      </c>
      <c r="BO497" s="97">
        <f>IF(OR(AY497="SÁB",AY497="DOM"),0,IFERROR(8-VLOOKUP(R497,'Dados de consulta'!$A$2:$C$38,3,0),8))</f>
        <v>8</v>
      </c>
      <c r="BP497" s="97">
        <f>IF(OR(AY497="SÁB",AY497="DOM"),0,IFERROR(8-VLOOKUP(S497,'Dados de consulta'!$A$2:$C$38,3,0),8))</f>
        <v>8</v>
      </c>
      <c r="BQ497" s="113">
        <f>IFERROR(6-VLOOKUP(T497,'Dados de consulta'!$A$2:$C$38,3,0)+2,6)</f>
        <v>6</v>
      </c>
      <c r="BR497" s="114">
        <f t="shared" si="206"/>
        <v>126</v>
      </c>
      <c r="BS497">
        <f t="shared" si="182"/>
        <v>134</v>
      </c>
      <c r="BU497">
        <f>IFERROR(8-VLOOKUP(U497,'Dados de consulta'!$A:$D,3,0),8)</f>
        <v>8</v>
      </c>
      <c r="BV497">
        <f>IFERROR(8-VLOOKUP(V497,'Dados de consulta'!$A:$D,3,0),8)</f>
        <v>8</v>
      </c>
      <c r="BW497">
        <f t="shared" si="207"/>
        <v>16</v>
      </c>
    </row>
    <row r="498" spans="1:75" ht="15" hidden="1" x14ac:dyDescent="0.2">
      <c r="A498" s="98">
        <v>42621</v>
      </c>
      <c r="B498" s="129" t="str">
        <f t="shared" si="184"/>
        <v>qui</v>
      </c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>
        <v>101</v>
      </c>
      <c r="N498" s="132">
        <v>18</v>
      </c>
      <c r="O498" s="132"/>
      <c r="P498" s="132"/>
      <c r="Q498" s="132"/>
      <c r="R498" s="132"/>
      <c r="S498" s="132"/>
      <c r="T498" s="132"/>
      <c r="U498" s="151"/>
      <c r="V498" s="151"/>
      <c r="W498" s="307" t="s">
        <v>193</v>
      </c>
      <c r="X498" s="308"/>
      <c r="Y498" s="38">
        <f t="shared" si="185"/>
        <v>0</v>
      </c>
      <c r="Z498" s="38">
        <f t="shared" si="186"/>
        <v>8</v>
      </c>
      <c r="AA498" s="38">
        <f t="shared" si="183"/>
        <v>0</v>
      </c>
      <c r="AB498" s="38">
        <f t="shared" si="194"/>
        <v>0</v>
      </c>
      <c r="AC498" s="38">
        <f t="shared" si="195"/>
        <v>0</v>
      </c>
      <c r="AD498" s="38">
        <f t="shared" si="196"/>
        <v>0</v>
      </c>
      <c r="AE498" s="38">
        <f t="shared" si="197"/>
        <v>0</v>
      </c>
      <c r="AF498" s="38">
        <f t="shared" si="198"/>
        <v>0</v>
      </c>
      <c r="AG498" s="33">
        <f t="shared" si="199"/>
        <v>0</v>
      </c>
      <c r="AH498" s="33">
        <f t="shared" si="200"/>
        <v>8</v>
      </c>
      <c r="AI498" s="33">
        <f t="shared" si="201"/>
        <v>0</v>
      </c>
      <c r="AJ498" s="33">
        <f t="shared" si="202"/>
        <v>0</v>
      </c>
      <c r="AK498" s="34">
        <f t="shared" si="203"/>
        <v>0</v>
      </c>
      <c r="AL498" s="35">
        <f t="shared" si="204"/>
        <v>5.6338028169014086E-2</v>
      </c>
      <c r="AM498" s="34">
        <f t="shared" si="187"/>
        <v>0</v>
      </c>
      <c r="AN498" s="36">
        <f t="shared" si="205"/>
        <v>0</v>
      </c>
      <c r="AO498" s="6">
        <f t="shared" si="188"/>
        <v>0</v>
      </c>
      <c r="AP498">
        <f t="shared" si="189"/>
        <v>8</v>
      </c>
      <c r="AQ498" s="6">
        <f t="shared" si="190"/>
        <v>0</v>
      </c>
      <c r="AR498" s="6">
        <f t="shared" si="191"/>
        <v>0</v>
      </c>
      <c r="AS498" s="6"/>
      <c r="AX498" s="95">
        <f t="shared" si="192"/>
        <v>42621</v>
      </c>
      <c r="AY498" s="96" t="str">
        <f t="shared" si="193"/>
        <v>qui</v>
      </c>
      <c r="AZ498" s="97">
        <f>IF(OR(AY498="SÁB",AY498="DOM"),0,IFERROR(8-VLOOKUP(C498,'Dados de consulta'!$A$2:$C$38,3,0),8))</f>
        <v>8</v>
      </c>
      <c r="BA498" s="97">
        <f>IF(OR(AY498="SÁB",AY498="DOM"),0,IFERROR(8-VLOOKUP(D498,'Dados de consulta'!$A$2:$C$38,3,0),8))</f>
        <v>8</v>
      </c>
      <c r="BB498" s="97">
        <f>IF(OR(AY498="SÁB",AY498="DOM"),0,IFERROR(8-VLOOKUP(E498,'Dados de consulta'!$A$2:$C$38,3,0),8))</f>
        <v>8</v>
      </c>
      <c r="BC498" s="97">
        <f>IF(OR(AY498="SÁB",AY498="DOM"),0,IFERROR(8-VLOOKUP(F498,'Dados de consulta'!$A$2:$C$38,3,0),8))</f>
        <v>8</v>
      </c>
      <c r="BD498" s="97">
        <f>IF(OR(AY498="SÁB",AY498="DOM"),0,IFERROR(8-VLOOKUP(G498,'Dados de consulta'!$A$2:$C$38,3,0),8))</f>
        <v>8</v>
      </c>
      <c r="BE498" s="97">
        <f>IF(OR(AY498="SÁB",AY498="DOM"),0,IFERROR(8-VLOOKUP(H498,'Dados de consulta'!$A$2:$C$38,3,0),8))</f>
        <v>8</v>
      </c>
      <c r="BF498" s="97">
        <f>IF(OR(AY498="SÁB",AY498="DOM"),0,IFERROR(8-VLOOKUP(I498,'Dados de consulta'!$A$2:$C$38,3,0),8))</f>
        <v>8</v>
      </c>
      <c r="BG498" s="97">
        <f>IF(OR(AY498="SÁB",AY498="DOM"),0,IFERROR(8-VLOOKUP(J498,'Dados de consulta'!$A$2:$C$38,3,0),8))</f>
        <v>8</v>
      </c>
      <c r="BH498" s="97">
        <f>IF(OR(AY498="SÁB",AY498="DOM"),0,IFERROR(8-VLOOKUP(K498,'Dados de consulta'!$A$2:$C$38,3,0),8))</f>
        <v>8</v>
      </c>
      <c r="BI498" s="97">
        <f>IF(OR(AY498="SÁB",AY498="DOM"),0,IFERROR(8-VLOOKUP(L498,'Dados de consulta'!$A$2:$C$38,3,0),8))</f>
        <v>8</v>
      </c>
      <c r="BJ498" s="97">
        <f>IF(OR(AY498="SÁB",AY498="DOM"),0,IFERROR(8-VLOOKUP(M498,'Dados de consulta'!$A$2:$C$38,3,0),8))</f>
        <v>0</v>
      </c>
      <c r="BK498" s="97">
        <f>IF(OR(AY498="SÁB",AY498="DOM"),0,IFERROR(8-VLOOKUP(N498,'Dados de consulta'!$A$2:$C$38,3,0),8))</f>
        <v>0</v>
      </c>
      <c r="BL498" s="97">
        <f>IF(OR(AY498="SÁB",AY498="DOM"),0,IFERROR(8-VLOOKUP(O498,'Dados de consulta'!$A$2:$C$38,3,0),8))</f>
        <v>8</v>
      </c>
      <c r="BM498" s="97">
        <f>IF(OR(AY498="SÁB",AY498="DOM"),0,IFERROR(8-VLOOKUP(P498,'Dados de consulta'!$A$2:$C$38,3,0),8))</f>
        <v>8</v>
      </c>
      <c r="BN498" s="97">
        <f>IF(OR(AY498="SÁB",AY498="DOM"),0,IFERROR(8-VLOOKUP(Q498,'Dados de consulta'!$A$2:$C$38,3,0),8))</f>
        <v>8</v>
      </c>
      <c r="BO498" s="97">
        <f>IF(OR(AY498="SÁB",AY498="DOM"),0,IFERROR(8-VLOOKUP(R498,'Dados de consulta'!$A$2:$C$38,3,0),8))</f>
        <v>8</v>
      </c>
      <c r="BP498" s="97">
        <f>IF(OR(AY498="SÁB",AY498="DOM"),0,IFERROR(8-VLOOKUP(S498,'Dados de consulta'!$A$2:$C$38,3,0),8))</f>
        <v>8</v>
      </c>
      <c r="BQ498" s="113">
        <f>IFERROR(6-VLOOKUP(T498,'Dados de consulta'!$A$2:$C$38,3,0)+2,6)</f>
        <v>6</v>
      </c>
      <c r="BR498" s="114">
        <f t="shared" si="206"/>
        <v>126</v>
      </c>
      <c r="BS498">
        <f t="shared" si="182"/>
        <v>134</v>
      </c>
      <c r="BU498">
        <f>IFERROR(8-VLOOKUP(U498,'Dados de consulta'!$A:$D,3,0),8)</f>
        <v>8</v>
      </c>
      <c r="BV498">
        <f>IFERROR(8-VLOOKUP(V498,'Dados de consulta'!$A:$D,3,0),8)</f>
        <v>8</v>
      </c>
      <c r="BW498">
        <f t="shared" si="207"/>
        <v>16</v>
      </c>
    </row>
    <row r="499" spans="1:75" ht="15" hidden="1" x14ac:dyDescent="0.2">
      <c r="A499" s="98">
        <v>42622</v>
      </c>
      <c r="B499" s="129" t="str">
        <f t="shared" si="184"/>
        <v>sex</v>
      </c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>
        <v>101</v>
      </c>
      <c r="N499" s="132">
        <v>18</v>
      </c>
      <c r="O499" s="132"/>
      <c r="P499" s="132"/>
      <c r="Q499" s="132"/>
      <c r="R499" s="132"/>
      <c r="S499" s="132"/>
      <c r="T499" s="132"/>
      <c r="U499" s="151"/>
      <c r="V499" s="151"/>
      <c r="W499" s="307" t="s">
        <v>193</v>
      </c>
      <c r="X499" s="308"/>
      <c r="Y499" s="38">
        <f t="shared" si="185"/>
        <v>0</v>
      </c>
      <c r="Z499" s="38">
        <f t="shared" si="186"/>
        <v>8</v>
      </c>
      <c r="AA499" s="38">
        <f t="shared" si="183"/>
        <v>0</v>
      </c>
      <c r="AB499" s="38">
        <f t="shared" si="194"/>
        <v>0</v>
      </c>
      <c r="AC499" s="38">
        <f t="shared" si="195"/>
        <v>0</v>
      </c>
      <c r="AD499" s="38">
        <f t="shared" si="196"/>
        <v>0</v>
      </c>
      <c r="AE499" s="38">
        <f t="shared" si="197"/>
        <v>0</v>
      </c>
      <c r="AF499" s="38">
        <f t="shared" si="198"/>
        <v>0</v>
      </c>
      <c r="AG499" s="33">
        <f t="shared" si="199"/>
        <v>0</v>
      </c>
      <c r="AH499" s="33">
        <f t="shared" si="200"/>
        <v>8</v>
      </c>
      <c r="AI499" s="33">
        <f t="shared" si="201"/>
        <v>0</v>
      </c>
      <c r="AJ499" s="33">
        <f t="shared" si="202"/>
        <v>0</v>
      </c>
      <c r="AK499" s="34">
        <f t="shared" si="203"/>
        <v>0</v>
      </c>
      <c r="AL499" s="35">
        <f t="shared" si="204"/>
        <v>5.6338028169014086E-2</v>
      </c>
      <c r="AM499" s="34">
        <f t="shared" si="187"/>
        <v>0</v>
      </c>
      <c r="AN499" s="36">
        <f t="shared" si="205"/>
        <v>0</v>
      </c>
      <c r="AO499" s="6">
        <f t="shared" si="188"/>
        <v>0</v>
      </c>
      <c r="AP499">
        <f t="shared" si="189"/>
        <v>8</v>
      </c>
      <c r="AQ499" s="6">
        <f t="shared" si="190"/>
        <v>0</v>
      </c>
      <c r="AR499" s="6">
        <f t="shared" si="191"/>
        <v>0</v>
      </c>
      <c r="AS499" s="6"/>
      <c r="AX499" s="95">
        <f t="shared" si="192"/>
        <v>42622</v>
      </c>
      <c r="AY499" s="96" t="str">
        <f t="shared" si="193"/>
        <v>sex</v>
      </c>
      <c r="AZ499" s="97">
        <f>IF(OR(AY499="SÁB",AY499="DOM"),0,IFERROR(8-VLOOKUP(C499,'Dados de consulta'!$A$2:$C$38,3,0),8))</f>
        <v>8</v>
      </c>
      <c r="BA499" s="97">
        <f>IF(OR(AY499="SÁB",AY499="DOM"),0,IFERROR(8-VLOOKUP(D499,'Dados de consulta'!$A$2:$C$38,3,0),8))</f>
        <v>8</v>
      </c>
      <c r="BB499" s="97">
        <f>IF(OR(AY499="SÁB",AY499="DOM"),0,IFERROR(8-VLOOKUP(E499,'Dados de consulta'!$A$2:$C$38,3,0),8))</f>
        <v>8</v>
      </c>
      <c r="BC499" s="97">
        <f>IF(OR(AY499="SÁB",AY499="DOM"),0,IFERROR(8-VLOOKUP(F499,'Dados de consulta'!$A$2:$C$38,3,0),8))</f>
        <v>8</v>
      </c>
      <c r="BD499" s="97">
        <f>IF(OR(AY499="SÁB",AY499="DOM"),0,IFERROR(8-VLOOKUP(G499,'Dados de consulta'!$A$2:$C$38,3,0),8))</f>
        <v>8</v>
      </c>
      <c r="BE499" s="97">
        <f>IF(OR(AY499="SÁB",AY499="DOM"),0,IFERROR(8-VLOOKUP(H499,'Dados de consulta'!$A$2:$C$38,3,0),8))</f>
        <v>8</v>
      </c>
      <c r="BF499" s="97">
        <f>IF(OR(AY499="SÁB",AY499="DOM"),0,IFERROR(8-VLOOKUP(I499,'Dados de consulta'!$A$2:$C$38,3,0),8))</f>
        <v>8</v>
      </c>
      <c r="BG499" s="97">
        <f>IF(OR(AY499="SÁB",AY499="DOM"),0,IFERROR(8-VLOOKUP(J499,'Dados de consulta'!$A$2:$C$38,3,0),8))</f>
        <v>8</v>
      </c>
      <c r="BH499" s="97">
        <f>IF(OR(AY499="SÁB",AY499="DOM"),0,IFERROR(8-VLOOKUP(K499,'Dados de consulta'!$A$2:$C$38,3,0),8))</f>
        <v>8</v>
      </c>
      <c r="BI499" s="97">
        <f>IF(OR(AY499="SÁB",AY499="DOM"),0,IFERROR(8-VLOOKUP(L499,'Dados de consulta'!$A$2:$C$38,3,0),8))</f>
        <v>8</v>
      </c>
      <c r="BJ499" s="97">
        <f>IF(OR(AY499="SÁB",AY499="DOM"),0,IFERROR(8-VLOOKUP(M499,'Dados de consulta'!$A$2:$C$38,3,0),8))</f>
        <v>0</v>
      </c>
      <c r="BK499" s="97">
        <f>IF(OR(AY499="SÁB",AY499="DOM"),0,IFERROR(8-VLOOKUP(N499,'Dados de consulta'!$A$2:$C$38,3,0),8))</f>
        <v>0</v>
      </c>
      <c r="BL499" s="97">
        <f>IF(OR(AY499="SÁB",AY499="DOM"),0,IFERROR(8-VLOOKUP(O499,'Dados de consulta'!$A$2:$C$38,3,0),8))</f>
        <v>8</v>
      </c>
      <c r="BM499" s="97">
        <f>IF(OR(AY499="SÁB",AY499="DOM"),0,IFERROR(8-VLOOKUP(P499,'Dados de consulta'!$A$2:$C$38,3,0),8))</f>
        <v>8</v>
      </c>
      <c r="BN499" s="97">
        <f>IF(OR(AY499="SÁB",AY499="DOM"),0,IFERROR(8-VLOOKUP(Q499,'Dados de consulta'!$A$2:$C$38,3,0),8))</f>
        <v>8</v>
      </c>
      <c r="BO499" s="97">
        <f>IF(OR(AY499="SÁB",AY499="DOM"),0,IFERROR(8-VLOOKUP(R499,'Dados de consulta'!$A$2:$C$38,3,0),8))</f>
        <v>8</v>
      </c>
      <c r="BP499" s="97">
        <f>IF(OR(AY499="SÁB",AY499="DOM"),0,IFERROR(8-VLOOKUP(S499,'Dados de consulta'!$A$2:$C$38,3,0),8))</f>
        <v>8</v>
      </c>
      <c r="BQ499" s="113">
        <f>IFERROR(6-VLOOKUP(T499,'Dados de consulta'!$A$2:$C$38,3,0)+2,6)</f>
        <v>6</v>
      </c>
      <c r="BR499" s="114">
        <f t="shared" si="206"/>
        <v>126</v>
      </c>
      <c r="BS499">
        <f t="shared" si="182"/>
        <v>134</v>
      </c>
      <c r="BU499">
        <f>IFERROR(8-VLOOKUP(U499,'Dados de consulta'!$A:$D,3,0),8)</f>
        <v>8</v>
      </c>
      <c r="BV499">
        <f>IFERROR(8-VLOOKUP(V499,'Dados de consulta'!$A:$D,3,0),8)</f>
        <v>8</v>
      </c>
      <c r="BW499">
        <f t="shared" si="207"/>
        <v>16</v>
      </c>
    </row>
    <row r="500" spans="1:75" ht="15" hidden="1" x14ac:dyDescent="0.2">
      <c r="A500" s="98">
        <v>42623</v>
      </c>
      <c r="B500" s="129" t="str">
        <f t="shared" si="184"/>
        <v>sáb</v>
      </c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>
        <v>101</v>
      </c>
      <c r="N500" s="132">
        <v>18</v>
      </c>
      <c r="O500" s="132"/>
      <c r="P500" s="132"/>
      <c r="Q500" s="132"/>
      <c r="R500" s="132"/>
      <c r="S500" s="132"/>
      <c r="T500" s="132"/>
      <c r="U500" s="151"/>
      <c r="V500" s="151"/>
      <c r="W500" s="307" t="s">
        <v>193</v>
      </c>
      <c r="X500" s="308"/>
      <c r="Y500" s="38">
        <f t="shared" si="185"/>
        <v>0</v>
      </c>
      <c r="Z500" s="38">
        <f t="shared" si="186"/>
        <v>8</v>
      </c>
      <c r="AA500" s="38">
        <f t="shared" si="183"/>
        <v>0</v>
      </c>
      <c r="AB500" s="38">
        <f t="shared" si="194"/>
        <v>0</v>
      </c>
      <c r="AC500" s="38">
        <f t="shared" si="195"/>
        <v>0</v>
      </c>
      <c r="AD500" s="38">
        <f t="shared" si="196"/>
        <v>0</v>
      </c>
      <c r="AE500" s="38">
        <f t="shared" si="197"/>
        <v>0</v>
      </c>
      <c r="AF500" s="38">
        <f t="shared" si="198"/>
        <v>0</v>
      </c>
      <c r="AG500" s="33">
        <f t="shared" si="199"/>
        <v>0</v>
      </c>
      <c r="AH500" s="33">
        <f t="shared" si="200"/>
        <v>0</v>
      </c>
      <c r="AI500" s="33">
        <f t="shared" si="201"/>
        <v>0</v>
      </c>
      <c r="AJ500" s="33">
        <f t="shared" si="202"/>
        <v>0</v>
      </c>
      <c r="AK500" s="34">
        <f t="shared" si="203"/>
        <v>0</v>
      </c>
      <c r="AL500" s="35">
        <f t="shared" si="204"/>
        <v>0</v>
      </c>
      <c r="AM500" s="34">
        <f t="shared" si="187"/>
        <v>0</v>
      </c>
      <c r="AN500" s="36">
        <f t="shared" si="205"/>
        <v>0</v>
      </c>
      <c r="AO500" s="6">
        <f t="shared" si="188"/>
        <v>0</v>
      </c>
      <c r="AP500">
        <f t="shared" si="189"/>
        <v>8</v>
      </c>
      <c r="AQ500" s="6">
        <f t="shared" si="190"/>
        <v>0</v>
      </c>
      <c r="AR500" s="6">
        <f t="shared" si="191"/>
        <v>0</v>
      </c>
      <c r="AS500" s="6"/>
      <c r="AX500" s="95">
        <f t="shared" si="192"/>
        <v>42623</v>
      </c>
      <c r="AY500" s="96" t="str">
        <f t="shared" si="193"/>
        <v>sáb</v>
      </c>
      <c r="AZ500" s="97">
        <f>IF(OR(AY500="SÁB",AY500="DOM"),0,IFERROR(8-VLOOKUP(C500,'Dados de consulta'!$A$2:$C$38,3,0),8))</f>
        <v>0</v>
      </c>
      <c r="BA500" s="97">
        <f>IF(OR(AY500="SÁB",AY500="DOM"),0,IFERROR(8-VLOOKUP(D500,'Dados de consulta'!$A$2:$C$38,3,0),8))</f>
        <v>0</v>
      </c>
      <c r="BB500" s="97">
        <f>IF(OR(AY500="SÁB",AY500="DOM"),0,IFERROR(8-VLOOKUP(E500,'Dados de consulta'!$A$2:$C$38,3,0),8))</f>
        <v>0</v>
      </c>
      <c r="BC500" s="97">
        <f>IF(OR(AY500="SÁB",AY500="DOM"),0,IFERROR(8-VLOOKUP(F500,'Dados de consulta'!$A$2:$C$38,3,0),8))</f>
        <v>0</v>
      </c>
      <c r="BD500" s="97">
        <f>IF(OR(AY500="SÁB",AY500="DOM"),0,IFERROR(8-VLOOKUP(G500,'Dados de consulta'!$A$2:$C$38,3,0),8))</f>
        <v>0</v>
      </c>
      <c r="BE500" s="97">
        <f>IF(OR(AY500="SÁB",AY500="DOM"),0,IFERROR(8-VLOOKUP(H500,'Dados de consulta'!$A$2:$C$38,3,0),8))</f>
        <v>0</v>
      </c>
      <c r="BF500" s="97">
        <f>IF(OR(AY500="SÁB",AY500="DOM"),0,IFERROR(8-VLOOKUP(I500,'Dados de consulta'!$A$2:$C$38,3,0),8))</f>
        <v>0</v>
      </c>
      <c r="BG500" s="97">
        <f>IF(OR(AY500="SÁB",AY500="DOM"),0,IFERROR(8-VLOOKUP(J500,'Dados de consulta'!$A$2:$C$38,3,0),8))</f>
        <v>0</v>
      </c>
      <c r="BH500" s="97">
        <f>IF(OR(AY500="SÁB",AY500="DOM"),0,IFERROR(8-VLOOKUP(K500,'Dados de consulta'!$A$2:$C$38,3,0),8))</f>
        <v>0</v>
      </c>
      <c r="BI500" s="97">
        <f>IF(OR(AY500="SÁB",AY500="DOM"),0,IFERROR(8-VLOOKUP(L500,'Dados de consulta'!$A$2:$C$38,3,0),8))</f>
        <v>0</v>
      </c>
      <c r="BJ500" s="97">
        <f>IF(OR(AY500="SÁB",AY500="DOM"),0,IFERROR(8-VLOOKUP(M500,'Dados de consulta'!$A$2:$C$38,3,0),8))</f>
        <v>0</v>
      </c>
      <c r="BK500" s="97">
        <f>IF(OR(AY500="SÁB",AY500="DOM"),0,IFERROR(8-VLOOKUP(N500,'Dados de consulta'!$A$2:$C$38,3,0),8))</f>
        <v>0</v>
      </c>
      <c r="BL500" s="97">
        <f>IF(OR(AY500="SÁB",AY500="DOM"),0,IFERROR(8-VLOOKUP(O500,'Dados de consulta'!$A$2:$C$38,3,0),8))</f>
        <v>0</v>
      </c>
      <c r="BM500" s="97">
        <f>IF(OR(AY500="SÁB",AY500="DOM"),0,IFERROR(8-VLOOKUP(P500,'Dados de consulta'!$A$2:$C$38,3,0),8))</f>
        <v>0</v>
      </c>
      <c r="BN500" s="97">
        <f>IF(OR(AY500="SÁB",AY500="DOM"),0,IFERROR(8-VLOOKUP(Q500,'Dados de consulta'!$A$2:$C$38,3,0),8))</f>
        <v>0</v>
      </c>
      <c r="BO500" s="97">
        <f>IF(OR(AY500="SÁB",AY500="DOM"),0,IFERROR(8-VLOOKUP(R500,'Dados de consulta'!$A$2:$C$38,3,0),8))</f>
        <v>0</v>
      </c>
      <c r="BP500" s="97">
        <f>IF(OR(AY500="SÁB",AY500="DOM"),0,IFERROR(8-VLOOKUP(S500,'Dados de consulta'!$A$2:$C$38,3,0),8))</f>
        <v>0</v>
      </c>
      <c r="BQ500" s="113">
        <f>IFERROR(6-VLOOKUP(T500,'Dados de consulta'!$A$2:$C$38,3,0)+2,6)</f>
        <v>6</v>
      </c>
      <c r="BR500" s="114">
        <f t="shared" si="206"/>
        <v>0</v>
      </c>
      <c r="BS500">
        <f t="shared" si="182"/>
        <v>0</v>
      </c>
      <c r="BU500">
        <f>IFERROR(8-VLOOKUP(U500,'Dados de consulta'!$A:$D,3,0),8)</f>
        <v>8</v>
      </c>
      <c r="BV500">
        <f>IFERROR(8-VLOOKUP(V500,'Dados de consulta'!$A:$D,3,0),8)</f>
        <v>8</v>
      </c>
      <c r="BW500">
        <f t="shared" si="207"/>
        <v>16</v>
      </c>
    </row>
    <row r="501" spans="1:75" ht="15" hidden="1" x14ac:dyDescent="0.2">
      <c r="A501" s="98">
        <v>42624</v>
      </c>
      <c r="B501" s="129" t="str">
        <f t="shared" si="184"/>
        <v>dom</v>
      </c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>
        <v>101</v>
      </c>
      <c r="N501" s="132">
        <v>18</v>
      </c>
      <c r="O501" s="132"/>
      <c r="P501" s="132"/>
      <c r="Q501" s="132"/>
      <c r="R501" s="132"/>
      <c r="S501" s="132"/>
      <c r="T501" s="132"/>
      <c r="U501" s="151"/>
      <c r="V501" s="151"/>
      <c r="W501" s="307" t="s">
        <v>193</v>
      </c>
      <c r="X501" s="308"/>
      <c r="Y501" s="38">
        <f t="shared" si="185"/>
        <v>0</v>
      </c>
      <c r="Z501" s="38">
        <f t="shared" si="186"/>
        <v>8</v>
      </c>
      <c r="AA501" s="38">
        <f t="shared" si="183"/>
        <v>0</v>
      </c>
      <c r="AB501" s="38">
        <f t="shared" si="194"/>
        <v>0</v>
      </c>
      <c r="AC501" s="38">
        <f t="shared" si="195"/>
        <v>0</v>
      </c>
      <c r="AD501" s="38">
        <f t="shared" si="196"/>
        <v>0</v>
      </c>
      <c r="AE501" s="38">
        <f t="shared" si="197"/>
        <v>0</v>
      </c>
      <c r="AF501" s="38">
        <f t="shared" si="198"/>
        <v>0</v>
      </c>
      <c r="AG501" s="33">
        <f t="shared" si="199"/>
        <v>0</v>
      </c>
      <c r="AH501" s="33">
        <f t="shared" si="200"/>
        <v>0</v>
      </c>
      <c r="AI501" s="33">
        <f t="shared" si="201"/>
        <v>0</v>
      </c>
      <c r="AJ501" s="33">
        <f t="shared" si="202"/>
        <v>0</v>
      </c>
      <c r="AK501" s="34">
        <f t="shared" si="203"/>
        <v>0</v>
      </c>
      <c r="AL501" s="35">
        <f t="shared" si="204"/>
        <v>0</v>
      </c>
      <c r="AM501" s="34">
        <f t="shared" si="187"/>
        <v>0</v>
      </c>
      <c r="AN501" s="36">
        <f t="shared" si="205"/>
        <v>0</v>
      </c>
      <c r="AO501" s="6">
        <f t="shared" si="188"/>
        <v>0</v>
      </c>
      <c r="AP501">
        <f t="shared" si="189"/>
        <v>8</v>
      </c>
      <c r="AQ501" s="6">
        <f t="shared" si="190"/>
        <v>0</v>
      </c>
      <c r="AR501" s="6">
        <f t="shared" si="191"/>
        <v>0</v>
      </c>
      <c r="AS501" s="6"/>
      <c r="AX501" s="95">
        <f t="shared" si="192"/>
        <v>42624</v>
      </c>
      <c r="AY501" s="96" t="str">
        <f t="shared" si="193"/>
        <v>dom</v>
      </c>
      <c r="AZ501" s="97">
        <f>IF(OR(AY501="SÁB",AY501="DOM"),0,IFERROR(8-VLOOKUP(C501,'Dados de consulta'!$A$2:$C$38,3,0),8))</f>
        <v>0</v>
      </c>
      <c r="BA501" s="97">
        <f>IF(OR(AY501="SÁB",AY501="DOM"),0,IFERROR(8-VLOOKUP(D501,'Dados de consulta'!$A$2:$C$38,3,0),8))</f>
        <v>0</v>
      </c>
      <c r="BB501" s="97">
        <f>IF(OR(AY501="SÁB",AY501="DOM"),0,IFERROR(8-VLOOKUP(E501,'Dados de consulta'!$A$2:$C$38,3,0),8))</f>
        <v>0</v>
      </c>
      <c r="BC501" s="97">
        <f>IF(OR(AY501="SÁB",AY501="DOM"),0,IFERROR(8-VLOOKUP(F501,'Dados de consulta'!$A$2:$C$38,3,0),8))</f>
        <v>0</v>
      </c>
      <c r="BD501" s="97">
        <f>IF(OR(AY501="SÁB",AY501="DOM"),0,IFERROR(8-VLOOKUP(G501,'Dados de consulta'!$A$2:$C$38,3,0),8))</f>
        <v>0</v>
      </c>
      <c r="BE501" s="97">
        <f>IF(OR(AY501="SÁB",AY501="DOM"),0,IFERROR(8-VLOOKUP(H501,'Dados de consulta'!$A$2:$C$38,3,0),8))</f>
        <v>0</v>
      </c>
      <c r="BF501" s="97">
        <f>IF(OR(AY501="SÁB",AY501="DOM"),0,IFERROR(8-VLOOKUP(I501,'Dados de consulta'!$A$2:$C$38,3,0),8))</f>
        <v>0</v>
      </c>
      <c r="BG501" s="97">
        <f>IF(OR(AY501="SÁB",AY501="DOM"),0,IFERROR(8-VLOOKUP(J501,'Dados de consulta'!$A$2:$C$38,3,0),8))</f>
        <v>0</v>
      </c>
      <c r="BH501" s="97">
        <f>IF(OR(AY501="SÁB",AY501="DOM"),0,IFERROR(8-VLOOKUP(K501,'Dados de consulta'!$A$2:$C$38,3,0),8))</f>
        <v>0</v>
      </c>
      <c r="BI501" s="97">
        <f>IF(OR(AY501="SÁB",AY501="DOM"),0,IFERROR(8-VLOOKUP(L501,'Dados de consulta'!$A$2:$C$38,3,0),8))</f>
        <v>0</v>
      </c>
      <c r="BJ501" s="97">
        <f>IF(OR(AY501="SÁB",AY501="DOM"),0,IFERROR(8-VLOOKUP(M501,'Dados de consulta'!$A$2:$C$38,3,0),8))</f>
        <v>0</v>
      </c>
      <c r="BK501" s="97">
        <f>IF(OR(AY501="SÁB",AY501="DOM"),0,IFERROR(8-VLOOKUP(N501,'Dados de consulta'!$A$2:$C$38,3,0),8))</f>
        <v>0</v>
      </c>
      <c r="BL501" s="97">
        <f>IF(OR(AY501="SÁB",AY501="DOM"),0,IFERROR(8-VLOOKUP(O501,'Dados de consulta'!$A$2:$C$38,3,0),8))</f>
        <v>0</v>
      </c>
      <c r="BM501" s="97">
        <f>IF(OR(AY501="SÁB",AY501="DOM"),0,IFERROR(8-VLOOKUP(P501,'Dados de consulta'!$A$2:$C$38,3,0),8))</f>
        <v>0</v>
      </c>
      <c r="BN501" s="97">
        <f>IF(OR(AY501="SÁB",AY501="DOM"),0,IFERROR(8-VLOOKUP(Q501,'Dados de consulta'!$A$2:$C$38,3,0),8))</f>
        <v>0</v>
      </c>
      <c r="BO501" s="97">
        <f>IF(OR(AY501="SÁB",AY501="DOM"),0,IFERROR(8-VLOOKUP(R501,'Dados de consulta'!$A$2:$C$38,3,0),8))</f>
        <v>0</v>
      </c>
      <c r="BP501" s="97">
        <f>IF(OR(AY501="SÁB",AY501="DOM"),0,IFERROR(8-VLOOKUP(S501,'Dados de consulta'!$A$2:$C$38,3,0),8))</f>
        <v>0</v>
      </c>
      <c r="BQ501" s="113">
        <f>IFERROR(6-VLOOKUP(T501,'Dados de consulta'!$A$2:$C$38,3,0)+2,6)</f>
        <v>6</v>
      </c>
      <c r="BR501" s="114">
        <f t="shared" si="206"/>
        <v>0</v>
      </c>
      <c r="BS501">
        <f t="shared" si="182"/>
        <v>0</v>
      </c>
      <c r="BU501">
        <f>IFERROR(8-VLOOKUP(U501,'Dados de consulta'!$A:$D,3,0),8)</f>
        <v>8</v>
      </c>
      <c r="BV501">
        <f>IFERROR(8-VLOOKUP(V501,'Dados de consulta'!$A:$D,3,0),8)</f>
        <v>8</v>
      </c>
      <c r="BW501">
        <f t="shared" si="207"/>
        <v>16</v>
      </c>
    </row>
    <row r="502" spans="1:75" ht="15" hidden="1" x14ac:dyDescent="0.2">
      <c r="A502" s="98">
        <v>42625</v>
      </c>
      <c r="B502" s="129" t="str">
        <f t="shared" si="184"/>
        <v>seg</v>
      </c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>
        <v>101</v>
      </c>
      <c r="N502" s="132">
        <v>18</v>
      </c>
      <c r="O502" s="132"/>
      <c r="P502" s="132"/>
      <c r="Q502" s="132"/>
      <c r="R502" s="132"/>
      <c r="S502" s="132"/>
      <c r="T502" s="132"/>
      <c r="U502" s="151"/>
      <c r="V502" s="151"/>
      <c r="W502" s="307" t="s">
        <v>193</v>
      </c>
      <c r="X502" s="308"/>
      <c r="Y502" s="38">
        <f t="shared" si="185"/>
        <v>0</v>
      </c>
      <c r="Z502" s="38">
        <f t="shared" si="186"/>
        <v>8</v>
      </c>
      <c r="AA502" s="38">
        <f t="shared" si="183"/>
        <v>0</v>
      </c>
      <c r="AB502" s="38">
        <f t="shared" si="194"/>
        <v>0</v>
      </c>
      <c r="AC502" s="38">
        <f t="shared" si="195"/>
        <v>0</v>
      </c>
      <c r="AD502" s="38">
        <f t="shared" si="196"/>
        <v>0</v>
      </c>
      <c r="AE502" s="38">
        <f t="shared" si="197"/>
        <v>0</v>
      </c>
      <c r="AF502" s="38">
        <f t="shared" si="198"/>
        <v>0</v>
      </c>
      <c r="AG502" s="33">
        <f t="shared" si="199"/>
        <v>0</v>
      </c>
      <c r="AH502" s="33">
        <f t="shared" si="200"/>
        <v>8</v>
      </c>
      <c r="AI502" s="33">
        <f t="shared" si="201"/>
        <v>0</v>
      </c>
      <c r="AJ502" s="33">
        <f t="shared" si="202"/>
        <v>0</v>
      </c>
      <c r="AK502" s="34">
        <f t="shared" si="203"/>
        <v>0</v>
      </c>
      <c r="AL502" s="35">
        <f t="shared" si="204"/>
        <v>5.6338028169014086E-2</v>
      </c>
      <c r="AM502" s="34">
        <f t="shared" si="187"/>
        <v>0</v>
      </c>
      <c r="AN502" s="36">
        <f t="shared" si="205"/>
        <v>0</v>
      </c>
      <c r="AO502" s="6">
        <f t="shared" si="188"/>
        <v>0</v>
      </c>
      <c r="AP502">
        <f t="shared" si="189"/>
        <v>8</v>
      </c>
      <c r="AQ502" s="6">
        <f t="shared" si="190"/>
        <v>0</v>
      </c>
      <c r="AR502" s="6">
        <f t="shared" si="191"/>
        <v>0</v>
      </c>
      <c r="AS502" s="6"/>
      <c r="AX502" s="95">
        <f t="shared" si="192"/>
        <v>42625</v>
      </c>
      <c r="AY502" s="96" t="str">
        <f t="shared" si="193"/>
        <v>seg</v>
      </c>
      <c r="AZ502" s="97">
        <f>IF(OR(AY502="SÁB",AY502="DOM"),0,IFERROR(8-VLOOKUP(C502,'Dados de consulta'!$A$2:$C$38,3,0),8))</f>
        <v>8</v>
      </c>
      <c r="BA502" s="97">
        <f>IF(OR(AY502="SÁB",AY502="DOM"),0,IFERROR(8-VLOOKUP(D502,'Dados de consulta'!$A$2:$C$38,3,0),8))</f>
        <v>8</v>
      </c>
      <c r="BB502" s="97">
        <f>IF(OR(AY502="SÁB",AY502="DOM"),0,IFERROR(8-VLOOKUP(E502,'Dados de consulta'!$A$2:$C$38,3,0),8))</f>
        <v>8</v>
      </c>
      <c r="BC502" s="97">
        <f>IF(OR(AY502="SÁB",AY502="DOM"),0,IFERROR(8-VLOOKUP(F502,'Dados de consulta'!$A$2:$C$38,3,0),8))</f>
        <v>8</v>
      </c>
      <c r="BD502" s="97">
        <f>IF(OR(AY502="SÁB",AY502="DOM"),0,IFERROR(8-VLOOKUP(G502,'Dados de consulta'!$A$2:$C$38,3,0),8))</f>
        <v>8</v>
      </c>
      <c r="BE502" s="97">
        <f>IF(OR(AY502="SÁB",AY502="DOM"),0,IFERROR(8-VLOOKUP(H502,'Dados de consulta'!$A$2:$C$38,3,0),8))</f>
        <v>8</v>
      </c>
      <c r="BF502" s="97">
        <f>IF(OR(AY502="SÁB",AY502="DOM"),0,IFERROR(8-VLOOKUP(I502,'Dados de consulta'!$A$2:$C$38,3,0),8))</f>
        <v>8</v>
      </c>
      <c r="BG502" s="97">
        <f>IF(OR(AY502="SÁB",AY502="DOM"),0,IFERROR(8-VLOOKUP(J502,'Dados de consulta'!$A$2:$C$38,3,0),8))</f>
        <v>8</v>
      </c>
      <c r="BH502" s="97">
        <f>IF(OR(AY502="SÁB",AY502="DOM"),0,IFERROR(8-VLOOKUP(K502,'Dados de consulta'!$A$2:$C$38,3,0),8))</f>
        <v>8</v>
      </c>
      <c r="BI502" s="97">
        <f>IF(OR(AY502="SÁB",AY502="DOM"),0,IFERROR(8-VLOOKUP(L502,'Dados de consulta'!$A$2:$C$38,3,0),8))</f>
        <v>8</v>
      </c>
      <c r="BJ502" s="97">
        <f>IF(OR(AY502="SÁB",AY502="DOM"),0,IFERROR(8-VLOOKUP(M502,'Dados de consulta'!$A$2:$C$38,3,0),8))</f>
        <v>0</v>
      </c>
      <c r="BK502" s="97">
        <f>IF(OR(AY502="SÁB",AY502="DOM"),0,IFERROR(8-VLOOKUP(N502,'Dados de consulta'!$A$2:$C$38,3,0),8))</f>
        <v>0</v>
      </c>
      <c r="BL502" s="97">
        <f>IF(OR(AY502="SÁB",AY502="DOM"),0,IFERROR(8-VLOOKUP(O502,'Dados de consulta'!$A$2:$C$38,3,0),8))</f>
        <v>8</v>
      </c>
      <c r="BM502" s="97">
        <f>IF(OR(AY502="SÁB",AY502="DOM"),0,IFERROR(8-VLOOKUP(P502,'Dados de consulta'!$A$2:$C$38,3,0),8))</f>
        <v>8</v>
      </c>
      <c r="BN502" s="97">
        <f>IF(OR(AY502="SÁB",AY502="DOM"),0,IFERROR(8-VLOOKUP(Q502,'Dados de consulta'!$A$2:$C$38,3,0),8))</f>
        <v>8</v>
      </c>
      <c r="BO502" s="97">
        <f>IF(OR(AY502="SÁB",AY502="DOM"),0,IFERROR(8-VLOOKUP(R502,'Dados de consulta'!$A$2:$C$38,3,0),8))</f>
        <v>8</v>
      </c>
      <c r="BP502" s="97">
        <f>IF(OR(AY502="SÁB",AY502="DOM"),0,IFERROR(8-VLOOKUP(S502,'Dados de consulta'!$A$2:$C$38,3,0),8))</f>
        <v>8</v>
      </c>
      <c r="BQ502" s="113">
        <f>IFERROR(6-VLOOKUP(T502,'Dados de consulta'!$A$2:$C$38,3,0)+2,6)</f>
        <v>6</v>
      </c>
      <c r="BR502" s="114">
        <f t="shared" si="206"/>
        <v>126</v>
      </c>
      <c r="BS502">
        <f t="shared" si="182"/>
        <v>134</v>
      </c>
      <c r="BU502">
        <f>IFERROR(8-VLOOKUP(U502,'Dados de consulta'!$A:$D,3,0),8)</f>
        <v>8</v>
      </c>
      <c r="BV502">
        <f>IFERROR(8-VLOOKUP(V502,'Dados de consulta'!$A:$D,3,0),8)</f>
        <v>8</v>
      </c>
      <c r="BW502">
        <f t="shared" si="207"/>
        <v>16</v>
      </c>
    </row>
    <row r="503" spans="1:75" ht="15" hidden="1" x14ac:dyDescent="0.2">
      <c r="A503" s="98">
        <v>42626</v>
      </c>
      <c r="B503" s="129" t="str">
        <f t="shared" si="184"/>
        <v>ter</v>
      </c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>
        <v>101</v>
      </c>
      <c r="N503" s="132">
        <v>18</v>
      </c>
      <c r="O503" s="132"/>
      <c r="P503" s="132"/>
      <c r="Q503" s="132"/>
      <c r="R503" s="132"/>
      <c r="S503" s="132"/>
      <c r="T503" s="132"/>
      <c r="U503" s="151"/>
      <c r="V503" s="151"/>
      <c r="W503" s="307" t="s">
        <v>193</v>
      </c>
      <c r="X503" s="308"/>
      <c r="Y503" s="38">
        <f t="shared" si="185"/>
        <v>0</v>
      </c>
      <c r="Z503" s="38">
        <f t="shared" si="186"/>
        <v>8</v>
      </c>
      <c r="AA503" s="38">
        <f t="shared" si="183"/>
        <v>0</v>
      </c>
      <c r="AB503" s="38">
        <f t="shared" si="194"/>
        <v>0</v>
      </c>
      <c r="AC503" s="38">
        <f t="shared" si="195"/>
        <v>0</v>
      </c>
      <c r="AD503" s="38">
        <f t="shared" si="196"/>
        <v>0</v>
      </c>
      <c r="AE503" s="38">
        <f t="shared" si="197"/>
        <v>0</v>
      </c>
      <c r="AF503" s="38">
        <f t="shared" si="198"/>
        <v>0</v>
      </c>
      <c r="AG503" s="33">
        <f t="shared" si="199"/>
        <v>0</v>
      </c>
      <c r="AH503" s="33">
        <f t="shared" si="200"/>
        <v>8</v>
      </c>
      <c r="AI503" s="33">
        <f t="shared" si="201"/>
        <v>0</v>
      </c>
      <c r="AJ503" s="33">
        <f t="shared" si="202"/>
        <v>0</v>
      </c>
      <c r="AK503" s="34">
        <f t="shared" si="203"/>
        <v>0</v>
      </c>
      <c r="AL503" s="35">
        <f t="shared" si="204"/>
        <v>5.6338028169014086E-2</v>
      </c>
      <c r="AM503" s="34">
        <f t="shared" si="187"/>
        <v>0</v>
      </c>
      <c r="AN503" s="36">
        <f t="shared" si="205"/>
        <v>0</v>
      </c>
      <c r="AO503" s="6">
        <f t="shared" si="188"/>
        <v>0</v>
      </c>
      <c r="AP503">
        <f t="shared" si="189"/>
        <v>8</v>
      </c>
      <c r="AQ503" s="6">
        <f t="shared" si="190"/>
        <v>0</v>
      </c>
      <c r="AR503" s="6">
        <f t="shared" si="191"/>
        <v>0</v>
      </c>
      <c r="AS503" s="6"/>
      <c r="AX503" s="95">
        <f t="shared" si="192"/>
        <v>42626</v>
      </c>
      <c r="AY503" s="96" t="str">
        <f t="shared" si="193"/>
        <v>ter</v>
      </c>
      <c r="AZ503" s="97">
        <f>IF(OR(AY503="SÁB",AY503="DOM"),0,IFERROR(8-VLOOKUP(C503,'Dados de consulta'!$A$2:$C$38,3,0),8))</f>
        <v>8</v>
      </c>
      <c r="BA503" s="97">
        <f>IF(OR(AY503="SÁB",AY503="DOM"),0,IFERROR(8-VLOOKUP(D503,'Dados de consulta'!$A$2:$C$38,3,0),8))</f>
        <v>8</v>
      </c>
      <c r="BB503" s="97">
        <f>IF(OR(AY503="SÁB",AY503="DOM"),0,IFERROR(8-VLOOKUP(E503,'Dados de consulta'!$A$2:$C$38,3,0),8))</f>
        <v>8</v>
      </c>
      <c r="BC503" s="97">
        <f>IF(OR(AY503="SÁB",AY503="DOM"),0,IFERROR(8-VLOOKUP(F503,'Dados de consulta'!$A$2:$C$38,3,0),8))</f>
        <v>8</v>
      </c>
      <c r="BD503" s="97">
        <f>IF(OR(AY503="SÁB",AY503="DOM"),0,IFERROR(8-VLOOKUP(G503,'Dados de consulta'!$A$2:$C$38,3,0),8))</f>
        <v>8</v>
      </c>
      <c r="BE503" s="97">
        <f>IF(OR(AY503="SÁB",AY503="DOM"),0,IFERROR(8-VLOOKUP(H503,'Dados de consulta'!$A$2:$C$38,3,0),8))</f>
        <v>8</v>
      </c>
      <c r="BF503" s="97">
        <f>IF(OR(AY503="SÁB",AY503="DOM"),0,IFERROR(8-VLOOKUP(I503,'Dados de consulta'!$A$2:$C$38,3,0),8))</f>
        <v>8</v>
      </c>
      <c r="BG503" s="97">
        <f>IF(OR(AY503="SÁB",AY503="DOM"),0,IFERROR(8-VLOOKUP(J503,'Dados de consulta'!$A$2:$C$38,3,0),8))</f>
        <v>8</v>
      </c>
      <c r="BH503" s="97">
        <f>IF(OR(AY503="SÁB",AY503="DOM"),0,IFERROR(8-VLOOKUP(K503,'Dados de consulta'!$A$2:$C$38,3,0),8))</f>
        <v>8</v>
      </c>
      <c r="BI503" s="97">
        <f>IF(OR(AY503="SÁB",AY503="DOM"),0,IFERROR(8-VLOOKUP(L503,'Dados de consulta'!$A$2:$C$38,3,0),8))</f>
        <v>8</v>
      </c>
      <c r="BJ503" s="97">
        <f>IF(OR(AY503="SÁB",AY503="DOM"),0,IFERROR(8-VLOOKUP(M503,'Dados de consulta'!$A$2:$C$38,3,0),8))</f>
        <v>0</v>
      </c>
      <c r="BK503" s="97">
        <f>IF(OR(AY503="SÁB",AY503="DOM"),0,IFERROR(8-VLOOKUP(N503,'Dados de consulta'!$A$2:$C$38,3,0),8))</f>
        <v>0</v>
      </c>
      <c r="BL503" s="97">
        <f>IF(OR(AY503="SÁB",AY503="DOM"),0,IFERROR(8-VLOOKUP(O503,'Dados de consulta'!$A$2:$C$38,3,0),8))</f>
        <v>8</v>
      </c>
      <c r="BM503" s="97">
        <f>IF(OR(AY503="SÁB",AY503="DOM"),0,IFERROR(8-VLOOKUP(P503,'Dados de consulta'!$A$2:$C$38,3,0),8))</f>
        <v>8</v>
      </c>
      <c r="BN503" s="97">
        <f>IF(OR(AY503="SÁB",AY503="DOM"),0,IFERROR(8-VLOOKUP(Q503,'Dados de consulta'!$A$2:$C$38,3,0),8))</f>
        <v>8</v>
      </c>
      <c r="BO503" s="97">
        <f>IF(OR(AY503="SÁB",AY503="DOM"),0,IFERROR(8-VLOOKUP(R503,'Dados de consulta'!$A$2:$C$38,3,0),8))</f>
        <v>8</v>
      </c>
      <c r="BP503" s="97">
        <f>IF(OR(AY503="SÁB",AY503="DOM"),0,IFERROR(8-VLOOKUP(S503,'Dados de consulta'!$A$2:$C$38,3,0),8))</f>
        <v>8</v>
      </c>
      <c r="BQ503" s="113">
        <f>IFERROR(6-VLOOKUP(T503,'Dados de consulta'!$A$2:$C$38,3,0)+2,6)</f>
        <v>6</v>
      </c>
      <c r="BR503" s="114">
        <f t="shared" si="206"/>
        <v>126</v>
      </c>
      <c r="BS503">
        <f t="shared" si="182"/>
        <v>134</v>
      </c>
      <c r="BU503">
        <f>IFERROR(8-VLOOKUP(U503,'Dados de consulta'!$A:$D,3,0),8)</f>
        <v>8</v>
      </c>
      <c r="BV503">
        <f>IFERROR(8-VLOOKUP(V503,'Dados de consulta'!$A:$D,3,0),8)</f>
        <v>8</v>
      </c>
      <c r="BW503">
        <f t="shared" si="207"/>
        <v>16</v>
      </c>
    </row>
    <row r="504" spans="1:75" ht="15" hidden="1" x14ac:dyDescent="0.2">
      <c r="A504" s="98">
        <v>42627</v>
      </c>
      <c r="B504" s="129" t="str">
        <f t="shared" si="184"/>
        <v>qua</v>
      </c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>
        <v>101</v>
      </c>
      <c r="N504" s="132">
        <v>18</v>
      </c>
      <c r="O504" s="132"/>
      <c r="P504" s="132"/>
      <c r="Q504" s="132"/>
      <c r="R504" s="132"/>
      <c r="S504" s="132"/>
      <c r="T504" s="132"/>
      <c r="U504" s="151"/>
      <c r="V504" s="151"/>
      <c r="W504" s="307" t="s">
        <v>193</v>
      </c>
      <c r="X504" s="308"/>
      <c r="Y504" s="38">
        <f t="shared" si="185"/>
        <v>0</v>
      </c>
      <c r="Z504" s="38">
        <f t="shared" si="186"/>
        <v>8</v>
      </c>
      <c r="AA504" s="38">
        <f t="shared" si="183"/>
        <v>0</v>
      </c>
      <c r="AB504" s="38">
        <f t="shared" si="194"/>
        <v>0</v>
      </c>
      <c r="AC504" s="38">
        <f t="shared" si="195"/>
        <v>0</v>
      </c>
      <c r="AD504" s="38">
        <f t="shared" si="196"/>
        <v>0</v>
      </c>
      <c r="AE504" s="38">
        <f t="shared" si="197"/>
        <v>0</v>
      </c>
      <c r="AF504" s="38">
        <f t="shared" si="198"/>
        <v>0</v>
      </c>
      <c r="AG504" s="33">
        <f t="shared" si="199"/>
        <v>0</v>
      </c>
      <c r="AH504" s="33">
        <f t="shared" si="200"/>
        <v>8</v>
      </c>
      <c r="AI504" s="33">
        <f t="shared" si="201"/>
        <v>0</v>
      </c>
      <c r="AJ504" s="33">
        <f t="shared" si="202"/>
        <v>0</v>
      </c>
      <c r="AK504" s="34">
        <f t="shared" si="203"/>
        <v>0</v>
      </c>
      <c r="AL504" s="35">
        <f t="shared" si="204"/>
        <v>5.6338028169014086E-2</v>
      </c>
      <c r="AM504" s="34">
        <f t="shared" si="187"/>
        <v>0</v>
      </c>
      <c r="AN504" s="36">
        <f t="shared" si="205"/>
        <v>0</v>
      </c>
      <c r="AO504" s="6">
        <f t="shared" si="188"/>
        <v>0</v>
      </c>
      <c r="AP504">
        <f t="shared" si="189"/>
        <v>8</v>
      </c>
      <c r="AQ504" s="6">
        <f t="shared" si="190"/>
        <v>0</v>
      </c>
      <c r="AR504" s="6">
        <f t="shared" si="191"/>
        <v>0</v>
      </c>
      <c r="AS504" s="6"/>
      <c r="AX504" s="95">
        <f t="shared" si="192"/>
        <v>42627</v>
      </c>
      <c r="AY504" s="96" t="str">
        <f t="shared" si="193"/>
        <v>qua</v>
      </c>
      <c r="AZ504" s="97">
        <f>IF(OR(AY504="SÁB",AY504="DOM"),0,IFERROR(8-VLOOKUP(C504,'Dados de consulta'!$A$2:$C$38,3,0),8))</f>
        <v>8</v>
      </c>
      <c r="BA504" s="97">
        <f>IF(OR(AY504="SÁB",AY504="DOM"),0,IFERROR(8-VLOOKUP(D504,'Dados de consulta'!$A$2:$C$38,3,0),8))</f>
        <v>8</v>
      </c>
      <c r="BB504" s="97">
        <f>IF(OR(AY504="SÁB",AY504="DOM"),0,IFERROR(8-VLOOKUP(E504,'Dados de consulta'!$A$2:$C$38,3,0),8))</f>
        <v>8</v>
      </c>
      <c r="BC504" s="97">
        <f>IF(OR(AY504="SÁB",AY504="DOM"),0,IFERROR(8-VLOOKUP(F504,'Dados de consulta'!$A$2:$C$38,3,0),8))</f>
        <v>8</v>
      </c>
      <c r="BD504" s="97">
        <f>IF(OR(AY504="SÁB",AY504="DOM"),0,IFERROR(8-VLOOKUP(G504,'Dados de consulta'!$A$2:$C$38,3,0),8))</f>
        <v>8</v>
      </c>
      <c r="BE504" s="97">
        <f>IF(OR(AY504="SÁB",AY504="DOM"),0,IFERROR(8-VLOOKUP(H504,'Dados de consulta'!$A$2:$C$38,3,0),8))</f>
        <v>8</v>
      </c>
      <c r="BF504" s="97">
        <f>IF(OR(AY504="SÁB",AY504="DOM"),0,IFERROR(8-VLOOKUP(I504,'Dados de consulta'!$A$2:$C$38,3,0),8))</f>
        <v>8</v>
      </c>
      <c r="BG504" s="97">
        <f>IF(OR(AY504="SÁB",AY504="DOM"),0,IFERROR(8-VLOOKUP(J504,'Dados de consulta'!$A$2:$C$38,3,0),8))</f>
        <v>8</v>
      </c>
      <c r="BH504" s="97">
        <f>IF(OR(AY504="SÁB",AY504="DOM"),0,IFERROR(8-VLOOKUP(K504,'Dados de consulta'!$A$2:$C$38,3,0),8))</f>
        <v>8</v>
      </c>
      <c r="BI504" s="97">
        <f>IF(OR(AY504="SÁB",AY504="DOM"),0,IFERROR(8-VLOOKUP(L504,'Dados de consulta'!$A$2:$C$38,3,0),8))</f>
        <v>8</v>
      </c>
      <c r="BJ504" s="97">
        <f>IF(OR(AY504="SÁB",AY504="DOM"),0,IFERROR(8-VLOOKUP(M504,'Dados de consulta'!$A$2:$C$38,3,0),8))</f>
        <v>0</v>
      </c>
      <c r="BK504" s="97">
        <f>IF(OR(AY504="SÁB",AY504="DOM"),0,IFERROR(8-VLOOKUP(N504,'Dados de consulta'!$A$2:$C$38,3,0),8))</f>
        <v>0</v>
      </c>
      <c r="BL504" s="97">
        <f>IF(OR(AY504="SÁB",AY504="DOM"),0,IFERROR(8-VLOOKUP(O504,'Dados de consulta'!$A$2:$C$38,3,0),8))</f>
        <v>8</v>
      </c>
      <c r="BM504" s="97">
        <f>IF(OR(AY504="SÁB",AY504="DOM"),0,IFERROR(8-VLOOKUP(P504,'Dados de consulta'!$A$2:$C$38,3,0),8))</f>
        <v>8</v>
      </c>
      <c r="BN504" s="97">
        <f>IF(OR(AY504="SÁB",AY504="DOM"),0,IFERROR(8-VLOOKUP(Q504,'Dados de consulta'!$A$2:$C$38,3,0),8))</f>
        <v>8</v>
      </c>
      <c r="BO504" s="97">
        <f>IF(OR(AY504="SÁB",AY504="DOM"),0,IFERROR(8-VLOOKUP(R504,'Dados de consulta'!$A$2:$C$38,3,0),8))</f>
        <v>8</v>
      </c>
      <c r="BP504" s="97">
        <f>IF(OR(AY504="SÁB",AY504="DOM"),0,IFERROR(8-VLOOKUP(S504,'Dados de consulta'!$A$2:$C$38,3,0),8))</f>
        <v>8</v>
      </c>
      <c r="BQ504" s="113">
        <f>IFERROR(6-VLOOKUP(T504,'Dados de consulta'!$A$2:$C$38,3,0)+2,6)</f>
        <v>6</v>
      </c>
      <c r="BR504" s="114">
        <f t="shared" si="206"/>
        <v>126</v>
      </c>
      <c r="BS504">
        <f t="shared" si="182"/>
        <v>134</v>
      </c>
      <c r="BU504">
        <f>IFERROR(8-VLOOKUP(U504,'Dados de consulta'!$A:$D,3,0),8)</f>
        <v>8</v>
      </c>
      <c r="BV504">
        <f>IFERROR(8-VLOOKUP(V504,'Dados de consulta'!$A:$D,3,0),8)</f>
        <v>8</v>
      </c>
      <c r="BW504">
        <f t="shared" si="207"/>
        <v>16</v>
      </c>
    </row>
    <row r="505" spans="1:75" ht="15" hidden="1" x14ac:dyDescent="0.2">
      <c r="A505" s="98">
        <v>42628</v>
      </c>
      <c r="B505" s="129" t="str">
        <f t="shared" si="184"/>
        <v>qui</v>
      </c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>
        <v>101</v>
      </c>
      <c r="N505" s="132">
        <v>18</v>
      </c>
      <c r="O505" s="132"/>
      <c r="P505" s="132"/>
      <c r="Q505" s="132"/>
      <c r="R505" s="132"/>
      <c r="S505" s="132"/>
      <c r="T505" s="132"/>
      <c r="U505" s="151"/>
      <c r="V505" s="151"/>
      <c r="W505" s="307" t="s">
        <v>193</v>
      </c>
      <c r="X505" s="308"/>
      <c r="Y505" s="38">
        <f t="shared" si="185"/>
        <v>0</v>
      </c>
      <c r="Z505" s="38">
        <f t="shared" si="186"/>
        <v>8</v>
      </c>
      <c r="AA505" s="38">
        <f t="shared" si="183"/>
        <v>0</v>
      </c>
      <c r="AB505" s="38">
        <f t="shared" si="194"/>
        <v>0</v>
      </c>
      <c r="AC505" s="38">
        <f t="shared" si="195"/>
        <v>0</v>
      </c>
      <c r="AD505" s="38">
        <f t="shared" si="196"/>
        <v>0</v>
      </c>
      <c r="AE505" s="38">
        <f t="shared" si="197"/>
        <v>0</v>
      </c>
      <c r="AF505" s="38">
        <f t="shared" si="198"/>
        <v>0</v>
      </c>
      <c r="AG505" s="33">
        <f t="shared" si="199"/>
        <v>0</v>
      </c>
      <c r="AH505" s="33">
        <f t="shared" si="200"/>
        <v>8</v>
      </c>
      <c r="AI505" s="33">
        <f t="shared" si="201"/>
        <v>0</v>
      </c>
      <c r="AJ505" s="33">
        <f t="shared" si="202"/>
        <v>0</v>
      </c>
      <c r="AK505" s="34">
        <f t="shared" si="203"/>
        <v>0</v>
      </c>
      <c r="AL505" s="35">
        <f t="shared" si="204"/>
        <v>5.6338028169014086E-2</v>
      </c>
      <c r="AM505" s="34">
        <f t="shared" si="187"/>
        <v>0</v>
      </c>
      <c r="AN505" s="36">
        <f t="shared" si="205"/>
        <v>0</v>
      </c>
      <c r="AO505" s="6">
        <f t="shared" si="188"/>
        <v>0</v>
      </c>
      <c r="AP505">
        <f t="shared" si="189"/>
        <v>8</v>
      </c>
      <c r="AQ505" s="6">
        <f t="shared" si="190"/>
        <v>0</v>
      </c>
      <c r="AR505" s="6">
        <f t="shared" si="191"/>
        <v>0</v>
      </c>
      <c r="AS505" s="6"/>
      <c r="AX505" s="95">
        <f t="shared" si="192"/>
        <v>42628</v>
      </c>
      <c r="AY505" s="96" t="str">
        <f t="shared" si="193"/>
        <v>qui</v>
      </c>
      <c r="AZ505" s="97">
        <f>IF(OR(AY505="SÁB",AY505="DOM"),0,IFERROR(8-VLOOKUP(C505,'Dados de consulta'!$A$2:$C$38,3,0),8))</f>
        <v>8</v>
      </c>
      <c r="BA505" s="97">
        <f>IF(OR(AY505="SÁB",AY505="DOM"),0,IFERROR(8-VLOOKUP(D505,'Dados de consulta'!$A$2:$C$38,3,0),8))</f>
        <v>8</v>
      </c>
      <c r="BB505" s="97">
        <f>IF(OR(AY505="SÁB",AY505="DOM"),0,IFERROR(8-VLOOKUP(E505,'Dados de consulta'!$A$2:$C$38,3,0),8))</f>
        <v>8</v>
      </c>
      <c r="BC505" s="97">
        <f>IF(OR(AY505="SÁB",AY505="DOM"),0,IFERROR(8-VLOOKUP(F505,'Dados de consulta'!$A$2:$C$38,3,0),8))</f>
        <v>8</v>
      </c>
      <c r="BD505" s="97">
        <f>IF(OR(AY505="SÁB",AY505="DOM"),0,IFERROR(8-VLOOKUP(G505,'Dados de consulta'!$A$2:$C$38,3,0),8))</f>
        <v>8</v>
      </c>
      <c r="BE505" s="97">
        <f>IF(OR(AY505="SÁB",AY505="DOM"),0,IFERROR(8-VLOOKUP(H505,'Dados de consulta'!$A$2:$C$38,3,0),8))</f>
        <v>8</v>
      </c>
      <c r="BF505" s="97">
        <f>IF(OR(AY505="SÁB",AY505="DOM"),0,IFERROR(8-VLOOKUP(I505,'Dados de consulta'!$A$2:$C$38,3,0),8))</f>
        <v>8</v>
      </c>
      <c r="BG505" s="97">
        <f>IF(OR(AY505="SÁB",AY505="DOM"),0,IFERROR(8-VLOOKUP(J505,'Dados de consulta'!$A$2:$C$38,3,0),8))</f>
        <v>8</v>
      </c>
      <c r="BH505" s="97">
        <f>IF(OR(AY505="SÁB",AY505="DOM"),0,IFERROR(8-VLOOKUP(K505,'Dados de consulta'!$A$2:$C$38,3,0),8))</f>
        <v>8</v>
      </c>
      <c r="BI505" s="97">
        <f>IF(OR(AY505="SÁB",AY505="DOM"),0,IFERROR(8-VLOOKUP(L505,'Dados de consulta'!$A$2:$C$38,3,0),8))</f>
        <v>8</v>
      </c>
      <c r="BJ505" s="97">
        <f>IF(OR(AY505="SÁB",AY505="DOM"),0,IFERROR(8-VLOOKUP(M505,'Dados de consulta'!$A$2:$C$38,3,0),8))</f>
        <v>0</v>
      </c>
      <c r="BK505" s="97">
        <f>IF(OR(AY505="SÁB",AY505="DOM"),0,IFERROR(8-VLOOKUP(N505,'Dados de consulta'!$A$2:$C$38,3,0),8))</f>
        <v>0</v>
      </c>
      <c r="BL505" s="97">
        <f>IF(OR(AY505="SÁB",AY505="DOM"),0,IFERROR(8-VLOOKUP(O505,'Dados de consulta'!$A$2:$C$38,3,0),8))</f>
        <v>8</v>
      </c>
      <c r="BM505" s="97">
        <f>IF(OR(AY505="SÁB",AY505="DOM"),0,IFERROR(8-VLOOKUP(P505,'Dados de consulta'!$A$2:$C$38,3,0),8))</f>
        <v>8</v>
      </c>
      <c r="BN505" s="97">
        <f>IF(OR(AY505="SÁB",AY505="DOM"),0,IFERROR(8-VLOOKUP(Q505,'Dados de consulta'!$A$2:$C$38,3,0),8))</f>
        <v>8</v>
      </c>
      <c r="BO505" s="97">
        <f>IF(OR(AY505="SÁB",AY505="DOM"),0,IFERROR(8-VLOOKUP(R505,'Dados de consulta'!$A$2:$C$38,3,0),8))</f>
        <v>8</v>
      </c>
      <c r="BP505" s="97">
        <f>IF(OR(AY505="SÁB",AY505="DOM"),0,IFERROR(8-VLOOKUP(S505,'Dados de consulta'!$A$2:$C$38,3,0),8))</f>
        <v>8</v>
      </c>
      <c r="BQ505" s="113">
        <f>IFERROR(6-VLOOKUP(T505,'Dados de consulta'!$A$2:$C$38,3,0)+2,6)</f>
        <v>6</v>
      </c>
      <c r="BR505" s="114">
        <f t="shared" si="206"/>
        <v>126</v>
      </c>
      <c r="BS505">
        <f t="shared" si="182"/>
        <v>134</v>
      </c>
      <c r="BU505">
        <f>IFERROR(8-VLOOKUP(U505,'Dados de consulta'!$A:$D,3,0),8)</f>
        <v>8</v>
      </c>
      <c r="BV505">
        <f>IFERROR(8-VLOOKUP(V505,'Dados de consulta'!$A:$D,3,0),8)</f>
        <v>8</v>
      </c>
      <c r="BW505">
        <f t="shared" si="207"/>
        <v>16</v>
      </c>
    </row>
    <row r="506" spans="1:75" ht="15" hidden="1" x14ac:dyDescent="0.2">
      <c r="A506" s="98">
        <v>42629</v>
      </c>
      <c r="B506" s="129" t="str">
        <f t="shared" si="184"/>
        <v>sex</v>
      </c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>
        <v>101</v>
      </c>
      <c r="N506" s="132">
        <v>18</v>
      </c>
      <c r="O506" s="132"/>
      <c r="P506" s="132"/>
      <c r="Q506" s="132"/>
      <c r="R506" s="132"/>
      <c r="S506" s="132"/>
      <c r="T506" s="132"/>
      <c r="U506" s="151"/>
      <c r="V506" s="151"/>
      <c r="W506" s="307" t="s">
        <v>193</v>
      </c>
      <c r="X506" s="308"/>
      <c r="Y506" s="38">
        <f t="shared" si="185"/>
        <v>0</v>
      </c>
      <c r="Z506" s="38">
        <f t="shared" si="186"/>
        <v>8</v>
      </c>
      <c r="AA506" s="38">
        <f t="shared" si="183"/>
        <v>0</v>
      </c>
      <c r="AB506" s="38">
        <f t="shared" si="194"/>
        <v>0</v>
      </c>
      <c r="AC506" s="38">
        <f t="shared" si="195"/>
        <v>0</v>
      </c>
      <c r="AD506" s="38">
        <f t="shared" si="196"/>
        <v>0</v>
      </c>
      <c r="AE506" s="38">
        <f t="shared" si="197"/>
        <v>0</v>
      </c>
      <c r="AF506" s="38">
        <f t="shared" si="198"/>
        <v>0</v>
      </c>
      <c r="AG506" s="33">
        <f t="shared" si="199"/>
        <v>0</v>
      </c>
      <c r="AH506" s="33">
        <f t="shared" si="200"/>
        <v>8</v>
      </c>
      <c r="AI506" s="33">
        <f t="shared" si="201"/>
        <v>0</v>
      </c>
      <c r="AJ506" s="33">
        <f t="shared" si="202"/>
        <v>0</v>
      </c>
      <c r="AK506" s="34">
        <f t="shared" si="203"/>
        <v>0</v>
      </c>
      <c r="AL506" s="35">
        <f t="shared" si="204"/>
        <v>5.6338028169014086E-2</v>
      </c>
      <c r="AM506" s="34">
        <f t="shared" si="187"/>
        <v>0</v>
      </c>
      <c r="AN506" s="36">
        <f t="shared" si="205"/>
        <v>0</v>
      </c>
      <c r="AO506" s="6">
        <f t="shared" si="188"/>
        <v>0</v>
      </c>
      <c r="AP506">
        <f t="shared" si="189"/>
        <v>8</v>
      </c>
      <c r="AQ506" s="6">
        <f t="shared" si="190"/>
        <v>0</v>
      </c>
      <c r="AR506" s="6">
        <f t="shared" si="191"/>
        <v>0</v>
      </c>
      <c r="AS506" s="6"/>
      <c r="AX506" s="95">
        <f t="shared" si="192"/>
        <v>42629</v>
      </c>
      <c r="AY506" s="96" t="str">
        <f t="shared" si="193"/>
        <v>sex</v>
      </c>
      <c r="AZ506" s="97">
        <f>IF(OR(AY506="SÁB",AY506="DOM"),0,IFERROR(8-VLOOKUP(C506,'Dados de consulta'!$A$2:$C$38,3,0),8))</f>
        <v>8</v>
      </c>
      <c r="BA506" s="97">
        <f>IF(OR(AY506="SÁB",AY506="DOM"),0,IFERROR(8-VLOOKUP(D506,'Dados de consulta'!$A$2:$C$38,3,0),8))</f>
        <v>8</v>
      </c>
      <c r="BB506" s="97">
        <f>IF(OR(AY506="SÁB",AY506="DOM"),0,IFERROR(8-VLOOKUP(E506,'Dados de consulta'!$A$2:$C$38,3,0),8))</f>
        <v>8</v>
      </c>
      <c r="BC506" s="97">
        <f>IF(OR(AY506="SÁB",AY506="DOM"),0,IFERROR(8-VLOOKUP(F506,'Dados de consulta'!$A$2:$C$38,3,0),8))</f>
        <v>8</v>
      </c>
      <c r="BD506" s="97">
        <f>IF(OR(AY506="SÁB",AY506="DOM"),0,IFERROR(8-VLOOKUP(G506,'Dados de consulta'!$A$2:$C$38,3,0),8))</f>
        <v>8</v>
      </c>
      <c r="BE506" s="97">
        <f>IF(OR(AY506="SÁB",AY506="DOM"),0,IFERROR(8-VLOOKUP(H506,'Dados de consulta'!$A$2:$C$38,3,0),8))</f>
        <v>8</v>
      </c>
      <c r="BF506" s="97">
        <f>IF(OR(AY506="SÁB",AY506="DOM"),0,IFERROR(8-VLOOKUP(I506,'Dados de consulta'!$A$2:$C$38,3,0),8))</f>
        <v>8</v>
      </c>
      <c r="BG506" s="97">
        <f>IF(OR(AY506="SÁB",AY506="DOM"),0,IFERROR(8-VLOOKUP(J506,'Dados de consulta'!$A$2:$C$38,3,0),8))</f>
        <v>8</v>
      </c>
      <c r="BH506" s="97">
        <f>IF(OR(AY506="SÁB",AY506="DOM"),0,IFERROR(8-VLOOKUP(K506,'Dados de consulta'!$A$2:$C$38,3,0),8))</f>
        <v>8</v>
      </c>
      <c r="BI506" s="97">
        <f>IF(OR(AY506="SÁB",AY506="DOM"),0,IFERROR(8-VLOOKUP(L506,'Dados de consulta'!$A$2:$C$38,3,0),8))</f>
        <v>8</v>
      </c>
      <c r="BJ506" s="97">
        <f>IF(OR(AY506="SÁB",AY506="DOM"),0,IFERROR(8-VLOOKUP(M506,'Dados de consulta'!$A$2:$C$38,3,0),8))</f>
        <v>0</v>
      </c>
      <c r="BK506" s="97">
        <f>IF(OR(AY506="SÁB",AY506="DOM"),0,IFERROR(8-VLOOKUP(N506,'Dados de consulta'!$A$2:$C$38,3,0),8))</f>
        <v>0</v>
      </c>
      <c r="BL506" s="97">
        <f>IF(OR(AY506="SÁB",AY506="DOM"),0,IFERROR(8-VLOOKUP(O506,'Dados de consulta'!$A$2:$C$38,3,0),8))</f>
        <v>8</v>
      </c>
      <c r="BM506" s="97">
        <f>IF(OR(AY506="SÁB",AY506="DOM"),0,IFERROR(8-VLOOKUP(P506,'Dados de consulta'!$A$2:$C$38,3,0),8))</f>
        <v>8</v>
      </c>
      <c r="BN506" s="97">
        <f>IF(OR(AY506="SÁB",AY506="DOM"),0,IFERROR(8-VLOOKUP(Q506,'Dados de consulta'!$A$2:$C$38,3,0),8))</f>
        <v>8</v>
      </c>
      <c r="BO506" s="97">
        <f>IF(OR(AY506="SÁB",AY506="DOM"),0,IFERROR(8-VLOOKUP(R506,'Dados de consulta'!$A$2:$C$38,3,0),8))</f>
        <v>8</v>
      </c>
      <c r="BP506" s="97">
        <f>IF(OR(AY506="SÁB",AY506="DOM"),0,IFERROR(8-VLOOKUP(S506,'Dados de consulta'!$A$2:$C$38,3,0),8))</f>
        <v>8</v>
      </c>
      <c r="BQ506" s="113">
        <f>IFERROR(6-VLOOKUP(T506,'Dados de consulta'!$A$2:$C$38,3,0)+2,6)</f>
        <v>6</v>
      </c>
      <c r="BR506" s="114">
        <f t="shared" si="206"/>
        <v>126</v>
      </c>
      <c r="BS506">
        <f t="shared" si="182"/>
        <v>134</v>
      </c>
      <c r="BU506">
        <f>IFERROR(8-VLOOKUP(U506,'Dados de consulta'!$A:$D,3,0),8)</f>
        <v>8</v>
      </c>
      <c r="BV506">
        <f>IFERROR(8-VLOOKUP(V506,'Dados de consulta'!$A:$D,3,0),8)</f>
        <v>8</v>
      </c>
      <c r="BW506">
        <f t="shared" si="207"/>
        <v>16</v>
      </c>
    </row>
    <row r="507" spans="1:75" ht="15" hidden="1" x14ac:dyDescent="0.2">
      <c r="A507" s="98">
        <v>42630</v>
      </c>
      <c r="B507" s="129" t="str">
        <f t="shared" si="184"/>
        <v>sáb</v>
      </c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>
        <v>101</v>
      </c>
      <c r="N507" s="132">
        <v>18</v>
      </c>
      <c r="O507" s="132"/>
      <c r="P507" s="132"/>
      <c r="Q507" s="132"/>
      <c r="R507" s="132"/>
      <c r="S507" s="132"/>
      <c r="T507" s="132"/>
      <c r="U507" s="151"/>
      <c r="V507" s="151"/>
      <c r="W507" s="307" t="s">
        <v>193</v>
      </c>
      <c r="X507" s="308"/>
      <c r="Y507" s="38">
        <f t="shared" si="185"/>
        <v>0</v>
      </c>
      <c r="Z507" s="38">
        <f t="shared" si="186"/>
        <v>8</v>
      </c>
      <c r="AA507" s="38">
        <f t="shared" si="183"/>
        <v>0</v>
      </c>
      <c r="AB507" s="38">
        <f t="shared" si="194"/>
        <v>0</v>
      </c>
      <c r="AC507" s="38">
        <f t="shared" si="195"/>
        <v>0</v>
      </c>
      <c r="AD507" s="38">
        <f t="shared" si="196"/>
        <v>0</v>
      </c>
      <c r="AE507" s="38">
        <f t="shared" si="197"/>
        <v>0</v>
      </c>
      <c r="AF507" s="38">
        <f t="shared" si="198"/>
        <v>0</v>
      </c>
      <c r="AG507" s="33">
        <f t="shared" si="199"/>
        <v>0</v>
      </c>
      <c r="AH507" s="33">
        <f t="shared" si="200"/>
        <v>0</v>
      </c>
      <c r="AI507" s="33">
        <f t="shared" si="201"/>
        <v>0</v>
      </c>
      <c r="AJ507" s="33">
        <f t="shared" si="202"/>
        <v>0</v>
      </c>
      <c r="AK507" s="34">
        <f t="shared" si="203"/>
        <v>0</v>
      </c>
      <c r="AL507" s="35">
        <f t="shared" si="204"/>
        <v>0</v>
      </c>
      <c r="AM507" s="34">
        <f t="shared" si="187"/>
        <v>0</v>
      </c>
      <c r="AN507" s="36">
        <f t="shared" si="205"/>
        <v>0</v>
      </c>
      <c r="AO507" s="6">
        <f t="shared" si="188"/>
        <v>0</v>
      </c>
      <c r="AP507">
        <f t="shared" si="189"/>
        <v>8</v>
      </c>
      <c r="AQ507" s="6">
        <f t="shared" si="190"/>
        <v>0</v>
      </c>
      <c r="AR507" s="6">
        <f t="shared" si="191"/>
        <v>0</v>
      </c>
      <c r="AS507" s="6"/>
      <c r="AX507" s="95">
        <f t="shared" si="192"/>
        <v>42630</v>
      </c>
      <c r="AY507" s="96" t="str">
        <f t="shared" si="193"/>
        <v>sáb</v>
      </c>
      <c r="AZ507" s="97">
        <f>IF(OR(AY507="SÁB",AY507="DOM"),0,IFERROR(8-VLOOKUP(C507,'Dados de consulta'!$A$2:$C$38,3,0),8))</f>
        <v>0</v>
      </c>
      <c r="BA507" s="97">
        <f>IF(OR(AY507="SÁB",AY507="DOM"),0,IFERROR(8-VLOOKUP(D507,'Dados de consulta'!$A$2:$C$38,3,0),8))</f>
        <v>0</v>
      </c>
      <c r="BB507" s="97">
        <f>IF(OR(AY507="SÁB",AY507="DOM"),0,IFERROR(8-VLOOKUP(E507,'Dados de consulta'!$A$2:$C$38,3,0),8))</f>
        <v>0</v>
      </c>
      <c r="BC507" s="97">
        <f>IF(OR(AY507="SÁB",AY507="DOM"),0,IFERROR(8-VLOOKUP(F507,'Dados de consulta'!$A$2:$C$38,3,0),8))</f>
        <v>0</v>
      </c>
      <c r="BD507" s="97">
        <f>IF(OR(AY507="SÁB",AY507="DOM"),0,IFERROR(8-VLOOKUP(G507,'Dados de consulta'!$A$2:$C$38,3,0),8))</f>
        <v>0</v>
      </c>
      <c r="BE507" s="97">
        <f>IF(OR(AY507="SÁB",AY507="DOM"),0,IFERROR(8-VLOOKUP(H507,'Dados de consulta'!$A$2:$C$38,3,0),8))</f>
        <v>0</v>
      </c>
      <c r="BF507" s="97">
        <f>IF(OR(AY507="SÁB",AY507="DOM"),0,IFERROR(8-VLOOKUP(I507,'Dados de consulta'!$A$2:$C$38,3,0),8))</f>
        <v>0</v>
      </c>
      <c r="BG507" s="97">
        <f>IF(OR(AY507="SÁB",AY507="DOM"),0,IFERROR(8-VLOOKUP(J507,'Dados de consulta'!$A$2:$C$38,3,0),8))</f>
        <v>0</v>
      </c>
      <c r="BH507" s="97">
        <f>IF(OR(AY507="SÁB",AY507="DOM"),0,IFERROR(8-VLOOKUP(K507,'Dados de consulta'!$A$2:$C$38,3,0),8))</f>
        <v>0</v>
      </c>
      <c r="BI507" s="97">
        <f>IF(OR(AY507="SÁB",AY507="DOM"),0,IFERROR(8-VLOOKUP(L507,'Dados de consulta'!$A$2:$C$38,3,0),8))</f>
        <v>0</v>
      </c>
      <c r="BJ507" s="97">
        <f>IF(OR(AY507="SÁB",AY507="DOM"),0,IFERROR(8-VLOOKUP(M507,'Dados de consulta'!$A$2:$C$38,3,0),8))</f>
        <v>0</v>
      </c>
      <c r="BK507" s="97">
        <f>IF(OR(AY507="SÁB",AY507="DOM"),0,IFERROR(8-VLOOKUP(N507,'Dados de consulta'!$A$2:$C$38,3,0),8))</f>
        <v>0</v>
      </c>
      <c r="BL507" s="97">
        <f>IF(OR(AY507="SÁB",AY507="DOM"),0,IFERROR(8-VLOOKUP(O507,'Dados de consulta'!$A$2:$C$38,3,0),8))</f>
        <v>0</v>
      </c>
      <c r="BM507" s="97">
        <f>IF(OR(AY507="SÁB",AY507="DOM"),0,IFERROR(8-VLOOKUP(P507,'Dados de consulta'!$A$2:$C$38,3,0),8))</f>
        <v>0</v>
      </c>
      <c r="BN507" s="97">
        <f>IF(OR(AY507="SÁB",AY507="DOM"),0,IFERROR(8-VLOOKUP(Q507,'Dados de consulta'!$A$2:$C$38,3,0),8))</f>
        <v>0</v>
      </c>
      <c r="BO507" s="97">
        <f>IF(OR(AY507="SÁB",AY507="DOM"),0,IFERROR(8-VLOOKUP(R507,'Dados de consulta'!$A$2:$C$38,3,0),8))</f>
        <v>0</v>
      </c>
      <c r="BP507" s="97">
        <f>IF(OR(AY507="SÁB",AY507="DOM"),0,IFERROR(8-VLOOKUP(S507,'Dados de consulta'!$A$2:$C$38,3,0),8))</f>
        <v>0</v>
      </c>
      <c r="BQ507" s="113">
        <f>IFERROR(6-VLOOKUP(T507,'Dados de consulta'!$A$2:$C$38,3,0)+2,6)</f>
        <v>6</v>
      </c>
      <c r="BR507" s="114">
        <f t="shared" si="206"/>
        <v>0</v>
      </c>
      <c r="BS507">
        <f t="shared" si="182"/>
        <v>0</v>
      </c>
      <c r="BU507">
        <f>IFERROR(8-VLOOKUP(U507,'Dados de consulta'!$A:$D,3,0),8)</f>
        <v>8</v>
      </c>
      <c r="BV507">
        <f>IFERROR(8-VLOOKUP(V507,'Dados de consulta'!$A:$D,3,0),8)</f>
        <v>8</v>
      </c>
      <c r="BW507">
        <f t="shared" si="207"/>
        <v>16</v>
      </c>
    </row>
    <row r="508" spans="1:75" ht="15" hidden="1" x14ac:dyDescent="0.2">
      <c r="A508" s="98">
        <v>42631</v>
      </c>
      <c r="B508" s="129" t="str">
        <f t="shared" si="184"/>
        <v>dom</v>
      </c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>
        <v>101</v>
      </c>
      <c r="N508" s="132">
        <v>18</v>
      </c>
      <c r="O508" s="132"/>
      <c r="P508" s="132"/>
      <c r="Q508" s="132"/>
      <c r="R508" s="132"/>
      <c r="S508" s="132"/>
      <c r="T508" s="132"/>
      <c r="U508" s="151"/>
      <c r="V508" s="151"/>
      <c r="W508" s="307" t="s">
        <v>193</v>
      </c>
      <c r="X508" s="308"/>
      <c r="Y508" s="38">
        <f t="shared" si="185"/>
        <v>0</v>
      </c>
      <c r="Z508" s="38">
        <f t="shared" si="186"/>
        <v>8</v>
      </c>
      <c r="AA508" s="38">
        <f t="shared" si="183"/>
        <v>0</v>
      </c>
      <c r="AB508" s="38">
        <f t="shared" si="194"/>
        <v>0</v>
      </c>
      <c r="AC508" s="38">
        <f t="shared" si="195"/>
        <v>0</v>
      </c>
      <c r="AD508" s="38">
        <f t="shared" si="196"/>
        <v>0</v>
      </c>
      <c r="AE508" s="38">
        <f t="shared" si="197"/>
        <v>0</v>
      </c>
      <c r="AF508" s="38">
        <f t="shared" si="198"/>
        <v>0</v>
      </c>
      <c r="AG508" s="33">
        <f t="shared" si="199"/>
        <v>0</v>
      </c>
      <c r="AH508" s="33">
        <f t="shared" si="200"/>
        <v>0</v>
      </c>
      <c r="AI508" s="33">
        <f t="shared" si="201"/>
        <v>0</v>
      </c>
      <c r="AJ508" s="33">
        <f t="shared" si="202"/>
        <v>0</v>
      </c>
      <c r="AK508" s="34">
        <f t="shared" si="203"/>
        <v>0</v>
      </c>
      <c r="AL508" s="35">
        <f t="shared" si="204"/>
        <v>0</v>
      </c>
      <c r="AM508" s="34">
        <f t="shared" si="187"/>
        <v>0</v>
      </c>
      <c r="AN508" s="36">
        <f t="shared" si="205"/>
        <v>0</v>
      </c>
      <c r="AO508" s="6">
        <f t="shared" si="188"/>
        <v>0</v>
      </c>
      <c r="AP508">
        <f t="shared" si="189"/>
        <v>8</v>
      </c>
      <c r="AQ508" s="6">
        <f t="shared" si="190"/>
        <v>0</v>
      </c>
      <c r="AR508" s="6">
        <f t="shared" si="191"/>
        <v>0</v>
      </c>
      <c r="AS508" s="6"/>
      <c r="AX508" s="95">
        <f t="shared" si="192"/>
        <v>42631</v>
      </c>
      <c r="AY508" s="96" t="str">
        <f t="shared" si="193"/>
        <v>dom</v>
      </c>
      <c r="AZ508" s="97">
        <f>IF(OR(AY508="SÁB",AY508="DOM"),0,IFERROR(8-VLOOKUP(C508,'Dados de consulta'!$A$2:$C$38,3,0),8))</f>
        <v>0</v>
      </c>
      <c r="BA508" s="97">
        <f>IF(OR(AY508="SÁB",AY508="DOM"),0,IFERROR(8-VLOOKUP(D508,'Dados de consulta'!$A$2:$C$38,3,0),8))</f>
        <v>0</v>
      </c>
      <c r="BB508" s="97">
        <f>IF(OR(AY508="SÁB",AY508="DOM"),0,IFERROR(8-VLOOKUP(E508,'Dados de consulta'!$A$2:$C$38,3,0),8))</f>
        <v>0</v>
      </c>
      <c r="BC508" s="97">
        <f>IF(OR(AY508="SÁB",AY508="DOM"),0,IFERROR(8-VLOOKUP(F508,'Dados de consulta'!$A$2:$C$38,3,0),8))</f>
        <v>0</v>
      </c>
      <c r="BD508" s="97">
        <f>IF(OR(AY508="SÁB",AY508="DOM"),0,IFERROR(8-VLOOKUP(G508,'Dados de consulta'!$A$2:$C$38,3,0),8))</f>
        <v>0</v>
      </c>
      <c r="BE508" s="97">
        <f>IF(OR(AY508="SÁB",AY508="DOM"),0,IFERROR(8-VLOOKUP(H508,'Dados de consulta'!$A$2:$C$38,3,0),8))</f>
        <v>0</v>
      </c>
      <c r="BF508" s="97">
        <f>IF(OR(AY508="SÁB",AY508="DOM"),0,IFERROR(8-VLOOKUP(I508,'Dados de consulta'!$A$2:$C$38,3,0),8))</f>
        <v>0</v>
      </c>
      <c r="BG508" s="97">
        <f>IF(OR(AY508="SÁB",AY508="DOM"),0,IFERROR(8-VLOOKUP(J508,'Dados de consulta'!$A$2:$C$38,3,0),8))</f>
        <v>0</v>
      </c>
      <c r="BH508" s="97">
        <f>IF(OR(AY508="SÁB",AY508="DOM"),0,IFERROR(8-VLOOKUP(K508,'Dados de consulta'!$A$2:$C$38,3,0),8))</f>
        <v>0</v>
      </c>
      <c r="BI508" s="97">
        <f>IF(OR(AY508="SÁB",AY508="DOM"),0,IFERROR(8-VLOOKUP(L508,'Dados de consulta'!$A$2:$C$38,3,0),8))</f>
        <v>0</v>
      </c>
      <c r="BJ508" s="97">
        <f>IF(OR(AY508="SÁB",AY508="DOM"),0,IFERROR(8-VLOOKUP(M508,'Dados de consulta'!$A$2:$C$38,3,0),8))</f>
        <v>0</v>
      </c>
      <c r="BK508" s="97">
        <f>IF(OR(AY508="SÁB",AY508="DOM"),0,IFERROR(8-VLOOKUP(N508,'Dados de consulta'!$A$2:$C$38,3,0),8))</f>
        <v>0</v>
      </c>
      <c r="BL508" s="97">
        <f>IF(OR(AY508="SÁB",AY508="DOM"),0,IFERROR(8-VLOOKUP(O508,'Dados de consulta'!$A$2:$C$38,3,0),8))</f>
        <v>0</v>
      </c>
      <c r="BM508" s="97">
        <f>IF(OR(AY508="SÁB",AY508="DOM"),0,IFERROR(8-VLOOKUP(P508,'Dados de consulta'!$A$2:$C$38,3,0),8))</f>
        <v>0</v>
      </c>
      <c r="BN508" s="97">
        <f>IF(OR(AY508="SÁB",AY508="DOM"),0,IFERROR(8-VLOOKUP(Q508,'Dados de consulta'!$A$2:$C$38,3,0),8))</f>
        <v>0</v>
      </c>
      <c r="BO508" s="97">
        <f>IF(OR(AY508="SÁB",AY508="DOM"),0,IFERROR(8-VLOOKUP(R508,'Dados de consulta'!$A$2:$C$38,3,0),8))</f>
        <v>0</v>
      </c>
      <c r="BP508" s="97">
        <f>IF(OR(AY508="SÁB",AY508="DOM"),0,IFERROR(8-VLOOKUP(S508,'Dados de consulta'!$A$2:$C$38,3,0),8))</f>
        <v>0</v>
      </c>
      <c r="BQ508" s="113">
        <f>IFERROR(6-VLOOKUP(T508,'Dados de consulta'!$A$2:$C$38,3,0)+2,6)</f>
        <v>6</v>
      </c>
      <c r="BR508" s="114">
        <f t="shared" si="206"/>
        <v>0</v>
      </c>
      <c r="BS508">
        <f t="shared" si="182"/>
        <v>0</v>
      </c>
      <c r="BU508">
        <f>IFERROR(8-VLOOKUP(U508,'Dados de consulta'!$A:$D,3,0),8)</f>
        <v>8</v>
      </c>
      <c r="BV508">
        <f>IFERROR(8-VLOOKUP(V508,'Dados de consulta'!$A:$D,3,0),8)</f>
        <v>8</v>
      </c>
      <c r="BW508">
        <f t="shared" si="207"/>
        <v>16</v>
      </c>
    </row>
    <row r="509" spans="1:75" ht="15" hidden="1" x14ac:dyDescent="0.2">
      <c r="A509" s="98">
        <v>42632</v>
      </c>
      <c r="B509" s="129" t="str">
        <f t="shared" si="184"/>
        <v>seg</v>
      </c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>
        <v>101</v>
      </c>
      <c r="N509" s="132">
        <v>18</v>
      </c>
      <c r="O509" s="132"/>
      <c r="P509" s="132"/>
      <c r="Q509" s="132"/>
      <c r="R509" s="132"/>
      <c r="S509" s="132"/>
      <c r="T509" s="132"/>
      <c r="U509" s="151"/>
      <c r="V509" s="151"/>
      <c r="W509" s="307" t="s">
        <v>193</v>
      </c>
      <c r="X509" s="308"/>
      <c r="Y509" s="38">
        <f t="shared" si="185"/>
        <v>0</v>
      </c>
      <c r="Z509" s="38">
        <f t="shared" si="186"/>
        <v>8</v>
      </c>
      <c r="AA509" s="38">
        <f t="shared" si="183"/>
        <v>0</v>
      </c>
      <c r="AB509" s="38">
        <f t="shared" si="194"/>
        <v>0</v>
      </c>
      <c r="AC509" s="38">
        <f t="shared" si="195"/>
        <v>0</v>
      </c>
      <c r="AD509" s="38">
        <f t="shared" si="196"/>
        <v>0</v>
      </c>
      <c r="AE509" s="38">
        <f t="shared" si="197"/>
        <v>0</v>
      </c>
      <c r="AF509" s="38">
        <f t="shared" si="198"/>
        <v>0</v>
      </c>
      <c r="AG509" s="33">
        <f t="shared" si="199"/>
        <v>0</v>
      </c>
      <c r="AH509" s="33">
        <f t="shared" si="200"/>
        <v>8</v>
      </c>
      <c r="AI509" s="33">
        <f t="shared" si="201"/>
        <v>0</v>
      </c>
      <c r="AJ509" s="33">
        <f t="shared" si="202"/>
        <v>0</v>
      </c>
      <c r="AK509" s="34">
        <f t="shared" si="203"/>
        <v>0</v>
      </c>
      <c r="AL509" s="35">
        <f t="shared" si="204"/>
        <v>5.6338028169014086E-2</v>
      </c>
      <c r="AM509" s="34">
        <f t="shared" si="187"/>
        <v>0</v>
      </c>
      <c r="AN509" s="36">
        <f t="shared" si="205"/>
        <v>0</v>
      </c>
      <c r="AO509" s="6">
        <f t="shared" si="188"/>
        <v>0</v>
      </c>
      <c r="AP509">
        <f t="shared" si="189"/>
        <v>8</v>
      </c>
      <c r="AQ509" s="6">
        <f t="shared" si="190"/>
        <v>0</v>
      </c>
      <c r="AR509" s="6">
        <f t="shared" si="191"/>
        <v>0</v>
      </c>
      <c r="AS509" s="6"/>
      <c r="AX509" s="95">
        <f t="shared" si="192"/>
        <v>42632</v>
      </c>
      <c r="AY509" s="96" t="str">
        <f t="shared" si="193"/>
        <v>seg</v>
      </c>
      <c r="AZ509" s="97">
        <f>IF(OR(AY509="SÁB",AY509="DOM"),0,IFERROR(8-VLOOKUP(C509,'Dados de consulta'!$A$2:$C$38,3,0),8))</f>
        <v>8</v>
      </c>
      <c r="BA509" s="97">
        <f>IF(OR(AY509="SÁB",AY509="DOM"),0,IFERROR(8-VLOOKUP(D509,'Dados de consulta'!$A$2:$C$38,3,0),8))</f>
        <v>8</v>
      </c>
      <c r="BB509" s="97">
        <f>IF(OR(AY509="SÁB",AY509="DOM"),0,IFERROR(8-VLOOKUP(E509,'Dados de consulta'!$A$2:$C$38,3,0),8))</f>
        <v>8</v>
      </c>
      <c r="BC509" s="97">
        <f>IF(OR(AY509="SÁB",AY509="DOM"),0,IFERROR(8-VLOOKUP(F509,'Dados de consulta'!$A$2:$C$38,3,0),8))</f>
        <v>8</v>
      </c>
      <c r="BD509" s="97">
        <f>IF(OR(AY509="SÁB",AY509="DOM"),0,IFERROR(8-VLOOKUP(G509,'Dados de consulta'!$A$2:$C$38,3,0),8))</f>
        <v>8</v>
      </c>
      <c r="BE509" s="97">
        <f>IF(OR(AY509="SÁB",AY509="DOM"),0,IFERROR(8-VLOOKUP(H509,'Dados de consulta'!$A$2:$C$38,3,0),8))</f>
        <v>8</v>
      </c>
      <c r="BF509" s="97">
        <f>IF(OR(AY509="SÁB",AY509="DOM"),0,IFERROR(8-VLOOKUP(I509,'Dados de consulta'!$A$2:$C$38,3,0),8))</f>
        <v>8</v>
      </c>
      <c r="BG509" s="97">
        <f>IF(OR(AY509="SÁB",AY509="DOM"),0,IFERROR(8-VLOOKUP(J509,'Dados de consulta'!$A$2:$C$38,3,0),8))</f>
        <v>8</v>
      </c>
      <c r="BH509" s="97">
        <f>IF(OR(AY509="SÁB",AY509="DOM"),0,IFERROR(8-VLOOKUP(K509,'Dados de consulta'!$A$2:$C$38,3,0),8))</f>
        <v>8</v>
      </c>
      <c r="BI509" s="97">
        <f>IF(OR(AY509="SÁB",AY509="DOM"),0,IFERROR(8-VLOOKUP(L509,'Dados de consulta'!$A$2:$C$38,3,0),8))</f>
        <v>8</v>
      </c>
      <c r="BJ509" s="97">
        <f>IF(OR(AY509="SÁB",AY509="DOM"),0,IFERROR(8-VLOOKUP(M509,'Dados de consulta'!$A$2:$C$38,3,0),8))</f>
        <v>0</v>
      </c>
      <c r="BK509" s="97">
        <f>IF(OR(AY509="SÁB",AY509="DOM"),0,IFERROR(8-VLOOKUP(N509,'Dados de consulta'!$A$2:$C$38,3,0),8))</f>
        <v>0</v>
      </c>
      <c r="BL509" s="97">
        <f>IF(OR(AY509="SÁB",AY509="DOM"),0,IFERROR(8-VLOOKUP(O509,'Dados de consulta'!$A$2:$C$38,3,0),8))</f>
        <v>8</v>
      </c>
      <c r="BM509" s="97">
        <f>IF(OR(AY509="SÁB",AY509="DOM"),0,IFERROR(8-VLOOKUP(P509,'Dados de consulta'!$A$2:$C$38,3,0),8))</f>
        <v>8</v>
      </c>
      <c r="BN509" s="97">
        <f>IF(OR(AY509="SÁB",AY509="DOM"),0,IFERROR(8-VLOOKUP(Q509,'Dados de consulta'!$A$2:$C$38,3,0),8))</f>
        <v>8</v>
      </c>
      <c r="BO509" s="97">
        <f>IF(OR(AY509="SÁB",AY509="DOM"),0,IFERROR(8-VLOOKUP(R509,'Dados de consulta'!$A$2:$C$38,3,0),8))</f>
        <v>8</v>
      </c>
      <c r="BP509" s="97">
        <f>IF(OR(AY509="SÁB",AY509="DOM"),0,IFERROR(8-VLOOKUP(S509,'Dados de consulta'!$A$2:$C$38,3,0),8))</f>
        <v>8</v>
      </c>
      <c r="BQ509" s="113">
        <f>IFERROR(6-VLOOKUP(T509,'Dados de consulta'!$A$2:$C$38,3,0)+2,6)</f>
        <v>6</v>
      </c>
      <c r="BR509" s="114">
        <f t="shared" si="206"/>
        <v>126</v>
      </c>
      <c r="BS509">
        <f t="shared" si="182"/>
        <v>134</v>
      </c>
      <c r="BU509">
        <f>IFERROR(8-VLOOKUP(U509,'Dados de consulta'!$A:$D,3,0),8)</f>
        <v>8</v>
      </c>
      <c r="BV509">
        <f>IFERROR(8-VLOOKUP(V509,'Dados de consulta'!$A:$D,3,0),8)</f>
        <v>8</v>
      </c>
      <c r="BW509">
        <f t="shared" si="207"/>
        <v>16</v>
      </c>
    </row>
    <row r="510" spans="1:75" ht="15" hidden="1" x14ac:dyDescent="0.2">
      <c r="A510" s="98">
        <v>42633</v>
      </c>
      <c r="B510" s="129" t="str">
        <f t="shared" si="184"/>
        <v>ter</v>
      </c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>
        <v>101</v>
      </c>
      <c r="N510" s="132">
        <v>18</v>
      </c>
      <c r="O510" s="132"/>
      <c r="P510" s="132"/>
      <c r="Q510" s="132"/>
      <c r="R510" s="132"/>
      <c r="S510" s="132"/>
      <c r="T510" s="132"/>
      <c r="U510" s="151"/>
      <c r="V510" s="151"/>
      <c r="W510" s="307" t="s">
        <v>193</v>
      </c>
      <c r="X510" s="308"/>
      <c r="Y510" s="38">
        <f t="shared" si="185"/>
        <v>0</v>
      </c>
      <c r="Z510" s="38">
        <f t="shared" si="186"/>
        <v>8</v>
      </c>
      <c r="AA510" s="38">
        <f t="shared" si="183"/>
        <v>0</v>
      </c>
      <c r="AB510" s="38">
        <f t="shared" si="194"/>
        <v>0</v>
      </c>
      <c r="AC510" s="38">
        <f t="shared" si="195"/>
        <v>0</v>
      </c>
      <c r="AD510" s="38">
        <f t="shared" si="196"/>
        <v>0</v>
      </c>
      <c r="AE510" s="38">
        <f t="shared" si="197"/>
        <v>0</v>
      </c>
      <c r="AF510" s="38">
        <f t="shared" si="198"/>
        <v>0</v>
      </c>
      <c r="AG510" s="33">
        <f t="shared" si="199"/>
        <v>0</v>
      </c>
      <c r="AH510" s="33">
        <f t="shared" si="200"/>
        <v>8</v>
      </c>
      <c r="AI510" s="33">
        <f t="shared" si="201"/>
        <v>0</v>
      </c>
      <c r="AJ510" s="33">
        <f t="shared" si="202"/>
        <v>0</v>
      </c>
      <c r="AK510" s="34">
        <f t="shared" si="203"/>
        <v>0</v>
      </c>
      <c r="AL510" s="35">
        <f t="shared" si="204"/>
        <v>5.6338028169014086E-2</v>
      </c>
      <c r="AM510" s="34">
        <f t="shared" si="187"/>
        <v>0</v>
      </c>
      <c r="AN510" s="36">
        <f t="shared" si="205"/>
        <v>0</v>
      </c>
      <c r="AO510" s="6">
        <f t="shared" si="188"/>
        <v>0</v>
      </c>
      <c r="AP510">
        <f t="shared" si="189"/>
        <v>8</v>
      </c>
      <c r="AQ510" s="6">
        <f t="shared" si="190"/>
        <v>0</v>
      </c>
      <c r="AR510" s="6">
        <f t="shared" si="191"/>
        <v>0</v>
      </c>
      <c r="AS510" s="6"/>
      <c r="AX510" s="95">
        <f t="shared" si="192"/>
        <v>42633</v>
      </c>
      <c r="AY510" s="96" t="str">
        <f t="shared" si="193"/>
        <v>ter</v>
      </c>
      <c r="AZ510" s="97">
        <f>IF(OR(AY510="SÁB",AY510="DOM"),0,IFERROR(8-VLOOKUP(C510,'Dados de consulta'!$A$2:$C$38,3,0),8))</f>
        <v>8</v>
      </c>
      <c r="BA510" s="97">
        <f>IF(OR(AY510="SÁB",AY510="DOM"),0,IFERROR(8-VLOOKUP(D510,'Dados de consulta'!$A$2:$C$38,3,0),8))</f>
        <v>8</v>
      </c>
      <c r="BB510" s="97">
        <f>IF(OR(AY510="SÁB",AY510="DOM"),0,IFERROR(8-VLOOKUP(E510,'Dados de consulta'!$A$2:$C$38,3,0),8))</f>
        <v>8</v>
      </c>
      <c r="BC510" s="97">
        <f>IF(OR(AY510="SÁB",AY510="DOM"),0,IFERROR(8-VLOOKUP(F510,'Dados de consulta'!$A$2:$C$38,3,0),8))</f>
        <v>8</v>
      </c>
      <c r="BD510" s="97">
        <f>IF(OR(AY510="SÁB",AY510="DOM"),0,IFERROR(8-VLOOKUP(G510,'Dados de consulta'!$A$2:$C$38,3,0),8))</f>
        <v>8</v>
      </c>
      <c r="BE510" s="97">
        <f>IF(OR(AY510="SÁB",AY510="DOM"),0,IFERROR(8-VLOOKUP(H510,'Dados de consulta'!$A$2:$C$38,3,0),8))</f>
        <v>8</v>
      </c>
      <c r="BF510" s="97">
        <f>IF(OR(AY510="SÁB",AY510="DOM"),0,IFERROR(8-VLOOKUP(I510,'Dados de consulta'!$A$2:$C$38,3,0),8))</f>
        <v>8</v>
      </c>
      <c r="BG510" s="97">
        <f>IF(OR(AY510="SÁB",AY510="DOM"),0,IFERROR(8-VLOOKUP(J510,'Dados de consulta'!$A$2:$C$38,3,0),8))</f>
        <v>8</v>
      </c>
      <c r="BH510" s="97">
        <f>IF(OR(AY510="SÁB",AY510="DOM"),0,IFERROR(8-VLOOKUP(K510,'Dados de consulta'!$A$2:$C$38,3,0),8))</f>
        <v>8</v>
      </c>
      <c r="BI510" s="97">
        <f>IF(OR(AY510="SÁB",AY510="DOM"),0,IFERROR(8-VLOOKUP(L510,'Dados de consulta'!$A$2:$C$38,3,0),8))</f>
        <v>8</v>
      </c>
      <c r="BJ510" s="97">
        <f>IF(OR(AY510="SÁB",AY510="DOM"),0,IFERROR(8-VLOOKUP(M510,'Dados de consulta'!$A$2:$C$38,3,0),8))</f>
        <v>0</v>
      </c>
      <c r="BK510" s="97">
        <f>IF(OR(AY510="SÁB",AY510="DOM"),0,IFERROR(8-VLOOKUP(N510,'Dados de consulta'!$A$2:$C$38,3,0),8))</f>
        <v>0</v>
      </c>
      <c r="BL510" s="97">
        <f>IF(OR(AY510="SÁB",AY510="DOM"),0,IFERROR(8-VLOOKUP(O510,'Dados de consulta'!$A$2:$C$38,3,0),8))</f>
        <v>8</v>
      </c>
      <c r="BM510" s="97">
        <f>IF(OR(AY510="SÁB",AY510="DOM"),0,IFERROR(8-VLOOKUP(P510,'Dados de consulta'!$A$2:$C$38,3,0),8))</f>
        <v>8</v>
      </c>
      <c r="BN510" s="97">
        <f>IF(OR(AY510="SÁB",AY510="DOM"),0,IFERROR(8-VLOOKUP(Q510,'Dados de consulta'!$A$2:$C$38,3,0),8))</f>
        <v>8</v>
      </c>
      <c r="BO510" s="97">
        <f>IF(OR(AY510="SÁB",AY510="DOM"),0,IFERROR(8-VLOOKUP(R510,'Dados de consulta'!$A$2:$C$38,3,0),8))</f>
        <v>8</v>
      </c>
      <c r="BP510" s="97">
        <f>IF(OR(AY510="SÁB",AY510="DOM"),0,IFERROR(8-VLOOKUP(S510,'Dados de consulta'!$A$2:$C$38,3,0),8))</f>
        <v>8</v>
      </c>
      <c r="BQ510" s="113">
        <f>IFERROR(6-VLOOKUP(T510,'Dados de consulta'!$A$2:$C$38,3,0)+2,6)</f>
        <v>6</v>
      </c>
      <c r="BR510" s="114">
        <f t="shared" si="206"/>
        <v>126</v>
      </c>
      <c r="BS510">
        <f t="shared" ref="BS510:BS573" si="208">IF(R511=17,0,IF(OR(AY510="SÁB",AY510="DOM"),0,((COUNT(AZ510:BQ510)-1)*8+6)-SUM(AO510:AR510)))</f>
        <v>134</v>
      </c>
      <c r="BU510">
        <f>IFERROR(8-VLOOKUP(U510,'Dados de consulta'!$A:$D,3,0),8)</f>
        <v>8</v>
      </c>
      <c r="BV510">
        <f>IFERROR(8-VLOOKUP(V510,'Dados de consulta'!$A:$D,3,0),8)</f>
        <v>8</v>
      </c>
      <c r="BW510">
        <f t="shared" si="207"/>
        <v>16</v>
      </c>
    </row>
    <row r="511" spans="1:75" ht="15" hidden="1" x14ac:dyDescent="0.2">
      <c r="A511" s="98">
        <v>42634</v>
      </c>
      <c r="B511" s="129" t="str">
        <f t="shared" si="184"/>
        <v>qua</v>
      </c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>
        <v>101</v>
      </c>
      <c r="N511" s="132">
        <v>18</v>
      </c>
      <c r="O511" s="132"/>
      <c r="P511" s="132"/>
      <c r="Q511" s="132"/>
      <c r="R511" s="132"/>
      <c r="S511" s="132"/>
      <c r="T511" s="132"/>
      <c r="U511" s="151"/>
      <c r="V511" s="151"/>
      <c r="W511" s="307" t="s">
        <v>193</v>
      </c>
      <c r="X511" s="308"/>
      <c r="Y511" s="38">
        <f t="shared" si="185"/>
        <v>0</v>
      </c>
      <c r="Z511" s="38">
        <f t="shared" si="186"/>
        <v>8</v>
      </c>
      <c r="AA511" s="38">
        <f t="shared" si="183"/>
        <v>0</v>
      </c>
      <c r="AB511" s="38">
        <f t="shared" si="194"/>
        <v>0</v>
      </c>
      <c r="AC511" s="38">
        <f t="shared" si="195"/>
        <v>0</v>
      </c>
      <c r="AD511" s="38">
        <f t="shared" si="196"/>
        <v>0</v>
      </c>
      <c r="AE511" s="38">
        <f t="shared" si="197"/>
        <v>0</v>
      </c>
      <c r="AF511" s="38">
        <f t="shared" si="198"/>
        <v>0</v>
      </c>
      <c r="AG511" s="33">
        <f t="shared" si="199"/>
        <v>0</v>
      </c>
      <c r="AH511" s="33">
        <f t="shared" si="200"/>
        <v>8</v>
      </c>
      <c r="AI511" s="33">
        <f t="shared" si="201"/>
        <v>0</v>
      </c>
      <c r="AJ511" s="33">
        <f t="shared" si="202"/>
        <v>0</v>
      </c>
      <c r="AK511" s="34">
        <f t="shared" si="203"/>
        <v>0</v>
      </c>
      <c r="AL511" s="35">
        <f t="shared" si="204"/>
        <v>5.6338028169014086E-2</v>
      </c>
      <c r="AM511" s="34">
        <f t="shared" si="187"/>
        <v>0</v>
      </c>
      <c r="AN511" s="36">
        <f t="shared" si="205"/>
        <v>0</v>
      </c>
      <c r="AO511" s="6">
        <f t="shared" si="188"/>
        <v>0</v>
      </c>
      <c r="AP511">
        <f t="shared" si="189"/>
        <v>8</v>
      </c>
      <c r="AQ511" s="6">
        <f t="shared" si="190"/>
        <v>0</v>
      </c>
      <c r="AR511" s="6">
        <f t="shared" si="191"/>
        <v>0</v>
      </c>
      <c r="AS511" s="6"/>
      <c r="AX511" s="95">
        <f t="shared" si="192"/>
        <v>42634</v>
      </c>
      <c r="AY511" s="96" t="str">
        <f t="shared" si="193"/>
        <v>qua</v>
      </c>
      <c r="AZ511" s="97">
        <f>IF(OR(AY511="SÁB",AY511="DOM"),0,IFERROR(8-VLOOKUP(C511,'Dados de consulta'!$A$2:$C$38,3,0),8))</f>
        <v>8</v>
      </c>
      <c r="BA511" s="97">
        <f>IF(OR(AY511="SÁB",AY511="DOM"),0,IFERROR(8-VLOOKUP(D511,'Dados de consulta'!$A$2:$C$38,3,0),8))</f>
        <v>8</v>
      </c>
      <c r="BB511" s="97">
        <f>IF(OR(AY511="SÁB",AY511="DOM"),0,IFERROR(8-VLOOKUP(E511,'Dados de consulta'!$A$2:$C$38,3,0),8))</f>
        <v>8</v>
      </c>
      <c r="BC511" s="97">
        <f>IF(OR(AY511="SÁB",AY511="DOM"),0,IFERROR(8-VLOOKUP(F511,'Dados de consulta'!$A$2:$C$38,3,0),8))</f>
        <v>8</v>
      </c>
      <c r="BD511" s="97">
        <f>IF(OR(AY511="SÁB",AY511="DOM"),0,IFERROR(8-VLOOKUP(G511,'Dados de consulta'!$A$2:$C$38,3,0),8))</f>
        <v>8</v>
      </c>
      <c r="BE511" s="97">
        <f>IF(OR(AY511="SÁB",AY511="DOM"),0,IFERROR(8-VLOOKUP(H511,'Dados de consulta'!$A$2:$C$38,3,0),8))</f>
        <v>8</v>
      </c>
      <c r="BF511" s="97">
        <f>IF(OR(AY511="SÁB",AY511="DOM"),0,IFERROR(8-VLOOKUP(I511,'Dados de consulta'!$A$2:$C$38,3,0),8))</f>
        <v>8</v>
      </c>
      <c r="BG511" s="97">
        <f>IF(OR(AY511="SÁB",AY511="DOM"),0,IFERROR(8-VLOOKUP(J511,'Dados de consulta'!$A$2:$C$38,3,0),8))</f>
        <v>8</v>
      </c>
      <c r="BH511" s="97">
        <f>IF(OR(AY511="SÁB",AY511="DOM"),0,IFERROR(8-VLOOKUP(K511,'Dados de consulta'!$A$2:$C$38,3,0),8))</f>
        <v>8</v>
      </c>
      <c r="BI511" s="97">
        <f>IF(OR(AY511="SÁB",AY511="DOM"),0,IFERROR(8-VLOOKUP(L511,'Dados de consulta'!$A$2:$C$38,3,0),8))</f>
        <v>8</v>
      </c>
      <c r="BJ511" s="97">
        <f>IF(OR(AY511="SÁB",AY511="DOM"),0,IFERROR(8-VLOOKUP(M511,'Dados de consulta'!$A$2:$C$38,3,0),8))</f>
        <v>0</v>
      </c>
      <c r="BK511" s="97">
        <f>IF(OR(AY511="SÁB",AY511="DOM"),0,IFERROR(8-VLOOKUP(N511,'Dados de consulta'!$A$2:$C$38,3,0),8))</f>
        <v>0</v>
      </c>
      <c r="BL511" s="97">
        <f>IF(OR(AY511="SÁB",AY511="DOM"),0,IFERROR(8-VLOOKUP(O511,'Dados de consulta'!$A$2:$C$38,3,0),8))</f>
        <v>8</v>
      </c>
      <c r="BM511" s="97">
        <f>IF(OR(AY511="SÁB",AY511="DOM"),0,IFERROR(8-VLOOKUP(P511,'Dados de consulta'!$A$2:$C$38,3,0),8))</f>
        <v>8</v>
      </c>
      <c r="BN511" s="97">
        <f>IF(OR(AY511="SÁB",AY511="DOM"),0,IFERROR(8-VLOOKUP(Q511,'Dados de consulta'!$A$2:$C$38,3,0),8))</f>
        <v>8</v>
      </c>
      <c r="BO511" s="97">
        <f>IF(OR(AY511="SÁB",AY511="DOM"),0,IFERROR(8-VLOOKUP(R511,'Dados de consulta'!$A$2:$C$38,3,0),8))</f>
        <v>8</v>
      </c>
      <c r="BP511" s="97">
        <f>IF(OR(AY511="SÁB",AY511="DOM"),0,IFERROR(8-VLOOKUP(S511,'Dados de consulta'!$A$2:$C$38,3,0),8))</f>
        <v>8</v>
      </c>
      <c r="BQ511" s="113">
        <f>IFERROR(6-VLOOKUP(T511,'Dados de consulta'!$A$2:$C$38,3,0)+2,6)</f>
        <v>6</v>
      </c>
      <c r="BR511" s="114">
        <f t="shared" si="206"/>
        <v>126</v>
      </c>
      <c r="BS511">
        <f t="shared" si="208"/>
        <v>134</v>
      </c>
      <c r="BU511">
        <f>IFERROR(8-VLOOKUP(U511,'Dados de consulta'!$A:$D,3,0),8)</f>
        <v>8</v>
      </c>
      <c r="BV511">
        <f>IFERROR(8-VLOOKUP(V511,'Dados de consulta'!$A:$D,3,0),8)</f>
        <v>8</v>
      </c>
      <c r="BW511">
        <f t="shared" si="207"/>
        <v>16</v>
      </c>
    </row>
    <row r="512" spans="1:75" ht="15" hidden="1" x14ac:dyDescent="0.2">
      <c r="A512" s="98">
        <v>42635</v>
      </c>
      <c r="B512" s="129" t="str">
        <f t="shared" si="184"/>
        <v>qui</v>
      </c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>
        <v>101</v>
      </c>
      <c r="N512" s="132">
        <v>18</v>
      </c>
      <c r="O512" s="132"/>
      <c r="P512" s="132"/>
      <c r="Q512" s="132"/>
      <c r="R512" s="132"/>
      <c r="S512" s="132"/>
      <c r="T512" s="132"/>
      <c r="U512" s="151"/>
      <c r="V512" s="151"/>
      <c r="W512" s="307" t="s">
        <v>193</v>
      </c>
      <c r="X512" s="308"/>
      <c r="Y512" s="38">
        <f t="shared" si="185"/>
        <v>0</v>
      </c>
      <c r="Z512" s="38">
        <f t="shared" si="186"/>
        <v>8</v>
      </c>
      <c r="AA512" s="38">
        <f t="shared" si="183"/>
        <v>0</v>
      </c>
      <c r="AB512" s="38">
        <f t="shared" si="194"/>
        <v>0</v>
      </c>
      <c r="AC512" s="38">
        <f t="shared" si="195"/>
        <v>0</v>
      </c>
      <c r="AD512" s="38">
        <f t="shared" si="196"/>
        <v>0</v>
      </c>
      <c r="AE512" s="38">
        <f t="shared" si="197"/>
        <v>0</v>
      </c>
      <c r="AF512" s="38">
        <f t="shared" si="198"/>
        <v>0</v>
      </c>
      <c r="AG512" s="33">
        <f t="shared" si="199"/>
        <v>0</v>
      </c>
      <c r="AH512" s="33">
        <f t="shared" si="200"/>
        <v>8</v>
      </c>
      <c r="AI512" s="33">
        <f t="shared" si="201"/>
        <v>0</v>
      </c>
      <c r="AJ512" s="33">
        <f t="shared" si="202"/>
        <v>0</v>
      </c>
      <c r="AK512" s="34">
        <f t="shared" si="203"/>
        <v>0</v>
      </c>
      <c r="AL512" s="35">
        <f t="shared" si="204"/>
        <v>5.6338028169014086E-2</v>
      </c>
      <c r="AM512" s="34">
        <f t="shared" si="187"/>
        <v>0</v>
      </c>
      <c r="AN512" s="36">
        <f t="shared" si="205"/>
        <v>0</v>
      </c>
      <c r="AO512" s="6">
        <f t="shared" si="188"/>
        <v>0</v>
      </c>
      <c r="AP512">
        <f t="shared" si="189"/>
        <v>8</v>
      </c>
      <c r="AQ512" s="6">
        <f t="shared" si="190"/>
        <v>0</v>
      </c>
      <c r="AR512" s="6">
        <f t="shared" si="191"/>
        <v>0</v>
      </c>
      <c r="AS512" s="6"/>
      <c r="AX512" s="95">
        <f t="shared" si="192"/>
        <v>42635</v>
      </c>
      <c r="AY512" s="96" t="str">
        <f t="shared" si="193"/>
        <v>qui</v>
      </c>
      <c r="AZ512" s="97">
        <f>IF(OR(AY512="SÁB",AY512="DOM"),0,IFERROR(8-VLOOKUP(C512,'Dados de consulta'!$A$2:$C$38,3,0),8))</f>
        <v>8</v>
      </c>
      <c r="BA512" s="97">
        <f>IF(OR(AY512="SÁB",AY512="DOM"),0,IFERROR(8-VLOOKUP(D512,'Dados de consulta'!$A$2:$C$38,3,0),8))</f>
        <v>8</v>
      </c>
      <c r="BB512" s="97">
        <f>IF(OR(AY512="SÁB",AY512="DOM"),0,IFERROR(8-VLOOKUP(E512,'Dados de consulta'!$A$2:$C$38,3,0),8))</f>
        <v>8</v>
      </c>
      <c r="BC512" s="97">
        <f>IF(OR(AY512="SÁB",AY512="DOM"),0,IFERROR(8-VLOOKUP(F512,'Dados de consulta'!$A$2:$C$38,3,0),8))</f>
        <v>8</v>
      </c>
      <c r="BD512" s="97">
        <f>IF(OR(AY512="SÁB",AY512="DOM"),0,IFERROR(8-VLOOKUP(G512,'Dados de consulta'!$A$2:$C$38,3,0),8))</f>
        <v>8</v>
      </c>
      <c r="BE512" s="97">
        <f>IF(OR(AY512="SÁB",AY512="DOM"),0,IFERROR(8-VLOOKUP(H512,'Dados de consulta'!$A$2:$C$38,3,0),8))</f>
        <v>8</v>
      </c>
      <c r="BF512" s="97">
        <f>IF(OR(AY512="SÁB",AY512="DOM"),0,IFERROR(8-VLOOKUP(I512,'Dados de consulta'!$A$2:$C$38,3,0),8))</f>
        <v>8</v>
      </c>
      <c r="BG512" s="97">
        <f>IF(OR(AY512="SÁB",AY512="DOM"),0,IFERROR(8-VLOOKUP(J512,'Dados de consulta'!$A$2:$C$38,3,0),8))</f>
        <v>8</v>
      </c>
      <c r="BH512" s="97">
        <f>IF(OR(AY512="SÁB",AY512="DOM"),0,IFERROR(8-VLOOKUP(K512,'Dados de consulta'!$A$2:$C$38,3,0),8))</f>
        <v>8</v>
      </c>
      <c r="BI512" s="97">
        <f>IF(OR(AY512="SÁB",AY512="DOM"),0,IFERROR(8-VLOOKUP(L512,'Dados de consulta'!$A$2:$C$38,3,0),8))</f>
        <v>8</v>
      </c>
      <c r="BJ512" s="97">
        <f>IF(OR(AY512="SÁB",AY512="DOM"),0,IFERROR(8-VLOOKUP(M512,'Dados de consulta'!$A$2:$C$38,3,0),8))</f>
        <v>0</v>
      </c>
      <c r="BK512" s="97">
        <f>IF(OR(AY512="SÁB",AY512="DOM"),0,IFERROR(8-VLOOKUP(N512,'Dados de consulta'!$A$2:$C$38,3,0),8))</f>
        <v>0</v>
      </c>
      <c r="BL512" s="97">
        <f>IF(OR(AY512="SÁB",AY512="DOM"),0,IFERROR(8-VLOOKUP(O512,'Dados de consulta'!$A$2:$C$38,3,0),8))</f>
        <v>8</v>
      </c>
      <c r="BM512" s="97">
        <f>IF(OR(AY512="SÁB",AY512="DOM"),0,IFERROR(8-VLOOKUP(P512,'Dados de consulta'!$A$2:$C$38,3,0),8))</f>
        <v>8</v>
      </c>
      <c r="BN512" s="97">
        <f>IF(OR(AY512="SÁB",AY512="DOM"),0,IFERROR(8-VLOOKUP(Q512,'Dados de consulta'!$A$2:$C$38,3,0),8))</f>
        <v>8</v>
      </c>
      <c r="BO512" s="97">
        <f>IF(OR(AY512="SÁB",AY512="DOM"),0,IFERROR(8-VLOOKUP(R512,'Dados de consulta'!$A$2:$C$38,3,0),8))</f>
        <v>8</v>
      </c>
      <c r="BP512" s="97">
        <f>IF(OR(AY512="SÁB",AY512="DOM"),0,IFERROR(8-VLOOKUP(S512,'Dados de consulta'!$A$2:$C$38,3,0),8))</f>
        <v>8</v>
      </c>
      <c r="BQ512" s="113">
        <f>IFERROR(6-VLOOKUP(T512,'Dados de consulta'!$A$2:$C$38,3,0)+2,6)</f>
        <v>6</v>
      </c>
      <c r="BR512" s="114">
        <f t="shared" si="206"/>
        <v>126</v>
      </c>
      <c r="BS512">
        <f t="shared" si="208"/>
        <v>134</v>
      </c>
      <c r="BU512">
        <f>IFERROR(8-VLOOKUP(U512,'Dados de consulta'!$A:$D,3,0),8)</f>
        <v>8</v>
      </c>
      <c r="BV512">
        <f>IFERROR(8-VLOOKUP(V512,'Dados de consulta'!$A:$D,3,0),8)</f>
        <v>8</v>
      </c>
      <c r="BW512">
        <f t="shared" si="207"/>
        <v>16</v>
      </c>
    </row>
    <row r="513" spans="1:75" ht="15" hidden="1" x14ac:dyDescent="0.2">
      <c r="A513" s="98">
        <v>42636</v>
      </c>
      <c r="B513" s="129" t="str">
        <f t="shared" si="184"/>
        <v>sex</v>
      </c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>
        <v>101</v>
      </c>
      <c r="N513" s="132">
        <v>18</v>
      </c>
      <c r="O513" s="132"/>
      <c r="P513" s="132"/>
      <c r="Q513" s="132"/>
      <c r="R513" s="132"/>
      <c r="S513" s="132"/>
      <c r="T513" s="132"/>
      <c r="U513" s="151"/>
      <c r="V513" s="151"/>
      <c r="W513" s="307" t="s">
        <v>193</v>
      </c>
      <c r="X513" s="308"/>
      <c r="Y513" s="38">
        <f t="shared" si="185"/>
        <v>0</v>
      </c>
      <c r="Z513" s="38">
        <f t="shared" si="186"/>
        <v>8</v>
      </c>
      <c r="AA513" s="38">
        <f t="shared" ref="AA513:AA576" si="209">(COUNTIF(C513:S513,28)+COUNTIF(C513:S513,"28P")/2+COUNTIF(C513:S513,29))*8</f>
        <v>0</v>
      </c>
      <c r="AB513" s="38">
        <f t="shared" si="194"/>
        <v>0</v>
      </c>
      <c r="AC513" s="38">
        <f t="shared" si="195"/>
        <v>0</v>
      </c>
      <c r="AD513" s="38">
        <f t="shared" si="196"/>
        <v>0</v>
      </c>
      <c r="AE513" s="38">
        <f t="shared" si="197"/>
        <v>0</v>
      </c>
      <c r="AF513" s="38">
        <f t="shared" si="198"/>
        <v>0</v>
      </c>
      <c r="AG513" s="33">
        <f t="shared" si="199"/>
        <v>0</v>
      </c>
      <c r="AH513" s="33">
        <f t="shared" si="200"/>
        <v>8</v>
      </c>
      <c r="AI513" s="33">
        <f t="shared" si="201"/>
        <v>0</v>
      </c>
      <c r="AJ513" s="33">
        <f t="shared" si="202"/>
        <v>0</v>
      </c>
      <c r="AK513" s="34">
        <f t="shared" si="203"/>
        <v>0</v>
      </c>
      <c r="AL513" s="35">
        <f t="shared" si="204"/>
        <v>5.6338028169014086E-2</v>
      </c>
      <c r="AM513" s="34">
        <f t="shared" si="187"/>
        <v>0</v>
      </c>
      <c r="AN513" s="36">
        <f t="shared" si="205"/>
        <v>0</v>
      </c>
      <c r="AO513" s="6">
        <f t="shared" si="188"/>
        <v>0</v>
      </c>
      <c r="AP513">
        <f t="shared" si="189"/>
        <v>8</v>
      </c>
      <c r="AQ513" s="6">
        <f t="shared" si="190"/>
        <v>0</v>
      </c>
      <c r="AR513" s="6">
        <f t="shared" si="191"/>
        <v>0</v>
      </c>
      <c r="AS513" s="6"/>
      <c r="AX513" s="95">
        <f t="shared" si="192"/>
        <v>42636</v>
      </c>
      <c r="AY513" s="96" t="str">
        <f t="shared" si="193"/>
        <v>sex</v>
      </c>
      <c r="AZ513" s="97">
        <f>IF(OR(AY513="SÁB",AY513="DOM"),0,IFERROR(8-VLOOKUP(C513,'Dados de consulta'!$A$2:$C$38,3,0),8))</f>
        <v>8</v>
      </c>
      <c r="BA513" s="97">
        <f>IF(OR(AY513="SÁB",AY513="DOM"),0,IFERROR(8-VLOOKUP(D513,'Dados de consulta'!$A$2:$C$38,3,0),8))</f>
        <v>8</v>
      </c>
      <c r="BB513" s="97">
        <f>IF(OR(AY513="SÁB",AY513="DOM"),0,IFERROR(8-VLOOKUP(E513,'Dados de consulta'!$A$2:$C$38,3,0),8))</f>
        <v>8</v>
      </c>
      <c r="BC513" s="97">
        <f>IF(OR(AY513="SÁB",AY513="DOM"),0,IFERROR(8-VLOOKUP(F513,'Dados de consulta'!$A$2:$C$38,3,0),8))</f>
        <v>8</v>
      </c>
      <c r="BD513" s="97">
        <f>IF(OR(AY513="SÁB",AY513="DOM"),0,IFERROR(8-VLOOKUP(G513,'Dados de consulta'!$A$2:$C$38,3,0),8))</f>
        <v>8</v>
      </c>
      <c r="BE513" s="97">
        <f>IF(OR(AY513="SÁB",AY513="DOM"),0,IFERROR(8-VLOOKUP(H513,'Dados de consulta'!$A$2:$C$38,3,0),8))</f>
        <v>8</v>
      </c>
      <c r="BF513" s="97">
        <f>IF(OR(AY513="SÁB",AY513="DOM"),0,IFERROR(8-VLOOKUP(I513,'Dados de consulta'!$A$2:$C$38,3,0),8))</f>
        <v>8</v>
      </c>
      <c r="BG513" s="97">
        <f>IF(OR(AY513="SÁB",AY513="DOM"),0,IFERROR(8-VLOOKUP(J513,'Dados de consulta'!$A$2:$C$38,3,0),8))</f>
        <v>8</v>
      </c>
      <c r="BH513" s="97">
        <f>IF(OR(AY513="SÁB",AY513="DOM"),0,IFERROR(8-VLOOKUP(K513,'Dados de consulta'!$A$2:$C$38,3,0),8))</f>
        <v>8</v>
      </c>
      <c r="BI513" s="97">
        <f>IF(OR(AY513="SÁB",AY513="DOM"),0,IFERROR(8-VLOOKUP(L513,'Dados de consulta'!$A$2:$C$38,3,0),8))</f>
        <v>8</v>
      </c>
      <c r="BJ513" s="97">
        <f>IF(OR(AY513="SÁB",AY513="DOM"),0,IFERROR(8-VLOOKUP(M513,'Dados de consulta'!$A$2:$C$38,3,0),8))</f>
        <v>0</v>
      </c>
      <c r="BK513" s="97">
        <f>IF(OR(AY513="SÁB",AY513="DOM"),0,IFERROR(8-VLOOKUP(N513,'Dados de consulta'!$A$2:$C$38,3,0),8))</f>
        <v>0</v>
      </c>
      <c r="BL513" s="97">
        <f>IF(OR(AY513="SÁB",AY513="DOM"),0,IFERROR(8-VLOOKUP(O513,'Dados de consulta'!$A$2:$C$38,3,0),8))</f>
        <v>8</v>
      </c>
      <c r="BM513" s="97">
        <f>IF(OR(AY513="SÁB",AY513="DOM"),0,IFERROR(8-VLOOKUP(P513,'Dados de consulta'!$A$2:$C$38,3,0),8))</f>
        <v>8</v>
      </c>
      <c r="BN513" s="97">
        <f>IF(OR(AY513="SÁB",AY513="DOM"),0,IFERROR(8-VLOOKUP(Q513,'Dados de consulta'!$A$2:$C$38,3,0),8))</f>
        <v>8</v>
      </c>
      <c r="BO513" s="97">
        <f>IF(OR(AY513="SÁB",AY513="DOM"),0,IFERROR(8-VLOOKUP(R513,'Dados de consulta'!$A$2:$C$38,3,0),8))</f>
        <v>8</v>
      </c>
      <c r="BP513" s="97">
        <f>IF(OR(AY513="SÁB",AY513="DOM"),0,IFERROR(8-VLOOKUP(S513,'Dados de consulta'!$A$2:$C$38,3,0),8))</f>
        <v>8</v>
      </c>
      <c r="BQ513" s="113">
        <f>IFERROR(6-VLOOKUP(T513,'Dados de consulta'!$A$2:$C$38,3,0)+2,6)</f>
        <v>6</v>
      </c>
      <c r="BR513" s="114">
        <f t="shared" si="206"/>
        <v>126</v>
      </c>
      <c r="BS513">
        <f t="shared" si="208"/>
        <v>134</v>
      </c>
      <c r="BU513">
        <f>IFERROR(8-VLOOKUP(U513,'Dados de consulta'!$A:$D,3,0),8)</f>
        <v>8</v>
      </c>
      <c r="BV513">
        <f>IFERROR(8-VLOOKUP(V513,'Dados de consulta'!$A:$D,3,0),8)</f>
        <v>8</v>
      </c>
      <c r="BW513">
        <f t="shared" si="207"/>
        <v>16</v>
      </c>
    </row>
    <row r="514" spans="1:75" ht="15" hidden="1" x14ac:dyDescent="0.2">
      <c r="A514" s="98">
        <v>42637</v>
      </c>
      <c r="B514" s="129" t="str">
        <f t="shared" ref="B514:B577" si="210">TEXT(A514,"ddd")</f>
        <v>sáb</v>
      </c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>
        <v>101</v>
      </c>
      <c r="N514" s="132">
        <v>18</v>
      </c>
      <c r="O514" s="132"/>
      <c r="P514" s="132"/>
      <c r="Q514" s="132"/>
      <c r="R514" s="132"/>
      <c r="S514" s="132"/>
      <c r="T514" s="132"/>
      <c r="U514" s="151"/>
      <c r="V514" s="151"/>
      <c r="W514" s="307" t="s">
        <v>193</v>
      </c>
      <c r="X514" s="308"/>
      <c r="Y514" s="38">
        <f t="shared" ref="Y514:Y577" si="211">(COUNTIF(C514:S514,4)+COUNTIF(C514:S514,8)+COUNTIF(C514:S514,"8P")/2+COUNTIF(C514:S514,9)+COUNTIF(C514:S514,"9P")/2+COUNTIF(C514:S514,14))*8</f>
        <v>0</v>
      </c>
      <c r="Z514" s="38">
        <f t="shared" ref="Z514:Z577" si="212">(COUNTIF(C514:S514,1)+COUNTIF(C514:S514,2)+COUNTIF(C514:S514,3)+COUNTIF(C514:S514,5)+COUNTIF(C514:S514,10)+COUNTIF(C514:S514,13)+COUNTIF(C514:S514,"13P")/2+COUNTIF(C514:S514,15)+COUNTIF(C514:S514,18)+COUNTIF(C514:S514,20)+COUNTIF(C514:S514,22)+COUNTIF(C514:S514,23)+COUNTIF(C514:S514,24)+COUNTIF(C514:S514,25)+COUNTIF(C514:S514,26)+COUNTIF(C514:S514,99))*8</f>
        <v>8</v>
      </c>
      <c r="AA514" s="38">
        <f t="shared" si="209"/>
        <v>0</v>
      </c>
      <c r="AB514" s="38">
        <f t="shared" si="194"/>
        <v>0</v>
      </c>
      <c r="AC514" s="38">
        <f t="shared" si="195"/>
        <v>0</v>
      </c>
      <c r="AD514" s="38">
        <f t="shared" si="196"/>
        <v>0</v>
      </c>
      <c r="AE514" s="38">
        <f t="shared" si="197"/>
        <v>0</v>
      </c>
      <c r="AF514" s="38">
        <f t="shared" si="198"/>
        <v>0</v>
      </c>
      <c r="AG514" s="33">
        <f t="shared" si="199"/>
        <v>0</v>
      </c>
      <c r="AH514" s="33">
        <f t="shared" si="200"/>
        <v>0</v>
      </c>
      <c r="AI514" s="33">
        <f t="shared" si="201"/>
        <v>0</v>
      </c>
      <c r="AJ514" s="33">
        <f t="shared" si="202"/>
        <v>0</v>
      </c>
      <c r="AK514" s="34">
        <f t="shared" si="203"/>
        <v>0</v>
      </c>
      <c r="AL514" s="35">
        <f t="shared" si="204"/>
        <v>0</v>
      </c>
      <c r="AM514" s="34">
        <f t="shared" ref="AM514:AM577" si="213">(AA514+AE514)/(COUNTA($C$1:$S$1)*8+COUNTA($T$1:$T$1)*6)</f>
        <v>0</v>
      </c>
      <c r="AN514" s="36">
        <f t="shared" si="205"/>
        <v>0</v>
      </c>
      <c r="AO514" s="6">
        <f t="shared" ref="AO514:AO577" si="214">COUNTIF(C514:S514,100)*8</f>
        <v>0</v>
      </c>
      <c r="AP514">
        <f t="shared" ref="AP514:AP577" si="215">COUNTIF(C514:S514,101)*8</f>
        <v>8</v>
      </c>
      <c r="AQ514" s="6">
        <f t="shared" ref="AQ514:AQ577" si="216">COUNTIF(T514:T514,101)*6</f>
        <v>0</v>
      </c>
      <c r="AR514" s="6">
        <f t="shared" ref="AR514:AR577" si="217">COUNTIF(T514:T514,100)*6</f>
        <v>0</v>
      </c>
      <c r="AS514" s="6"/>
      <c r="AX514" s="95">
        <f t="shared" ref="AX514:AX577" si="218">A514</f>
        <v>42637</v>
      </c>
      <c r="AY514" s="96" t="str">
        <f t="shared" ref="AY514:AY577" si="219">B514</f>
        <v>sáb</v>
      </c>
      <c r="AZ514" s="97">
        <f>IF(OR(AY514="SÁB",AY514="DOM"),0,IFERROR(8-VLOOKUP(C514,'Dados de consulta'!$A$2:$C$38,3,0),8))</f>
        <v>0</v>
      </c>
      <c r="BA514" s="97">
        <f>IF(OR(AY514="SÁB",AY514="DOM"),0,IFERROR(8-VLOOKUP(D514,'Dados de consulta'!$A$2:$C$38,3,0),8))</f>
        <v>0</v>
      </c>
      <c r="BB514" s="97">
        <f>IF(OR(AY514="SÁB",AY514="DOM"),0,IFERROR(8-VLOOKUP(E514,'Dados de consulta'!$A$2:$C$38,3,0),8))</f>
        <v>0</v>
      </c>
      <c r="BC514" s="97">
        <f>IF(OR(AY514="SÁB",AY514="DOM"),0,IFERROR(8-VLOOKUP(F514,'Dados de consulta'!$A$2:$C$38,3,0),8))</f>
        <v>0</v>
      </c>
      <c r="BD514" s="97">
        <f>IF(OR(AY514="SÁB",AY514="DOM"),0,IFERROR(8-VLOOKUP(G514,'Dados de consulta'!$A$2:$C$38,3,0),8))</f>
        <v>0</v>
      </c>
      <c r="BE514" s="97">
        <f>IF(OR(AY514="SÁB",AY514="DOM"),0,IFERROR(8-VLOOKUP(H514,'Dados de consulta'!$A$2:$C$38,3,0),8))</f>
        <v>0</v>
      </c>
      <c r="BF514" s="97">
        <f>IF(OR(AY514="SÁB",AY514="DOM"),0,IFERROR(8-VLOOKUP(I514,'Dados de consulta'!$A$2:$C$38,3,0),8))</f>
        <v>0</v>
      </c>
      <c r="BG514" s="97">
        <f>IF(OR(AY514="SÁB",AY514="DOM"),0,IFERROR(8-VLOOKUP(J514,'Dados de consulta'!$A$2:$C$38,3,0),8))</f>
        <v>0</v>
      </c>
      <c r="BH514" s="97">
        <f>IF(OR(AY514="SÁB",AY514="DOM"),0,IFERROR(8-VLOOKUP(K514,'Dados de consulta'!$A$2:$C$38,3,0),8))</f>
        <v>0</v>
      </c>
      <c r="BI514" s="97">
        <f>IF(OR(AY514="SÁB",AY514="DOM"),0,IFERROR(8-VLOOKUP(L514,'Dados de consulta'!$A$2:$C$38,3,0),8))</f>
        <v>0</v>
      </c>
      <c r="BJ514" s="97">
        <f>IF(OR(AY514="SÁB",AY514="DOM"),0,IFERROR(8-VLOOKUP(M514,'Dados de consulta'!$A$2:$C$38,3,0),8))</f>
        <v>0</v>
      </c>
      <c r="BK514" s="97">
        <f>IF(OR(AY514="SÁB",AY514="DOM"),0,IFERROR(8-VLOOKUP(N514,'Dados de consulta'!$A$2:$C$38,3,0),8))</f>
        <v>0</v>
      </c>
      <c r="BL514" s="97">
        <f>IF(OR(AY514="SÁB",AY514="DOM"),0,IFERROR(8-VLOOKUP(O514,'Dados de consulta'!$A$2:$C$38,3,0),8))</f>
        <v>0</v>
      </c>
      <c r="BM514" s="97">
        <f>IF(OR(AY514="SÁB",AY514="DOM"),0,IFERROR(8-VLOOKUP(P514,'Dados de consulta'!$A$2:$C$38,3,0),8))</f>
        <v>0</v>
      </c>
      <c r="BN514" s="97">
        <f>IF(OR(AY514="SÁB",AY514="DOM"),0,IFERROR(8-VLOOKUP(Q514,'Dados de consulta'!$A$2:$C$38,3,0),8))</f>
        <v>0</v>
      </c>
      <c r="BO514" s="97">
        <f>IF(OR(AY514="SÁB",AY514="DOM"),0,IFERROR(8-VLOOKUP(R514,'Dados de consulta'!$A$2:$C$38,3,0),8))</f>
        <v>0</v>
      </c>
      <c r="BP514" s="97">
        <f>IF(OR(AY514="SÁB",AY514="DOM"),0,IFERROR(8-VLOOKUP(S514,'Dados de consulta'!$A$2:$C$38,3,0),8))</f>
        <v>0</v>
      </c>
      <c r="BQ514" s="113">
        <f>IFERROR(6-VLOOKUP(T514,'Dados de consulta'!$A$2:$C$38,3,0)+2,6)</f>
        <v>6</v>
      </c>
      <c r="BR514" s="114">
        <f t="shared" si="206"/>
        <v>0</v>
      </c>
      <c r="BS514">
        <f t="shared" si="208"/>
        <v>0</v>
      </c>
      <c r="BU514">
        <f>IFERROR(8-VLOOKUP(U514,'Dados de consulta'!$A:$D,3,0),8)</f>
        <v>8</v>
      </c>
      <c r="BV514">
        <f>IFERROR(8-VLOOKUP(V514,'Dados de consulta'!$A:$D,3,0),8)</f>
        <v>8</v>
      </c>
      <c r="BW514">
        <f t="shared" si="207"/>
        <v>16</v>
      </c>
    </row>
    <row r="515" spans="1:75" ht="15" hidden="1" x14ac:dyDescent="0.2">
      <c r="A515" s="98">
        <v>42638</v>
      </c>
      <c r="B515" s="129" t="str">
        <f t="shared" si="210"/>
        <v>dom</v>
      </c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>
        <v>101</v>
      </c>
      <c r="N515" s="132"/>
      <c r="O515" s="132"/>
      <c r="P515" s="132"/>
      <c r="Q515" s="132"/>
      <c r="R515" s="132"/>
      <c r="S515" s="132"/>
      <c r="T515" s="132"/>
      <c r="U515" s="151"/>
      <c r="V515" s="151"/>
      <c r="W515" s="307" t="s">
        <v>193</v>
      </c>
      <c r="X515" s="308"/>
      <c r="Y515" s="38">
        <f t="shared" si="211"/>
        <v>0</v>
      </c>
      <c r="Z515" s="38">
        <f t="shared" si="212"/>
        <v>0</v>
      </c>
      <c r="AA515" s="38">
        <f t="shared" si="209"/>
        <v>0</v>
      </c>
      <c r="AB515" s="38">
        <f t="shared" ref="AB515:AB578" si="220">(COUNTIF(C515:S515,6)+COUNTIF(C515:S515,"6P")/2+COUNTIF(C515:S515,7)+COUNTIF(C515:S515,11)+COUNTIF(C515:S515,12)+COUNTIF(C515:S515,19))*8</f>
        <v>0</v>
      </c>
      <c r="AC515" s="38">
        <f t="shared" ref="AC515:AC578" si="221">(COUNTIF(T515,4)+COUNTIF(T515,8)+COUNTIF(T515,"8P")+COUNTIF(T515,9)+COUNTIF(T515,"9P")+COUNTIF(T515,14))*6</f>
        <v>0</v>
      </c>
      <c r="AD515" s="38">
        <f t="shared" ref="AD515:AD578" si="222">(COUNTIF(T515,1)+COUNTIF(T515,2)+COUNTIF(T515,3)+COUNTIF(T515,5)+COUNTIF(T515,10)+COUNTIF(T515,13)+COUNTIF(T515,"13P")+COUNTIF(T515,15)+COUNTIF(T515,16)+COUNTIF(T515,18)+COUNTIF(T515,20)+COUNTIF(T515,21)+COUNTIF(T515,22)+COUNTIF(T515,23)+COUNTIF(T515,24)+COUNTIF(T515,25)+COUNTIF(T515,26)+COUNTIF(T515,99))*6</f>
        <v>0</v>
      </c>
      <c r="AE515" s="38">
        <f t="shared" ref="AE515:AE578" si="223">(COUNTIF(T515,28)+COUNTIF(T515,"28P")+COUNTIF(T515,29))*6</f>
        <v>0</v>
      </c>
      <c r="AF515" s="38">
        <f t="shared" ref="AF515:AF578" si="224">(COUNTIF(T515,6)+COUNTIF(T515,"6P")+COUNTIF(T515,7)+COUNTIF(T515,11)+COUNTIF(T515,12))*6</f>
        <v>0</v>
      </c>
      <c r="AG515" s="33">
        <f t="shared" ref="AG515:AG578" si="225">IF(OR(B515="SÁB",B515="DOM"),0,Y515+AC515)</f>
        <v>0</v>
      </c>
      <c r="AH515" s="33">
        <f t="shared" ref="AH515:AH578" si="226">IF(OR(B515="SÁB",B515="DOM"),0,Z515+AD515)</f>
        <v>0</v>
      </c>
      <c r="AI515" s="33">
        <f t="shared" ref="AI515:AI578" si="227">IF(OR(B515="SÁB",B515="DOM"),0,AA515+AE515)</f>
        <v>0</v>
      </c>
      <c r="AJ515" s="33">
        <f t="shared" ref="AJ515:AJ578" si="228">IF(OR(B515="SÁB",B515="DOM"),0,AB515+AF515)</f>
        <v>0</v>
      </c>
      <c r="AK515" s="34">
        <f t="shared" ref="AK515:AK578" si="229">AG515/(COUNTA($C$1:$S$1)*8+6)</f>
        <v>0</v>
      </c>
      <c r="AL515" s="35">
        <f t="shared" ref="AL515:AL578" si="230">AH515/(COUNTA($C$1:$S$1)*8+6)</f>
        <v>0</v>
      </c>
      <c r="AM515" s="34">
        <f t="shared" si="213"/>
        <v>0</v>
      </c>
      <c r="AN515" s="36">
        <f t="shared" ref="AN515:AN578" si="231">AJ515/(COUNTA($C$1:$S$1)*8+6)</f>
        <v>0</v>
      </c>
      <c r="AO515" s="6">
        <f t="shared" si="214"/>
        <v>0</v>
      </c>
      <c r="AP515">
        <f t="shared" si="215"/>
        <v>8</v>
      </c>
      <c r="AQ515" s="6">
        <f t="shared" si="216"/>
        <v>0</v>
      </c>
      <c r="AR515" s="6">
        <f t="shared" si="217"/>
        <v>0</v>
      </c>
      <c r="AS515" s="6"/>
      <c r="AX515" s="95">
        <f t="shared" si="218"/>
        <v>42638</v>
      </c>
      <c r="AY515" s="96" t="str">
        <f t="shared" si="219"/>
        <v>dom</v>
      </c>
      <c r="AZ515" s="97">
        <f>IF(OR(AY515="SÁB",AY515="DOM"),0,IFERROR(8-VLOOKUP(C515,'Dados de consulta'!$A$2:$C$38,3,0),8))</f>
        <v>0</v>
      </c>
      <c r="BA515" s="97">
        <f>IF(OR(AY515="SÁB",AY515="DOM"),0,IFERROR(8-VLOOKUP(D515,'Dados de consulta'!$A$2:$C$38,3,0),8))</f>
        <v>0</v>
      </c>
      <c r="BB515" s="97">
        <f>IF(OR(AY515="SÁB",AY515="DOM"),0,IFERROR(8-VLOOKUP(E515,'Dados de consulta'!$A$2:$C$38,3,0),8))</f>
        <v>0</v>
      </c>
      <c r="BC515" s="97">
        <f>IF(OR(AY515="SÁB",AY515="DOM"),0,IFERROR(8-VLOOKUP(F515,'Dados de consulta'!$A$2:$C$38,3,0),8))</f>
        <v>0</v>
      </c>
      <c r="BD515" s="97">
        <f>IF(OR(AY515="SÁB",AY515="DOM"),0,IFERROR(8-VLOOKUP(G515,'Dados de consulta'!$A$2:$C$38,3,0),8))</f>
        <v>0</v>
      </c>
      <c r="BE515" s="97">
        <f>IF(OR(AY515="SÁB",AY515="DOM"),0,IFERROR(8-VLOOKUP(H515,'Dados de consulta'!$A$2:$C$38,3,0),8))</f>
        <v>0</v>
      </c>
      <c r="BF515" s="97">
        <f>IF(OR(AY515="SÁB",AY515="DOM"),0,IFERROR(8-VLOOKUP(I515,'Dados de consulta'!$A$2:$C$38,3,0),8))</f>
        <v>0</v>
      </c>
      <c r="BG515" s="97">
        <f>IF(OR(AY515="SÁB",AY515="DOM"),0,IFERROR(8-VLOOKUP(J515,'Dados de consulta'!$A$2:$C$38,3,0),8))</f>
        <v>0</v>
      </c>
      <c r="BH515" s="97">
        <f>IF(OR(AY515="SÁB",AY515="DOM"),0,IFERROR(8-VLOOKUP(K515,'Dados de consulta'!$A$2:$C$38,3,0),8))</f>
        <v>0</v>
      </c>
      <c r="BI515" s="97">
        <f>IF(OR(AY515="SÁB",AY515="DOM"),0,IFERROR(8-VLOOKUP(L515,'Dados de consulta'!$A$2:$C$38,3,0),8))</f>
        <v>0</v>
      </c>
      <c r="BJ515" s="97">
        <f>IF(OR(AY515="SÁB",AY515="DOM"),0,IFERROR(8-VLOOKUP(M515,'Dados de consulta'!$A$2:$C$38,3,0),8))</f>
        <v>0</v>
      </c>
      <c r="BK515" s="97">
        <f>IF(OR(AY515="SÁB",AY515="DOM"),0,IFERROR(8-VLOOKUP(N515,'Dados de consulta'!$A$2:$C$38,3,0),8))</f>
        <v>0</v>
      </c>
      <c r="BL515" s="97">
        <f>IF(OR(AY515="SÁB",AY515="DOM"),0,IFERROR(8-VLOOKUP(O515,'Dados de consulta'!$A$2:$C$38,3,0),8))</f>
        <v>0</v>
      </c>
      <c r="BM515" s="97">
        <f>IF(OR(AY515="SÁB",AY515="DOM"),0,IFERROR(8-VLOOKUP(P515,'Dados de consulta'!$A$2:$C$38,3,0),8))</f>
        <v>0</v>
      </c>
      <c r="BN515" s="97">
        <f>IF(OR(AY515="SÁB",AY515="DOM"),0,IFERROR(8-VLOOKUP(Q515,'Dados de consulta'!$A$2:$C$38,3,0),8))</f>
        <v>0</v>
      </c>
      <c r="BO515" s="97">
        <f>IF(OR(AY515="SÁB",AY515="DOM"),0,IFERROR(8-VLOOKUP(R515,'Dados de consulta'!$A$2:$C$38,3,0),8))</f>
        <v>0</v>
      </c>
      <c r="BP515" s="97">
        <f>IF(OR(AY515="SÁB",AY515="DOM"),0,IFERROR(8-VLOOKUP(S515,'Dados de consulta'!$A$2:$C$38,3,0),8))</f>
        <v>0</v>
      </c>
      <c r="BQ515" s="113">
        <f>IFERROR(6-VLOOKUP(T515,'Dados de consulta'!$A$2:$C$38,3,0)+2,6)</f>
        <v>6</v>
      </c>
      <c r="BR515" s="114">
        <f t="shared" ref="BR515:BR578" si="232">IF(OR(AY515="SÁB",AY515="DOM"),0,SUM(AZ515:BQ515))</f>
        <v>0</v>
      </c>
      <c r="BS515">
        <f t="shared" si="208"/>
        <v>0</v>
      </c>
      <c r="BU515">
        <f>IFERROR(8-VLOOKUP(U515,'Dados de consulta'!$A:$D,3,0),8)</f>
        <v>8</v>
      </c>
      <c r="BV515">
        <f>IFERROR(8-VLOOKUP(V515,'Dados de consulta'!$A:$D,3,0),8)</f>
        <v>8</v>
      </c>
      <c r="BW515">
        <f t="shared" ref="BW515:BW578" si="233">BU515+BV515</f>
        <v>16</v>
      </c>
    </row>
    <row r="516" spans="1:75" ht="15" hidden="1" x14ac:dyDescent="0.2">
      <c r="A516" s="98">
        <v>42639</v>
      </c>
      <c r="B516" s="129" t="str">
        <f t="shared" si="210"/>
        <v>seg</v>
      </c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>
        <v>101</v>
      </c>
      <c r="N516" s="132"/>
      <c r="O516" s="132"/>
      <c r="P516" s="132"/>
      <c r="Q516" s="132"/>
      <c r="R516" s="132"/>
      <c r="S516" s="132"/>
      <c r="T516" s="132"/>
      <c r="U516" s="151"/>
      <c r="V516" s="151"/>
      <c r="W516" s="307" t="s">
        <v>193</v>
      </c>
      <c r="X516" s="308"/>
      <c r="Y516" s="38">
        <f t="shared" si="211"/>
        <v>0</v>
      </c>
      <c r="Z516" s="38">
        <f t="shared" si="212"/>
        <v>0</v>
      </c>
      <c r="AA516" s="38">
        <f t="shared" si="209"/>
        <v>0</v>
      </c>
      <c r="AB516" s="38">
        <f t="shared" si="220"/>
        <v>0</v>
      </c>
      <c r="AC516" s="38">
        <f t="shared" si="221"/>
        <v>0</v>
      </c>
      <c r="AD516" s="38">
        <f t="shared" si="222"/>
        <v>0</v>
      </c>
      <c r="AE516" s="38">
        <f t="shared" si="223"/>
        <v>0</v>
      </c>
      <c r="AF516" s="38">
        <f t="shared" si="224"/>
        <v>0</v>
      </c>
      <c r="AG516" s="33">
        <f t="shared" si="225"/>
        <v>0</v>
      </c>
      <c r="AH516" s="33">
        <f t="shared" si="226"/>
        <v>0</v>
      </c>
      <c r="AI516" s="33">
        <f t="shared" si="227"/>
        <v>0</v>
      </c>
      <c r="AJ516" s="33">
        <f t="shared" si="228"/>
        <v>0</v>
      </c>
      <c r="AK516" s="34">
        <f t="shared" si="229"/>
        <v>0</v>
      </c>
      <c r="AL516" s="35">
        <f t="shared" si="230"/>
        <v>0</v>
      </c>
      <c r="AM516" s="34">
        <f t="shared" si="213"/>
        <v>0</v>
      </c>
      <c r="AN516" s="36">
        <f t="shared" si="231"/>
        <v>0</v>
      </c>
      <c r="AO516" s="6">
        <f t="shared" si="214"/>
        <v>0</v>
      </c>
      <c r="AP516">
        <f t="shared" si="215"/>
        <v>8</v>
      </c>
      <c r="AQ516" s="6">
        <f t="shared" si="216"/>
        <v>0</v>
      </c>
      <c r="AR516" s="6">
        <f t="shared" si="217"/>
        <v>0</v>
      </c>
      <c r="AS516" s="6"/>
      <c r="AX516" s="95">
        <f t="shared" si="218"/>
        <v>42639</v>
      </c>
      <c r="AY516" s="96" t="str">
        <f t="shared" si="219"/>
        <v>seg</v>
      </c>
      <c r="AZ516" s="97">
        <f>IF(OR(AY516="SÁB",AY516="DOM"),0,IFERROR(8-VLOOKUP(C516,'Dados de consulta'!$A$2:$C$38,3,0),8))</f>
        <v>8</v>
      </c>
      <c r="BA516" s="97">
        <f>IF(OR(AY516="SÁB",AY516="DOM"),0,IFERROR(8-VLOOKUP(D516,'Dados de consulta'!$A$2:$C$38,3,0),8))</f>
        <v>8</v>
      </c>
      <c r="BB516" s="97">
        <f>IF(OR(AY516="SÁB",AY516="DOM"),0,IFERROR(8-VLOOKUP(E516,'Dados de consulta'!$A$2:$C$38,3,0),8))</f>
        <v>8</v>
      </c>
      <c r="BC516" s="97">
        <f>IF(OR(AY516="SÁB",AY516="DOM"),0,IFERROR(8-VLOOKUP(F516,'Dados de consulta'!$A$2:$C$38,3,0),8))</f>
        <v>8</v>
      </c>
      <c r="BD516" s="97">
        <f>IF(OR(AY516="SÁB",AY516="DOM"),0,IFERROR(8-VLOOKUP(G516,'Dados de consulta'!$A$2:$C$38,3,0),8))</f>
        <v>8</v>
      </c>
      <c r="BE516" s="97">
        <f>IF(OR(AY516="SÁB",AY516="DOM"),0,IFERROR(8-VLOOKUP(H516,'Dados de consulta'!$A$2:$C$38,3,0),8))</f>
        <v>8</v>
      </c>
      <c r="BF516" s="97">
        <f>IF(OR(AY516="SÁB",AY516="DOM"),0,IFERROR(8-VLOOKUP(I516,'Dados de consulta'!$A$2:$C$38,3,0),8))</f>
        <v>8</v>
      </c>
      <c r="BG516" s="97">
        <f>IF(OR(AY516="SÁB",AY516="DOM"),0,IFERROR(8-VLOOKUP(J516,'Dados de consulta'!$A$2:$C$38,3,0),8))</f>
        <v>8</v>
      </c>
      <c r="BH516" s="97">
        <f>IF(OR(AY516="SÁB",AY516="DOM"),0,IFERROR(8-VLOOKUP(K516,'Dados de consulta'!$A$2:$C$38,3,0),8))</f>
        <v>8</v>
      </c>
      <c r="BI516" s="97">
        <f>IF(OR(AY516="SÁB",AY516="DOM"),0,IFERROR(8-VLOOKUP(L516,'Dados de consulta'!$A$2:$C$38,3,0),8))</f>
        <v>8</v>
      </c>
      <c r="BJ516" s="97">
        <f>IF(OR(AY516="SÁB",AY516="DOM"),0,IFERROR(8-VLOOKUP(M516,'Dados de consulta'!$A$2:$C$38,3,0),8))</f>
        <v>0</v>
      </c>
      <c r="BK516" s="97">
        <f>IF(OR(AY516="SÁB",AY516="DOM"),0,IFERROR(8-VLOOKUP(N516,'Dados de consulta'!$A$2:$C$38,3,0),8))</f>
        <v>8</v>
      </c>
      <c r="BL516" s="97">
        <f>IF(OR(AY516="SÁB",AY516="DOM"),0,IFERROR(8-VLOOKUP(O516,'Dados de consulta'!$A$2:$C$38,3,0),8))</f>
        <v>8</v>
      </c>
      <c r="BM516" s="97">
        <f>IF(OR(AY516="SÁB",AY516="DOM"),0,IFERROR(8-VLOOKUP(P516,'Dados de consulta'!$A$2:$C$38,3,0),8))</f>
        <v>8</v>
      </c>
      <c r="BN516" s="97">
        <f>IF(OR(AY516="SÁB",AY516="DOM"),0,IFERROR(8-VLOOKUP(Q516,'Dados de consulta'!$A$2:$C$38,3,0),8))</f>
        <v>8</v>
      </c>
      <c r="BO516" s="97">
        <f>IF(OR(AY516="SÁB",AY516="DOM"),0,IFERROR(8-VLOOKUP(R516,'Dados de consulta'!$A$2:$C$38,3,0),8))</f>
        <v>8</v>
      </c>
      <c r="BP516" s="97">
        <f>IF(OR(AY516="SÁB",AY516="DOM"),0,IFERROR(8-VLOOKUP(S516,'Dados de consulta'!$A$2:$C$38,3,0),8))</f>
        <v>8</v>
      </c>
      <c r="BQ516" s="113">
        <f>IFERROR(6-VLOOKUP(T516,'Dados de consulta'!$A$2:$C$38,3,0)+2,6)</f>
        <v>6</v>
      </c>
      <c r="BR516" s="114">
        <f t="shared" si="232"/>
        <v>134</v>
      </c>
      <c r="BS516">
        <f t="shared" si="208"/>
        <v>134</v>
      </c>
      <c r="BU516">
        <f>IFERROR(8-VLOOKUP(U516,'Dados de consulta'!$A:$D,3,0),8)</f>
        <v>8</v>
      </c>
      <c r="BV516">
        <f>IFERROR(8-VLOOKUP(V516,'Dados de consulta'!$A:$D,3,0),8)</f>
        <v>8</v>
      </c>
      <c r="BW516">
        <f t="shared" si="233"/>
        <v>16</v>
      </c>
    </row>
    <row r="517" spans="1:75" ht="15" hidden="1" x14ac:dyDescent="0.2">
      <c r="A517" s="98">
        <v>42640</v>
      </c>
      <c r="B517" s="129" t="str">
        <f t="shared" si="210"/>
        <v>ter</v>
      </c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>
        <v>101</v>
      </c>
      <c r="N517" s="132"/>
      <c r="O517" s="132"/>
      <c r="P517" s="132"/>
      <c r="Q517" s="132"/>
      <c r="R517" s="132"/>
      <c r="S517" s="132"/>
      <c r="T517" s="132"/>
      <c r="U517" s="151"/>
      <c r="V517" s="151"/>
      <c r="W517" s="307" t="s">
        <v>193</v>
      </c>
      <c r="X517" s="308"/>
      <c r="Y517" s="38">
        <f t="shared" si="211"/>
        <v>0</v>
      </c>
      <c r="Z517" s="38">
        <f t="shared" si="212"/>
        <v>0</v>
      </c>
      <c r="AA517" s="38">
        <f t="shared" si="209"/>
        <v>0</v>
      </c>
      <c r="AB517" s="38">
        <f t="shared" si="220"/>
        <v>0</v>
      </c>
      <c r="AC517" s="38">
        <f t="shared" si="221"/>
        <v>0</v>
      </c>
      <c r="AD517" s="38">
        <f t="shared" si="222"/>
        <v>0</v>
      </c>
      <c r="AE517" s="38">
        <f t="shared" si="223"/>
        <v>0</v>
      </c>
      <c r="AF517" s="38">
        <f t="shared" si="224"/>
        <v>0</v>
      </c>
      <c r="AG517" s="33">
        <f t="shared" si="225"/>
        <v>0</v>
      </c>
      <c r="AH517" s="33">
        <f t="shared" si="226"/>
        <v>0</v>
      </c>
      <c r="AI517" s="33">
        <f t="shared" si="227"/>
        <v>0</v>
      </c>
      <c r="AJ517" s="33">
        <f t="shared" si="228"/>
        <v>0</v>
      </c>
      <c r="AK517" s="34">
        <f t="shared" si="229"/>
        <v>0</v>
      </c>
      <c r="AL517" s="35">
        <f t="shared" si="230"/>
        <v>0</v>
      </c>
      <c r="AM517" s="34">
        <f t="shared" si="213"/>
        <v>0</v>
      </c>
      <c r="AN517" s="36">
        <f t="shared" si="231"/>
        <v>0</v>
      </c>
      <c r="AO517" s="6">
        <f t="shared" si="214"/>
        <v>0</v>
      </c>
      <c r="AP517">
        <f t="shared" si="215"/>
        <v>8</v>
      </c>
      <c r="AQ517" s="6">
        <f t="shared" si="216"/>
        <v>0</v>
      </c>
      <c r="AR517" s="6">
        <f t="shared" si="217"/>
        <v>0</v>
      </c>
      <c r="AS517" s="6"/>
      <c r="AX517" s="95">
        <f t="shared" si="218"/>
        <v>42640</v>
      </c>
      <c r="AY517" s="96" t="str">
        <f t="shared" si="219"/>
        <v>ter</v>
      </c>
      <c r="AZ517" s="97">
        <f>IF(OR(AY517="SÁB",AY517="DOM"),0,IFERROR(8-VLOOKUP(C517,'Dados de consulta'!$A$2:$C$38,3,0),8))</f>
        <v>8</v>
      </c>
      <c r="BA517" s="97">
        <f>IF(OR(AY517="SÁB",AY517="DOM"),0,IFERROR(8-VLOOKUP(D517,'Dados de consulta'!$A$2:$C$38,3,0),8))</f>
        <v>8</v>
      </c>
      <c r="BB517" s="97">
        <f>IF(OR(AY517="SÁB",AY517="DOM"),0,IFERROR(8-VLOOKUP(E517,'Dados de consulta'!$A$2:$C$38,3,0),8))</f>
        <v>8</v>
      </c>
      <c r="BC517" s="97">
        <f>IF(OR(AY517="SÁB",AY517="DOM"),0,IFERROR(8-VLOOKUP(F517,'Dados de consulta'!$A$2:$C$38,3,0),8))</f>
        <v>8</v>
      </c>
      <c r="BD517" s="97">
        <f>IF(OR(AY517="SÁB",AY517="DOM"),0,IFERROR(8-VLOOKUP(G517,'Dados de consulta'!$A$2:$C$38,3,0),8))</f>
        <v>8</v>
      </c>
      <c r="BE517" s="97">
        <f>IF(OR(AY517="SÁB",AY517="DOM"),0,IFERROR(8-VLOOKUP(H517,'Dados de consulta'!$A$2:$C$38,3,0),8))</f>
        <v>8</v>
      </c>
      <c r="BF517" s="97">
        <f>IF(OR(AY517="SÁB",AY517="DOM"),0,IFERROR(8-VLOOKUP(I517,'Dados de consulta'!$A$2:$C$38,3,0),8))</f>
        <v>8</v>
      </c>
      <c r="BG517" s="97">
        <f>IF(OR(AY517="SÁB",AY517="DOM"),0,IFERROR(8-VLOOKUP(J517,'Dados de consulta'!$A$2:$C$38,3,0),8))</f>
        <v>8</v>
      </c>
      <c r="BH517" s="97">
        <f>IF(OR(AY517="SÁB",AY517="DOM"),0,IFERROR(8-VLOOKUP(K517,'Dados de consulta'!$A$2:$C$38,3,0),8))</f>
        <v>8</v>
      </c>
      <c r="BI517" s="97">
        <f>IF(OR(AY517="SÁB",AY517="DOM"),0,IFERROR(8-VLOOKUP(L517,'Dados de consulta'!$A$2:$C$38,3,0),8))</f>
        <v>8</v>
      </c>
      <c r="BJ517" s="97">
        <f>IF(OR(AY517="SÁB",AY517="DOM"),0,IFERROR(8-VLOOKUP(M517,'Dados de consulta'!$A$2:$C$38,3,0),8))</f>
        <v>0</v>
      </c>
      <c r="BK517" s="97">
        <f>IF(OR(AY517="SÁB",AY517="DOM"),0,IFERROR(8-VLOOKUP(N517,'Dados de consulta'!$A$2:$C$38,3,0),8))</f>
        <v>8</v>
      </c>
      <c r="BL517" s="97">
        <f>IF(OR(AY517="SÁB",AY517="DOM"),0,IFERROR(8-VLOOKUP(O517,'Dados de consulta'!$A$2:$C$38,3,0),8))</f>
        <v>8</v>
      </c>
      <c r="BM517" s="97">
        <f>IF(OR(AY517="SÁB",AY517="DOM"),0,IFERROR(8-VLOOKUP(P517,'Dados de consulta'!$A$2:$C$38,3,0),8))</f>
        <v>8</v>
      </c>
      <c r="BN517" s="97">
        <f>IF(OR(AY517="SÁB",AY517="DOM"),0,IFERROR(8-VLOOKUP(Q517,'Dados de consulta'!$A$2:$C$38,3,0),8))</f>
        <v>8</v>
      </c>
      <c r="BO517" s="97">
        <f>IF(OR(AY517="SÁB",AY517="DOM"),0,IFERROR(8-VLOOKUP(R517,'Dados de consulta'!$A$2:$C$38,3,0),8))</f>
        <v>8</v>
      </c>
      <c r="BP517" s="97">
        <f>IF(OR(AY517="SÁB",AY517="DOM"),0,IFERROR(8-VLOOKUP(S517,'Dados de consulta'!$A$2:$C$38,3,0),8))</f>
        <v>8</v>
      </c>
      <c r="BQ517" s="113">
        <f>IFERROR(6-VLOOKUP(T517,'Dados de consulta'!$A$2:$C$38,3,0)+2,6)</f>
        <v>6</v>
      </c>
      <c r="BR517" s="114">
        <f t="shared" si="232"/>
        <v>134</v>
      </c>
      <c r="BS517">
        <f t="shared" si="208"/>
        <v>134</v>
      </c>
      <c r="BU517">
        <f>IFERROR(8-VLOOKUP(U517,'Dados de consulta'!$A:$D,3,0),8)</f>
        <v>8</v>
      </c>
      <c r="BV517">
        <f>IFERROR(8-VLOOKUP(V517,'Dados de consulta'!$A:$D,3,0),8)</f>
        <v>8</v>
      </c>
      <c r="BW517">
        <f t="shared" si="233"/>
        <v>16</v>
      </c>
    </row>
    <row r="518" spans="1:75" ht="15" hidden="1" x14ac:dyDescent="0.2">
      <c r="A518" s="98">
        <v>42641</v>
      </c>
      <c r="B518" s="129" t="str">
        <f t="shared" si="210"/>
        <v>qua</v>
      </c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>
        <v>101</v>
      </c>
      <c r="N518" s="132"/>
      <c r="O518" s="132"/>
      <c r="P518" s="132"/>
      <c r="Q518" s="132"/>
      <c r="R518" s="132"/>
      <c r="S518" s="132"/>
      <c r="T518" s="132"/>
      <c r="U518" s="151"/>
      <c r="V518" s="151"/>
      <c r="W518" s="307" t="s">
        <v>193</v>
      </c>
      <c r="X518" s="308"/>
      <c r="Y518" s="38">
        <f t="shared" si="211"/>
        <v>0</v>
      </c>
      <c r="Z518" s="38">
        <f t="shared" si="212"/>
        <v>0</v>
      </c>
      <c r="AA518" s="38">
        <f t="shared" si="209"/>
        <v>0</v>
      </c>
      <c r="AB518" s="38">
        <f t="shared" si="220"/>
        <v>0</v>
      </c>
      <c r="AC518" s="38">
        <f t="shared" si="221"/>
        <v>0</v>
      </c>
      <c r="AD518" s="38">
        <f t="shared" si="222"/>
        <v>0</v>
      </c>
      <c r="AE518" s="38">
        <f t="shared" si="223"/>
        <v>0</v>
      </c>
      <c r="AF518" s="38">
        <f t="shared" si="224"/>
        <v>0</v>
      </c>
      <c r="AG518" s="33">
        <f t="shared" si="225"/>
        <v>0</v>
      </c>
      <c r="AH518" s="33">
        <f t="shared" si="226"/>
        <v>0</v>
      </c>
      <c r="AI518" s="33">
        <f t="shared" si="227"/>
        <v>0</v>
      </c>
      <c r="AJ518" s="33">
        <f t="shared" si="228"/>
        <v>0</v>
      </c>
      <c r="AK518" s="34">
        <f t="shared" si="229"/>
        <v>0</v>
      </c>
      <c r="AL518" s="35">
        <f t="shared" si="230"/>
        <v>0</v>
      </c>
      <c r="AM518" s="34">
        <f t="shared" si="213"/>
        <v>0</v>
      </c>
      <c r="AN518" s="36">
        <f t="shared" si="231"/>
        <v>0</v>
      </c>
      <c r="AO518" s="6">
        <f t="shared" si="214"/>
        <v>0</v>
      </c>
      <c r="AP518">
        <f t="shared" si="215"/>
        <v>8</v>
      </c>
      <c r="AQ518" s="6">
        <f t="shared" si="216"/>
        <v>0</v>
      </c>
      <c r="AR518" s="6">
        <f t="shared" si="217"/>
        <v>0</v>
      </c>
      <c r="AS518" s="6"/>
      <c r="AX518" s="95">
        <f t="shared" si="218"/>
        <v>42641</v>
      </c>
      <c r="AY518" s="96" t="str">
        <f t="shared" si="219"/>
        <v>qua</v>
      </c>
      <c r="AZ518" s="97">
        <f>IF(OR(AY518="SÁB",AY518="DOM"),0,IFERROR(8-VLOOKUP(C518,'Dados de consulta'!$A$2:$C$38,3,0),8))</f>
        <v>8</v>
      </c>
      <c r="BA518" s="97">
        <f>IF(OR(AY518="SÁB",AY518="DOM"),0,IFERROR(8-VLOOKUP(D518,'Dados de consulta'!$A$2:$C$38,3,0),8))</f>
        <v>8</v>
      </c>
      <c r="BB518" s="97">
        <f>IF(OR(AY518="SÁB",AY518="DOM"),0,IFERROR(8-VLOOKUP(E518,'Dados de consulta'!$A$2:$C$38,3,0),8))</f>
        <v>8</v>
      </c>
      <c r="BC518" s="97">
        <f>IF(OR(AY518="SÁB",AY518="DOM"),0,IFERROR(8-VLOOKUP(F518,'Dados de consulta'!$A$2:$C$38,3,0),8))</f>
        <v>8</v>
      </c>
      <c r="BD518" s="97">
        <f>IF(OR(AY518="SÁB",AY518="DOM"),0,IFERROR(8-VLOOKUP(G518,'Dados de consulta'!$A$2:$C$38,3,0),8))</f>
        <v>8</v>
      </c>
      <c r="BE518" s="97">
        <f>IF(OR(AY518="SÁB",AY518="DOM"),0,IFERROR(8-VLOOKUP(H518,'Dados de consulta'!$A$2:$C$38,3,0),8))</f>
        <v>8</v>
      </c>
      <c r="BF518" s="97">
        <f>IF(OR(AY518="SÁB",AY518="DOM"),0,IFERROR(8-VLOOKUP(I518,'Dados de consulta'!$A$2:$C$38,3,0),8))</f>
        <v>8</v>
      </c>
      <c r="BG518" s="97">
        <f>IF(OR(AY518="SÁB",AY518="DOM"),0,IFERROR(8-VLOOKUP(J518,'Dados de consulta'!$A$2:$C$38,3,0),8))</f>
        <v>8</v>
      </c>
      <c r="BH518" s="97">
        <f>IF(OR(AY518="SÁB",AY518="DOM"),0,IFERROR(8-VLOOKUP(K518,'Dados de consulta'!$A$2:$C$38,3,0),8))</f>
        <v>8</v>
      </c>
      <c r="BI518" s="97">
        <f>IF(OR(AY518="SÁB",AY518="DOM"),0,IFERROR(8-VLOOKUP(L518,'Dados de consulta'!$A$2:$C$38,3,0),8))</f>
        <v>8</v>
      </c>
      <c r="BJ518" s="97">
        <f>IF(OR(AY518="SÁB",AY518="DOM"),0,IFERROR(8-VLOOKUP(M518,'Dados de consulta'!$A$2:$C$38,3,0),8))</f>
        <v>0</v>
      </c>
      <c r="BK518" s="97">
        <f>IF(OR(AY518="SÁB",AY518="DOM"),0,IFERROR(8-VLOOKUP(N518,'Dados de consulta'!$A$2:$C$38,3,0),8))</f>
        <v>8</v>
      </c>
      <c r="BL518" s="97">
        <f>IF(OR(AY518="SÁB",AY518="DOM"),0,IFERROR(8-VLOOKUP(O518,'Dados de consulta'!$A$2:$C$38,3,0),8))</f>
        <v>8</v>
      </c>
      <c r="BM518" s="97">
        <f>IF(OR(AY518="SÁB",AY518="DOM"),0,IFERROR(8-VLOOKUP(P518,'Dados de consulta'!$A$2:$C$38,3,0),8))</f>
        <v>8</v>
      </c>
      <c r="BN518" s="97">
        <f>IF(OR(AY518="SÁB",AY518="DOM"),0,IFERROR(8-VLOOKUP(Q518,'Dados de consulta'!$A$2:$C$38,3,0),8))</f>
        <v>8</v>
      </c>
      <c r="BO518" s="97">
        <f>IF(OR(AY518="SÁB",AY518="DOM"),0,IFERROR(8-VLOOKUP(R518,'Dados de consulta'!$A$2:$C$38,3,0),8))</f>
        <v>8</v>
      </c>
      <c r="BP518" s="97">
        <f>IF(OR(AY518="SÁB",AY518="DOM"),0,IFERROR(8-VLOOKUP(S518,'Dados de consulta'!$A$2:$C$38,3,0),8))</f>
        <v>8</v>
      </c>
      <c r="BQ518" s="113">
        <f>IFERROR(6-VLOOKUP(T518,'Dados de consulta'!$A$2:$C$38,3,0)+2,6)</f>
        <v>6</v>
      </c>
      <c r="BR518" s="114">
        <f t="shared" si="232"/>
        <v>134</v>
      </c>
      <c r="BS518">
        <f t="shared" si="208"/>
        <v>134</v>
      </c>
      <c r="BU518">
        <f>IFERROR(8-VLOOKUP(U518,'Dados de consulta'!$A:$D,3,0),8)</f>
        <v>8</v>
      </c>
      <c r="BV518">
        <f>IFERROR(8-VLOOKUP(V518,'Dados de consulta'!$A:$D,3,0),8)</f>
        <v>8</v>
      </c>
      <c r="BW518">
        <f t="shared" si="233"/>
        <v>16</v>
      </c>
    </row>
    <row r="519" spans="1:75" ht="15" hidden="1" x14ac:dyDescent="0.2">
      <c r="A519" s="98">
        <v>42642</v>
      </c>
      <c r="B519" s="129" t="str">
        <f t="shared" si="210"/>
        <v>qui</v>
      </c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>
        <v>101</v>
      </c>
      <c r="N519" s="132"/>
      <c r="O519" s="132"/>
      <c r="P519" s="132"/>
      <c r="Q519" s="132"/>
      <c r="R519" s="132"/>
      <c r="S519" s="132"/>
      <c r="T519" s="132"/>
      <c r="U519" s="151"/>
      <c r="V519" s="151"/>
      <c r="W519" s="307" t="s">
        <v>193</v>
      </c>
      <c r="X519" s="308"/>
      <c r="Y519" s="38">
        <f t="shared" si="211"/>
        <v>0</v>
      </c>
      <c r="Z519" s="38">
        <f t="shared" si="212"/>
        <v>0</v>
      </c>
      <c r="AA519" s="38">
        <f t="shared" si="209"/>
        <v>0</v>
      </c>
      <c r="AB519" s="38">
        <f t="shared" si="220"/>
        <v>0</v>
      </c>
      <c r="AC519" s="38">
        <f t="shared" si="221"/>
        <v>0</v>
      </c>
      <c r="AD519" s="38">
        <f t="shared" si="222"/>
        <v>0</v>
      </c>
      <c r="AE519" s="38">
        <f t="shared" si="223"/>
        <v>0</v>
      </c>
      <c r="AF519" s="38">
        <f t="shared" si="224"/>
        <v>0</v>
      </c>
      <c r="AG519" s="33">
        <f t="shared" si="225"/>
        <v>0</v>
      </c>
      <c r="AH519" s="33">
        <f t="shared" si="226"/>
        <v>0</v>
      </c>
      <c r="AI519" s="33">
        <f t="shared" si="227"/>
        <v>0</v>
      </c>
      <c r="AJ519" s="33">
        <f t="shared" si="228"/>
        <v>0</v>
      </c>
      <c r="AK519" s="34">
        <f t="shared" si="229"/>
        <v>0</v>
      </c>
      <c r="AL519" s="35">
        <f t="shared" si="230"/>
        <v>0</v>
      </c>
      <c r="AM519" s="34">
        <f t="shared" si="213"/>
        <v>0</v>
      </c>
      <c r="AN519" s="36">
        <f t="shared" si="231"/>
        <v>0</v>
      </c>
      <c r="AO519" s="6">
        <f t="shared" si="214"/>
        <v>0</v>
      </c>
      <c r="AP519">
        <f t="shared" si="215"/>
        <v>8</v>
      </c>
      <c r="AQ519" s="6">
        <f t="shared" si="216"/>
        <v>0</v>
      </c>
      <c r="AR519" s="6">
        <f t="shared" si="217"/>
        <v>0</v>
      </c>
      <c r="AS519" s="6"/>
      <c r="AX519" s="95">
        <f t="shared" si="218"/>
        <v>42642</v>
      </c>
      <c r="AY519" s="96" t="str">
        <f t="shared" si="219"/>
        <v>qui</v>
      </c>
      <c r="AZ519" s="97">
        <f>IF(OR(AY519="SÁB",AY519="DOM"),0,IFERROR(8-VLOOKUP(C519,'Dados de consulta'!$A$2:$C$38,3,0),8))</f>
        <v>8</v>
      </c>
      <c r="BA519" s="97">
        <f>IF(OR(AY519="SÁB",AY519="DOM"),0,IFERROR(8-VLOOKUP(D519,'Dados de consulta'!$A$2:$C$38,3,0),8))</f>
        <v>8</v>
      </c>
      <c r="BB519" s="97">
        <f>IF(OR(AY519="SÁB",AY519="DOM"),0,IFERROR(8-VLOOKUP(E519,'Dados de consulta'!$A$2:$C$38,3,0),8))</f>
        <v>8</v>
      </c>
      <c r="BC519" s="97">
        <f>IF(OR(AY519="SÁB",AY519="DOM"),0,IFERROR(8-VLOOKUP(F519,'Dados de consulta'!$A$2:$C$38,3,0),8))</f>
        <v>8</v>
      </c>
      <c r="BD519" s="97">
        <f>IF(OR(AY519="SÁB",AY519="DOM"),0,IFERROR(8-VLOOKUP(G519,'Dados de consulta'!$A$2:$C$38,3,0),8))</f>
        <v>8</v>
      </c>
      <c r="BE519" s="97">
        <f>IF(OR(AY519="SÁB",AY519="DOM"),0,IFERROR(8-VLOOKUP(H519,'Dados de consulta'!$A$2:$C$38,3,0),8))</f>
        <v>8</v>
      </c>
      <c r="BF519" s="97">
        <f>IF(OR(AY519="SÁB",AY519="DOM"),0,IFERROR(8-VLOOKUP(I519,'Dados de consulta'!$A$2:$C$38,3,0),8))</f>
        <v>8</v>
      </c>
      <c r="BG519" s="97">
        <f>IF(OR(AY519="SÁB",AY519="DOM"),0,IFERROR(8-VLOOKUP(J519,'Dados de consulta'!$A$2:$C$38,3,0),8))</f>
        <v>8</v>
      </c>
      <c r="BH519" s="97">
        <f>IF(OR(AY519="SÁB",AY519="DOM"),0,IFERROR(8-VLOOKUP(K519,'Dados de consulta'!$A$2:$C$38,3,0),8))</f>
        <v>8</v>
      </c>
      <c r="BI519" s="97">
        <f>IF(OR(AY519="SÁB",AY519="DOM"),0,IFERROR(8-VLOOKUP(L519,'Dados de consulta'!$A$2:$C$38,3,0),8))</f>
        <v>8</v>
      </c>
      <c r="BJ519" s="97">
        <f>IF(OR(AY519="SÁB",AY519="DOM"),0,IFERROR(8-VLOOKUP(M519,'Dados de consulta'!$A$2:$C$38,3,0),8))</f>
        <v>0</v>
      </c>
      <c r="BK519" s="97">
        <f>IF(OR(AY519="SÁB",AY519="DOM"),0,IFERROR(8-VLOOKUP(N519,'Dados de consulta'!$A$2:$C$38,3,0),8))</f>
        <v>8</v>
      </c>
      <c r="BL519" s="97">
        <f>IF(OR(AY519="SÁB",AY519="DOM"),0,IFERROR(8-VLOOKUP(O519,'Dados de consulta'!$A$2:$C$38,3,0),8))</f>
        <v>8</v>
      </c>
      <c r="BM519" s="97">
        <f>IF(OR(AY519="SÁB",AY519="DOM"),0,IFERROR(8-VLOOKUP(P519,'Dados de consulta'!$A$2:$C$38,3,0),8))</f>
        <v>8</v>
      </c>
      <c r="BN519" s="97">
        <f>IF(OR(AY519="SÁB",AY519="DOM"),0,IFERROR(8-VLOOKUP(Q519,'Dados de consulta'!$A$2:$C$38,3,0),8))</f>
        <v>8</v>
      </c>
      <c r="BO519" s="97">
        <f>IF(OR(AY519="SÁB",AY519="DOM"),0,IFERROR(8-VLOOKUP(R519,'Dados de consulta'!$A$2:$C$38,3,0),8))</f>
        <v>8</v>
      </c>
      <c r="BP519" s="97">
        <f>IF(OR(AY519="SÁB",AY519="DOM"),0,IFERROR(8-VLOOKUP(S519,'Dados de consulta'!$A$2:$C$38,3,0),8))</f>
        <v>8</v>
      </c>
      <c r="BQ519" s="113">
        <f>IFERROR(6-VLOOKUP(T519,'Dados de consulta'!$A$2:$C$38,3,0)+2,6)</f>
        <v>6</v>
      </c>
      <c r="BR519" s="114">
        <f t="shared" si="232"/>
        <v>134</v>
      </c>
      <c r="BS519">
        <f t="shared" si="208"/>
        <v>134</v>
      </c>
      <c r="BU519">
        <f>IFERROR(8-VLOOKUP(U519,'Dados de consulta'!$A:$D,3,0),8)</f>
        <v>8</v>
      </c>
      <c r="BV519">
        <f>IFERROR(8-VLOOKUP(V519,'Dados de consulta'!$A:$D,3,0),8)</f>
        <v>8</v>
      </c>
      <c r="BW519">
        <f t="shared" si="233"/>
        <v>16</v>
      </c>
    </row>
    <row r="520" spans="1:75" ht="15" hidden="1" x14ac:dyDescent="0.2">
      <c r="A520" s="98">
        <v>42643</v>
      </c>
      <c r="B520" s="129" t="str">
        <f t="shared" si="210"/>
        <v>sex</v>
      </c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>
        <v>101</v>
      </c>
      <c r="N520" s="132"/>
      <c r="O520" s="132"/>
      <c r="P520" s="132"/>
      <c r="Q520" s="132"/>
      <c r="R520" s="132"/>
      <c r="S520" s="132"/>
      <c r="T520" s="132"/>
      <c r="U520" s="151"/>
      <c r="V520" s="151"/>
      <c r="W520" s="307" t="s">
        <v>193</v>
      </c>
      <c r="X520" s="308"/>
      <c r="Y520" s="38">
        <f t="shared" si="211"/>
        <v>0</v>
      </c>
      <c r="Z520" s="38">
        <f t="shared" si="212"/>
        <v>0</v>
      </c>
      <c r="AA520" s="38">
        <f t="shared" si="209"/>
        <v>0</v>
      </c>
      <c r="AB520" s="38">
        <f t="shared" si="220"/>
        <v>0</v>
      </c>
      <c r="AC520" s="38">
        <f t="shared" si="221"/>
        <v>0</v>
      </c>
      <c r="AD520" s="38">
        <f t="shared" si="222"/>
        <v>0</v>
      </c>
      <c r="AE520" s="38">
        <f t="shared" si="223"/>
        <v>0</v>
      </c>
      <c r="AF520" s="38">
        <f t="shared" si="224"/>
        <v>0</v>
      </c>
      <c r="AG520" s="33">
        <f t="shared" si="225"/>
        <v>0</v>
      </c>
      <c r="AH520" s="33">
        <f t="shared" si="226"/>
        <v>0</v>
      </c>
      <c r="AI520" s="33">
        <f t="shared" si="227"/>
        <v>0</v>
      </c>
      <c r="AJ520" s="33">
        <f t="shared" si="228"/>
        <v>0</v>
      </c>
      <c r="AK520" s="34">
        <f t="shared" si="229"/>
        <v>0</v>
      </c>
      <c r="AL520" s="35">
        <f t="shared" si="230"/>
        <v>0</v>
      </c>
      <c r="AM520" s="34">
        <f t="shared" si="213"/>
        <v>0</v>
      </c>
      <c r="AN520" s="36">
        <f t="shared" si="231"/>
        <v>0</v>
      </c>
      <c r="AO520" s="6">
        <f t="shared" si="214"/>
        <v>0</v>
      </c>
      <c r="AP520">
        <f t="shared" si="215"/>
        <v>8</v>
      </c>
      <c r="AQ520" s="6">
        <f t="shared" si="216"/>
        <v>0</v>
      </c>
      <c r="AR520" s="6">
        <f t="shared" si="217"/>
        <v>0</v>
      </c>
      <c r="AS520" s="6"/>
      <c r="AX520" s="95">
        <f t="shared" si="218"/>
        <v>42643</v>
      </c>
      <c r="AY520" s="96" t="str">
        <f t="shared" si="219"/>
        <v>sex</v>
      </c>
      <c r="AZ520" s="97">
        <f>IF(OR(AY520="SÁB",AY520="DOM"),0,IFERROR(8-VLOOKUP(C520,'Dados de consulta'!$A$2:$C$38,3,0),8))</f>
        <v>8</v>
      </c>
      <c r="BA520" s="97">
        <f>IF(OR(AY520="SÁB",AY520="DOM"),0,IFERROR(8-VLOOKUP(D520,'Dados de consulta'!$A$2:$C$38,3,0),8))</f>
        <v>8</v>
      </c>
      <c r="BB520" s="97">
        <f>IF(OR(AY520="SÁB",AY520="DOM"),0,IFERROR(8-VLOOKUP(E520,'Dados de consulta'!$A$2:$C$38,3,0),8))</f>
        <v>8</v>
      </c>
      <c r="BC520" s="97">
        <f>IF(OR(AY520="SÁB",AY520="DOM"),0,IFERROR(8-VLOOKUP(F520,'Dados de consulta'!$A$2:$C$38,3,0),8))</f>
        <v>8</v>
      </c>
      <c r="BD520" s="97">
        <f>IF(OR(AY520="SÁB",AY520="DOM"),0,IFERROR(8-VLOOKUP(G520,'Dados de consulta'!$A$2:$C$38,3,0),8))</f>
        <v>8</v>
      </c>
      <c r="BE520" s="97">
        <f>IF(OR(AY520="SÁB",AY520="DOM"),0,IFERROR(8-VLOOKUP(H520,'Dados de consulta'!$A$2:$C$38,3,0),8))</f>
        <v>8</v>
      </c>
      <c r="BF520" s="97">
        <f>IF(OR(AY520="SÁB",AY520="DOM"),0,IFERROR(8-VLOOKUP(I520,'Dados de consulta'!$A$2:$C$38,3,0),8))</f>
        <v>8</v>
      </c>
      <c r="BG520" s="97">
        <f>IF(OR(AY520="SÁB",AY520="DOM"),0,IFERROR(8-VLOOKUP(J520,'Dados de consulta'!$A$2:$C$38,3,0),8))</f>
        <v>8</v>
      </c>
      <c r="BH520" s="97">
        <f>IF(OR(AY520="SÁB",AY520="DOM"),0,IFERROR(8-VLOOKUP(K520,'Dados de consulta'!$A$2:$C$38,3,0),8))</f>
        <v>8</v>
      </c>
      <c r="BI520" s="97">
        <f>IF(OR(AY520="SÁB",AY520="DOM"),0,IFERROR(8-VLOOKUP(L520,'Dados de consulta'!$A$2:$C$38,3,0),8))</f>
        <v>8</v>
      </c>
      <c r="BJ520" s="97">
        <f>IF(OR(AY520="SÁB",AY520="DOM"),0,IFERROR(8-VLOOKUP(M520,'Dados de consulta'!$A$2:$C$38,3,0),8))</f>
        <v>0</v>
      </c>
      <c r="BK520" s="97">
        <f>IF(OR(AY520="SÁB",AY520="DOM"),0,IFERROR(8-VLOOKUP(N520,'Dados de consulta'!$A$2:$C$38,3,0),8))</f>
        <v>8</v>
      </c>
      <c r="BL520" s="97">
        <f>IF(OR(AY520="SÁB",AY520="DOM"),0,IFERROR(8-VLOOKUP(O520,'Dados de consulta'!$A$2:$C$38,3,0),8))</f>
        <v>8</v>
      </c>
      <c r="BM520" s="97">
        <f>IF(OR(AY520="SÁB",AY520="DOM"),0,IFERROR(8-VLOOKUP(P520,'Dados de consulta'!$A$2:$C$38,3,0),8))</f>
        <v>8</v>
      </c>
      <c r="BN520" s="97">
        <f>IF(OR(AY520="SÁB",AY520="DOM"),0,IFERROR(8-VLOOKUP(Q520,'Dados de consulta'!$A$2:$C$38,3,0),8))</f>
        <v>8</v>
      </c>
      <c r="BO520" s="97">
        <f>IF(OR(AY520="SÁB",AY520="DOM"),0,IFERROR(8-VLOOKUP(R520,'Dados de consulta'!$A$2:$C$38,3,0),8))</f>
        <v>8</v>
      </c>
      <c r="BP520" s="97">
        <f>IF(OR(AY520="SÁB",AY520="DOM"),0,IFERROR(8-VLOOKUP(S520,'Dados de consulta'!$A$2:$C$38,3,0),8))</f>
        <v>8</v>
      </c>
      <c r="BQ520" s="113">
        <f>IFERROR(6-VLOOKUP(T520,'Dados de consulta'!$A$2:$C$38,3,0)+2,6)</f>
        <v>6</v>
      </c>
      <c r="BR520" s="114">
        <f t="shared" si="232"/>
        <v>134</v>
      </c>
      <c r="BS520">
        <f t="shared" si="208"/>
        <v>134</v>
      </c>
      <c r="BU520">
        <f>IFERROR(8-VLOOKUP(U520,'Dados de consulta'!$A:$D,3,0),8)</f>
        <v>8</v>
      </c>
      <c r="BV520">
        <f>IFERROR(8-VLOOKUP(V520,'Dados de consulta'!$A:$D,3,0),8)</f>
        <v>8</v>
      </c>
      <c r="BW520">
        <f t="shared" si="233"/>
        <v>16</v>
      </c>
    </row>
    <row r="521" spans="1:75" ht="15" hidden="1" x14ac:dyDescent="0.2">
      <c r="A521" s="98">
        <v>42644</v>
      </c>
      <c r="B521" s="129" t="str">
        <f t="shared" si="210"/>
        <v>sáb</v>
      </c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>
        <v>101</v>
      </c>
      <c r="N521" s="132"/>
      <c r="O521" s="132"/>
      <c r="P521" s="132"/>
      <c r="Q521" s="132"/>
      <c r="R521" s="132"/>
      <c r="S521" s="132"/>
      <c r="T521" s="132"/>
      <c r="U521" s="151"/>
      <c r="V521" s="151"/>
      <c r="W521" s="307" t="s">
        <v>193</v>
      </c>
      <c r="X521" s="308"/>
      <c r="Y521" s="38">
        <f t="shared" si="211"/>
        <v>0</v>
      </c>
      <c r="Z521" s="38">
        <f t="shared" si="212"/>
        <v>0</v>
      </c>
      <c r="AA521" s="38">
        <f t="shared" si="209"/>
        <v>0</v>
      </c>
      <c r="AB521" s="38">
        <f t="shared" si="220"/>
        <v>0</v>
      </c>
      <c r="AC521" s="38">
        <f t="shared" si="221"/>
        <v>0</v>
      </c>
      <c r="AD521" s="38">
        <f t="shared" si="222"/>
        <v>0</v>
      </c>
      <c r="AE521" s="38">
        <f t="shared" si="223"/>
        <v>0</v>
      </c>
      <c r="AF521" s="38">
        <f t="shared" si="224"/>
        <v>0</v>
      </c>
      <c r="AG521" s="33">
        <f t="shared" si="225"/>
        <v>0</v>
      </c>
      <c r="AH521" s="33">
        <f t="shared" si="226"/>
        <v>0</v>
      </c>
      <c r="AI521" s="33">
        <f t="shared" si="227"/>
        <v>0</v>
      </c>
      <c r="AJ521" s="33">
        <f t="shared" si="228"/>
        <v>0</v>
      </c>
      <c r="AK521" s="34">
        <f t="shared" si="229"/>
        <v>0</v>
      </c>
      <c r="AL521" s="35">
        <f t="shared" si="230"/>
        <v>0</v>
      </c>
      <c r="AM521" s="34">
        <f t="shared" si="213"/>
        <v>0</v>
      </c>
      <c r="AN521" s="36">
        <f t="shared" si="231"/>
        <v>0</v>
      </c>
      <c r="AO521" s="6">
        <f t="shared" si="214"/>
        <v>0</v>
      </c>
      <c r="AP521">
        <f t="shared" si="215"/>
        <v>8</v>
      </c>
      <c r="AQ521" s="6">
        <f t="shared" si="216"/>
        <v>0</v>
      </c>
      <c r="AR521" s="6">
        <f t="shared" si="217"/>
        <v>0</v>
      </c>
      <c r="AS521" s="6"/>
      <c r="AX521" s="95">
        <f t="shared" si="218"/>
        <v>42644</v>
      </c>
      <c r="AY521" s="96" t="str">
        <f t="shared" si="219"/>
        <v>sáb</v>
      </c>
      <c r="AZ521" s="97">
        <f>IF(OR(AY521="SÁB",AY521="DOM"),0,IFERROR(8-VLOOKUP(C521,'Dados de consulta'!$A$2:$C$38,3,0),8))</f>
        <v>0</v>
      </c>
      <c r="BA521" s="97">
        <f>IF(OR(AY521="SÁB",AY521="DOM"),0,IFERROR(8-VLOOKUP(D521,'Dados de consulta'!$A$2:$C$38,3,0),8))</f>
        <v>0</v>
      </c>
      <c r="BB521" s="97">
        <f>IF(OR(AY521="SÁB",AY521="DOM"),0,IFERROR(8-VLOOKUP(E521,'Dados de consulta'!$A$2:$C$38,3,0),8))</f>
        <v>0</v>
      </c>
      <c r="BC521" s="97">
        <f>IF(OR(AY521="SÁB",AY521="DOM"),0,IFERROR(8-VLOOKUP(F521,'Dados de consulta'!$A$2:$C$38,3,0),8))</f>
        <v>0</v>
      </c>
      <c r="BD521" s="97">
        <f>IF(OR(AY521="SÁB",AY521="DOM"),0,IFERROR(8-VLOOKUP(G521,'Dados de consulta'!$A$2:$C$38,3,0),8))</f>
        <v>0</v>
      </c>
      <c r="BE521" s="97">
        <f>IF(OR(AY521="SÁB",AY521="DOM"),0,IFERROR(8-VLOOKUP(H521,'Dados de consulta'!$A$2:$C$38,3,0),8))</f>
        <v>0</v>
      </c>
      <c r="BF521" s="97">
        <f>IF(OR(AY521="SÁB",AY521="DOM"),0,IFERROR(8-VLOOKUP(I521,'Dados de consulta'!$A$2:$C$38,3,0),8))</f>
        <v>0</v>
      </c>
      <c r="BG521" s="97">
        <f>IF(OR(AY521="SÁB",AY521="DOM"),0,IFERROR(8-VLOOKUP(J521,'Dados de consulta'!$A$2:$C$38,3,0),8))</f>
        <v>0</v>
      </c>
      <c r="BH521" s="97">
        <f>IF(OR(AY521="SÁB",AY521="DOM"),0,IFERROR(8-VLOOKUP(K521,'Dados de consulta'!$A$2:$C$38,3,0),8))</f>
        <v>0</v>
      </c>
      <c r="BI521" s="97">
        <f>IF(OR(AY521="SÁB",AY521="DOM"),0,IFERROR(8-VLOOKUP(L521,'Dados de consulta'!$A$2:$C$38,3,0),8))</f>
        <v>0</v>
      </c>
      <c r="BJ521" s="97">
        <f>IF(OR(AY521="SÁB",AY521="DOM"),0,IFERROR(8-VLOOKUP(M521,'Dados de consulta'!$A$2:$C$38,3,0),8))</f>
        <v>0</v>
      </c>
      <c r="BK521" s="97">
        <f>IF(OR(AY521="SÁB",AY521="DOM"),0,IFERROR(8-VLOOKUP(N521,'Dados de consulta'!$A$2:$C$38,3,0),8))</f>
        <v>0</v>
      </c>
      <c r="BL521" s="97">
        <f>IF(OR(AY521="SÁB",AY521="DOM"),0,IFERROR(8-VLOOKUP(O521,'Dados de consulta'!$A$2:$C$38,3,0),8))</f>
        <v>0</v>
      </c>
      <c r="BM521" s="97">
        <f>IF(OR(AY521="SÁB",AY521="DOM"),0,IFERROR(8-VLOOKUP(P521,'Dados de consulta'!$A$2:$C$38,3,0),8))</f>
        <v>0</v>
      </c>
      <c r="BN521" s="97">
        <f>IF(OR(AY521="SÁB",AY521="DOM"),0,IFERROR(8-VLOOKUP(Q521,'Dados de consulta'!$A$2:$C$38,3,0),8))</f>
        <v>0</v>
      </c>
      <c r="BO521" s="97">
        <f>IF(OR(AY521="SÁB",AY521="DOM"),0,IFERROR(8-VLOOKUP(R521,'Dados de consulta'!$A$2:$C$38,3,0),8))</f>
        <v>0</v>
      </c>
      <c r="BP521" s="97">
        <f>IF(OR(AY521="SÁB",AY521="DOM"),0,IFERROR(8-VLOOKUP(S521,'Dados de consulta'!$A$2:$C$38,3,0),8))</f>
        <v>0</v>
      </c>
      <c r="BQ521" s="113">
        <f>IFERROR(6-VLOOKUP(T521,'Dados de consulta'!$A$2:$C$38,3,0)+2,6)</f>
        <v>6</v>
      </c>
      <c r="BR521" s="114">
        <f t="shared" si="232"/>
        <v>0</v>
      </c>
      <c r="BS521">
        <f t="shared" si="208"/>
        <v>0</v>
      </c>
      <c r="BU521">
        <f>IFERROR(8-VLOOKUP(U521,'Dados de consulta'!$A:$D,3,0),8)</f>
        <v>8</v>
      </c>
      <c r="BV521">
        <f>IFERROR(8-VLOOKUP(V521,'Dados de consulta'!$A:$D,3,0),8)</f>
        <v>8</v>
      </c>
      <c r="BW521">
        <f t="shared" si="233"/>
        <v>16</v>
      </c>
    </row>
    <row r="522" spans="1:75" ht="15" hidden="1" x14ac:dyDescent="0.2">
      <c r="A522" s="98">
        <v>42645</v>
      </c>
      <c r="B522" s="129" t="str">
        <f t="shared" si="210"/>
        <v>dom</v>
      </c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>
        <v>101</v>
      </c>
      <c r="N522" s="132"/>
      <c r="O522" s="132"/>
      <c r="P522" s="132"/>
      <c r="Q522" s="132"/>
      <c r="R522" s="132"/>
      <c r="S522" s="132"/>
      <c r="T522" s="132"/>
      <c r="U522" s="151"/>
      <c r="V522" s="151"/>
      <c r="W522" s="307" t="s">
        <v>193</v>
      </c>
      <c r="X522" s="308"/>
      <c r="Y522" s="38">
        <f t="shared" si="211"/>
        <v>0</v>
      </c>
      <c r="Z522" s="38">
        <f t="shared" si="212"/>
        <v>0</v>
      </c>
      <c r="AA522" s="38">
        <f t="shared" si="209"/>
        <v>0</v>
      </c>
      <c r="AB522" s="38">
        <f t="shared" si="220"/>
        <v>0</v>
      </c>
      <c r="AC522" s="38">
        <f t="shared" si="221"/>
        <v>0</v>
      </c>
      <c r="AD522" s="38">
        <f t="shared" si="222"/>
        <v>0</v>
      </c>
      <c r="AE522" s="38">
        <f t="shared" si="223"/>
        <v>0</v>
      </c>
      <c r="AF522" s="38">
        <f t="shared" si="224"/>
        <v>0</v>
      </c>
      <c r="AG522" s="33">
        <f t="shared" si="225"/>
        <v>0</v>
      </c>
      <c r="AH522" s="33">
        <f t="shared" si="226"/>
        <v>0</v>
      </c>
      <c r="AI522" s="33">
        <f t="shared" si="227"/>
        <v>0</v>
      </c>
      <c r="AJ522" s="33">
        <f t="shared" si="228"/>
        <v>0</v>
      </c>
      <c r="AK522" s="34">
        <f t="shared" si="229"/>
        <v>0</v>
      </c>
      <c r="AL522" s="35">
        <f t="shared" si="230"/>
        <v>0</v>
      </c>
      <c r="AM522" s="34">
        <f t="shared" si="213"/>
        <v>0</v>
      </c>
      <c r="AN522" s="36">
        <f t="shared" si="231"/>
        <v>0</v>
      </c>
      <c r="AO522" s="6">
        <f t="shared" si="214"/>
        <v>0</v>
      </c>
      <c r="AP522">
        <f t="shared" si="215"/>
        <v>8</v>
      </c>
      <c r="AQ522" s="6">
        <f t="shared" si="216"/>
        <v>0</v>
      </c>
      <c r="AR522" s="6">
        <f t="shared" si="217"/>
        <v>0</v>
      </c>
      <c r="AS522" s="6"/>
      <c r="AX522" s="95">
        <f t="shared" si="218"/>
        <v>42645</v>
      </c>
      <c r="AY522" s="96" t="str">
        <f t="shared" si="219"/>
        <v>dom</v>
      </c>
      <c r="AZ522" s="97">
        <f>IF(OR(AY522="SÁB",AY522="DOM"),0,IFERROR(8-VLOOKUP(C522,'Dados de consulta'!$A$2:$C$38,3,0),8))</f>
        <v>0</v>
      </c>
      <c r="BA522" s="97">
        <f>IF(OR(AY522="SÁB",AY522="DOM"),0,IFERROR(8-VLOOKUP(D522,'Dados de consulta'!$A$2:$C$38,3,0),8))</f>
        <v>0</v>
      </c>
      <c r="BB522" s="97">
        <f>IF(OR(AY522="SÁB",AY522="DOM"),0,IFERROR(8-VLOOKUP(E522,'Dados de consulta'!$A$2:$C$38,3,0),8))</f>
        <v>0</v>
      </c>
      <c r="BC522" s="97">
        <f>IF(OR(AY522="SÁB",AY522="DOM"),0,IFERROR(8-VLOOKUP(F522,'Dados de consulta'!$A$2:$C$38,3,0),8))</f>
        <v>0</v>
      </c>
      <c r="BD522" s="97">
        <f>IF(OR(AY522="SÁB",AY522="DOM"),0,IFERROR(8-VLOOKUP(G522,'Dados de consulta'!$A$2:$C$38,3,0),8))</f>
        <v>0</v>
      </c>
      <c r="BE522" s="97">
        <f>IF(OR(AY522="SÁB",AY522="DOM"),0,IFERROR(8-VLOOKUP(H522,'Dados de consulta'!$A$2:$C$38,3,0),8))</f>
        <v>0</v>
      </c>
      <c r="BF522" s="97">
        <f>IF(OR(AY522="SÁB",AY522="DOM"),0,IFERROR(8-VLOOKUP(I522,'Dados de consulta'!$A$2:$C$38,3,0),8))</f>
        <v>0</v>
      </c>
      <c r="BG522" s="97">
        <f>IF(OR(AY522="SÁB",AY522="DOM"),0,IFERROR(8-VLOOKUP(J522,'Dados de consulta'!$A$2:$C$38,3,0),8))</f>
        <v>0</v>
      </c>
      <c r="BH522" s="97">
        <f>IF(OR(AY522="SÁB",AY522="DOM"),0,IFERROR(8-VLOOKUP(K522,'Dados de consulta'!$A$2:$C$38,3,0),8))</f>
        <v>0</v>
      </c>
      <c r="BI522" s="97">
        <f>IF(OR(AY522="SÁB",AY522="DOM"),0,IFERROR(8-VLOOKUP(L522,'Dados de consulta'!$A$2:$C$38,3,0),8))</f>
        <v>0</v>
      </c>
      <c r="BJ522" s="97">
        <f>IF(OR(AY522="SÁB",AY522="DOM"),0,IFERROR(8-VLOOKUP(M522,'Dados de consulta'!$A$2:$C$38,3,0),8))</f>
        <v>0</v>
      </c>
      <c r="BK522" s="97">
        <f>IF(OR(AY522="SÁB",AY522="DOM"),0,IFERROR(8-VLOOKUP(N522,'Dados de consulta'!$A$2:$C$38,3,0),8))</f>
        <v>0</v>
      </c>
      <c r="BL522" s="97">
        <f>IF(OR(AY522="SÁB",AY522="DOM"),0,IFERROR(8-VLOOKUP(O522,'Dados de consulta'!$A$2:$C$38,3,0),8))</f>
        <v>0</v>
      </c>
      <c r="BM522" s="97">
        <f>IF(OR(AY522="SÁB",AY522="DOM"),0,IFERROR(8-VLOOKUP(P522,'Dados de consulta'!$A$2:$C$38,3,0),8))</f>
        <v>0</v>
      </c>
      <c r="BN522" s="97">
        <f>IF(OR(AY522="SÁB",AY522="DOM"),0,IFERROR(8-VLOOKUP(Q522,'Dados de consulta'!$A$2:$C$38,3,0),8))</f>
        <v>0</v>
      </c>
      <c r="BO522" s="97">
        <f>IF(OR(AY522="SÁB",AY522="DOM"),0,IFERROR(8-VLOOKUP(R522,'Dados de consulta'!$A$2:$C$38,3,0),8))</f>
        <v>0</v>
      </c>
      <c r="BP522" s="97">
        <f>IF(OR(AY522="SÁB",AY522="DOM"),0,IFERROR(8-VLOOKUP(S522,'Dados de consulta'!$A$2:$C$38,3,0),8))</f>
        <v>0</v>
      </c>
      <c r="BQ522" s="113">
        <f>IFERROR(6-VLOOKUP(T522,'Dados de consulta'!$A$2:$C$38,3,0)+2,6)</f>
        <v>6</v>
      </c>
      <c r="BR522" s="114">
        <f t="shared" si="232"/>
        <v>0</v>
      </c>
      <c r="BS522">
        <f t="shared" si="208"/>
        <v>0</v>
      </c>
      <c r="BU522">
        <f>IFERROR(8-VLOOKUP(U522,'Dados de consulta'!$A:$D,3,0),8)</f>
        <v>8</v>
      </c>
      <c r="BV522">
        <f>IFERROR(8-VLOOKUP(V522,'Dados de consulta'!$A:$D,3,0),8)</f>
        <v>8</v>
      </c>
      <c r="BW522">
        <f t="shared" si="233"/>
        <v>16</v>
      </c>
    </row>
    <row r="523" spans="1:75" ht="15" hidden="1" x14ac:dyDescent="0.2">
      <c r="A523" s="98">
        <v>42646</v>
      </c>
      <c r="B523" s="129" t="str">
        <f t="shared" si="210"/>
        <v>seg</v>
      </c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>
        <v>101</v>
      </c>
      <c r="N523" s="132"/>
      <c r="O523" s="132"/>
      <c r="P523" s="132"/>
      <c r="Q523" s="132"/>
      <c r="R523" s="132"/>
      <c r="S523" s="132"/>
      <c r="T523" s="132"/>
      <c r="U523" s="151"/>
      <c r="V523" s="151"/>
      <c r="W523" s="307" t="s">
        <v>193</v>
      </c>
      <c r="X523" s="308"/>
      <c r="Y523" s="38">
        <f t="shared" si="211"/>
        <v>0</v>
      </c>
      <c r="Z523" s="38">
        <f t="shared" si="212"/>
        <v>0</v>
      </c>
      <c r="AA523" s="38">
        <f t="shared" si="209"/>
        <v>0</v>
      </c>
      <c r="AB523" s="38">
        <f t="shared" si="220"/>
        <v>0</v>
      </c>
      <c r="AC523" s="38">
        <f t="shared" si="221"/>
        <v>0</v>
      </c>
      <c r="AD523" s="38">
        <f t="shared" si="222"/>
        <v>0</v>
      </c>
      <c r="AE523" s="38">
        <f t="shared" si="223"/>
        <v>0</v>
      </c>
      <c r="AF523" s="38">
        <f t="shared" si="224"/>
        <v>0</v>
      </c>
      <c r="AG523" s="33">
        <f t="shared" si="225"/>
        <v>0</v>
      </c>
      <c r="AH523" s="33">
        <f t="shared" si="226"/>
        <v>0</v>
      </c>
      <c r="AI523" s="33">
        <f t="shared" si="227"/>
        <v>0</v>
      </c>
      <c r="AJ523" s="33">
        <f t="shared" si="228"/>
        <v>0</v>
      </c>
      <c r="AK523" s="34">
        <f t="shared" si="229"/>
        <v>0</v>
      </c>
      <c r="AL523" s="35">
        <f t="shared" si="230"/>
        <v>0</v>
      </c>
      <c r="AM523" s="34">
        <f t="shared" si="213"/>
        <v>0</v>
      </c>
      <c r="AN523" s="36">
        <f t="shared" si="231"/>
        <v>0</v>
      </c>
      <c r="AO523" s="6">
        <f t="shared" si="214"/>
        <v>0</v>
      </c>
      <c r="AP523">
        <f t="shared" si="215"/>
        <v>8</v>
      </c>
      <c r="AQ523" s="6">
        <f t="shared" si="216"/>
        <v>0</v>
      </c>
      <c r="AR523" s="6">
        <f t="shared" si="217"/>
        <v>0</v>
      </c>
      <c r="AS523" s="6"/>
      <c r="AX523" s="95">
        <f t="shared" si="218"/>
        <v>42646</v>
      </c>
      <c r="AY523" s="96" t="str">
        <f t="shared" si="219"/>
        <v>seg</v>
      </c>
      <c r="AZ523" s="97">
        <f>IF(OR(AY523="SÁB",AY523="DOM"),0,IFERROR(8-VLOOKUP(C523,'Dados de consulta'!$A$2:$C$38,3,0),8))</f>
        <v>8</v>
      </c>
      <c r="BA523" s="97">
        <f>IF(OR(AY523="SÁB",AY523="DOM"),0,IFERROR(8-VLOOKUP(D523,'Dados de consulta'!$A$2:$C$38,3,0),8))</f>
        <v>8</v>
      </c>
      <c r="BB523" s="97">
        <f>IF(OR(AY523="SÁB",AY523="DOM"),0,IFERROR(8-VLOOKUP(E523,'Dados de consulta'!$A$2:$C$38,3,0),8))</f>
        <v>8</v>
      </c>
      <c r="BC523" s="97">
        <f>IF(OR(AY523="SÁB",AY523="DOM"),0,IFERROR(8-VLOOKUP(F523,'Dados de consulta'!$A$2:$C$38,3,0),8))</f>
        <v>8</v>
      </c>
      <c r="BD523" s="97">
        <f>IF(OR(AY523="SÁB",AY523="DOM"),0,IFERROR(8-VLOOKUP(G523,'Dados de consulta'!$A$2:$C$38,3,0),8))</f>
        <v>8</v>
      </c>
      <c r="BE523" s="97">
        <f>IF(OR(AY523="SÁB",AY523="DOM"),0,IFERROR(8-VLOOKUP(H523,'Dados de consulta'!$A$2:$C$38,3,0),8))</f>
        <v>8</v>
      </c>
      <c r="BF523" s="97">
        <f>IF(OR(AY523="SÁB",AY523="DOM"),0,IFERROR(8-VLOOKUP(I523,'Dados de consulta'!$A$2:$C$38,3,0),8))</f>
        <v>8</v>
      </c>
      <c r="BG523" s="97">
        <f>IF(OR(AY523="SÁB",AY523="DOM"),0,IFERROR(8-VLOOKUP(J523,'Dados de consulta'!$A$2:$C$38,3,0),8))</f>
        <v>8</v>
      </c>
      <c r="BH523" s="97">
        <f>IF(OR(AY523="SÁB",AY523="DOM"),0,IFERROR(8-VLOOKUP(K523,'Dados de consulta'!$A$2:$C$38,3,0),8))</f>
        <v>8</v>
      </c>
      <c r="BI523" s="97">
        <f>IF(OR(AY523="SÁB",AY523="DOM"),0,IFERROR(8-VLOOKUP(L523,'Dados de consulta'!$A$2:$C$38,3,0),8))</f>
        <v>8</v>
      </c>
      <c r="BJ523" s="97">
        <f>IF(OR(AY523="SÁB",AY523="DOM"),0,IFERROR(8-VLOOKUP(M523,'Dados de consulta'!$A$2:$C$38,3,0),8))</f>
        <v>0</v>
      </c>
      <c r="BK523" s="97">
        <f>IF(OR(AY523="SÁB",AY523="DOM"),0,IFERROR(8-VLOOKUP(N523,'Dados de consulta'!$A$2:$C$38,3,0),8))</f>
        <v>8</v>
      </c>
      <c r="BL523" s="97">
        <f>IF(OR(AY523="SÁB",AY523="DOM"),0,IFERROR(8-VLOOKUP(O523,'Dados de consulta'!$A$2:$C$38,3,0),8))</f>
        <v>8</v>
      </c>
      <c r="BM523" s="97">
        <f>IF(OR(AY523="SÁB",AY523="DOM"),0,IFERROR(8-VLOOKUP(P523,'Dados de consulta'!$A$2:$C$38,3,0),8))</f>
        <v>8</v>
      </c>
      <c r="BN523" s="97">
        <f>IF(OR(AY523="SÁB",AY523="DOM"),0,IFERROR(8-VLOOKUP(Q523,'Dados de consulta'!$A$2:$C$38,3,0),8))</f>
        <v>8</v>
      </c>
      <c r="BO523" s="97">
        <f>IF(OR(AY523="SÁB",AY523="DOM"),0,IFERROR(8-VLOOKUP(R523,'Dados de consulta'!$A$2:$C$38,3,0),8))</f>
        <v>8</v>
      </c>
      <c r="BP523" s="97">
        <f>IF(OR(AY523="SÁB",AY523="DOM"),0,IFERROR(8-VLOOKUP(S523,'Dados de consulta'!$A$2:$C$38,3,0),8))</f>
        <v>8</v>
      </c>
      <c r="BQ523" s="113">
        <f>IFERROR(6-VLOOKUP(T523,'Dados de consulta'!$A$2:$C$38,3,0)+2,6)</f>
        <v>6</v>
      </c>
      <c r="BR523" s="114">
        <f t="shared" si="232"/>
        <v>134</v>
      </c>
      <c r="BS523">
        <f t="shared" si="208"/>
        <v>134</v>
      </c>
      <c r="BU523">
        <f>IFERROR(8-VLOOKUP(U523,'Dados de consulta'!$A:$D,3,0),8)</f>
        <v>8</v>
      </c>
      <c r="BV523">
        <f>IFERROR(8-VLOOKUP(V523,'Dados de consulta'!$A:$D,3,0),8)</f>
        <v>8</v>
      </c>
      <c r="BW523">
        <f t="shared" si="233"/>
        <v>16</v>
      </c>
    </row>
    <row r="524" spans="1:75" ht="15" hidden="1" x14ac:dyDescent="0.2">
      <c r="A524" s="98">
        <v>42647</v>
      </c>
      <c r="B524" s="129" t="str">
        <f t="shared" si="210"/>
        <v>ter</v>
      </c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>
        <v>101</v>
      </c>
      <c r="N524" s="132"/>
      <c r="O524" s="132"/>
      <c r="P524" s="132"/>
      <c r="Q524" s="132"/>
      <c r="R524" s="132"/>
      <c r="S524" s="132"/>
      <c r="T524" s="132"/>
      <c r="U524" s="151"/>
      <c r="V524" s="151"/>
      <c r="W524" s="307" t="s">
        <v>193</v>
      </c>
      <c r="X524" s="308"/>
      <c r="Y524" s="38">
        <f t="shared" si="211"/>
        <v>0</v>
      </c>
      <c r="Z524" s="38">
        <f t="shared" si="212"/>
        <v>0</v>
      </c>
      <c r="AA524" s="38">
        <f t="shared" si="209"/>
        <v>0</v>
      </c>
      <c r="AB524" s="38">
        <f t="shared" si="220"/>
        <v>0</v>
      </c>
      <c r="AC524" s="38">
        <f t="shared" si="221"/>
        <v>0</v>
      </c>
      <c r="AD524" s="38">
        <f t="shared" si="222"/>
        <v>0</v>
      </c>
      <c r="AE524" s="38">
        <f t="shared" si="223"/>
        <v>0</v>
      </c>
      <c r="AF524" s="38">
        <f t="shared" si="224"/>
        <v>0</v>
      </c>
      <c r="AG524" s="33">
        <f t="shared" si="225"/>
        <v>0</v>
      </c>
      <c r="AH524" s="33">
        <f t="shared" si="226"/>
        <v>0</v>
      </c>
      <c r="AI524" s="33">
        <f t="shared" si="227"/>
        <v>0</v>
      </c>
      <c r="AJ524" s="33">
        <f t="shared" si="228"/>
        <v>0</v>
      </c>
      <c r="AK524" s="34">
        <f t="shared" si="229"/>
        <v>0</v>
      </c>
      <c r="AL524" s="35">
        <f t="shared" si="230"/>
        <v>0</v>
      </c>
      <c r="AM524" s="34">
        <f t="shared" si="213"/>
        <v>0</v>
      </c>
      <c r="AN524" s="36">
        <f t="shared" si="231"/>
        <v>0</v>
      </c>
      <c r="AO524" s="6">
        <f t="shared" si="214"/>
        <v>0</v>
      </c>
      <c r="AP524">
        <f t="shared" si="215"/>
        <v>8</v>
      </c>
      <c r="AQ524" s="6">
        <f t="shared" si="216"/>
        <v>0</v>
      </c>
      <c r="AR524" s="6">
        <f t="shared" si="217"/>
        <v>0</v>
      </c>
      <c r="AS524" s="6"/>
      <c r="AX524" s="95">
        <f t="shared" si="218"/>
        <v>42647</v>
      </c>
      <c r="AY524" s="96" t="str">
        <f t="shared" si="219"/>
        <v>ter</v>
      </c>
      <c r="AZ524" s="97">
        <f>IF(OR(AY524="SÁB",AY524="DOM"),0,IFERROR(8-VLOOKUP(C524,'Dados de consulta'!$A$2:$C$38,3,0),8))</f>
        <v>8</v>
      </c>
      <c r="BA524" s="97">
        <f>IF(OR(AY524="SÁB",AY524="DOM"),0,IFERROR(8-VLOOKUP(D524,'Dados de consulta'!$A$2:$C$38,3,0),8))</f>
        <v>8</v>
      </c>
      <c r="BB524" s="97">
        <f>IF(OR(AY524="SÁB",AY524="DOM"),0,IFERROR(8-VLOOKUP(E524,'Dados de consulta'!$A$2:$C$38,3,0),8))</f>
        <v>8</v>
      </c>
      <c r="BC524" s="97">
        <f>IF(OR(AY524="SÁB",AY524="DOM"),0,IFERROR(8-VLOOKUP(F524,'Dados de consulta'!$A$2:$C$38,3,0),8))</f>
        <v>8</v>
      </c>
      <c r="BD524" s="97">
        <f>IF(OR(AY524="SÁB",AY524="DOM"),0,IFERROR(8-VLOOKUP(G524,'Dados de consulta'!$A$2:$C$38,3,0),8))</f>
        <v>8</v>
      </c>
      <c r="BE524" s="97">
        <f>IF(OR(AY524="SÁB",AY524="DOM"),0,IFERROR(8-VLOOKUP(H524,'Dados de consulta'!$A$2:$C$38,3,0),8))</f>
        <v>8</v>
      </c>
      <c r="BF524" s="97">
        <f>IF(OR(AY524="SÁB",AY524="DOM"),0,IFERROR(8-VLOOKUP(I524,'Dados de consulta'!$A$2:$C$38,3,0),8))</f>
        <v>8</v>
      </c>
      <c r="BG524" s="97">
        <f>IF(OR(AY524="SÁB",AY524="DOM"),0,IFERROR(8-VLOOKUP(J524,'Dados de consulta'!$A$2:$C$38,3,0),8))</f>
        <v>8</v>
      </c>
      <c r="BH524" s="97">
        <f>IF(OR(AY524="SÁB",AY524="DOM"),0,IFERROR(8-VLOOKUP(K524,'Dados de consulta'!$A$2:$C$38,3,0),8))</f>
        <v>8</v>
      </c>
      <c r="BI524" s="97">
        <f>IF(OR(AY524="SÁB",AY524="DOM"),0,IFERROR(8-VLOOKUP(L524,'Dados de consulta'!$A$2:$C$38,3,0),8))</f>
        <v>8</v>
      </c>
      <c r="BJ524" s="97">
        <f>IF(OR(AY524="SÁB",AY524="DOM"),0,IFERROR(8-VLOOKUP(M524,'Dados de consulta'!$A$2:$C$38,3,0),8))</f>
        <v>0</v>
      </c>
      <c r="BK524" s="97">
        <f>IF(OR(AY524="SÁB",AY524="DOM"),0,IFERROR(8-VLOOKUP(N524,'Dados de consulta'!$A$2:$C$38,3,0),8))</f>
        <v>8</v>
      </c>
      <c r="BL524" s="97">
        <f>IF(OR(AY524="SÁB",AY524="DOM"),0,IFERROR(8-VLOOKUP(O524,'Dados de consulta'!$A$2:$C$38,3,0),8))</f>
        <v>8</v>
      </c>
      <c r="BM524" s="97">
        <f>IF(OR(AY524="SÁB",AY524="DOM"),0,IFERROR(8-VLOOKUP(P524,'Dados de consulta'!$A$2:$C$38,3,0),8))</f>
        <v>8</v>
      </c>
      <c r="BN524" s="97">
        <f>IF(OR(AY524="SÁB",AY524="DOM"),0,IFERROR(8-VLOOKUP(Q524,'Dados de consulta'!$A$2:$C$38,3,0),8))</f>
        <v>8</v>
      </c>
      <c r="BO524" s="97">
        <f>IF(OR(AY524="SÁB",AY524="DOM"),0,IFERROR(8-VLOOKUP(R524,'Dados de consulta'!$A$2:$C$38,3,0),8))</f>
        <v>8</v>
      </c>
      <c r="BP524" s="97">
        <f>IF(OR(AY524="SÁB",AY524="DOM"),0,IFERROR(8-VLOOKUP(S524,'Dados de consulta'!$A$2:$C$38,3,0),8))</f>
        <v>8</v>
      </c>
      <c r="BQ524" s="113">
        <f>IFERROR(6-VLOOKUP(T524,'Dados de consulta'!$A$2:$C$38,3,0)+2,6)</f>
        <v>6</v>
      </c>
      <c r="BR524" s="114">
        <f t="shared" si="232"/>
        <v>134</v>
      </c>
      <c r="BS524">
        <f t="shared" si="208"/>
        <v>134</v>
      </c>
      <c r="BU524">
        <f>IFERROR(8-VLOOKUP(U524,'Dados de consulta'!$A:$D,3,0),8)</f>
        <v>8</v>
      </c>
      <c r="BV524">
        <f>IFERROR(8-VLOOKUP(V524,'Dados de consulta'!$A:$D,3,0),8)</f>
        <v>8</v>
      </c>
      <c r="BW524">
        <f t="shared" si="233"/>
        <v>16</v>
      </c>
    </row>
    <row r="525" spans="1:75" ht="15" hidden="1" x14ac:dyDescent="0.2">
      <c r="A525" s="98">
        <v>42648</v>
      </c>
      <c r="B525" s="129" t="str">
        <f t="shared" si="210"/>
        <v>qua</v>
      </c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>
        <v>101</v>
      </c>
      <c r="N525" s="132"/>
      <c r="O525" s="132"/>
      <c r="P525" s="132"/>
      <c r="Q525" s="132"/>
      <c r="R525" s="132"/>
      <c r="S525" s="132"/>
      <c r="T525" s="132"/>
      <c r="U525" s="151"/>
      <c r="V525" s="151"/>
      <c r="W525" s="307" t="s">
        <v>193</v>
      </c>
      <c r="X525" s="308"/>
      <c r="Y525" s="38">
        <f t="shared" si="211"/>
        <v>0</v>
      </c>
      <c r="Z525" s="38">
        <f t="shared" si="212"/>
        <v>0</v>
      </c>
      <c r="AA525" s="38">
        <f t="shared" si="209"/>
        <v>0</v>
      </c>
      <c r="AB525" s="38">
        <f t="shared" si="220"/>
        <v>0</v>
      </c>
      <c r="AC525" s="38">
        <f t="shared" si="221"/>
        <v>0</v>
      </c>
      <c r="AD525" s="38">
        <f t="shared" si="222"/>
        <v>0</v>
      </c>
      <c r="AE525" s="38">
        <f t="shared" si="223"/>
        <v>0</v>
      </c>
      <c r="AF525" s="38">
        <f t="shared" si="224"/>
        <v>0</v>
      </c>
      <c r="AG525" s="33">
        <f t="shared" si="225"/>
        <v>0</v>
      </c>
      <c r="AH525" s="33">
        <f t="shared" si="226"/>
        <v>0</v>
      </c>
      <c r="AI525" s="33">
        <f t="shared" si="227"/>
        <v>0</v>
      </c>
      <c r="AJ525" s="33">
        <f t="shared" si="228"/>
        <v>0</v>
      </c>
      <c r="AK525" s="34">
        <f t="shared" si="229"/>
        <v>0</v>
      </c>
      <c r="AL525" s="35">
        <f t="shared" si="230"/>
        <v>0</v>
      </c>
      <c r="AM525" s="34">
        <f t="shared" si="213"/>
        <v>0</v>
      </c>
      <c r="AN525" s="36">
        <f t="shared" si="231"/>
        <v>0</v>
      </c>
      <c r="AO525" s="6">
        <f t="shared" si="214"/>
        <v>0</v>
      </c>
      <c r="AP525">
        <f t="shared" si="215"/>
        <v>8</v>
      </c>
      <c r="AQ525" s="6">
        <f t="shared" si="216"/>
        <v>0</v>
      </c>
      <c r="AR525" s="6">
        <f t="shared" si="217"/>
        <v>0</v>
      </c>
      <c r="AS525" s="6"/>
      <c r="AX525" s="95">
        <f t="shared" si="218"/>
        <v>42648</v>
      </c>
      <c r="AY525" s="96" t="str">
        <f t="shared" si="219"/>
        <v>qua</v>
      </c>
      <c r="AZ525" s="97">
        <f>IF(OR(AY525="SÁB",AY525="DOM"),0,IFERROR(8-VLOOKUP(C525,'Dados de consulta'!$A$2:$C$38,3,0),8))</f>
        <v>8</v>
      </c>
      <c r="BA525" s="97">
        <f>IF(OR(AY525="SÁB",AY525="DOM"),0,IFERROR(8-VLOOKUP(D525,'Dados de consulta'!$A$2:$C$38,3,0),8))</f>
        <v>8</v>
      </c>
      <c r="BB525" s="97">
        <f>IF(OR(AY525="SÁB",AY525="DOM"),0,IFERROR(8-VLOOKUP(E525,'Dados de consulta'!$A$2:$C$38,3,0),8))</f>
        <v>8</v>
      </c>
      <c r="BC525" s="97">
        <f>IF(OR(AY525="SÁB",AY525="DOM"),0,IFERROR(8-VLOOKUP(F525,'Dados de consulta'!$A$2:$C$38,3,0),8))</f>
        <v>8</v>
      </c>
      <c r="BD525" s="97">
        <f>IF(OR(AY525="SÁB",AY525="DOM"),0,IFERROR(8-VLOOKUP(G525,'Dados de consulta'!$A$2:$C$38,3,0),8))</f>
        <v>8</v>
      </c>
      <c r="BE525" s="97">
        <f>IF(OR(AY525="SÁB",AY525="DOM"),0,IFERROR(8-VLOOKUP(H525,'Dados de consulta'!$A$2:$C$38,3,0),8))</f>
        <v>8</v>
      </c>
      <c r="BF525" s="97">
        <f>IF(OR(AY525="SÁB",AY525="DOM"),0,IFERROR(8-VLOOKUP(I525,'Dados de consulta'!$A$2:$C$38,3,0),8))</f>
        <v>8</v>
      </c>
      <c r="BG525" s="97">
        <f>IF(OR(AY525="SÁB",AY525="DOM"),0,IFERROR(8-VLOOKUP(J525,'Dados de consulta'!$A$2:$C$38,3,0),8))</f>
        <v>8</v>
      </c>
      <c r="BH525" s="97">
        <f>IF(OR(AY525="SÁB",AY525="DOM"),0,IFERROR(8-VLOOKUP(K525,'Dados de consulta'!$A$2:$C$38,3,0),8))</f>
        <v>8</v>
      </c>
      <c r="BI525" s="97">
        <f>IF(OR(AY525="SÁB",AY525="DOM"),0,IFERROR(8-VLOOKUP(L525,'Dados de consulta'!$A$2:$C$38,3,0),8))</f>
        <v>8</v>
      </c>
      <c r="BJ525" s="97">
        <f>IF(OR(AY525="SÁB",AY525="DOM"),0,IFERROR(8-VLOOKUP(M525,'Dados de consulta'!$A$2:$C$38,3,0),8))</f>
        <v>0</v>
      </c>
      <c r="BK525" s="97">
        <f>IF(OR(AY525="SÁB",AY525="DOM"),0,IFERROR(8-VLOOKUP(N525,'Dados de consulta'!$A$2:$C$38,3,0),8))</f>
        <v>8</v>
      </c>
      <c r="BL525" s="97">
        <f>IF(OR(AY525="SÁB",AY525="DOM"),0,IFERROR(8-VLOOKUP(O525,'Dados de consulta'!$A$2:$C$38,3,0),8))</f>
        <v>8</v>
      </c>
      <c r="BM525" s="97">
        <f>IF(OR(AY525="SÁB",AY525="DOM"),0,IFERROR(8-VLOOKUP(P525,'Dados de consulta'!$A$2:$C$38,3,0),8))</f>
        <v>8</v>
      </c>
      <c r="BN525" s="97">
        <f>IF(OR(AY525="SÁB",AY525="DOM"),0,IFERROR(8-VLOOKUP(Q525,'Dados de consulta'!$A$2:$C$38,3,0),8))</f>
        <v>8</v>
      </c>
      <c r="BO525" s="97">
        <f>IF(OR(AY525="SÁB",AY525="DOM"),0,IFERROR(8-VLOOKUP(R525,'Dados de consulta'!$A$2:$C$38,3,0),8))</f>
        <v>8</v>
      </c>
      <c r="BP525" s="97">
        <f>IF(OR(AY525="SÁB",AY525="DOM"),0,IFERROR(8-VLOOKUP(S525,'Dados de consulta'!$A$2:$C$38,3,0),8))</f>
        <v>8</v>
      </c>
      <c r="BQ525" s="113">
        <f>IFERROR(6-VLOOKUP(T525,'Dados de consulta'!$A$2:$C$38,3,0)+2,6)</f>
        <v>6</v>
      </c>
      <c r="BR525" s="114">
        <f t="shared" si="232"/>
        <v>134</v>
      </c>
      <c r="BS525">
        <f t="shared" si="208"/>
        <v>134</v>
      </c>
      <c r="BU525">
        <f>IFERROR(8-VLOOKUP(U525,'Dados de consulta'!$A:$D,3,0),8)</f>
        <v>8</v>
      </c>
      <c r="BV525">
        <f>IFERROR(8-VLOOKUP(V525,'Dados de consulta'!$A:$D,3,0),8)</f>
        <v>8</v>
      </c>
      <c r="BW525">
        <f t="shared" si="233"/>
        <v>16</v>
      </c>
    </row>
    <row r="526" spans="1:75" ht="15" hidden="1" x14ac:dyDescent="0.2">
      <c r="A526" s="98">
        <v>42649</v>
      </c>
      <c r="B526" s="129" t="str">
        <f t="shared" si="210"/>
        <v>qui</v>
      </c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>
        <v>101</v>
      </c>
      <c r="N526" s="132"/>
      <c r="O526" s="132"/>
      <c r="P526" s="132"/>
      <c r="Q526" s="132"/>
      <c r="R526" s="132"/>
      <c r="S526" s="132"/>
      <c r="T526" s="132"/>
      <c r="U526" s="151"/>
      <c r="V526" s="151"/>
      <c r="W526" s="307" t="s">
        <v>193</v>
      </c>
      <c r="X526" s="308"/>
      <c r="Y526" s="38">
        <f t="shared" si="211"/>
        <v>0</v>
      </c>
      <c r="Z526" s="38">
        <f t="shared" si="212"/>
        <v>0</v>
      </c>
      <c r="AA526" s="38">
        <f t="shared" si="209"/>
        <v>0</v>
      </c>
      <c r="AB526" s="38">
        <f t="shared" si="220"/>
        <v>0</v>
      </c>
      <c r="AC526" s="38">
        <f t="shared" si="221"/>
        <v>0</v>
      </c>
      <c r="AD526" s="38">
        <f t="shared" si="222"/>
        <v>0</v>
      </c>
      <c r="AE526" s="38">
        <f t="shared" si="223"/>
        <v>0</v>
      </c>
      <c r="AF526" s="38">
        <f t="shared" si="224"/>
        <v>0</v>
      </c>
      <c r="AG526" s="33">
        <f t="shared" si="225"/>
        <v>0</v>
      </c>
      <c r="AH526" s="33">
        <f t="shared" si="226"/>
        <v>0</v>
      </c>
      <c r="AI526" s="33">
        <f t="shared" si="227"/>
        <v>0</v>
      </c>
      <c r="AJ526" s="33">
        <f t="shared" si="228"/>
        <v>0</v>
      </c>
      <c r="AK526" s="34">
        <f t="shared" si="229"/>
        <v>0</v>
      </c>
      <c r="AL526" s="35">
        <f t="shared" si="230"/>
        <v>0</v>
      </c>
      <c r="AM526" s="34">
        <f t="shared" si="213"/>
        <v>0</v>
      </c>
      <c r="AN526" s="36">
        <f t="shared" si="231"/>
        <v>0</v>
      </c>
      <c r="AO526" s="6">
        <f t="shared" si="214"/>
        <v>0</v>
      </c>
      <c r="AP526">
        <f t="shared" si="215"/>
        <v>8</v>
      </c>
      <c r="AQ526" s="6">
        <f t="shared" si="216"/>
        <v>0</v>
      </c>
      <c r="AR526" s="6">
        <f t="shared" si="217"/>
        <v>0</v>
      </c>
      <c r="AS526" s="6"/>
      <c r="AX526" s="95">
        <f t="shared" si="218"/>
        <v>42649</v>
      </c>
      <c r="AY526" s="96" t="str">
        <f t="shared" si="219"/>
        <v>qui</v>
      </c>
      <c r="AZ526" s="97">
        <f>IF(OR(AY526="SÁB",AY526="DOM"),0,IFERROR(8-VLOOKUP(C526,'Dados de consulta'!$A$2:$C$38,3,0),8))</f>
        <v>8</v>
      </c>
      <c r="BA526" s="97">
        <f>IF(OR(AY526="SÁB",AY526="DOM"),0,IFERROR(8-VLOOKUP(D526,'Dados de consulta'!$A$2:$C$38,3,0),8))</f>
        <v>8</v>
      </c>
      <c r="BB526" s="97">
        <f>IF(OR(AY526="SÁB",AY526="DOM"),0,IFERROR(8-VLOOKUP(E526,'Dados de consulta'!$A$2:$C$38,3,0),8))</f>
        <v>8</v>
      </c>
      <c r="BC526" s="97">
        <f>IF(OR(AY526="SÁB",AY526="DOM"),0,IFERROR(8-VLOOKUP(F526,'Dados de consulta'!$A$2:$C$38,3,0),8))</f>
        <v>8</v>
      </c>
      <c r="BD526" s="97">
        <f>IF(OR(AY526="SÁB",AY526="DOM"),0,IFERROR(8-VLOOKUP(G526,'Dados de consulta'!$A$2:$C$38,3,0),8))</f>
        <v>8</v>
      </c>
      <c r="BE526" s="97">
        <f>IF(OR(AY526="SÁB",AY526="DOM"),0,IFERROR(8-VLOOKUP(H526,'Dados de consulta'!$A$2:$C$38,3,0),8))</f>
        <v>8</v>
      </c>
      <c r="BF526" s="97">
        <f>IF(OR(AY526="SÁB",AY526="DOM"),0,IFERROR(8-VLOOKUP(I526,'Dados de consulta'!$A$2:$C$38,3,0),8))</f>
        <v>8</v>
      </c>
      <c r="BG526" s="97">
        <f>IF(OR(AY526="SÁB",AY526="DOM"),0,IFERROR(8-VLOOKUP(J526,'Dados de consulta'!$A$2:$C$38,3,0),8))</f>
        <v>8</v>
      </c>
      <c r="BH526" s="97">
        <f>IF(OR(AY526="SÁB",AY526="DOM"),0,IFERROR(8-VLOOKUP(K526,'Dados de consulta'!$A$2:$C$38,3,0),8))</f>
        <v>8</v>
      </c>
      <c r="BI526" s="97">
        <f>IF(OR(AY526="SÁB",AY526="DOM"),0,IFERROR(8-VLOOKUP(L526,'Dados de consulta'!$A$2:$C$38,3,0),8))</f>
        <v>8</v>
      </c>
      <c r="BJ526" s="97">
        <f>IF(OR(AY526="SÁB",AY526="DOM"),0,IFERROR(8-VLOOKUP(M526,'Dados de consulta'!$A$2:$C$38,3,0),8))</f>
        <v>0</v>
      </c>
      <c r="BK526" s="97">
        <f>IF(OR(AY526="SÁB",AY526="DOM"),0,IFERROR(8-VLOOKUP(N526,'Dados de consulta'!$A$2:$C$38,3,0),8))</f>
        <v>8</v>
      </c>
      <c r="BL526" s="97">
        <f>IF(OR(AY526="SÁB",AY526="DOM"),0,IFERROR(8-VLOOKUP(O526,'Dados de consulta'!$A$2:$C$38,3,0),8))</f>
        <v>8</v>
      </c>
      <c r="BM526" s="97">
        <f>IF(OR(AY526="SÁB",AY526="DOM"),0,IFERROR(8-VLOOKUP(P526,'Dados de consulta'!$A$2:$C$38,3,0),8))</f>
        <v>8</v>
      </c>
      <c r="BN526" s="97">
        <f>IF(OR(AY526="SÁB",AY526="DOM"),0,IFERROR(8-VLOOKUP(Q526,'Dados de consulta'!$A$2:$C$38,3,0),8))</f>
        <v>8</v>
      </c>
      <c r="BO526" s="97">
        <f>IF(OR(AY526="SÁB",AY526="DOM"),0,IFERROR(8-VLOOKUP(R526,'Dados de consulta'!$A$2:$C$38,3,0),8))</f>
        <v>8</v>
      </c>
      <c r="BP526" s="97">
        <f>IF(OR(AY526="SÁB",AY526="DOM"),0,IFERROR(8-VLOOKUP(S526,'Dados de consulta'!$A$2:$C$38,3,0),8))</f>
        <v>8</v>
      </c>
      <c r="BQ526" s="113">
        <f>IFERROR(6-VLOOKUP(T526,'Dados de consulta'!$A$2:$C$38,3,0)+2,6)</f>
        <v>6</v>
      </c>
      <c r="BR526" s="114">
        <f t="shared" si="232"/>
        <v>134</v>
      </c>
      <c r="BS526">
        <f t="shared" si="208"/>
        <v>134</v>
      </c>
      <c r="BU526">
        <f>IFERROR(8-VLOOKUP(U526,'Dados de consulta'!$A:$D,3,0),8)</f>
        <v>8</v>
      </c>
      <c r="BV526">
        <f>IFERROR(8-VLOOKUP(V526,'Dados de consulta'!$A:$D,3,0),8)</f>
        <v>8</v>
      </c>
      <c r="BW526">
        <f t="shared" si="233"/>
        <v>16</v>
      </c>
    </row>
    <row r="527" spans="1:75" ht="15" hidden="1" x14ac:dyDescent="0.2">
      <c r="A527" s="98">
        <v>42650</v>
      </c>
      <c r="B527" s="129" t="str">
        <f t="shared" si="210"/>
        <v>sex</v>
      </c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>
        <v>101</v>
      </c>
      <c r="N527" s="132"/>
      <c r="O527" s="132"/>
      <c r="P527" s="132"/>
      <c r="Q527" s="132"/>
      <c r="R527" s="132"/>
      <c r="S527" s="132"/>
      <c r="T527" s="132"/>
      <c r="U527" s="151"/>
      <c r="V527" s="151"/>
      <c r="W527" s="307" t="s">
        <v>193</v>
      </c>
      <c r="X527" s="308"/>
      <c r="Y527" s="38">
        <f t="shared" si="211"/>
        <v>0</v>
      </c>
      <c r="Z527" s="38">
        <f t="shared" si="212"/>
        <v>0</v>
      </c>
      <c r="AA527" s="38">
        <f t="shared" si="209"/>
        <v>0</v>
      </c>
      <c r="AB527" s="38">
        <f t="shared" si="220"/>
        <v>0</v>
      </c>
      <c r="AC527" s="38">
        <f t="shared" si="221"/>
        <v>0</v>
      </c>
      <c r="AD527" s="38">
        <f t="shared" si="222"/>
        <v>0</v>
      </c>
      <c r="AE527" s="38">
        <f t="shared" si="223"/>
        <v>0</v>
      </c>
      <c r="AF527" s="38">
        <f t="shared" si="224"/>
        <v>0</v>
      </c>
      <c r="AG527" s="33">
        <f t="shared" si="225"/>
        <v>0</v>
      </c>
      <c r="AH527" s="33">
        <f t="shared" si="226"/>
        <v>0</v>
      </c>
      <c r="AI527" s="33">
        <f t="shared" si="227"/>
        <v>0</v>
      </c>
      <c r="AJ527" s="33">
        <f t="shared" si="228"/>
        <v>0</v>
      </c>
      <c r="AK527" s="34">
        <f t="shared" si="229"/>
        <v>0</v>
      </c>
      <c r="AL527" s="35">
        <f t="shared" si="230"/>
        <v>0</v>
      </c>
      <c r="AM527" s="34">
        <f t="shared" si="213"/>
        <v>0</v>
      </c>
      <c r="AN527" s="36">
        <f t="shared" si="231"/>
        <v>0</v>
      </c>
      <c r="AO527" s="6">
        <f t="shared" si="214"/>
        <v>0</v>
      </c>
      <c r="AP527">
        <f t="shared" si="215"/>
        <v>8</v>
      </c>
      <c r="AQ527" s="6">
        <f t="shared" si="216"/>
        <v>0</v>
      </c>
      <c r="AR527" s="6">
        <f t="shared" si="217"/>
        <v>0</v>
      </c>
      <c r="AS527" s="6"/>
      <c r="AX527" s="95">
        <f t="shared" si="218"/>
        <v>42650</v>
      </c>
      <c r="AY527" s="96" t="str">
        <f t="shared" si="219"/>
        <v>sex</v>
      </c>
      <c r="AZ527" s="97">
        <f>IF(OR(AY527="SÁB",AY527="DOM"),0,IFERROR(8-VLOOKUP(C527,'Dados de consulta'!$A$2:$C$38,3,0),8))</f>
        <v>8</v>
      </c>
      <c r="BA527" s="97">
        <f>IF(OR(AY527="SÁB",AY527="DOM"),0,IFERROR(8-VLOOKUP(D527,'Dados de consulta'!$A$2:$C$38,3,0),8))</f>
        <v>8</v>
      </c>
      <c r="BB527" s="97">
        <f>IF(OR(AY527="SÁB",AY527="DOM"),0,IFERROR(8-VLOOKUP(E527,'Dados de consulta'!$A$2:$C$38,3,0),8))</f>
        <v>8</v>
      </c>
      <c r="BC527" s="97">
        <f>IF(OR(AY527="SÁB",AY527="DOM"),0,IFERROR(8-VLOOKUP(F527,'Dados de consulta'!$A$2:$C$38,3,0),8))</f>
        <v>8</v>
      </c>
      <c r="BD527" s="97">
        <f>IF(OR(AY527="SÁB",AY527="DOM"),0,IFERROR(8-VLOOKUP(G527,'Dados de consulta'!$A$2:$C$38,3,0),8))</f>
        <v>8</v>
      </c>
      <c r="BE527" s="97">
        <f>IF(OR(AY527="SÁB",AY527="DOM"),0,IFERROR(8-VLOOKUP(H527,'Dados de consulta'!$A$2:$C$38,3,0),8))</f>
        <v>8</v>
      </c>
      <c r="BF527" s="97">
        <f>IF(OR(AY527="SÁB",AY527="DOM"),0,IFERROR(8-VLOOKUP(I527,'Dados de consulta'!$A$2:$C$38,3,0),8))</f>
        <v>8</v>
      </c>
      <c r="BG527" s="97">
        <f>IF(OR(AY527="SÁB",AY527="DOM"),0,IFERROR(8-VLOOKUP(J527,'Dados de consulta'!$A$2:$C$38,3,0),8))</f>
        <v>8</v>
      </c>
      <c r="BH527" s="97">
        <f>IF(OR(AY527="SÁB",AY527="DOM"),0,IFERROR(8-VLOOKUP(K527,'Dados de consulta'!$A$2:$C$38,3,0),8))</f>
        <v>8</v>
      </c>
      <c r="BI527" s="97">
        <f>IF(OR(AY527="SÁB",AY527="DOM"),0,IFERROR(8-VLOOKUP(L527,'Dados de consulta'!$A$2:$C$38,3,0),8))</f>
        <v>8</v>
      </c>
      <c r="BJ527" s="97">
        <f>IF(OR(AY527="SÁB",AY527="DOM"),0,IFERROR(8-VLOOKUP(M527,'Dados de consulta'!$A$2:$C$38,3,0),8))</f>
        <v>0</v>
      </c>
      <c r="BK527" s="97">
        <f>IF(OR(AY527="SÁB",AY527="DOM"),0,IFERROR(8-VLOOKUP(N527,'Dados de consulta'!$A$2:$C$38,3,0),8))</f>
        <v>8</v>
      </c>
      <c r="BL527" s="97">
        <f>IF(OR(AY527="SÁB",AY527="DOM"),0,IFERROR(8-VLOOKUP(O527,'Dados de consulta'!$A$2:$C$38,3,0),8))</f>
        <v>8</v>
      </c>
      <c r="BM527" s="97">
        <f>IF(OR(AY527="SÁB",AY527="DOM"),0,IFERROR(8-VLOOKUP(P527,'Dados de consulta'!$A$2:$C$38,3,0),8))</f>
        <v>8</v>
      </c>
      <c r="BN527" s="97">
        <f>IF(OR(AY527="SÁB",AY527="DOM"),0,IFERROR(8-VLOOKUP(Q527,'Dados de consulta'!$A$2:$C$38,3,0),8))</f>
        <v>8</v>
      </c>
      <c r="BO527" s="97">
        <f>IF(OR(AY527="SÁB",AY527="DOM"),0,IFERROR(8-VLOOKUP(R527,'Dados de consulta'!$A$2:$C$38,3,0),8))</f>
        <v>8</v>
      </c>
      <c r="BP527" s="97">
        <f>IF(OR(AY527="SÁB",AY527="DOM"),0,IFERROR(8-VLOOKUP(S527,'Dados de consulta'!$A$2:$C$38,3,0),8))</f>
        <v>8</v>
      </c>
      <c r="BQ527" s="113">
        <f>IFERROR(6-VLOOKUP(T527,'Dados de consulta'!$A$2:$C$38,3,0)+2,6)</f>
        <v>6</v>
      </c>
      <c r="BR527" s="114">
        <f t="shared" si="232"/>
        <v>134</v>
      </c>
      <c r="BS527">
        <f t="shared" si="208"/>
        <v>134</v>
      </c>
      <c r="BU527">
        <f>IFERROR(8-VLOOKUP(U527,'Dados de consulta'!$A:$D,3,0),8)</f>
        <v>8</v>
      </c>
      <c r="BV527">
        <f>IFERROR(8-VLOOKUP(V527,'Dados de consulta'!$A:$D,3,0),8)</f>
        <v>8</v>
      </c>
      <c r="BW527">
        <f t="shared" si="233"/>
        <v>16</v>
      </c>
    </row>
    <row r="528" spans="1:75" ht="15" hidden="1" x14ac:dyDescent="0.2">
      <c r="A528" s="98">
        <v>42651</v>
      </c>
      <c r="B528" s="129" t="str">
        <f t="shared" si="210"/>
        <v>sáb</v>
      </c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>
        <v>101</v>
      </c>
      <c r="N528" s="132"/>
      <c r="O528" s="132"/>
      <c r="P528" s="132"/>
      <c r="Q528" s="132"/>
      <c r="R528" s="132"/>
      <c r="S528" s="132"/>
      <c r="T528" s="132"/>
      <c r="U528" s="151"/>
      <c r="V528" s="151"/>
      <c r="W528" s="307" t="s">
        <v>193</v>
      </c>
      <c r="X528" s="308"/>
      <c r="Y528" s="38">
        <f t="shared" si="211"/>
        <v>0</v>
      </c>
      <c r="Z528" s="38">
        <f t="shared" si="212"/>
        <v>0</v>
      </c>
      <c r="AA528" s="38">
        <f t="shared" si="209"/>
        <v>0</v>
      </c>
      <c r="AB528" s="38">
        <f t="shared" si="220"/>
        <v>0</v>
      </c>
      <c r="AC528" s="38">
        <f t="shared" si="221"/>
        <v>0</v>
      </c>
      <c r="AD528" s="38">
        <f t="shared" si="222"/>
        <v>0</v>
      </c>
      <c r="AE528" s="38">
        <f t="shared" si="223"/>
        <v>0</v>
      </c>
      <c r="AF528" s="38">
        <f t="shared" si="224"/>
        <v>0</v>
      </c>
      <c r="AG528" s="33">
        <f t="shared" si="225"/>
        <v>0</v>
      </c>
      <c r="AH528" s="33">
        <f t="shared" si="226"/>
        <v>0</v>
      </c>
      <c r="AI528" s="33">
        <f t="shared" si="227"/>
        <v>0</v>
      </c>
      <c r="AJ528" s="33">
        <f t="shared" si="228"/>
        <v>0</v>
      </c>
      <c r="AK528" s="34">
        <f t="shared" si="229"/>
        <v>0</v>
      </c>
      <c r="AL528" s="35">
        <f t="shared" si="230"/>
        <v>0</v>
      </c>
      <c r="AM528" s="34">
        <f t="shared" si="213"/>
        <v>0</v>
      </c>
      <c r="AN528" s="36">
        <f t="shared" si="231"/>
        <v>0</v>
      </c>
      <c r="AO528" s="6">
        <f t="shared" si="214"/>
        <v>0</v>
      </c>
      <c r="AP528">
        <f t="shared" si="215"/>
        <v>8</v>
      </c>
      <c r="AQ528" s="6">
        <f t="shared" si="216"/>
        <v>0</v>
      </c>
      <c r="AR528" s="6">
        <f t="shared" si="217"/>
        <v>0</v>
      </c>
      <c r="AS528" s="6"/>
      <c r="AX528" s="95">
        <f t="shared" si="218"/>
        <v>42651</v>
      </c>
      <c r="AY528" s="96" t="str">
        <f t="shared" si="219"/>
        <v>sáb</v>
      </c>
      <c r="AZ528" s="97">
        <f>IF(OR(AY528="SÁB",AY528="DOM"),0,IFERROR(8-VLOOKUP(C528,'Dados de consulta'!$A$2:$C$38,3,0),8))</f>
        <v>0</v>
      </c>
      <c r="BA528" s="97">
        <f>IF(OR(AY528="SÁB",AY528="DOM"),0,IFERROR(8-VLOOKUP(D528,'Dados de consulta'!$A$2:$C$38,3,0),8))</f>
        <v>0</v>
      </c>
      <c r="BB528" s="97">
        <f>IF(OR(AY528="SÁB",AY528="DOM"),0,IFERROR(8-VLOOKUP(E528,'Dados de consulta'!$A$2:$C$38,3,0),8))</f>
        <v>0</v>
      </c>
      <c r="BC528" s="97">
        <f>IF(OR(AY528="SÁB",AY528="DOM"),0,IFERROR(8-VLOOKUP(F528,'Dados de consulta'!$A$2:$C$38,3,0),8))</f>
        <v>0</v>
      </c>
      <c r="BD528" s="97">
        <f>IF(OR(AY528="SÁB",AY528="DOM"),0,IFERROR(8-VLOOKUP(G528,'Dados de consulta'!$A$2:$C$38,3,0),8))</f>
        <v>0</v>
      </c>
      <c r="BE528" s="97">
        <f>IF(OR(AY528="SÁB",AY528="DOM"),0,IFERROR(8-VLOOKUP(H528,'Dados de consulta'!$A$2:$C$38,3,0),8))</f>
        <v>0</v>
      </c>
      <c r="BF528" s="97">
        <f>IF(OR(AY528="SÁB",AY528="DOM"),0,IFERROR(8-VLOOKUP(I528,'Dados de consulta'!$A$2:$C$38,3,0),8))</f>
        <v>0</v>
      </c>
      <c r="BG528" s="97">
        <f>IF(OR(AY528="SÁB",AY528="DOM"),0,IFERROR(8-VLOOKUP(J528,'Dados de consulta'!$A$2:$C$38,3,0),8))</f>
        <v>0</v>
      </c>
      <c r="BH528" s="97">
        <f>IF(OR(AY528="SÁB",AY528="DOM"),0,IFERROR(8-VLOOKUP(K528,'Dados de consulta'!$A$2:$C$38,3,0),8))</f>
        <v>0</v>
      </c>
      <c r="BI528" s="97">
        <f>IF(OR(AY528="SÁB",AY528="DOM"),0,IFERROR(8-VLOOKUP(L528,'Dados de consulta'!$A$2:$C$38,3,0),8))</f>
        <v>0</v>
      </c>
      <c r="BJ528" s="97">
        <f>IF(OR(AY528="SÁB",AY528="DOM"),0,IFERROR(8-VLOOKUP(M528,'Dados de consulta'!$A$2:$C$38,3,0),8))</f>
        <v>0</v>
      </c>
      <c r="BK528" s="97">
        <f>IF(OR(AY528="SÁB",AY528="DOM"),0,IFERROR(8-VLOOKUP(N528,'Dados de consulta'!$A$2:$C$38,3,0),8))</f>
        <v>0</v>
      </c>
      <c r="BL528" s="97">
        <f>IF(OR(AY528="SÁB",AY528="DOM"),0,IFERROR(8-VLOOKUP(O528,'Dados de consulta'!$A$2:$C$38,3,0),8))</f>
        <v>0</v>
      </c>
      <c r="BM528" s="97">
        <f>IF(OR(AY528="SÁB",AY528="DOM"),0,IFERROR(8-VLOOKUP(P528,'Dados de consulta'!$A$2:$C$38,3,0),8))</f>
        <v>0</v>
      </c>
      <c r="BN528" s="97">
        <f>IF(OR(AY528="SÁB",AY528="DOM"),0,IFERROR(8-VLOOKUP(Q528,'Dados de consulta'!$A$2:$C$38,3,0),8))</f>
        <v>0</v>
      </c>
      <c r="BO528" s="97">
        <f>IF(OR(AY528="SÁB",AY528="DOM"),0,IFERROR(8-VLOOKUP(R528,'Dados de consulta'!$A$2:$C$38,3,0),8))</f>
        <v>0</v>
      </c>
      <c r="BP528" s="97">
        <f>IF(OR(AY528="SÁB",AY528="DOM"),0,IFERROR(8-VLOOKUP(S528,'Dados de consulta'!$A$2:$C$38,3,0),8))</f>
        <v>0</v>
      </c>
      <c r="BQ528" s="113">
        <f>IFERROR(6-VLOOKUP(T528,'Dados de consulta'!$A$2:$C$38,3,0)+2,6)</f>
        <v>6</v>
      </c>
      <c r="BR528" s="114">
        <f t="shared" si="232"/>
        <v>0</v>
      </c>
      <c r="BS528">
        <f t="shared" si="208"/>
        <v>0</v>
      </c>
      <c r="BU528">
        <f>IFERROR(8-VLOOKUP(U528,'Dados de consulta'!$A:$D,3,0),8)</f>
        <v>8</v>
      </c>
      <c r="BV528">
        <f>IFERROR(8-VLOOKUP(V528,'Dados de consulta'!$A:$D,3,0),8)</f>
        <v>8</v>
      </c>
      <c r="BW528">
        <f t="shared" si="233"/>
        <v>16</v>
      </c>
    </row>
    <row r="529" spans="1:75" ht="15" hidden="1" x14ac:dyDescent="0.2">
      <c r="A529" s="98">
        <v>42652</v>
      </c>
      <c r="B529" s="129" t="str">
        <f t="shared" si="210"/>
        <v>dom</v>
      </c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>
        <v>101</v>
      </c>
      <c r="N529" s="132"/>
      <c r="O529" s="132"/>
      <c r="P529" s="132"/>
      <c r="Q529" s="132"/>
      <c r="R529" s="132"/>
      <c r="S529" s="132"/>
      <c r="T529" s="132"/>
      <c r="U529" s="151"/>
      <c r="V529" s="151"/>
      <c r="W529" s="307" t="s">
        <v>193</v>
      </c>
      <c r="X529" s="308"/>
      <c r="Y529" s="38">
        <f t="shared" si="211"/>
        <v>0</v>
      </c>
      <c r="Z529" s="38">
        <f t="shared" si="212"/>
        <v>0</v>
      </c>
      <c r="AA529" s="38">
        <f t="shared" si="209"/>
        <v>0</v>
      </c>
      <c r="AB529" s="38">
        <f t="shared" si="220"/>
        <v>0</v>
      </c>
      <c r="AC529" s="38">
        <f t="shared" si="221"/>
        <v>0</v>
      </c>
      <c r="AD529" s="38">
        <f t="shared" si="222"/>
        <v>0</v>
      </c>
      <c r="AE529" s="38">
        <f t="shared" si="223"/>
        <v>0</v>
      </c>
      <c r="AF529" s="38">
        <f t="shared" si="224"/>
        <v>0</v>
      </c>
      <c r="AG529" s="33">
        <f t="shared" si="225"/>
        <v>0</v>
      </c>
      <c r="AH529" s="33">
        <f t="shared" si="226"/>
        <v>0</v>
      </c>
      <c r="AI529" s="33">
        <f t="shared" si="227"/>
        <v>0</v>
      </c>
      <c r="AJ529" s="33">
        <f t="shared" si="228"/>
        <v>0</v>
      </c>
      <c r="AK529" s="34">
        <f t="shared" si="229"/>
        <v>0</v>
      </c>
      <c r="AL529" s="35">
        <f t="shared" si="230"/>
        <v>0</v>
      </c>
      <c r="AM529" s="34">
        <f t="shared" si="213"/>
        <v>0</v>
      </c>
      <c r="AN529" s="36">
        <f t="shared" si="231"/>
        <v>0</v>
      </c>
      <c r="AO529" s="6">
        <f t="shared" si="214"/>
        <v>0</v>
      </c>
      <c r="AP529">
        <f t="shared" si="215"/>
        <v>8</v>
      </c>
      <c r="AQ529" s="6">
        <f t="shared" si="216"/>
        <v>0</v>
      </c>
      <c r="AR529" s="6">
        <f t="shared" si="217"/>
        <v>0</v>
      </c>
      <c r="AS529" s="6"/>
      <c r="AX529" s="95">
        <f t="shared" si="218"/>
        <v>42652</v>
      </c>
      <c r="AY529" s="96" t="str">
        <f t="shared" si="219"/>
        <v>dom</v>
      </c>
      <c r="AZ529" s="97">
        <f>IF(OR(AY529="SÁB",AY529="DOM"),0,IFERROR(8-VLOOKUP(C529,'Dados de consulta'!$A$2:$C$38,3,0),8))</f>
        <v>0</v>
      </c>
      <c r="BA529" s="97">
        <f>IF(OR(AY529="SÁB",AY529="DOM"),0,IFERROR(8-VLOOKUP(D529,'Dados de consulta'!$A$2:$C$38,3,0),8))</f>
        <v>0</v>
      </c>
      <c r="BB529" s="97">
        <f>IF(OR(AY529="SÁB",AY529="DOM"),0,IFERROR(8-VLOOKUP(E529,'Dados de consulta'!$A$2:$C$38,3,0),8))</f>
        <v>0</v>
      </c>
      <c r="BC529" s="97">
        <f>IF(OR(AY529="SÁB",AY529="DOM"),0,IFERROR(8-VLOOKUP(F529,'Dados de consulta'!$A$2:$C$38,3,0),8))</f>
        <v>0</v>
      </c>
      <c r="BD529" s="97">
        <f>IF(OR(AY529="SÁB",AY529="DOM"),0,IFERROR(8-VLOOKUP(G529,'Dados de consulta'!$A$2:$C$38,3,0),8))</f>
        <v>0</v>
      </c>
      <c r="BE529" s="97">
        <f>IF(OR(AY529="SÁB",AY529="DOM"),0,IFERROR(8-VLOOKUP(H529,'Dados de consulta'!$A$2:$C$38,3,0),8))</f>
        <v>0</v>
      </c>
      <c r="BF529" s="97">
        <f>IF(OR(AY529="SÁB",AY529="DOM"),0,IFERROR(8-VLOOKUP(I529,'Dados de consulta'!$A$2:$C$38,3,0),8))</f>
        <v>0</v>
      </c>
      <c r="BG529" s="97">
        <f>IF(OR(AY529="SÁB",AY529="DOM"),0,IFERROR(8-VLOOKUP(J529,'Dados de consulta'!$A$2:$C$38,3,0),8))</f>
        <v>0</v>
      </c>
      <c r="BH529" s="97">
        <f>IF(OR(AY529="SÁB",AY529="DOM"),0,IFERROR(8-VLOOKUP(K529,'Dados de consulta'!$A$2:$C$38,3,0),8))</f>
        <v>0</v>
      </c>
      <c r="BI529" s="97">
        <f>IF(OR(AY529="SÁB",AY529="DOM"),0,IFERROR(8-VLOOKUP(L529,'Dados de consulta'!$A$2:$C$38,3,0),8))</f>
        <v>0</v>
      </c>
      <c r="BJ529" s="97">
        <f>IF(OR(AY529="SÁB",AY529="DOM"),0,IFERROR(8-VLOOKUP(M529,'Dados de consulta'!$A$2:$C$38,3,0),8))</f>
        <v>0</v>
      </c>
      <c r="BK529" s="97">
        <f>IF(OR(AY529="SÁB",AY529="DOM"),0,IFERROR(8-VLOOKUP(N529,'Dados de consulta'!$A$2:$C$38,3,0),8))</f>
        <v>0</v>
      </c>
      <c r="BL529" s="97">
        <f>IF(OR(AY529="SÁB",AY529="DOM"),0,IFERROR(8-VLOOKUP(O529,'Dados de consulta'!$A$2:$C$38,3,0),8))</f>
        <v>0</v>
      </c>
      <c r="BM529" s="97">
        <f>IF(OR(AY529="SÁB",AY529="DOM"),0,IFERROR(8-VLOOKUP(P529,'Dados de consulta'!$A$2:$C$38,3,0),8))</f>
        <v>0</v>
      </c>
      <c r="BN529" s="97">
        <f>IF(OR(AY529="SÁB",AY529="DOM"),0,IFERROR(8-VLOOKUP(Q529,'Dados de consulta'!$A$2:$C$38,3,0),8))</f>
        <v>0</v>
      </c>
      <c r="BO529" s="97">
        <f>IF(OR(AY529="SÁB",AY529="DOM"),0,IFERROR(8-VLOOKUP(R529,'Dados de consulta'!$A$2:$C$38,3,0),8))</f>
        <v>0</v>
      </c>
      <c r="BP529" s="97">
        <f>IF(OR(AY529="SÁB",AY529="DOM"),0,IFERROR(8-VLOOKUP(S529,'Dados de consulta'!$A$2:$C$38,3,0),8))</f>
        <v>0</v>
      </c>
      <c r="BQ529" s="113">
        <f>IFERROR(6-VLOOKUP(T529,'Dados de consulta'!$A$2:$C$38,3,0)+2,6)</f>
        <v>6</v>
      </c>
      <c r="BR529" s="114">
        <f t="shared" si="232"/>
        <v>0</v>
      </c>
      <c r="BS529">
        <f t="shared" si="208"/>
        <v>0</v>
      </c>
      <c r="BU529">
        <f>IFERROR(8-VLOOKUP(U529,'Dados de consulta'!$A:$D,3,0),8)</f>
        <v>8</v>
      </c>
      <c r="BV529">
        <f>IFERROR(8-VLOOKUP(V529,'Dados de consulta'!$A:$D,3,0),8)</f>
        <v>8</v>
      </c>
      <c r="BW529">
        <f t="shared" si="233"/>
        <v>16</v>
      </c>
    </row>
    <row r="530" spans="1:75" ht="15" hidden="1" x14ac:dyDescent="0.2">
      <c r="A530" s="98">
        <v>42653</v>
      </c>
      <c r="B530" s="129" t="str">
        <f t="shared" si="210"/>
        <v>seg</v>
      </c>
      <c r="C530" s="132"/>
      <c r="D530" s="132">
        <v>18</v>
      </c>
      <c r="E530" s="132"/>
      <c r="F530" s="132"/>
      <c r="G530" s="132"/>
      <c r="H530" s="132"/>
      <c r="I530" s="132"/>
      <c r="J530" s="132"/>
      <c r="K530" s="132"/>
      <c r="L530" s="132"/>
      <c r="M530" s="132">
        <v>101</v>
      </c>
      <c r="N530" s="132"/>
      <c r="O530" s="132"/>
      <c r="P530" s="132"/>
      <c r="Q530" s="132"/>
      <c r="R530" s="132"/>
      <c r="S530" s="132"/>
      <c r="T530" s="132"/>
      <c r="U530" s="151"/>
      <c r="V530" s="151">
        <v>18</v>
      </c>
      <c r="W530" s="307" t="s">
        <v>193</v>
      </c>
      <c r="X530" s="308"/>
      <c r="Y530" s="38">
        <f t="shared" si="211"/>
        <v>0</v>
      </c>
      <c r="Z530" s="38">
        <f t="shared" si="212"/>
        <v>8</v>
      </c>
      <c r="AA530" s="38">
        <f t="shared" si="209"/>
        <v>0</v>
      </c>
      <c r="AB530" s="38">
        <f t="shared" si="220"/>
        <v>0</v>
      </c>
      <c r="AC530" s="38">
        <f t="shared" si="221"/>
        <v>0</v>
      </c>
      <c r="AD530" s="38">
        <f t="shared" si="222"/>
        <v>0</v>
      </c>
      <c r="AE530" s="38">
        <f t="shared" si="223"/>
        <v>0</v>
      </c>
      <c r="AF530" s="38">
        <f t="shared" si="224"/>
        <v>0</v>
      </c>
      <c r="AG530" s="33">
        <f t="shared" si="225"/>
        <v>0</v>
      </c>
      <c r="AH530" s="33">
        <f t="shared" si="226"/>
        <v>8</v>
      </c>
      <c r="AI530" s="33">
        <f t="shared" si="227"/>
        <v>0</v>
      </c>
      <c r="AJ530" s="33">
        <f t="shared" si="228"/>
        <v>0</v>
      </c>
      <c r="AK530" s="34">
        <f t="shared" si="229"/>
        <v>0</v>
      </c>
      <c r="AL530" s="35">
        <f t="shared" si="230"/>
        <v>5.6338028169014086E-2</v>
      </c>
      <c r="AM530" s="34">
        <f t="shared" si="213"/>
        <v>0</v>
      </c>
      <c r="AN530" s="36">
        <f t="shared" si="231"/>
        <v>0</v>
      </c>
      <c r="AO530" s="6">
        <f t="shared" si="214"/>
        <v>0</v>
      </c>
      <c r="AP530">
        <f t="shared" si="215"/>
        <v>8</v>
      </c>
      <c r="AQ530" s="6">
        <f t="shared" si="216"/>
        <v>0</v>
      </c>
      <c r="AR530" s="6">
        <f t="shared" si="217"/>
        <v>0</v>
      </c>
      <c r="AS530" s="6"/>
      <c r="AX530" s="95">
        <f t="shared" si="218"/>
        <v>42653</v>
      </c>
      <c r="AY530" s="96" t="str">
        <f t="shared" si="219"/>
        <v>seg</v>
      </c>
      <c r="AZ530" s="97">
        <f>IF(OR(AY530="SÁB",AY530="DOM"),0,IFERROR(8-VLOOKUP(C530,'Dados de consulta'!$A$2:$C$38,3,0),8))</f>
        <v>8</v>
      </c>
      <c r="BA530" s="97">
        <f>IF(OR(AY530="SÁB",AY530="DOM"),0,IFERROR(8-VLOOKUP(D530,'Dados de consulta'!$A$2:$C$38,3,0),8))</f>
        <v>0</v>
      </c>
      <c r="BB530" s="97">
        <f>IF(OR(AY530="SÁB",AY530="DOM"),0,IFERROR(8-VLOOKUP(E530,'Dados de consulta'!$A$2:$C$38,3,0),8))</f>
        <v>8</v>
      </c>
      <c r="BC530" s="97">
        <f>IF(OR(AY530="SÁB",AY530="DOM"),0,IFERROR(8-VLOOKUP(F530,'Dados de consulta'!$A$2:$C$38,3,0),8))</f>
        <v>8</v>
      </c>
      <c r="BD530" s="97">
        <f>IF(OR(AY530="SÁB",AY530="DOM"),0,IFERROR(8-VLOOKUP(G530,'Dados de consulta'!$A$2:$C$38,3,0),8))</f>
        <v>8</v>
      </c>
      <c r="BE530" s="97">
        <f>IF(OR(AY530="SÁB",AY530="DOM"),0,IFERROR(8-VLOOKUP(H530,'Dados de consulta'!$A$2:$C$38,3,0),8))</f>
        <v>8</v>
      </c>
      <c r="BF530" s="97">
        <f>IF(OR(AY530="SÁB",AY530="DOM"),0,IFERROR(8-VLOOKUP(I530,'Dados de consulta'!$A$2:$C$38,3,0),8))</f>
        <v>8</v>
      </c>
      <c r="BG530" s="97">
        <f>IF(OR(AY530="SÁB",AY530="DOM"),0,IFERROR(8-VLOOKUP(J530,'Dados de consulta'!$A$2:$C$38,3,0),8))</f>
        <v>8</v>
      </c>
      <c r="BH530" s="97">
        <f>IF(OR(AY530="SÁB",AY530="DOM"),0,IFERROR(8-VLOOKUP(K530,'Dados de consulta'!$A$2:$C$38,3,0),8))</f>
        <v>8</v>
      </c>
      <c r="BI530" s="97">
        <f>IF(OR(AY530="SÁB",AY530="DOM"),0,IFERROR(8-VLOOKUP(L530,'Dados de consulta'!$A$2:$C$38,3,0),8))</f>
        <v>8</v>
      </c>
      <c r="BJ530" s="97">
        <f>IF(OR(AY530="SÁB",AY530="DOM"),0,IFERROR(8-VLOOKUP(M530,'Dados de consulta'!$A$2:$C$38,3,0),8))</f>
        <v>0</v>
      </c>
      <c r="BK530" s="97">
        <f>IF(OR(AY530="SÁB",AY530="DOM"),0,IFERROR(8-VLOOKUP(N530,'Dados de consulta'!$A$2:$C$38,3,0),8))</f>
        <v>8</v>
      </c>
      <c r="BL530" s="97">
        <f>IF(OR(AY530="SÁB",AY530="DOM"),0,IFERROR(8-VLOOKUP(O530,'Dados de consulta'!$A$2:$C$38,3,0),8))</f>
        <v>8</v>
      </c>
      <c r="BM530" s="97">
        <f>IF(OR(AY530="SÁB",AY530="DOM"),0,IFERROR(8-VLOOKUP(P530,'Dados de consulta'!$A$2:$C$38,3,0),8))</f>
        <v>8</v>
      </c>
      <c r="BN530" s="97">
        <f>IF(OR(AY530="SÁB",AY530="DOM"),0,IFERROR(8-VLOOKUP(Q530,'Dados de consulta'!$A$2:$C$38,3,0),8))</f>
        <v>8</v>
      </c>
      <c r="BO530" s="97">
        <f>IF(OR(AY530="SÁB",AY530="DOM"),0,IFERROR(8-VLOOKUP(R530,'Dados de consulta'!$A$2:$C$38,3,0),8))</f>
        <v>8</v>
      </c>
      <c r="BP530" s="97">
        <f>IF(OR(AY530="SÁB",AY530="DOM"),0,IFERROR(8-VLOOKUP(S530,'Dados de consulta'!$A$2:$C$38,3,0),8))</f>
        <v>8</v>
      </c>
      <c r="BQ530" s="113">
        <f>IFERROR(6-VLOOKUP(T530,'Dados de consulta'!$A$2:$C$38,3,0)+2,6)</f>
        <v>6</v>
      </c>
      <c r="BR530" s="114">
        <f t="shared" si="232"/>
        <v>126</v>
      </c>
      <c r="BS530">
        <f t="shared" si="208"/>
        <v>134</v>
      </c>
      <c r="BU530">
        <f>IFERROR(8-VLOOKUP(U530,'Dados de consulta'!$A:$D,3,0),8)</f>
        <v>8</v>
      </c>
      <c r="BV530">
        <f>IFERROR(8-VLOOKUP(V530,'Dados de consulta'!$A:$D,3,0),8)</f>
        <v>0</v>
      </c>
      <c r="BW530">
        <f t="shared" si="233"/>
        <v>8</v>
      </c>
    </row>
    <row r="531" spans="1:75" ht="15" hidden="1" x14ac:dyDescent="0.2">
      <c r="A531" s="98">
        <v>42654</v>
      </c>
      <c r="B531" s="129" t="str">
        <f t="shared" si="210"/>
        <v>ter</v>
      </c>
      <c r="C531" s="132"/>
      <c r="D531" s="132">
        <v>18</v>
      </c>
      <c r="E531" s="132"/>
      <c r="F531" s="132"/>
      <c r="G531" s="132"/>
      <c r="H531" s="132"/>
      <c r="I531" s="132"/>
      <c r="J531" s="132"/>
      <c r="K531" s="132"/>
      <c r="L531" s="132"/>
      <c r="M531" s="132">
        <v>101</v>
      </c>
      <c r="N531" s="132"/>
      <c r="O531" s="132"/>
      <c r="P531" s="132"/>
      <c r="Q531" s="132"/>
      <c r="R531" s="132"/>
      <c r="S531" s="132"/>
      <c r="T531" s="132"/>
      <c r="U531" s="151"/>
      <c r="V531" s="151">
        <v>18</v>
      </c>
      <c r="W531" s="307" t="s">
        <v>193</v>
      </c>
      <c r="X531" s="308"/>
      <c r="Y531" s="38">
        <f t="shared" si="211"/>
        <v>0</v>
      </c>
      <c r="Z531" s="38">
        <f t="shared" si="212"/>
        <v>8</v>
      </c>
      <c r="AA531" s="38">
        <f t="shared" si="209"/>
        <v>0</v>
      </c>
      <c r="AB531" s="38">
        <f t="shared" si="220"/>
        <v>0</v>
      </c>
      <c r="AC531" s="38">
        <f t="shared" si="221"/>
        <v>0</v>
      </c>
      <c r="AD531" s="38">
        <f t="shared" si="222"/>
        <v>0</v>
      </c>
      <c r="AE531" s="38">
        <f t="shared" si="223"/>
        <v>0</v>
      </c>
      <c r="AF531" s="38">
        <f t="shared" si="224"/>
        <v>0</v>
      </c>
      <c r="AG531" s="33">
        <f t="shared" si="225"/>
        <v>0</v>
      </c>
      <c r="AH531" s="33">
        <f t="shared" si="226"/>
        <v>8</v>
      </c>
      <c r="AI531" s="33">
        <f t="shared" si="227"/>
        <v>0</v>
      </c>
      <c r="AJ531" s="33">
        <f t="shared" si="228"/>
        <v>0</v>
      </c>
      <c r="AK531" s="34">
        <f t="shared" si="229"/>
        <v>0</v>
      </c>
      <c r="AL531" s="35">
        <f t="shared" si="230"/>
        <v>5.6338028169014086E-2</v>
      </c>
      <c r="AM531" s="34">
        <f t="shared" si="213"/>
        <v>0</v>
      </c>
      <c r="AN531" s="36">
        <f t="shared" si="231"/>
        <v>0</v>
      </c>
      <c r="AO531" s="6">
        <f t="shared" si="214"/>
        <v>0</v>
      </c>
      <c r="AP531">
        <f t="shared" si="215"/>
        <v>8</v>
      </c>
      <c r="AQ531" s="6">
        <f t="shared" si="216"/>
        <v>0</v>
      </c>
      <c r="AR531" s="6">
        <f t="shared" si="217"/>
        <v>0</v>
      </c>
      <c r="AS531" s="6"/>
      <c r="AX531" s="95">
        <f t="shared" si="218"/>
        <v>42654</v>
      </c>
      <c r="AY531" s="96" t="str">
        <f t="shared" si="219"/>
        <v>ter</v>
      </c>
      <c r="AZ531" s="97">
        <f>IF(OR(AY531="SÁB",AY531="DOM"),0,IFERROR(8-VLOOKUP(C531,'Dados de consulta'!$A$2:$C$38,3,0),8))</f>
        <v>8</v>
      </c>
      <c r="BA531" s="97">
        <f>IF(OR(AY531="SÁB",AY531="DOM"),0,IFERROR(8-VLOOKUP(D531,'Dados de consulta'!$A$2:$C$38,3,0),8))</f>
        <v>0</v>
      </c>
      <c r="BB531" s="97">
        <f>IF(OR(AY531="SÁB",AY531="DOM"),0,IFERROR(8-VLOOKUP(E531,'Dados de consulta'!$A$2:$C$38,3,0),8))</f>
        <v>8</v>
      </c>
      <c r="BC531" s="97">
        <f>IF(OR(AY531="SÁB",AY531="DOM"),0,IFERROR(8-VLOOKUP(F531,'Dados de consulta'!$A$2:$C$38,3,0),8))</f>
        <v>8</v>
      </c>
      <c r="BD531" s="97">
        <f>IF(OR(AY531="SÁB",AY531="DOM"),0,IFERROR(8-VLOOKUP(G531,'Dados de consulta'!$A$2:$C$38,3,0),8))</f>
        <v>8</v>
      </c>
      <c r="BE531" s="97">
        <f>IF(OR(AY531="SÁB",AY531="DOM"),0,IFERROR(8-VLOOKUP(H531,'Dados de consulta'!$A$2:$C$38,3,0),8))</f>
        <v>8</v>
      </c>
      <c r="BF531" s="97">
        <f>IF(OR(AY531="SÁB",AY531="DOM"),0,IFERROR(8-VLOOKUP(I531,'Dados de consulta'!$A$2:$C$38,3,0),8))</f>
        <v>8</v>
      </c>
      <c r="BG531" s="97">
        <f>IF(OR(AY531="SÁB",AY531="DOM"),0,IFERROR(8-VLOOKUP(J531,'Dados de consulta'!$A$2:$C$38,3,0),8))</f>
        <v>8</v>
      </c>
      <c r="BH531" s="97">
        <f>IF(OR(AY531="SÁB",AY531="DOM"),0,IFERROR(8-VLOOKUP(K531,'Dados de consulta'!$A$2:$C$38,3,0),8))</f>
        <v>8</v>
      </c>
      <c r="BI531" s="97">
        <f>IF(OR(AY531="SÁB",AY531="DOM"),0,IFERROR(8-VLOOKUP(L531,'Dados de consulta'!$A$2:$C$38,3,0),8))</f>
        <v>8</v>
      </c>
      <c r="BJ531" s="97">
        <f>IF(OR(AY531="SÁB",AY531="DOM"),0,IFERROR(8-VLOOKUP(M531,'Dados de consulta'!$A$2:$C$38,3,0),8))</f>
        <v>0</v>
      </c>
      <c r="BK531" s="97">
        <f>IF(OR(AY531="SÁB",AY531="DOM"),0,IFERROR(8-VLOOKUP(N531,'Dados de consulta'!$A$2:$C$38,3,0),8))</f>
        <v>8</v>
      </c>
      <c r="BL531" s="97">
        <f>IF(OR(AY531="SÁB",AY531="DOM"),0,IFERROR(8-VLOOKUP(O531,'Dados de consulta'!$A$2:$C$38,3,0),8))</f>
        <v>8</v>
      </c>
      <c r="BM531" s="97">
        <f>IF(OR(AY531="SÁB",AY531="DOM"),0,IFERROR(8-VLOOKUP(P531,'Dados de consulta'!$A$2:$C$38,3,0),8))</f>
        <v>8</v>
      </c>
      <c r="BN531" s="97">
        <f>IF(OR(AY531="SÁB",AY531="DOM"),0,IFERROR(8-VLOOKUP(Q531,'Dados de consulta'!$A$2:$C$38,3,0),8))</f>
        <v>8</v>
      </c>
      <c r="BO531" s="97">
        <f>IF(OR(AY531="SÁB",AY531="DOM"),0,IFERROR(8-VLOOKUP(R531,'Dados de consulta'!$A$2:$C$38,3,0),8))</f>
        <v>8</v>
      </c>
      <c r="BP531" s="97">
        <f>IF(OR(AY531="SÁB",AY531="DOM"),0,IFERROR(8-VLOOKUP(S531,'Dados de consulta'!$A$2:$C$38,3,0),8))</f>
        <v>8</v>
      </c>
      <c r="BQ531" s="113">
        <f>IFERROR(6-VLOOKUP(T531,'Dados de consulta'!$A$2:$C$38,3,0)+2,6)</f>
        <v>6</v>
      </c>
      <c r="BR531" s="114">
        <f t="shared" si="232"/>
        <v>126</v>
      </c>
      <c r="BS531">
        <f t="shared" si="208"/>
        <v>134</v>
      </c>
      <c r="BU531">
        <f>IFERROR(8-VLOOKUP(U531,'Dados de consulta'!$A:$D,3,0),8)</f>
        <v>8</v>
      </c>
      <c r="BV531">
        <f>IFERROR(8-VLOOKUP(V531,'Dados de consulta'!$A:$D,3,0),8)</f>
        <v>0</v>
      </c>
      <c r="BW531">
        <f t="shared" si="233"/>
        <v>8</v>
      </c>
    </row>
    <row r="532" spans="1:75" ht="15" hidden="1" x14ac:dyDescent="0.2">
      <c r="A532" s="98">
        <v>42655</v>
      </c>
      <c r="B532" s="129" t="str">
        <f t="shared" si="210"/>
        <v>qua</v>
      </c>
      <c r="C532" s="132"/>
      <c r="D532" s="132">
        <v>18</v>
      </c>
      <c r="E532" s="132"/>
      <c r="F532" s="132"/>
      <c r="G532" s="132"/>
      <c r="H532" s="132"/>
      <c r="I532" s="132"/>
      <c r="J532" s="132"/>
      <c r="K532" s="132"/>
      <c r="L532" s="132"/>
      <c r="M532" s="132">
        <v>101</v>
      </c>
      <c r="N532" s="132"/>
      <c r="O532" s="132"/>
      <c r="P532" s="132"/>
      <c r="Q532" s="132"/>
      <c r="R532" s="132"/>
      <c r="S532" s="132"/>
      <c r="T532" s="132"/>
      <c r="U532" s="151"/>
      <c r="V532" s="151">
        <v>18</v>
      </c>
      <c r="W532" s="307" t="s">
        <v>193</v>
      </c>
      <c r="X532" s="308"/>
      <c r="Y532" s="38">
        <f t="shared" si="211"/>
        <v>0</v>
      </c>
      <c r="Z532" s="38">
        <f t="shared" si="212"/>
        <v>8</v>
      </c>
      <c r="AA532" s="38">
        <f t="shared" si="209"/>
        <v>0</v>
      </c>
      <c r="AB532" s="38">
        <f t="shared" si="220"/>
        <v>0</v>
      </c>
      <c r="AC532" s="38">
        <f t="shared" si="221"/>
        <v>0</v>
      </c>
      <c r="AD532" s="38">
        <f t="shared" si="222"/>
        <v>0</v>
      </c>
      <c r="AE532" s="38">
        <f t="shared" si="223"/>
        <v>0</v>
      </c>
      <c r="AF532" s="38">
        <f t="shared" si="224"/>
        <v>0</v>
      </c>
      <c r="AG532" s="33">
        <f t="shared" si="225"/>
        <v>0</v>
      </c>
      <c r="AH532" s="33">
        <f t="shared" si="226"/>
        <v>8</v>
      </c>
      <c r="AI532" s="33">
        <f t="shared" si="227"/>
        <v>0</v>
      </c>
      <c r="AJ532" s="33">
        <f t="shared" si="228"/>
        <v>0</v>
      </c>
      <c r="AK532" s="34">
        <f t="shared" si="229"/>
        <v>0</v>
      </c>
      <c r="AL532" s="35">
        <f t="shared" si="230"/>
        <v>5.6338028169014086E-2</v>
      </c>
      <c r="AM532" s="34">
        <f t="shared" si="213"/>
        <v>0</v>
      </c>
      <c r="AN532" s="36">
        <f t="shared" si="231"/>
        <v>0</v>
      </c>
      <c r="AO532" s="6">
        <f t="shared" si="214"/>
        <v>0</v>
      </c>
      <c r="AP532">
        <f t="shared" si="215"/>
        <v>8</v>
      </c>
      <c r="AQ532" s="6">
        <f t="shared" si="216"/>
        <v>0</v>
      </c>
      <c r="AR532" s="6">
        <f t="shared" si="217"/>
        <v>0</v>
      </c>
      <c r="AS532" s="6"/>
      <c r="AX532" s="95">
        <f t="shared" si="218"/>
        <v>42655</v>
      </c>
      <c r="AY532" s="96" t="str">
        <f t="shared" si="219"/>
        <v>qua</v>
      </c>
      <c r="AZ532" s="97">
        <f>IF(OR(AY532="SÁB",AY532="DOM"),0,IFERROR(8-VLOOKUP(C532,'Dados de consulta'!$A$2:$C$38,3,0),8))</f>
        <v>8</v>
      </c>
      <c r="BA532" s="97">
        <f>IF(OR(AY532="SÁB",AY532="DOM"),0,IFERROR(8-VLOOKUP(D532,'Dados de consulta'!$A$2:$C$38,3,0),8))</f>
        <v>0</v>
      </c>
      <c r="BB532" s="97">
        <f>IF(OR(AY532="SÁB",AY532="DOM"),0,IFERROR(8-VLOOKUP(E532,'Dados de consulta'!$A$2:$C$38,3,0),8))</f>
        <v>8</v>
      </c>
      <c r="BC532" s="97">
        <f>IF(OR(AY532="SÁB",AY532="DOM"),0,IFERROR(8-VLOOKUP(F532,'Dados de consulta'!$A$2:$C$38,3,0),8))</f>
        <v>8</v>
      </c>
      <c r="BD532" s="97">
        <f>IF(OR(AY532="SÁB",AY532="DOM"),0,IFERROR(8-VLOOKUP(G532,'Dados de consulta'!$A$2:$C$38,3,0),8))</f>
        <v>8</v>
      </c>
      <c r="BE532" s="97">
        <f>IF(OR(AY532="SÁB",AY532="DOM"),0,IFERROR(8-VLOOKUP(H532,'Dados de consulta'!$A$2:$C$38,3,0),8))</f>
        <v>8</v>
      </c>
      <c r="BF532" s="97">
        <f>IF(OR(AY532="SÁB",AY532="DOM"),0,IFERROR(8-VLOOKUP(I532,'Dados de consulta'!$A$2:$C$38,3,0),8))</f>
        <v>8</v>
      </c>
      <c r="BG532" s="97">
        <f>IF(OR(AY532="SÁB",AY532="DOM"),0,IFERROR(8-VLOOKUP(J532,'Dados de consulta'!$A$2:$C$38,3,0),8))</f>
        <v>8</v>
      </c>
      <c r="BH532" s="97">
        <f>IF(OR(AY532="SÁB",AY532="DOM"),0,IFERROR(8-VLOOKUP(K532,'Dados de consulta'!$A$2:$C$38,3,0),8))</f>
        <v>8</v>
      </c>
      <c r="BI532" s="97">
        <f>IF(OR(AY532="SÁB",AY532="DOM"),0,IFERROR(8-VLOOKUP(L532,'Dados de consulta'!$A$2:$C$38,3,0),8))</f>
        <v>8</v>
      </c>
      <c r="BJ532" s="97">
        <f>IF(OR(AY532="SÁB",AY532="DOM"),0,IFERROR(8-VLOOKUP(M532,'Dados de consulta'!$A$2:$C$38,3,0),8))</f>
        <v>0</v>
      </c>
      <c r="BK532" s="97">
        <f>IF(OR(AY532="SÁB",AY532="DOM"),0,IFERROR(8-VLOOKUP(N532,'Dados de consulta'!$A$2:$C$38,3,0),8))</f>
        <v>8</v>
      </c>
      <c r="BL532" s="97">
        <f>IF(OR(AY532="SÁB",AY532="DOM"),0,IFERROR(8-VLOOKUP(O532,'Dados de consulta'!$A$2:$C$38,3,0),8))</f>
        <v>8</v>
      </c>
      <c r="BM532" s="97">
        <f>IF(OR(AY532="SÁB",AY532="DOM"),0,IFERROR(8-VLOOKUP(P532,'Dados de consulta'!$A$2:$C$38,3,0),8))</f>
        <v>8</v>
      </c>
      <c r="BN532" s="97">
        <f>IF(OR(AY532="SÁB",AY532="DOM"),0,IFERROR(8-VLOOKUP(Q532,'Dados de consulta'!$A$2:$C$38,3,0),8))</f>
        <v>8</v>
      </c>
      <c r="BO532" s="97">
        <f>IF(OR(AY532="SÁB",AY532="DOM"),0,IFERROR(8-VLOOKUP(R532,'Dados de consulta'!$A$2:$C$38,3,0),8))</f>
        <v>8</v>
      </c>
      <c r="BP532" s="97">
        <f>IF(OR(AY532="SÁB",AY532="DOM"),0,IFERROR(8-VLOOKUP(S532,'Dados de consulta'!$A$2:$C$38,3,0),8))</f>
        <v>8</v>
      </c>
      <c r="BQ532" s="113">
        <f>IFERROR(6-VLOOKUP(T532,'Dados de consulta'!$A$2:$C$38,3,0)+2,6)</f>
        <v>6</v>
      </c>
      <c r="BR532" s="114">
        <f t="shared" si="232"/>
        <v>126</v>
      </c>
      <c r="BS532">
        <f t="shared" si="208"/>
        <v>134</v>
      </c>
      <c r="BU532">
        <f>IFERROR(8-VLOOKUP(U532,'Dados de consulta'!$A:$D,3,0),8)</f>
        <v>8</v>
      </c>
      <c r="BV532">
        <f>IFERROR(8-VLOOKUP(V532,'Dados de consulta'!$A:$D,3,0),8)</f>
        <v>0</v>
      </c>
      <c r="BW532">
        <f t="shared" si="233"/>
        <v>8</v>
      </c>
    </row>
    <row r="533" spans="1:75" ht="15" hidden="1" x14ac:dyDescent="0.2">
      <c r="A533" s="98">
        <v>42656</v>
      </c>
      <c r="B533" s="129" t="str">
        <f t="shared" si="210"/>
        <v>qui</v>
      </c>
      <c r="C533" s="132"/>
      <c r="D533" s="132">
        <v>18</v>
      </c>
      <c r="E533" s="132"/>
      <c r="F533" s="132"/>
      <c r="G533" s="132"/>
      <c r="H533" s="132"/>
      <c r="I533" s="132"/>
      <c r="J533" s="132"/>
      <c r="K533" s="132"/>
      <c r="L533" s="132"/>
      <c r="M533" s="132">
        <v>101</v>
      </c>
      <c r="N533" s="132"/>
      <c r="O533" s="132"/>
      <c r="P533" s="132"/>
      <c r="Q533" s="132"/>
      <c r="R533" s="132"/>
      <c r="S533" s="132"/>
      <c r="T533" s="132"/>
      <c r="U533" s="151"/>
      <c r="V533" s="151">
        <v>18</v>
      </c>
      <c r="W533" s="307" t="s">
        <v>193</v>
      </c>
      <c r="X533" s="308"/>
      <c r="Y533" s="38">
        <f t="shared" si="211"/>
        <v>0</v>
      </c>
      <c r="Z533" s="38">
        <f t="shared" si="212"/>
        <v>8</v>
      </c>
      <c r="AA533" s="38">
        <f t="shared" si="209"/>
        <v>0</v>
      </c>
      <c r="AB533" s="38">
        <f t="shared" si="220"/>
        <v>0</v>
      </c>
      <c r="AC533" s="38">
        <f t="shared" si="221"/>
        <v>0</v>
      </c>
      <c r="AD533" s="38">
        <f t="shared" si="222"/>
        <v>0</v>
      </c>
      <c r="AE533" s="38">
        <f t="shared" si="223"/>
        <v>0</v>
      </c>
      <c r="AF533" s="38">
        <f t="shared" si="224"/>
        <v>0</v>
      </c>
      <c r="AG533" s="33">
        <f t="shared" si="225"/>
        <v>0</v>
      </c>
      <c r="AH533" s="33">
        <f t="shared" si="226"/>
        <v>8</v>
      </c>
      <c r="AI533" s="33">
        <f t="shared" si="227"/>
        <v>0</v>
      </c>
      <c r="AJ533" s="33">
        <f t="shared" si="228"/>
        <v>0</v>
      </c>
      <c r="AK533" s="34">
        <f t="shared" si="229"/>
        <v>0</v>
      </c>
      <c r="AL533" s="35">
        <f t="shared" si="230"/>
        <v>5.6338028169014086E-2</v>
      </c>
      <c r="AM533" s="34">
        <f t="shared" si="213"/>
        <v>0</v>
      </c>
      <c r="AN533" s="36">
        <f t="shared" si="231"/>
        <v>0</v>
      </c>
      <c r="AO533" s="6">
        <f t="shared" si="214"/>
        <v>0</v>
      </c>
      <c r="AP533">
        <f t="shared" si="215"/>
        <v>8</v>
      </c>
      <c r="AQ533" s="6">
        <f t="shared" si="216"/>
        <v>0</v>
      </c>
      <c r="AR533" s="6">
        <f t="shared" si="217"/>
        <v>0</v>
      </c>
      <c r="AS533" s="6"/>
      <c r="AX533" s="95">
        <f t="shared" si="218"/>
        <v>42656</v>
      </c>
      <c r="AY533" s="96" t="str">
        <f t="shared" si="219"/>
        <v>qui</v>
      </c>
      <c r="AZ533" s="97">
        <f>IF(OR(AY533="SÁB",AY533="DOM"),0,IFERROR(8-VLOOKUP(C533,'Dados de consulta'!$A$2:$C$38,3,0),8))</f>
        <v>8</v>
      </c>
      <c r="BA533" s="97">
        <f>IF(OR(AY533="SÁB",AY533="DOM"),0,IFERROR(8-VLOOKUP(D533,'Dados de consulta'!$A$2:$C$38,3,0),8))</f>
        <v>0</v>
      </c>
      <c r="BB533" s="97">
        <f>IF(OR(AY533="SÁB",AY533="DOM"),0,IFERROR(8-VLOOKUP(E533,'Dados de consulta'!$A$2:$C$38,3,0),8))</f>
        <v>8</v>
      </c>
      <c r="BC533" s="97">
        <f>IF(OR(AY533="SÁB",AY533="DOM"),0,IFERROR(8-VLOOKUP(F533,'Dados de consulta'!$A$2:$C$38,3,0),8))</f>
        <v>8</v>
      </c>
      <c r="BD533" s="97">
        <f>IF(OR(AY533="SÁB",AY533="DOM"),0,IFERROR(8-VLOOKUP(G533,'Dados de consulta'!$A$2:$C$38,3,0),8))</f>
        <v>8</v>
      </c>
      <c r="BE533" s="97">
        <f>IF(OR(AY533="SÁB",AY533="DOM"),0,IFERROR(8-VLOOKUP(H533,'Dados de consulta'!$A$2:$C$38,3,0),8))</f>
        <v>8</v>
      </c>
      <c r="BF533" s="97">
        <f>IF(OR(AY533="SÁB",AY533="DOM"),0,IFERROR(8-VLOOKUP(I533,'Dados de consulta'!$A$2:$C$38,3,0),8))</f>
        <v>8</v>
      </c>
      <c r="BG533" s="97">
        <f>IF(OR(AY533="SÁB",AY533="DOM"),0,IFERROR(8-VLOOKUP(J533,'Dados de consulta'!$A$2:$C$38,3,0),8))</f>
        <v>8</v>
      </c>
      <c r="BH533" s="97">
        <f>IF(OR(AY533="SÁB",AY533="DOM"),0,IFERROR(8-VLOOKUP(K533,'Dados de consulta'!$A$2:$C$38,3,0),8))</f>
        <v>8</v>
      </c>
      <c r="BI533" s="97">
        <f>IF(OR(AY533="SÁB",AY533="DOM"),0,IFERROR(8-VLOOKUP(L533,'Dados de consulta'!$A$2:$C$38,3,0),8))</f>
        <v>8</v>
      </c>
      <c r="BJ533" s="97">
        <f>IF(OR(AY533="SÁB",AY533="DOM"),0,IFERROR(8-VLOOKUP(M533,'Dados de consulta'!$A$2:$C$38,3,0),8))</f>
        <v>0</v>
      </c>
      <c r="BK533" s="97">
        <f>IF(OR(AY533="SÁB",AY533="DOM"),0,IFERROR(8-VLOOKUP(N533,'Dados de consulta'!$A$2:$C$38,3,0),8))</f>
        <v>8</v>
      </c>
      <c r="BL533" s="97">
        <f>IF(OR(AY533="SÁB",AY533="DOM"),0,IFERROR(8-VLOOKUP(O533,'Dados de consulta'!$A$2:$C$38,3,0),8))</f>
        <v>8</v>
      </c>
      <c r="BM533" s="97">
        <f>IF(OR(AY533="SÁB",AY533="DOM"),0,IFERROR(8-VLOOKUP(P533,'Dados de consulta'!$A$2:$C$38,3,0),8))</f>
        <v>8</v>
      </c>
      <c r="BN533" s="97">
        <f>IF(OR(AY533="SÁB",AY533="DOM"),0,IFERROR(8-VLOOKUP(Q533,'Dados de consulta'!$A$2:$C$38,3,0),8))</f>
        <v>8</v>
      </c>
      <c r="BO533" s="97">
        <f>IF(OR(AY533="SÁB",AY533="DOM"),0,IFERROR(8-VLOOKUP(R533,'Dados de consulta'!$A$2:$C$38,3,0),8))</f>
        <v>8</v>
      </c>
      <c r="BP533" s="97">
        <f>IF(OR(AY533="SÁB",AY533="DOM"),0,IFERROR(8-VLOOKUP(S533,'Dados de consulta'!$A$2:$C$38,3,0),8))</f>
        <v>8</v>
      </c>
      <c r="BQ533" s="113">
        <f>IFERROR(6-VLOOKUP(T533,'Dados de consulta'!$A$2:$C$38,3,0)+2,6)</f>
        <v>6</v>
      </c>
      <c r="BR533" s="114">
        <f t="shared" si="232"/>
        <v>126</v>
      </c>
      <c r="BS533">
        <f t="shared" si="208"/>
        <v>134</v>
      </c>
      <c r="BU533">
        <f>IFERROR(8-VLOOKUP(U533,'Dados de consulta'!$A:$D,3,0),8)</f>
        <v>8</v>
      </c>
      <c r="BV533">
        <f>IFERROR(8-VLOOKUP(V533,'Dados de consulta'!$A:$D,3,0),8)</f>
        <v>0</v>
      </c>
      <c r="BW533">
        <f t="shared" si="233"/>
        <v>8</v>
      </c>
    </row>
    <row r="534" spans="1:75" ht="15" hidden="1" x14ac:dyDescent="0.2">
      <c r="A534" s="98">
        <v>42657</v>
      </c>
      <c r="B534" s="129" t="str">
        <f t="shared" si="210"/>
        <v>sex</v>
      </c>
      <c r="C534" s="132"/>
      <c r="D534" s="132">
        <v>18</v>
      </c>
      <c r="E534" s="132"/>
      <c r="F534" s="132"/>
      <c r="G534" s="132"/>
      <c r="H534" s="132"/>
      <c r="I534" s="132"/>
      <c r="J534" s="132"/>
      <c r="K534" s="132"/>
      <c r="L534" s="132"/>
      <c r="M534" s="132">
        <v>101</v>
      </c>
      <c r="N534" s="132"/>
      <c r="O534" s="132"/>
      <c r="P534" s="132"/>
      <c r="Q534" s="132"/>
      <c r="R534" s="132"/>
      <c r="S534" s="132"/>
      <c r="T534" s="132"/>
      <c r="U534" s="151"/>
      <c r="V534" s="151">
        <v>18</v>
      </c>
      <c r="W534" s="307" t="s">
        <v>193</v>
      </c>
      <c r="X534" s="308"/>
      <c r="Y534" s="38">
        <f t="shared" si="211"/>
        <v>0</v>
      </c>
      <c r="Z534" s="38">
        <f t="shared" si="212"/>
        <v>8</v>
      </c>
      <c r="AA534" s="38">
        <f t="shared" si="209"/>
        <v>0</v>
      </c>
      <c r="AB534" s="38">
        <f t="shared" si="220"/>
        <v>0</v>
      </c>
      <c r="AC534" s="38">
        <f t="shared" si="221"/>
        <v>0</v>
      </c>
      <c r="AD534" s="38">
        <f t="shared" si="222"/>
        <v>0</v>
      </c>
      <c r="AE534" s="38">
        <f t="shared" si="223"/>
        <v>0</v>
      </c>
      <c r="AF534" s="38">
        <f t="shared" si="224"/>
        <v>0</v>
      </c>
      <c r="AG534" s="33">
        <f t="shared" si="225"/>
        <v>0</v>
      </c>
      <c r="AH534" s="33">
        <f t="shared" si="226"/>
        <v>8</v>
      </c>
      <c r="AI534" s="33">
        <f t="shared" si="227"/>
        <v>0</v>
      </c>
      <c r="AJ534" s="33">
        <f t="shared" si="228"/>
        <v>0</v>
      </c>
      <c r="AK534" s="34">
        <f t="shared" si="229"/>
        <v>0</v>
      </c>
      <c r="AL534" s="35">
        <f t="shared" si="230"/>
        <v>5.6338028169014086E-2</v>
      </c>
      <c r="AM534" s="34">
        <f t="shared" si="213"/>
        <v>0</v>
      </c>
      <c r="AN534" s="36">
        <f t="shared" si="231"/>
        <v>0</v>
      </c>
      <c r="AO534" s="6">
        <f t="shared" si="214"/>
        <v>0</v>
      </c>
      <c r="AP534">
        <f t="shared" si="215"/>
        <v>8</v>
      </c>
      <c r="AQ534" s="6">
        <f t="shared" si="216"/>
        <v>0</v>
      </c>
      <c r="AR534" s="6">
        <f t="shared" si="217"/>
        <v>0</v>
      </c>
      <c r="AS534" s="6"/>
      <c r="AX534" s="95">
        <f t="shared" si="218"/>
        <v>42657</v>
      </c>
      <c r="AY534" s="96" t="str">
        <f t="shared" si="219"/>
        <v>sex</v>
      </c>
      <c r="AZ534" s="97">
        <f>IF(OR(AY534="SÁB",AY534="DOM"),0,IFERROR(8-VLOOKUP(C534,'Dados de consulta'!$A$2:$C$38,3,0),8))</f>
        <v>8</v>
      </c>
      <c r="BA534" s="97">
        <f>IF(OR(AY534="SÁB",AY534="DOM"),0,IFERROR(8-VLOOKUP(D534,'Dados de consulta'!$A$2:$C$38,3,0),8))</f>
        <v>0</v>
      </c>
      <c r="BB534" s="97">
        <f>IF(OR(AY534="SÁB",AY534="DOM"),0,IFERROR(8-VLOOKUP(E534,'Dados de consulta'!$A$2:$C$38,3,0),8))</f>
        <v>8</v>
      </c>
      <c r="BC534" s="97">
        <f>IF(OR(AY534="SÁB",AY534="DOM"),0,IFERROR(8-VLOOKUP(F534,'Dados de consulta'!$A$2:$C$38,3,0),8))</f>
        <v>8</v>
      </c>
      <c r="BD534" s="97">
        <f>IF(OR(AY534="SÁB",AY534="DOM"),0,IFERROR(8-VLOOKUP(G534,'Dados de consulta'!$A$2:$C$38,3,0),8))</f>
        <v>8</v>
      </c>
      <c r="BE534" s="97">
        <f>IF(OR(AY534="SÁB",AY534="DOM"),0,IFERROR(8-VLOOKUP(H534,'Dados de consulta'!$A$2:$C$38,3,0),8))</f>
        <v>8</v>
      </c>
      <c r="BF534" s="97">
        <f>IF(OR(AY534="SÁB",AY534="DOM"),0,IFERROR(8-VLOOKUP(I534,'Dados de consulta'!$A$2:$C$38,3,0),8))</f>
        <v>8</v>
      </c>
      <c r="BG534" s="97">
        <f>IF(OR(AY534="SÁB",AY534="DOM"),0,IFERROR(8-VLOOKUP(J534,'Dados de consulta'!$A$2:$C$38,3,0),8))</f>
        <v>8</v>
      </c>
      <c r="BH534" s="97">
        <f>IF(OR(AY534="SÁB",AY534="DOM"),0,IFERROR(8-VLOOKUP(K534,'Dados de consulta'!$A$2:$C$38,3,0),8))</f>
        <v>8</v>
      </c>
      <c r="BI534" s="97">
        <f>IF(OR(AY534="SÁB",AY534="DOM"),0,IFERROR(8-VLOOKUP(L534,'Dados de consulta'!$A$2:$C$38,3,0),8))</f>
        <v>8</v>
      </c>
      <c r="BJ534" s="97">
        <f>IF(OR(AY534="SÁB",AY534="DOM"),0,IFERROR(8-VLOOKUP(M534,'Dados de consulta'!$A$2:$C$38,3,0),8))</f>
        <v>0</v>
      </c>
      <c r="BK534" s="97">
        <f>IF(OR(AY534="SÁB",AY534="DOM"),0,IFERROR(8-VLOOKUP(N534,'Dados de consulta'!$A$2:$C$38,3,0),8))</f>
        <v>8</v>
      </c>
      <c r="BL534" s="97">
        <f>IF(OR(AY534="SÁB",AY534="DOM"),0,IFERROR(8-VLOOKUP(O534,'Dados de consulta'!$A$2:$C$38,3,0),8))</f>
        <v>8</v>
      </c>
      <c r="BM534" s="97">
        <f>IF(OR(AY534="SÁB",AY534="DOM"),0,IFERROR(8-VLOOKUP(P534,'Dados de consulta'!$A$2:$C$38,3,0),8))</f>
        <v>8</v>
      </c>
      <c r="BN534" s="97">
        <f>IF(OR(AY534="SÁB",AY534="DOM"),0,IFERROR(8-VLOOKUP(Q534,'Dados de consulta'!$A$2:$C$38,3,0),8))</f>
        <v>8</v>
      </c>
      <c r="BO534" s="97">
        <f>IF(OR(AY534="SÁB",AY534="DOM"),0,IFERROR(8-VLOOKUP(R534,'Dados de consulta'!$A$2:$C$38,3,0),8))</f>
        <v>8</v>
      </c>
      <c r="BP534" s="97">
        <f>IF(OR(AY534="SÁB",AY534="DOM"),0,IFERROR(8-VLOOKUP(S534,'Dados de consulta'!$A$2:$C$38,3,0),8))</f>
        <v>8</v>
      </c>
      <c r="BQ534" s="113">
        <f>IFERROR(6-VLOOKUP(T534,'Dados de consulta'!$A$2:$C$38,3,0)+2,6)</f>
        <v>6</v>
      </c>
      <c r="BR534" s="114">
        <f t="shared" si="232"/>
        <v>126</v>
      </c>
      <c r="BS534">
        <f t="shared" si="208"/>
        <v>134</v>
      </c>
      <c r="BU534">
        <f>IFERROR(8-VLOOKUP(U534,'Dados de consulta'!$A:$D,3,0),8)</f>
        <v>8</v>
      </c>
      <c r="BV534">
        <f>IFERROR(8-VLOOKUP(V534,'Dados de consulta'!$A:$D,3,0),8)</f>
        <v>0</v>
      </c>
      <c r="BW534">
        <f t="shared" si="233"/>
        <v>8</v>
      </c>
    </row>
    <row r="535" spans="1:75" ht="15" hidden="1" x14ac:dyDescent="0.2">
      <c r="A535" s="98">
        <v>42658</v>
      </c>
      <c r="B535" s="129" t="str">
        <f t="shared" si="210"/>
        <v>sáb</v>
      </c>
      <c r="C535" s="132"/>
      <c r="D535" s="132">
        <v>18</v>
      </c>
      <c r="E535" s="132"/>
      <c r="F535" s="132"/>
      <c r="G535" s="132"/>
      <c r="H535" s="132"/>
      <c r="I535" s="132"/>
      <c r="J535" s="132"/>
      <c r="K535" s="132"/>
      <c r="L535" s="132"/>
      <c r="M535" s="132">
        <v>101</v>
      </c>
      <c r="N535" s="132"/>
      <c r="O535" s="132"/>
      <c r="P535" s="132"/>
      <c r="Q535" s="132"/>
      <c r="R535" s="132"/>
      <c r="S535" s="132"/>
      <c r="T535" s="132"/>
      <c r="U535" s="151"/>
      <c r="V535" s="151">
        <v>18</v>
      </c>
      <c r="W535" s="307" t="s">
        <v>193</v>
      </c>
      <c r="X535" s="308"/>
      <c r="Y535" s="38">
        <f t="shared" si="211"/>
        <v>0</v>
      </c>
      <c r="Z535" s="38">
        <f t="shared" si="212"/>
        <v>8</v>
      </c>
      <c r="AA535" s="38">
        <f t="shared" si="209"/>
        <v>0</v>
      </c>
      <c r="AB535" s="38">
        <f t="shared" si="220"/>
        <v>0</v>
      </c>
      <c r="AC535" s="38">
        <f t="shared" si="221"/>
        <v>0</v>
      </c>
      <c r="AD535" s="38">
        <f t="shared" si="222"/>
        <v>0</v>
      </c>
      <c r="AE535" s="38">
        <f t="shared" si="223"/>
        <v>0</v>
      </c>
      <c r="AF535" s="38">
        <f t="shared" si="224"/>
        <v>0</v>
      </c>
      <c r="AG535" s="33">
        <f t="shared" si="225"/>
        <v>0</v>
      </c>
      <c r="AH535" s="33">
        <f t="shared" si="226"/>
        <v>0</v>
      </c>
      <c r="AI535" s="33">
        <f t="shared" si="227"/>
        <v>0</v>
      </c>
      <c r="AJ535" s="33">
        <f t="shared" si="228"/>
        <v>0</v>
      </c>
      <c r="AK535" s="34">
        <f t="shared" si="229"/>
        <v>0</v>
      </c>
      <c r="AL535" s="35">
        <f t="shared" si="230"/>
        <v>0</v>
      </c>
      <c r="AM535" s="34">
        <f t="shared" si="213"/>
        <v>0</v>
      </c>
      <c r="AN535" s="36">
        <f t="shared" si="231"/>
        <v>0</v>
      </c>
      <c r="AO535" s="6">
        <f t="shared" si="214"/>
        <v>0</v>
      </c>
      <c r="AP535">
        <f t="shared" si="215"/>
        <v>8</v>
      </c>
      <c r="AQ535" s="6">
        <f t="shared" si="216"/>
        <v>0</v>
      </c>
      <c r="AR535" s="6">
        <f t="shared" si="217"/>
        <v>0</v>
      </c>
      <c r="AS535" s="6"/>
      <c r="AX535" s="95">
        <f t="shared" si="218"/>
        <v>42658</v>
      </c>
      <c r="AY535" s="96" t="str">
        <f t="shared" si="219"/>
        <v>sáb</v>
      </c>
      <c r="AZ535" s="97">
        <f>IF(OR(AY535="SÁB",AY535="DOM"),0,IFERROR(8-VLOOKUP(C535,'Dados de consulta'!$A$2:$C$38,3,0),8))</f>
        <v>0</v>
      </c>
      <c r="BA535" s="97">
        <f>IF(OR(AY535="SÁB",AY535="DOM"),0,IFERROR(8-VLOOKUP(D535,'Dados de consulta'!$A$2:$C$38,3,0),8))</f>
        <v>0</v>
      </c>
      <c r="BB535" s="97">
        <f>IF(OR(AY535="SÁB",AY535="DOM"),0,IFERROR(8-VLOOKUP(E535,'Dados de consulta'!$A$2:$C$38,3,0),8))</f>
        <v>0</v>
      </c>
      <c r="BC535" s="97">
        <f>IF(OR(AY535="SÁB",AY535="DOM"),0,IFERROR(8-VLOOKUP(F535,'Dados de consulta'!$A$2:$C$38,3,0),8))</f>
        <v>0</v>
      </c>
      <c r="BD535" s="97">
        <f>IF(OR(AY535="SÁB",AY535="DOM"),0,IFERROR(8-VLOOKUP(G535,'Dados de consulta'!$A$2:$C$38,3,0),8))</f>
        <v>0</v>
      </c>
      <c r="BE535" s="97">
        <f>IF(OR(AY535="SÁB",AY535="DOM"),0,IFERROR(8-VLOOKUP(H535,'Dados de consulta'!$A$2:$C$38,3,0),8))</f>
        <v>0</v>
      </c>
      <c r="BF535" s="97">
        <f>IF(OR(AY535="SÁB",AY535="DOM"),0,IFERROR(8-VLOOKUP(I535,'Dados de consulta'!$A$2:$C$38,3,0),8))</f>
        <v>0</v>
      </c>
      <c r="BG535" s="97">
        <f>IF(OR(AY535="SÁB",AY535="DOM"),0,IFERROR(8-VLOOKUP(J535,'Dados de consulta'!$A$2:$C$38,3,0),8))</f>
        <v>0</v>
      </c>
      <c r="BH535" s="97">
        <f>IF(OR(AY535="SÁB",AY535="DOM"),0,IFERROR(8-VLOOKUP(K535,'Dados de consulta'!$A$2:$C$38,3,0),8))</f>
        <v>0</v>
      </c>
      <c r="BI535" s="97">
        <f>IF(OR(AY535="SÁB",AY535="DOM"),0,IFERROR(8-VLOOKUP(L535,'Dados de consulta'!$A$2:$C$38,3,0),8))</f>
        <v>0</v>
      </c>
      <c r="BJ535" s="97">
        <f>IF(OR(AY535="SÁB",AY535="DOM"),0,IFERROR(8-VLOOKUP(M535,'Dados de consulta'!$A$2:$C$38,3,0),8))</f>
        <v>0</v>
      </c>
      <c r="BK535" s="97">
        <f>IF(OR(AY535="SÁB",AY535="DOM"),0,IFERROR(8-VLOOKUP(N535,'Dados de consulta'!$A$2:$C$38,3,0),8))</f>
        <v>0</v>
      </c>
      <c r="BL535" s="97">
        <f>IF(OR(AY535="SÁB",AY535="DOM"),0,IFERROR(8-VLOOKUP(O535,'Dados de consulta'!$A$2:$C$38,3,0),8))</f>
        <v>0</v>
      </c>
      <c r="BM535" s="97">
        <f>IF(OR(AY535="SÁB",AY535="DOM"),0,IFERROR(8-VLOOKUP(P535,'Dados de consulta'!$A$2:$C$38,3,0),8))</f>
        <v>0</v>
      </c>
      <c r="BN535" s="97">
        <f>IF(OR(AY535="SÁB",AY535="DOM"),0,IFERROR(8-VLOOKUP(Q535,'Dados de consulta'!$A$2:$C$38,3,0),8))</f>
        <v>0</v>
      </c>
      <c r="BO535" s="97">
        <f>IF(OR(AY535="SÁB",AY535="DOM"),0,IFERROR(8-VLOOKUP(R535,'Dados de consulta'!$A$2:$C$38,3,0),8))</f>
        <v>0</v>
      </c>
      <c r="BP535" s="97">
        <f>IF(OR(AY535="SÁB",AY535="DOM"),0,IFERROR(8-VLOOKUP(S535,'Dados de consulta'!$A$2:$C$38,3,0),8))</f>
        <v>0</v>
      </c>
      <c r="BQ535" s="113">
        <f>IFERROR(6-VLOOKUP(T535,'Dados de consulta'!$A$2:$C$38,3,0)+2,6)</f>
        <v>6</v>
      </c>
      <c r="BR535" s="114">
        <f t="shared" si="232"/>
        <v>0</v>
      </c>
      <c r="BS535">
        <f t="shared" si="208"/>
        <v>0</v>
      </c>
      <c r="BU535">
        <f>IFERROR(8-VLOOKUP(U535,'Dados de consulta'!$A:$D,3,0),8)</f>
        <v>8</v>
      </c>
      <c r="BV535">
        <f>IFERROR(8-VLOOKUP(V535,'Dados de consulta'!$A:$D,3,0),8)</f>
        <v>0</v>
      </c>
      <c r="BW535">
        <f t="shared" si="233"/>
        <v>8</v>
      </c>
    </row>
    <row r="536" spans="1:75" ht="15" hidden="1" x14ac:dyDescent="0.2">
      <c r="A536" s="98">
        <v>42659</v>
      </c>
      <c r="B536" s="129" t="str">
        <f t="shared" si="210"/>
        <v>dom</v>
      </c>
      <c r="C536" s="132"/>
      <c r="D536" s="132">
        <v>18</v>
      </c>
      <c r="E536" s="132"/>
      <c r="F536" s="132"/>
      <c r="G536" s="132"/>
      <c r="H536" s="132"/>
      <c r="I536" s="132"/>
      <c r="J536" s="132"/>
      <c r="K536" s="132"/>
      <c r="L536" s="132"/>
      <c r="M536" s="132">
        <v>101</v>
      </c>
      <c r="N536" s="132"/>
      <c r="O536" s="132"/>
      <c r="P536" s="132"/>
      <c r="Q536" s="132"/>
      <c r="R536" s="132"/>
      <c r="S536" s="132"/>
      <c r="T536" s="132"/>
      <c r="U536" s="151"/>
      <c r="V536" s="151">
        <v>18</v>
      </c>
      <c r="W536" s="307" t="s">
        <v>193</v>
      </c>
      <c r="X536" s="308"/>
      <c r="Y536" s="38">
        <f t="shared" si="211"/>
        <v>0</v>
      </c>
      <c r="Z536" s="38">
        <f t="shared" si="212"/>
        <v>8</v>
      </c>
      <c r="AA536" s="38">
        <f t="shared" si="209"/>
        <v>0</v>
      </c>
      <c r="AB536" s="38">
        <f t="shared" si="220"/>
        <v>0</v>
      </c>
      <c r="AC536" s="38">
        <f t="shared" si="221"/>
        <v>0</v>
      </c>
      <c r="AD536" s="38">
        <f t="shared" si="222"/>
        <v>0</v>
      </c>
      <c r="AE536" s="38">
        <f t="shared" si="223"/>
        <v>0</v>
      </c>
      <c r="AF536" s="38">
        <f t="shared" si="224"/>
        <v>0</v>
      </c>
      <c r="AG536" s="33">
        <f t="shared" si="225"/>
        <v>0</v>
      </c>
      <c r="AH536" s="33">
        <f t="shared" si="226"/>
        <v>0</v>
      </c>
      <c r="AI536" s="33">
        <f t="shared" si="227"/>
        <v>0</v>
      </c>
      <c r="AJ536" s="33">
        <f t="shared" si="228"/>
        <v>0</v>
      </c>
      <c r="AK536" s="34">
        <f t="shared" si="229"/>
        <v>0</v>
      </c>
      <c r="AL536" s="35">
        <f t="shared" si="230"/>
        <v>0</v>
      </c>
      <c r="AM536" s="34">
        <f t="shared" si="213"/>
        <v>0</v>
      </c>
      <c r="AN536" s="36">
        <f t="shared" si="231"/>
        <v>0</v>
      </c>
      <c r="AO536" s="6">
        <f t="shared" si="214"/>
        <v>0</v>
      </c>
      <c r="AP536">
        <f t="shared" si="215"/>
        <v>8</v>
      </c>
      <c r="AQ536" s="6">
        <f t="shared" si="216"/>
        <v>0</v>
      </c>
      <c r="AR536" s="6">
        <f t="shared" si="217"/>
        <v>0</v>
      </c>
      <c r="AS536" s="6"/>
      <c r="AX536" s="95">
        <f t="shared" si="218"/>
        <v>42659</v>
      </c>
      <c r="AY536" s="96" t="str">
        <f t="shared" si="219"/>
        <v>dom</v>
      </c>
      <c r="AZ536" s="97">
        <f>IF(OR(AY536="SÁB",AY536="DOM"),0,IFERROR(8-VLOOKUP(C536,'Dados de consulta'!$A$2:$C$38,3,0),8))</f>
        <v>0</v>
      </c>
      <c r="BA536" s="97">
        <f>IF(OR(AY536="SÁB",AY536="DOM"),0,IFERROR(8-VLOOKUP(D536,'Dados de consulta'!$A$2:$C$38,3,0),8))</f>
        <v>0</v>
      </c>
      <c r="BB536" s="97">
        <f>IF(OR(AY536="SÁB",AY536="DOM"),0,IFERROR(8-VLOOKUP(E536,'Dados de consulta'!$A$2:$C$38,3,0),8))</f>
        <v>0</v>
      </c>
      <c r="BC536" s="97">
        <f>IF(OR(AY536="SÁB",AY536="DOM"),0,IFERROR(8-VLOOKUP(F536,'Dados de consulta'!$A$2:$C$38,3,0),8))</f>
        <v>0</v>
      </c>
      <c r="BD536" s="97">
        <f>IF(OR(AY536="SÁB",AY536="DOM"),0,IFERROR(8-VLOOKUP(G536,'Dados de consulta'!$A$2:$C$38,3,0),8))</f>
        <v>0</v>
      </c>
      <c r="BE536" s="97">
        <f>IF(OR(AY536="SÁB",AY536="DOM"),0,IFERROR(8-VLOOKUP(H536,'Dados de consulta'!$A$2:$C$38,3,0),8))</f>
        <v>0</v>
      </c>
      <c r="BF536" s="97">
        <f>IF(OR(AY536="SÁB",AY536="DOM"),0,IFERROR(8-VLOOKUP(I536,'Dados de consulta'!$A$2:$C$38,3,0),8))</f>
        <v>0</v>
      </c>
      <c r="BG536" s="97">
        <f>IF(OR(AY536="SÁB",AY536="DOM"),0,IFERROR(8-VLOOKUP(J536,'Dados de consulta'!$A$2:$C$38,3,0),8))</f>
        <v>0</v>
      </c>
      <c r="BH536" s="97">
        <f>IF(OR(AY536="SÁB",AY536="DOM"),0,IFERROR(8-VLOOKUP(K536,'Dados de consulta'!$A$2:$C$38,3,0),8))</f>
        <v>0</v>
      </c>
      <c r="BI536" s="97">
        <f>IF(OR(AY536="SÁB",AY536="DOM"),0,IFERROR(8-VLOOKUP(L536,'Dados de consulta'!$A$2:$C$38,3,0),8))</f>
        <v>0</v>
      </c>
      <c r="BJ536" s="97">
        <f>IF(OR(AY536="SÁB",AY536="DOM"),0,IFERROR(8-VLOOKUP(M536,'Dados de consulta'!$A$2:$C$38,3,0),8))</f>
        <v>0</v>
      </c>
      <c r="BK536" s="97">
        <f>IF(OR(AY536="SÁB",AY536="DOM"),0,IFERROR(8-VLOOKUP(N536,'Dados de consulta'!$A$2:$C$38,3,0),8))</f>
        <v>0</v>
      </c>
      <c r="BL536" s="97">
        <f>IF(OR(AY536="SÁB",AY536="DOM"),0,IFERROR(8-VLOOKUP(O536,'Dados de consulta'!$A$2:$C$38,3,0),8))</f>
        <v>0</v>
      </c>
      <c r="BM536" s="97">
        <f>IF(OR(AY536="SÁB",AY536="DOM"),0,IFERROR(8-VLOOKUP(P536,'Dados de consulta'!$A$2:$C$38,3,0),8))</f>
        <v>0</v>
      </c>
      <c r="BN536" s="97">
        <f>IF(OR(AY536="SÁB",AY536="DOM"),0,IFERROR(8-VLOOKUP(Q536,'Dados de consulta'!$A$2:$C$38,3,0),8))</f>
        <v>0</v>
      </c>
      <c r="BO536" s="97">
        <f>IF(OR(AY536="SÁB",AY536="DOM"),0,IFERROR(8-VLOOKUP(R536,'Dados de consulta'!$A$2:$C$38,3,0),8))</f>
        <v>0</v>
      </c>
      <c r="BP536" s="97">
        <f>IF(OR(AY536="SÁB",AY536="DOM"),0,IFERROR(8-VLOOKUP(S536,'Dados de consulta'!$A$2:$C$38,3,0),8))</f>
        <v>0</v>
      </c>
      <c r="BQ536" s="113">
        <f>IFERROR(6-VLOOKUP(T536,'Dados de consulta'!$A$2:$C$38,3,0)+2,6)</f>
        <v>6</v>
      </c>
      <c r="BR536" s="114">
        <f t="shared" si="232"/>
        <v>0</v>
      </c>
      <c r="BS536">
        <f t="shared" si="208"/>
        <v>0</v>
      </c>
      <c r="BU536">
        <f>IFERROR(8-VLOOKUP(U536,'Dados de consulta'!$A:$D,3,0),8)</f>
        <v>8</v>
      </c>
      <c r="BV536">
        <f>IFERROR(8-VLOOKUP(V536,'Dados de consulta'!$A:$D,3,0),8)</f>
        <v>0</v>
      </c>
      <c r="BW536">
        <f t="shared" si="233"/>
        <v>8</v>
      </c>
    </row>
    <row r="537" spans="1:75" ht="15" hidden="1" x14ac:dyDescent="0.2">
      <c r="A537" s="98">
        <v>42660</v>
      </c>
      <c r="B537" s="129" t="str">
        <f t="shared" si="210"/>
        <v>seg</v>
      </c>
      <c r="C537" s="132"/>
      <c r="D537" s="132">
        <v>18</v>
      </c>
      <c r="E537" s="132"/>
      <c r="F537" s="132">
        <v>18</v>
      </c>
      <c r="G537" s="132"/>
      <c r="H537" s="132"/>
      <c r="I537" s="132"/>
      <c r="J537" s="132"/>
      <c r="K537" s="132"/>
      <c r="L537" s="132"/>
      <c r="M537" s="132">
        <v>101</v>
      </c>
      <c r="N537" s="132"/>
      <c r="O537" s="132"/>
      <c r="P537" s="132"/>
      <c r="Q537" s="132"/>
      <c r="R537" s="132"/>
      <c r="S537" s="132"/>
      <c r="T537" s="132"/>
      <c r="U537" s="151"/>
      <c r="V537" s="151">
        <v>18</v>
      </c>
      <c r="W537" s="307" t="s">
        <v>193</v>
      </c>
      <c r="X537" s="308"/>
      <c r="Y537" s="38">
        <f t="shared" si="211"/>
        <v>0</v>
      </c>
      <c r="Z537" s="38">
        <f t="shared" si="212"/>
        <v>16</v>
      </c>
      <c r="AA537" s="38">
        <f t="shared" si="209"/>
        <v>0</v>
      </c>
      <c r="AB537" s="38">
        <f t="shared" si="220"/>
        <v>0</v>
      </c>
      <c r="AC537" s="38">
        <f t="shared" si="221"/>
        <v>0</v>
      </c>
      <c r="AD537" s="38">
        <f t="shared" si="222"/>
        <v>0</v>
      </c>
      <c r="AE537" s="38">
        <f t="shared" si="223"/>
        <v>0</v>
      </c>
      <c r="AF537" s="38">
        <f t="shared" si="224"/>
        <v>0</v>
      </c>
      <c r="AG537" s="33">
        <f t="shared" si="225"/>
        <v>0</v>
      </c>
      <c r="AH537" s="33">
        <f t="shared" si="226"/>
        <v>16</v>
      </c>
      <c r="AI537" s="33">
        <f t="shared" si="227"/>
        <v>0</v>
      </c>
      <c r="AJ537" s="33">
        <f t="shared" si="228"/>
        <v>0</v>
      </c>
      <c r="AK537" s="34">
        <f t="shared" si="229"/>
        <v>0</v>
      </c>
      <c r="AL537" s="35">
        <f t="shared" si="230"/>
        <v>0.11267605633802817</v>
      </c>
      <c r="AM537" s="34">
        <f t="shared" si="213"/>
        <v>0</v>
      </c>
      <c r="AN537" s="36">
        <f t="shared" si="231"/>
        <v>0</v>
      </c>
      <c r="AO537" s="6">
        <f t="shared" si="214"/>
        <v>0</v>
      </c>
      <c r="AP537">
        <f t="shared" si="215"/>
        <v>8</v>
      </c>
      <c r="AQ537" s="6">
        <f t="shared" si="216"/>
        <v>0</v>
      </c>
      <c r="AR537" s="6">
        <f t="shared" si="217"/>
        <v>0</v>
      </c>
      <c r="AS537" s="6"/>
      <c r="AX537" s="95">
        <f t="shared" si="218"/>
        <v>42660</v>
      </c>
      <c r="AY537" s="96" t="str">
        <f t="shared" si="219"/>
        <v>seg</v>
      </c>
      <c r="AZ537" s="97">
        <f>IF(OR(AY537="SÁB",AY537="DOM"),0,IFERROR(8-VLOOKUP(C537,'Dados de consulta'!$A$2:$C$38,3,0),8))</f>
        <v>8</v>
      </c>
      <c r="BA537" s="97">
        <f>IF(OR(AY537="SÁB",AY537="DOM"),0,IFERROR(8-VLOOKUP(D537,'Dados de consulta'!$A$2:$C$38,3,0),8))</f>
        <v>0</v>
      </c>
      <c r="BB537" s="97">
        <f>IF(OR(AY537="SÁB",AY537="DOM"),0,IFERROR(8-VLOOKUP(E537,'Dados de consulta'!$A$2:$C$38,3,0),8))</f>
        <v>8</v>
      </c>
      <c r="BC537" s="97">
        <f>IF(OR(AY537="SÁB",AY537="DOM"),0,IFERROR(8-VLOOKUP(F537,'Dados de consulta'!$A$2:$C$38,3,0),8))</f>
        <v>0</v>
      </c>
      <c r="BD537" s="97">
        <f>IF(OR(AY537="SÁB",AY537="DOM"),0,IFERROR(8-VLOOKUP(G537,'Dados de consulta'!$A$2:$C$38,3,0),8))</f>
        <v>8</v>
      </c>
      <c r="BE537" s="97">
        <f>IF(OR(AY537="SÁB",AY537="DOM"),0,IFERROR(8-VLOOKUP(H537,'Dados de consulta'!$A$2:$C$38,3,0),8))</f>
        <v>8</v>
      </c>
      <c r="BF537" s="97">
        <f>IF(OR(AY537="SÁB",AY537="DOM"),0,IFERROR(8-VLOOKUP(I537,'Dados de consulta'!$A$2:$C$38,3,0),8))</f>
        <v>8</v>
      </c>
      <c r="BG537" s="97">
        <f>IF(OR(AY537="SÁB",AY537="DOM"),0,IFERROR(8-VLOOKUP(J537,'Dados de consulta'!$A$2:$C$38,3,0),8))</f>
        <v>8</v>
      </c>
      <c r="BH537" s="97">
        <f>IF(OR(AY537="SÁB",AY537="DOM"),0,IFERROR(8-VLOOKUP(K537,'Dados de consulta'!$A$2:$C$38,3,0),8))</f>
        <v>8</v>
      </c>
      <c r="BI537" s="97">
        <f>IF(OR(AY537="SÁB",AY537="DOM"),0,IFERROR(8-VLOOKUP(L537,'Dados de consulta'!$A$2:$C$38,3,0),8))</f>
        <v>8</v>
      </c>
      <c r="BJ537" s="97">
        <f>IF(OR(AY537="SÁB",AY537="DOM"),0,IFERROR(8-VLOOKUP(M537,'Dados de consulta'!$A$2:$C$38,3,0),8))</f>
        <v>0</v>
      </c>
      <c r="BK537" s="97">
        <f>IF(OR(AY537="SÁB",AY537="DOM"),0,IFERROR(8-VLOOKUP(N537,'Dados de consulta'!$A$2:$C$38,3,0),8))</f>
        <v>8</v>
      </c>
      <c r="BL537" s="97">
        <f>IF(OR(AY537="SÁB",AY537="DOM"),0,IFERROR(8-VLOOKUP(O537,'Dados de consulta'!$A$2:$C$38,3,0),8))</f>
        <v>8</v>
      </c>
      <c r="BM537" s="97">
        <f>IF(OR(AY537="SÁB",AY537="DOM"),0,IFERROR(8-VLOOKUP(P537,'Dados de consulta'!$A$2:$C$38,3,0),8))</f>
        <v>8</v>
      </c>
      <c r="BN537" s="97">
        <f>IF(OR(AY537="SÁB",AY537="DOM"),0,IFERROR(8-VLOOKUP(Q537,'Dados de consulta'!$A$2:$C$38,3,0),8))</f>
        <v>8</v>
      </c>
      <c r="BO537" s="97">
        <f>IF(OR(AY537="SÁB",AY537="DOM"),0,IFERROR(8-VLOOKUP(R537,'Dados de consulta'!$A$2:$C$38,3,0),8))</f>
        <v>8</v>
      </c>
      <c r="BP537" s="97">
        <f>IF(OR(AY537="SÁB",AY537="DOM"),0,IFERROR(8-VLOOKUP(S537,'Dados de consulta'!$A$2:$C$38,3,0),8))</f>
        <v>8</v>
      </c>
      <c r="BQ537" s="113">
        <f>IFERROR(6-VLOOKUP(T537,'Dados de consulta'!$A$2:$C$38,3,0)+2,6)</f>
        <v>6</v>
      </c>
      <c r="BR537" s="114">
        <f t="shared" si="232"/>
        <v>118</v>
      </c>
      <c r="BS537">
        <f t="shared" si="208"/>
        <v>134</v>
      </c>
      <c r="BU537">
        <f>IFERROR(8-VLOOKUP(U537,'Dados de consulta'!$A:$D,3,0),8)</f>
        <v>8</v>
      </c>
      <c r="BV537">
        <f>IFERROR(8-VLOOKUP(V537,'Dados de consulta'!$A:$D,3,0),8)</f>
        <v>0</v>
      </c>
      <c r="BW537">
        <f t="shared" si="233"/>
        <v>8</v>
      </c>
    </row>
    <row r="538" spans="1:75" ht="15" hidden="1" x14ac:dyDescent="0.2">
      <c r="A538" s="98">
        <v>42661</v>
      </c>
      <c r="B538" s="129" t="str">
        <f t="shared" si="210"/>
        <v>ter</v>
      </c>
      <c r="C538" s="132"/>
      <c r="D538" s="132">
        <v>18</v>
      </c>
      <c r="E538" s="132"/>
      <c r="F538" s="132">
        <v>18</v>
      </c>
      <c r="G538" s="132"/>
      <c r="H538" s="132"/>
      <c r="I538" s="132"/>
      <c r="J538" s="132"/>
      <c r="K538" s="132"/>
      <c r="L538" s="132"/>
      <c r="M538" s="132">
        <v>101</v>
      </c>
      <c r="N538" s="132"/>
      <c r="O538" s="132"/>
      <c r="P538" s="132"/>
      <c r="Q538" s="132"/>
      <c r="R538" s="132"/>
      <c r="S538" s="132"/>
      <c r="T538" s="132"/>
      <c r="U538" s="151"/>
      <c r="V538" s="151">
        <v>18</v>
      </c>
      <c r="W538" s="307" t="s">
        <v>193</v>
      </c>
      <c r="X538" s="308"/>
      <c r="Y538" s="38">
        <f t="shared" si="211"/>
        <v>0</v>
      </c>
      <c r="Z538" s="38">
        <f t="shared" si="212"/>
        <v>16</v>
      </c>
      <c r="AA538" s="38">
        <f t="shared" si="209"/>
        <v>0</v>
      </c>
      <c r="AB538" s="38">
        <f t="shared" si="220"/>
        <v>0</v>
      </c>
      <c r="AC538" s="38">
        <f t="shared" si="221"/>
        <v>0</v>
      </c>
      <c r="AD538" s="38">
        <f t="shared" si="222"/>
        <v>0</v>
      </c>
      <c r="AE538" s="38">
        <f t="shared" si="223"/>
        <v>0</v>
      </c>
      <c r="AF538" s="38">
        <f t="shared" si="224"/>
        <v>0</v>
      </c>
      <c r="AG538" s="33">
        <f t="shared" si="225"/>
        <v>0</v>
      </c>
      <c r="AH538" s="33">
        <f t="shared" si="226"/>
        <v>16</v>
      </c>
      <c r="AI538" s="33">
        <f t="shared" si="227"/>
        <v>0</v>
      </c>
      <c r="AJ538" s="33">
        <f t="shared" si="228"/>
        <v>0</v>
      </c>
      <c r="AK538" s="34">
        <f t="shared" si="229"/>
        <v>0</v>
      </c>
      <c r="AL538" s="35">
        <f t="shared" si="230"/>
        <v>0.11267605633802817</v>
      </c>
      <c r="AM538" s="34">
        <f t="shared" si="213"/>
        <v>0</v>
      </c>
      <c r="AN538" s="36">
        <f t="shared" si="231"/>
        <v>0</v>
      </c>
      <c r="AO538" s="6">
        <f t="shared" si="214"/>
        <v>0</v>
      </c>
      <c r="AP538">
        <f t="shared" si="215"/>
        <v>8</v>
      </c>
      <c r="AQ538" s="6">
        <f t="shared" si="216"/>
        <v>0</v>
      </c>
      <c r="AR538" s="6">
        <f t="shared" si="217"/>
        <v>0</v>
      </c>
      <c r="AS538" s="6"/>
      <c r="AX538" s="95">
        <f t="shared" si="218"/>
        <v>42661</v>
      </c>
      <c r="AY538" s="96" t="str">
        <f t="shared" si="219"/>
        <v>ter</v>
      </c>
      <c r="AZ538" s="97">
        <f>IF(OR(AY538="SÁB",AY538="DOM"),0,IFERROR(8-VLOOKUP(C538,'Dados de consulta'!$A$2:$C$38,3,0),8))</f>
        <v>8</v>
      </c>
      <c r="BA538" s="97">
        <f>IF(OR(AY538="SÁB",AY538="DOM"),0,IFERROR(8-VLOOKUP(D538,'Dados de consulta'!$A$2:$C$38,3,0),8))</f>
        <v>0</v>
      </c>
      <c r="BB538" s="97">
        <f>IF(OR(AY538="SÁB",AY538="DOM"),0,IFERROR(8-VLOOKUP(E538,'Dados de consulta'!$A$2:$C$38,3,0),8))</f>
        <v>8</v>
      </c>
      <c r="BC538" s="97">
        <f>IF(OR(AY538="SÁB",AY538="DOM"),0,IFERROR(8-VLOOKUP(F538,'Dados de consulta'!$A$2:$C$38,3,0),8))</f>
        <v>0</v>
      </c>
      <c r="BD538" s="97">
        <f>IF(OR(AY538="SÁB",AY538="DOM"),0,IFERROR(8-VLOOKUP(G538,'Dados de consulta'!$A$2:$C$38,3,0),8))</f>
        <v>8</v>
      </c>
      <c r="BE538" s="97">
        <f>IF(OR(AY538="SÁB",AY538="DOM"),0,IFERROR(8-VLOOKUP(H538,'Dados de consulta'!$A$2:$C$38,3,0),8))</f>
        <v>8</v>
      </c>
      <c r="BF538" s="97">
        <f>IF(OR(AY538="SÁB",AY538="DOM"),0,IFERROR(8-VLOOKUP(I538,'Dados de consulta'!$A$2:$C$38,3,0),8))</f>
        <v>8</v>
      </c>
      <c r="BG538" s="97">
        <f>IF(OR(AY538="SÁB",AY538="DOM"),0,IFERROR(8-VLOOKUP(J538,'Dados de consulta'!$A$2:$C$38,3,0),8))</f>
        <v>8</v>
      </c>
      <c r="BH538" s="97">
        <f>IF(OR(AY538="SÁB",AY538="DOM"),0,IFERROR(8-VLOOKUP(K538,'Dados de consulta'!$A$2:$C$38,3,0),8))</f>
        <v>8</v>
      </c>
      <c r="BI538" s="97">
        <f>IF(OR(AY538="SÁB",AY538="DOM"),0,IFERROR(8-VLOOKUP(L538,'Dados de consulta'!$A$2:$C$38,3,0),8))</f>
        <v>8</v>
      </c>
      <c r="BJ538" s="97">
        <f>IF(OR(AY538="SÁB",AY538="DOM"),0,IFERROR(8-VLOOKUP(M538,'Dados de consulta'!$A$2:$C$38,3,0),8))</f>
        <v>0</v>
      </c>
      <c r="BK538" s="97">
        <f>IF(OR(AY538="SÁB",AY538="DOM"),0,IFERROR(8-VLOOKUP(N538,'Dados de consulta'!$A$2:$C$38,3,0),8))</f>
        <v>8</v>
      </c>
      <c r="BL538" s="97">
        <f>IF(OR(AY538="SÁB",AY538="DOM"),0,IFERROR(8-VLOOKUP(O538,'Dados de consulta'!$A$2:$C$38,3,0),8))</f>
        <v>8</v>
      </c>
      <c r="BM538" s="97">
        <f>IF(OR(AY538="SÁB",AY538="DOM"),0,IFERROR(8-VLOOKUP(P538,'Dados de consulta'!$A$2:$C$38,3,0),8))</f>
        <v>8</v>
      </c>
      <c r="BN538" s="97">
        <f>IF(OR(AY538="SÁB",AY538="DOM"),0,IFERROR(8-VLOOKUP(Q538,'Dados de consulta'!$A$2:$C$38,3,0),8))</f>
        <v>8</v>
      </c>
      <c r="BO538" s="97">
        <f>IF(OR(AY538="SÁB",AY538="DOM"),0,IFERROR(8-VLOOKUP(R538,'Dados de consulta'!$A$2:$C$38,3,0),8))</f>
        <v>8</v>
      </c>
      <c r="BP538" s="97">
        <f>IF(OR(AY538="SÁB",AY538="DOM"),0,IFERROR(8-VLOOKUP(S538,'Dados de consulta'!$A$2:$C$38,3,0),8))</f>
        <v>8</v>
      </c>
      <c r="BQ538" s="113">
        <f>IFERROR(6-VLOOKUP(T538,'Dados de consulta'!$A$2:$C$38,3,0)+2,6)</f>
        <v>6</v>
      </c>
      <c r="BR538" s="114">
        <f t="shared" si="232"/>
        <v>118</v>
      </c>
      <c r="BS538">
        <f t="shared" si="208"/>
        <v>134</v>
      </c>
      <c r="BU538">
        <f>IFERROR(8-VLOOKUP(U538,'Dados de consulta'!$A:$D,3,0),8)</f>
        <v>8</v>
      </c>
      <c r="BV538">
        <f>IFERROR(8-VLOOKUP(V538,'Dados de consulta'!$A:$D,3,0),8)</f>
        <v>0</v>
      </c>
      <c r="BW538">
        <f t="shared" si="233"/>
        <v>8</v>
      </c>
    </row>
    <row r="539" spans="1:75" ht="15" hidden="1" x14ac:dyDescent="0.2">
      <c r="A539" s="98">
        <v>42662</v>
      </c>
      <c r="B539" s="129" t="str">
        <f t="shared" si="210"/>
        <v>qua</v>
      </c>
      <c r="C539" s="132"/>
      <c r="D539" s="132">
        <v>18</v>
      </c>
      <c r="E539" s="132"/>
      <c r="F539" s="132">
        <v>18</v>
      </c>
      <c r="G539" s="132"/>
      <c r="H539" s="132"/>
      <c r="I539" s="132"/>
      <c r="J539" s="132"/>
      <c r="K539" s="132"/>
      <c r="L539" s="132"/>
      <c r="M539" s="132">
        <v>101</v>
      </c>
      <c r="N539" s="132"/>
      <c r="O539" s="132"/>
      <c r="P539" s="132"/>
      <c r="Q539" s="132"/>
      <c r="R539" s="132"/>
      <c r="S539" s="132"/>
      <c r="T539" s="132"/>
      <c r="U539" s="151"/>
      <c r="V539" s="151">
        <v>18</v>
      </c>
      <c r="W539" s="307" t="s">
        <v>193</v>
      </c>
      <c r="X539" s="308"/>
      <c r="Y539" s="38">
        <f t="shared" si="211"/>
        <v>0</v>
      </c>
      <c r="Z539" s="38">
        <f t="shared" si="212"/>
        <v>16</v>
      </c>
      <c r="AA539" s="38">
        <f t="shared" si="209"/>
        <v>0</v>
      </c>
      <c r="AB539" s="38">
        <f t="shared" si="220"/>
        <v>0</v>
      </c>
      <c r="AC539" s="38">
        <f t="shared" si="221"/>
        <v>0</v>
      </c>
      <c r="AD539" s="38">
        <f t="shared" si="222"/>
        <v>0</v>
      </c>
      <c r="AE539" s="38">
        <f t="shared" si="223"/>
        <v>0</v>
      </c>
      <c r="AF539" s="38">
        <f t="shared" si="224"/>
        <v>0</v>
      </c>
      <c r="AG539" s="33">
        <f t="shared" si="225"/>
        <v>0</v>
      </c>
      <c r="AH539" s="33">
        <f t="shared" si="226"/>
        <v>16</v>
      </c>
      <c r="AI539" s="33">
        <f t="shared" si="227"/>
        <v>0</v>
      </c>
      <c r="AJ539" s="33">
        <f t="shared" si="228"/>
        <v>0</v>
      </c>
      <c r="AK539" s="34">
        <f t="shared" si="229"/>
        <v>0</v>
      </c>
      <c r="AL539" s="35">
        <f t="shared" si="230"/>
        <v>0.11267605633802817</v>
      </c>
      <c r="AM539" s="34">
        <f t="shared" si="213"/>
        <v>0</v>
      </c>
      <c r="AN539" s="36">
        <f t="shared" si="231"/>
        <v>0</v>
      </c>
      <c r="AO539" s="6">
        <f t="shared" si="214"/>
        <v>0</v>
      </c>
      <c r="AP539">
        <f t="shared" si="215"/>
        <v>8</v>
      </c>
      <c r="AQ539" s="6">
        <f t="shared" si="216"/>
        <v>0</v>
      </c>
      <c r="AR539" s="6">
        <f t="shared" si="217"/>
        <v>0</v>
      </c>
      <c r="AS539" s="6"/>
      <c r="AX539" s="95">
        <f t="shared" si="218"/>
        <v>42662</v>
      </c>
      <c r="AY539" s="96" t="str">
        <f t="shared" si="219"/>
        <v>qua</v>
      </c>
      <c r="AZ539" s="97">
        <f>IF(OR(AY539="SÁB",AY539="DOM"),0,IFERROR(8-VLOOKUP(C539,'Dados de consulta'!$A$2:$C$38,3,0),8))</f>
        <v>8</v>
      </c>
      <c r="BA539" s="97">
        <f>IF(OR(AY539="SÁB",AY539="DOM"),0,IFERROR(8-VLOOKUP(D539,'Dados de consulta'!$A$2:$C$38,3,0),8))</f>
        <v>0</v>
      </c>
      <c r="BB539" s="97">
        <f>IF(OR(AY539="SÁB",AY539="DOM"),0,IFERROR(8-VLOOKUP(E539,'Dados de consulta'!$A$2:$C$38,3,0),8))</f>
        <v>8</v>
      </c>
      <c r="BC539" s="97">
        <f>IF(OR(AY539="SÁB",AY539="DOM"),0,IFERROR(8-VLOOKUP(F539,'Dados de consulta'!$A$2:$C$38,3,0),8))</f>
        <v>0</v>
      </c>
      <c r="BD539" s="97">
        <f>IF(OR(AY539="SÁB",AY539="DOM"),0,IFERROR(8-VLOOKUP(G539,'Dados de consulta'!$A$2:$C$38,3,0),8))</f>
        <v>8</v>
      </c>
      <c r="BE539" s="97">
        <f>IF(OR(AY539="SÁB",AY539="DOM"),0,IFERROR(8-VLOOKUP(H539,'Dados de consulta'!$A$2:$C$38,3,0),8))</f>
        <v>8</v>
      </c>
      <c r="BF539" s="97">
        <f>IF(OR(AY539="SÁB",AY539="DOM"),0,IFERROR(8-VLOOKUP(I539,'Dados de consulta'!$A$2:$C$38,3,0),8))</f>
        <v>8</v>
      </c>
      <c r="BG539" s="97">
        <f>IF(OR(AY539="SÁB",AY539="DOM"),0,IFERROR(8-VLOOKUP(J539,'Dados de consulta'!$A$2:$C$38,3,0),8))</f>
        <v>8</v>
      </c>
      <c r="BH539" s="97">
        <f>IF(OR(AY539="SÁB",AY539="DOM"),0,IFERROR(8-VLOOKUP(K539,'Dados de consulta'!$A$2:$C$38,3,0),8))</f>
        <v>8</v>
      </c>
      <c r="BI539" s="97">
        <f>IF(OR(AY539="SÁB",AY539="DOM"),0,IFERROR(8-VLOOKUP(L539,'Dados de consulta'!$A$2:$C$38,3,0),8))</f>
        <v>8</v>
      </c>
      <c r="BJ539" s="97">
        <f>IF(OR(AY539="SÁB",AY539="DOM"),0,IFERROR(8-VLOOKUP(M539,'Dados de consulta'!$A$2:$C$38,3,0),8))</f>
        <v>0</v>
      </c>
      <c r="BK539" s="97">
        <f>IF(OR(AY539="SÁB",AY539="DOM"),0,IFERROR(8-VLOOKUP(N539,'Dados de consulta'!$A$2:$C$38,3,0),8))</f>
        <v>8</v>
      </c>
      <c r="BL539" s="97">
        <f>IF(OR(AY539="SÁB",AY539="DOM"),0,IFERROR(8-VLOOKUP(O539,'Dados de consulta'!$A$2:$C$38,3,0),8))</f>
        <v>8</v>
      </c>
      <c r="BM539" s="97">
        <f>IF(OR(AY539="SÁB",AY539="DOM"),0,IFERROR(8-VLOOKUP(P539,'Dados de consulta'!$A$2:$C$38,3,0),8))</f>
        <v>8</v>
      </c>
      <c r="BN539" s="97">
        <f>IF(OR(AY539="SÁB",AY539="DOM"),0,IFERROR(8-VLOOKUP(Q539,'Dados de consulta'!$A$2:$C$38,3,0),8))</f>
        <v>8</v>
      </c>
      <c r="BO539" s="97">
        <f>IF(OR(AY539="SÁB",AY539="DOM"),0,IFERROR(8-VLOOKUP(R539,'Dados de consulta'!$A$2:$C$38,3,0),8))</f>
        <v>8</v>
      </c>
      <c r="BP539" s="97">
        <f>IF(OR(AY539="SÁB",AY539="DOM"),0,IFERROR(8-VLOOKUP(S539,'Dados de consulta'!$A$2:$C$38,3,0),8))</f>
        <v>8</v>
      </c>
      <c r="BQ539" s="113">
        <f>IFERROR(6-VLOOKUP(T539,'Dados de consulta'!$A$2:$C$38,3,0)+2,6)</f>
        <v>6</v>
      </c>
      <c r="BR539" s="114">
        <f t="shared" si="232"/>
        <v>118</v>
      </c>
      <c r="BS539">
        <f t="shared" si="208"/>
        <v>134</v>
      </c>
      <c r="BU539">
        <f>IFERROR(8-VLOOKUP(U539,'Dados de consulta'!$A:$D,3,0),8)</f>
        <v>8</v>
      </c>
      <c r="BV539">
        <f>IFERROR(8-VLOOKUP(V539,'Dados de consulta'!$A:$D,3,0),8)</f>
        <v>0</v>
      </c>
      <c r="BW539">
        <f t="shared" si="233"/>
        <v>8</v>
      </c>
    </row>
    <row r="540" spans="1:75" ht="15" hidden="1" x14ac:dyDescent="0.2">
      <c r="A540" s="98">
        <v>42663</v>
      </c>
      <c r="B540" s="129" t="str">
        <f t="shared" si="210"/>
        <v>qui</v>
      </c>
      <c r="C540" s="132"/>
      <c r="D540" s="132">
        <v>18</v>
      </c>
      <c r="E540" s="132"/>
      <c r="F540" s="132">
        <v>18</v>
      </c>
      <c r="G540" s="132"/>
      <c r="H540" s="132"/>
      <c r="I540" s="132"/>
      <c r="J540" s="132"/>
      <c r="K540" s="132"/>
      <c r="L540" s="132"/>
      <c r="M540" s="132">
        <v>101</v>
      </c>
      <c r="N540" s="132"/>
      <c r="O540" s="132"/>
      <c r="P540" s="132"/>
      <c r="Q540" s="132"/>
      <c r="R540" s="132"/>
      <c r="S540" s="132"/>
      <c r="T540" s="132"/>
      <c r="U540" s="151"/>
      <c r="V540" s="151"/>
      <c r="W540" s="307" t="s">
        <v>193</v>
      </c>
      <c r="X540" s="308"/>
      <c r="Y540" s="38">
        <f t="shared" si="211"/>
        <v>0</v>
      </c>
      <c r="Z540" s="38">
        <f t="shared" si="212"/>
        <v>16</v>
      </c>
      <c r="AA540" s="38">
        <f t="shared" si="209"/>
        <v>0</v>
      </c>
      <c r="AB540" s="38">
        <f t="shared" si="220"/>
        <v>0</v>
      </c>
      <c r="AC540" s="38">
        <f t="shared" si="221"/>
        <v>0</v>
      </c>
      <c r="AD540" s="38">
        <f t="shared" si="222"/>
        <v>0</v>
      </c>
      <c r="AE540" s="38">
        <f t="shared" si="223"/>
        <v>0</v>
      </c>
      <c r="AF540" s="38">
        <f t="shared" si="224"/>
        <v>0</v>
      </c>
      <c r="AG540" s="33">
        <f t="shared" si="225"/>
        <v>0</v>
      </c>
      <c r="AH540" s="33">
        <f t="shared" si="226"/>
        <v>16</v>
      </c>
      <c r="AI540" s="33">
        <f t="shared" si="227"/>
        <v>0</v>
      </c>
      <c r="AJ540" s="33">
        <f t="shared" si="228"/>
        <v>0</v>
      </c>
      <c r="AK540" s="34">
        <f t="shared" si="229"/>
        <v>0</v>
      </c>
      <c r="AL540" s="35">
        <f t="shared" si="230"/>
        <v>0.11267605633802817</v>
      </c>
      <c r="AM540" s="34">
        <f t="shared" si="213"/>
        <v>0</v>
      </c>
      <c r="AN540" s="36">
        <f t="shared" si="231"/>
        <v>0</v>
      </c>
      <c r="AO540" s="6">
        <f t="shared" si="214"/>
        <v>0</v>
      </c>
      <c r="AP540">
        <f t="shared" si="215"/>
        <v>8</v>
      </c>
      <c r="AQ540" s="6">
        <f t="shared" si="216"/>
        <v>0</v>
      </c>
      <c r="AR540" s="6">
        <f t="shared" si="217"/>
        <v>0</v>
      </c>
      <c r="AS540" s="6"/>
      <c r="AX540" s="95">
        <f t="shared" si="218"/>
        <v>42663</v>
      </c>
      <c r="AY540" s="96" t="str">
        <f t="shared" si="219"/>
        <v>qui</v>
      </c>
      <c r="AZ540" s="97">
        <f>IF(OR(AY540="SÁB",AY540="DOM"),0,IFERROR(8-VLOOKUP(C540,'Dados de consulta'!$A$2:$C$38,3,0),8))</f>
        <v>8</v>
      </c>
      <c r="BA540" s="97">
        <f>IF(OR(AY540="SÁB",AY540="DOM"),0,IFERROR(8-VLOOKUP(D540,'Dados de consulta'!$A$2:$C$38,3,0),8))</f>
        <v>0</v>
      </c>
      <c r="BB540" s="97">
        <f>IF(OR(AY540="SÁB",AY540="DOM"),0,IFERROR(8-VLOOKUP(E540,'Dados de consulta'!$A$2:$C$38,3,0),8))</f>
        <v>8</v>
      </c>
      <c r="BC540" s="97">
        <f>IF(OR(AY540="SÁB",AY540="DOM"),0,IFERROR(8-VLOOKUP(F540,'Dados de consulta'!$A$2:$C$38,3,0),8))</f>
        <v>0</v>
      </c>
      <c r="BD540" s="97">
        <f>IF(OR(AY540="SÁB",AY540="DOM"),0,IFERROR(8-VLOOKUP(G540,'Dados de consulta'!$A$2:$C$38,3,0),8))</f>
        <v>8</v>
      </c>
      <c r="BE540" s="97">
        <f>IF(OR(AY540="SÁB",AY540="DOM"),0,IFERROR(8-VLOOKUP(H540,'Dados de consulta'!$A$2:$C$38,3,0),8))</f>
        <v>8</v>
      </c>
      <c r="BF540" s="97">
        <f>IF(OR(AY540="SÁB",AY540="DOM"),0,IFERROR(8-VLOOKUP(I540,'Dados de consulta'!$A$2:$C$38,3,0),8))</f>
        <v>8</v>
      </c>
      <c r="BG540" s="97">
        <f>IF(OR(AY540="SÁB",AY540="DOM"),0,IFERROR(8-VLOOKUP(J540,'Dados de consulta'!$A$2:$C$38,3,0),8))</f>
        <v>8</v>
      </c>
      <c r="BH540" s="97">
        <f>IF(OR(AY540="SÁB",AY540="DOM"),0,IFERROR(8-VLOOKUP(K540,'Dados de consulta'!$A$2:$C$38,3,0),8))</f>
        <v>8</v>
      </c>
      <c r="BI540" s="97">
        <f>IF(OR(AY540="SÁB",AY540="DOM"),0,IFERROR(8-VLOOKUP(L540,'Dados de consulta'!$A$2:$C$38,3,0),8))</f>
        <v>8</v>
      </c>
      <c r="BJ540" s="97">
        <f>IF(OR(AY540="SÁB",AY540="DOM"),0,IFERROR(8-VLOOKUP(M540,'Dados de consulta'!$A$2:$C$38,3,0),8))</f>
        <v>0</v>
      </c>
      <c r="BK540" s="97">
        <f>IF(OR(AY540="SÁB",AY540="DOM"),0,IFERROR(8-VLOOKUP(N540,'Dados de consulta'!$A$2:$C$38,3,0),8))</f>
        <v>8</v>
      </c>
      <c r="BL540" s="97">
        <f>IF(OR(AY540="SÁB",AY540="DOM"),0,IFERROR(8-VLOOKUP(O540,'Dados de consulta'!$A$2:$C$38,3,0),8))</f>
        <v>8</v>
      </c>
      <c r="BM540" s="97">
        <f>IF(OR(AY540="SÁB",AY540="DOM"),0,IFERROR(8-VLOOKUP(P540,'Dados de consulta'!$A$2:$C$38,3,0),8))</f>
        <v>8</v>
      </c>
      <c r="BN540" s="97">
        <f>IF(OR(AY540="SÁB",AY540="DOM"),0,IFERROR(8-VLOOKUP(Q540,'Dados de consulta'!$A$2:$C$38,3,0),8))</f>
        <v>8</v>
      </c>
      <c r="BO540" s="97">
        <f>IF(OR(AY540="SÁB",AY540="DOM"),0,IFERROR(8-VLOOKUP(R540,'Dados de consulta'!$A$2:$C$38,3,0),8))</f>
        <v>8</v>
      </c>
      <c r="BP540" s="97">
        <f>IF(OR(AY540="SÁB",AY540="DOM"),0,IFERROR(8-VLOOKUP(S540,'Dados de consulta'!$A$2:$C$38,3,0),8))</f>
        <v>8</v>
      </c>
      <c r="BQ540" s="113">
        <f>IFERROR(6-VLOOKUP(T540,'Dados de consulta'!$A$2:$C$38,3,0)+2,6)</f>
        <v>6</v>
      </c>
      <c r="BR540" s="114">
        <f t="shared" si="232"/>
        <v>118</v>
      </c>
      <c r="BS540">
        <f t="shared" si="208"/>
        <v>134</v>
      </c>
      <c r="BU540">
        <f>IFERROR(8-VLOOKUP(U540,'Dados de consulta'!$A:$D,3,0),8)</f>
        <v>8</v>
      </c>
      <c r="BV540">
        <f>IFERROR(8-VLOOKUP(V540,'Dados de consulta'!$A:$D,3,0),8)</f>
        <v>8</v>
      </c>
      <c r="BW540">
        <f t="shared" si="233"/>
        <v>16</v>
      </c>
    </row>
    <row r="541" spans="1:75" ht="15" hidden="1" x14ac:dyDescent="0.2">
      <c r="A541" s="98">
        <v>42664</v>
      </c>
      <c r="B541" s="129" t="str">
        <f t="shared" si="210"/>
        <v>sex</v>
      </c>
      <c r="C541" s="132"/>
      <c r="D541" s="132">
        <v>18</v>
      </c>
      <c r="E541" s="132"/>
      <c r="F541" s="132">
        <v>18</v>
      </c>
      <c r="G541" s="132"/>
      <c r="H541" s="132"/>
      <c r="I541" s="132"/>
      <c r="J541" s="132"/>
      <c r="K541" s="132"/>
      <c r="L541" s="132"/>
      <c r="M541" s="132">
        <v>101</v>
      </c>
      <c r="N541" s="132"/>
      <c r="O541" s="132"/>
      <c r="P541" s="132"/>
      <c r="Q541" s="132"/>
      <c r="R541" s="132"/>
      <c r="S541" s="132"/>
      <c r="T541" s="132"/>
      <c r="U541" s="151"/>
      <c r="V541" s="151"/>
      <c r="W541" s="307" t="s">
        <v>193</v>
      </c>
      <c r="X541" s="308"/>
      <c r="Y541" s="38">
        <f t="shared" si="211"/>
        <v>0</v>
      </c>
      <c r="Z541" s="38">
        <f t="shared" si="212"/>
        <v>16</v>
      </c>
      <c r="AA541" s="38">
        <f t="shared" si="209"/>
        <v>0</v>
      </c>
      <c r="AB541" s="38">
        <f t="shared" si="220"/>
        <v>0</v>
      </c>
      <c r="AC541" s="38">
        <f t="shared" si="221"/>
        <v>0</v>
      </c>
      <c r="AD541" s="38">
        <f t="shared" si="222"/>
        <v>0</v>
      </c>
      <c r="AE541" s="38">
        <f t="shared" si="223"/>
        <v>0</v>
      </c>
      <c r="AF541" s="38">
        <f t="shared" si="224"/>
        <v>0</v>
      </c>
      <c r="AG541" s="33">
        <f t="shared" si="225"/>
        <v>0</v>
      </c>
      <c r="AH541" s="33">
        <f t="shared" si="226"/>
        <v>16</v>
      </c>
      <c r="AI541" s="33">
        <f t="shared" si="227"/>
        <v>0</v>
      </c>
      <c r="AJ541" s="33">
        <f t="shared" si="228"/>
        <v>0</v>
      </c>
      <c r="AK541" s="34">
        <f t="shared" si="229"/>
        <v>0</v>
      </c>
      <c r="AL541" s="35">
        <f t="shared" si="230"/>
        <v>0.11267605633802817</v>
      </c>
      <c r="AM541" s="34">
        <f t="shared" si="213"/>
        <v>0</v>
      </c>
      <c r="AN541" s="36">
        <f t="shared" si="231"/>
        <v>0</v>
      </c>
      <c r="AO541" s="6">
        <f t="shared" si="214"/>
        <v>0</v>
      </c>
      <c r="AP541">
        <f t="shared" si="215"/>
        <v>8</v>
      </c>
      <c r="AQ541" s="6">
        <f t="shared" si="216"/>
        <v>0</v>
      </c>
      <c r="AR541" s="6">
        <f t="shared" si="217"/>
        <v>0</v>
      </c>
      <c r="AS541" s="6"/>
      <c r="AX541" s="95">
        <f t="shared" si="218"/>
        <v>42664</v>
      </c>
      <c r="AY541" s="96" t="str">
        <f t="shared" si="219"/>
        <v>sex</v>
      </c>
      <c r="AZ541" s="97">
        <f>IF(OR(AY541="SÁB",AY541="DOM"),0,IFERROR(8-VLOOKUP(C541,'Dados de consulta'!$A$2:$C$38,3,0),8))</f>
        <v>8</v>
      </c>
      <c r="BA541" s="97">
        <f>IF(OR(AY541="SÁB",AY541="DOM"),0,IFERROR(8-VLOOKUP(D541,'Dados de consulta'!$A$2:$C$38,3,0),8))</f>
        <v>0</v>
      </c>
      <c r="BB541" s="97">
        <f>IF(OR(AY541="SÁB",AY541="DOM"),0,IFERROR(8-VLOOKUP(E541,'Dados de consulta'!$A$2:$C$38,3,0),8))</f>
        <v>8</v>
      </c>
      <c r="BC541" s="97">
        <f>IF(OR(AY541="SÁB",AY541="DOM"),0,IFERROR(8-VLOOKUP(F541,'Dados de consulta'!$A$2:$C$38,3,0),8))</f>
        <v>0</v>
      </c>
      <c r="BD541" s="97">
        <f>IF(OR(AY541="SÁB",AY541="DOM"),0,IFERROR(8-VLOOKUP(G541,'Dados de consulta'!$A$2:$C$38,3,0),8))</f>
        <v>8</v>
      </c>
      <c r="BE541" s="97">
        <f>IF(OR(AY541="SÁB",AY541="DOM"),0,IFERROR(8-VLOOKUP(H541,'Dados de consulta'!$A$2:$C$38,3,0),8))</f>
        <v>8</v>
      </c>
      <c r="BF541" s="97">
        <f>IF(OR(AY541="SÁB",AY541="DOM"),0,IFERROR(8-VLOOKUP(I541,'Dados de consulta'!$A$2:$C$38,3,0),8))</f>
        <v>8</v>
      </c>
      <c r="BG541" s="97">
        <f>IF(OR(AY541="SÁB",AY541="DOM"),0,IFERROR(8-VLOOKUP(J541,'Dados de consulta'!$A$2:$C$38,3,0),8))</f>
        <v>8</v>
      </c>
      <c r="BH541" s="97">
        <f>IF(OR(AY541="SÁB",AY541="DOM"),0,IFERROR(8-VLOOKUP(K541,'Dados de consulta'!$A$2:$C$38,3,0),8))</f>
        <v>8</v>
      </c>
      <c r="BI541" s="97">
        <f>IF(OR(AY541="SÁB",AY541="DOM"),0,IFERROR(8-VLOOKUP(L541,'Dados de consulta'!$A$2:$C$38,3,0),8))</f>
        <v>8</v>
      </c>
      <c r="BJ541" s="97">
        <f>IF(OR(AY541="SÁB",AY541="DOM"),0,IFERROR(8-VLOOKUP(M541,'Dados de consulta'!$A$2:$C$38,3,0),8))</f>
        <v>0</v>
      </c>
      <c r="BK541" s="97">
        <f>IF(OR(AY541="SÁB",AY541="DOM"),0,IFERROR(8-VLOOKUP(N541,'Dados de consulta'!$A$2:$C$38,3,0),8))</f>
        <v>8</v>
      </c>
      <c r="BL541" s="97">
        <f>IF(OR(AY541="SÁB",AY541="DOM"),0,IFERROR(8-VLOOKUP(O541,'Dados de consulta'!$A$2:$C$38,3,0),8))</f>
        <v>8</v>
      </c>
      <c r="BM541" s="97">
        <f>IF(OR(AY541="SÁB",AY541="DOM"),0,IFERROR(8-VLOOKUP(P541,'Dados de consulta'!$A$2:$C$38,3,0),8))</f>
        <v>8</v>
      </c>
      <c r="BN541" s="97">
        <f>IF(OR(AY541="SÁB",AY541="DOM"),0,IFERROR(8-VLOOKUP(Q541,'Dados de consulta'!$A$2:$C$38,3,0),8))</f>
        <v>8</v>
      </c>
      <c r="BO541" s="97">
        <f>IF(OR(AY541="SÁB",AY541="DOM"),0,IFERROR(8-VLOOKUP(R541,'Dados de consulta'!$A$2:$C$38,3,0),8))</f>
        <v>8</v>
      </c>
      <c r="BP541" s="97">
        <f>IF(OR(AY541="SÁB",AY541="DOM"),0,IFERROR(8-VLOOKUP(S541,'Dados de consulta'!$A$2:$C$38,3,0),8))</f>
        <v>8</v>
      </c>
      <c r="BQ541" s="113">
        <f>IFERROR(6-VLOOKUP(T541,'Dados de consulta'!$A$2:$C$38,3,0)+2,6)</f>
        <v>6</v>
      </c>
      <c r="BR541" s="114">
        <f t="shared" si="232"/>
        <v>118</v>
      </c>
      <c r="BS541">
        <f t="shared" si="208"/>
        <v>134</v>
      </c>
      <c r="BU541">
        <f>IFERROR(8-VLOOKUP(U541,'Dados de consulta'!$A:$D,3,0),8)</f>
        <v>8</v>
      </c>
      <c r="BV541">
        <f>IFERROR(8-VLOOKUP(V541,'Dados de consulta'!$A:$D,3,0),8)</f>
        <v>8</v>
      </c>
      <c r="BW541">
        <f t="shared" si="233"/>
        <v>16</v>
      </c>
    </row>
    <row r="542" spans="1:75" ht="15" hidden="1" x14ac:dyDescent="0.2">
      <c r="A542" s="98">
        <v>42665</v>
      </c>
      <c r="B542" s="129" t="str">
        <f t="shared" si="210"/>
        <v>sáb</v>
      </c>
      <c r="C542" s="132"/>
      <c r="D542" s="132">
        <v>18</v>
      </c>
      <c r="E542" s="132"/>
      <c r="F542" s="132">
        <v>18</v>
      </c>
      <c r="G542" s="132"/>
      <c r="H542" s="132"/>
      <c r="I542" s="132"/>
      <c r="J542" s="132"/>
      <c r="K542" s="132"/>
      <c r="L542" s="132"/>
      <c r="M542" s="132">
        <v>101</v>
      </c>
      <c r="N542" s="132"/>
      <c r="O542" s="132"/>
      <c r="P542" s="132"/>
      <c r="Q542" s="132"/>
      <c r="R542" s="132"/>
      <c r="S542" s="132"/>
      <c r="T542" s="132"/>
      <c r="U542" s="151"/>
      <c r="V542" s="151"/>
      <c r="W542" s="307" t="s">
        <v>193</v>
      </c>
      <c r="X542" s="308"/>
      <c r="Y542" s="38">
        <f t="shared" si="211"/>
        <v>0</v>
      </c>
      <c r="Z542" s="38">
        <f t="shared" si="212"/>
        <v>16</v>
      </c>
      <c r="AA542" s="38">
        <f t="shared" si="209"/>
        <v>0</v>
      </c>
      <c r="AB542" s="38">
        <f t="shared" si="220"/>
        <v>0</v>
      </c>
      <c r="AC542" s="38">
        <f t="shared" si="221"/>
        <v>0</v>
      </c>
      <c r="AD542" s="38">
        <f t="shared" si="222"/>
        <v>0</v>
      </c>
      <c r="AE542" s="38">
        <f t="shared" si="223"/>
        <v>0</v>
      </c>
      <c r="AF542" s="38">
        <f t="shared" si="224"/>
        <v>0</v>
      </c>
      <c r="AG542" s="33">
        <f t="shared" si="225"/>
        <v>0</v>
      </c>
      <c r="AH542" s="33">
        <f t="shared" si="226"/>
        <v>0</v>
      </c>
      <c r="AI542" s="33">
        <f t="shared" si="227"/>
        <v>0</v>
      </c>
      <c r="AJ542" s="33">
        <f t="shared" si="228"/>
        <v>0</v>
      </c>
      <c r="AK542" s="34">
        <f t="shared" si="229"/>
        <v>0</v>
      </c>
      <c r="AL542" s="35">
        <f t="shared" si="230"/>
        <v>0</v>
      </c>
      <c r="AM542" s="34">
        <f t="shared" si="213"/>
        <v>0</v>
      </c>
      <c r="AN542" s="36">
        <f t="shared" si="231"/>
        <v>0</v>
      </c>
      <c r="AO542" s="6">
        <f t="shared" si="214"/>
        <v>0</v>
      </c>
      <c r="AP542">
        <f t="shared" si="215"/>
        <v>8</v>
      </c>
      <c r="AQ542" s="6">
        <f t="shared" si="216"/>
        <v>0</v>
      </c>
      <c r="AR542" s="6">
        <f t="shared" si="217"/>
        <v>0</v>
      </c>
      <c r="AS542" s="6"/>
      <c r="AX542" s="95">
        <f t="shared" si="218"/>
        <v>42665</v>
      </c>
      <c r="AY542" s="96" t="str">
        <f t="shared" si="219"/>
        <v>sáb</v>
      </c>
      <c r="AZ542" s="97">
        <f>IF(OR(AY542="SÁB",AY542="DOM"),0,IFERROR(8-VLOOKUP(C542,'Dados de consulta'!$A$2:$C$38,3,0),8))</f>
        <v>0</v>
      </c>
      <c r="BA542" s="97">
        <f>IF(OR(AY542="SÁB",AY542="DOM"),0,IFERROR(8-VLOOKUP(D542,'Dados de consulta'!$A$2:$C$38,3,0),8))</f>
        <v>0</v>
      </c>
      <c r="BB542" s="97">
        <f>IF(OR(AY542="SÁB",AY542="DOM"),0,IFERROR(8-VLOOKUP(E542,'Dados de consulta'!$A$2:$C$38,3,0),8))</f>
        <v>0</v>
      </c>
      <c r="BC542" s="97">
        <f>IF(OR(AY542="SÁB",AY542="DOM"),0,IFERROR(8-VLOOKUP(F542,'Dados de consulta'!$A$2:$C$38,3,0),8))</f>
        <v>0</v>
      </c>
      <c r="BD542" s="97">
        <f>IF(OR(AY542="SÁB",AY542="DOM"),0,IFERROR(8-VLOOKUP(G542,'Dados de consulta'!$A$2:$C$38,3,0),8))</f>
        <v>0</v>
      </c>
      <c r="BE542" s="97">
        <f>IF(OR(AY542="SÁB",AY542="DOM"),0,IFERROR(8-VLOOKUP(H542,'Dados de consulta'!$A$2:$C$38,3,0),8))</f>
        <v>0</v>
      </c>
      <c r="BF542" s="97">
        <f>IF(OR(AY542="SÁB",AY542="DOM"),0,IFERROR(8-VLOOKUP(I542,'Dados de consulta'!$A$2:$C$38,3,0),8))</f>
        <v>0</v>
      </c>
      <c r="BG542" s="97">
        <f>IF(OR(AY542="SÁB",AY542="DOM"),0,IFERROR(8-VLOOKUP(J542,'Dados de consulta'!$A$2:$C$38,3,0),8))</f>
        <v>0</v>
      </c>
      <c r="BH542" s="97">
        <f>IF(OR(AY542="SÁB",AY542="DOM"),0,IFERROR(8-VLOOKUP(K542,'Dados de consulta'!$A$2:$C$38,3,0),8))</f>
        <v>0</v>
      </c>
      <c r="BI542" s="97">
        <f>IF(OR(AY542="SÁB",AY542="DOM"),0,IFERROR(8-VLOOKUP(L542,'Dados de consulta'!$A$2:$C$38,3,0),8))</f>
        <v>0</v>
      </c>
      <c r="BJ542" s="97">
        <f>IF(OR(AY542="SÁB",AY542="DOM"),0,IFERROR(8-VLOOKUP(M542,'Dados de consulta'!$A$2:$C$38,3,0),8))</f>
        <v>0</v>
      </c>
      <c r="BK542" s="97">
        <f>IF(OR(AY542="SÁB",AY542="DOM"),0,IFERROR(8-VLOOKUP(N542,'Dados de consulta'!$A$2:$C$38,3,0),8))</f>
        <v>0</v>
      </c>
      <c r="BL542" s="97">
        <f>IF(OR(AY542="SÁB",AY542="DOM"),0,IFERROR(8-VLOOKUP(O542,'Dados de consulta'!$A$2:$C$38,3,0),8))</f>
        <v>0</v>
      </c>
      <c r="BM542" s="97">
        <f>IF(OR(AY542="SÁB",AY542="DOM"),0,IFERROR(8-VLOOKUP(P542,'Dados de consulta'!$A$2:$C$38,3,0),8))</f>
        <v>0</v>
      </c>
      <c r="BN542" s="97">
        <f>IF(OR(AY542="SÁB",AY542="DOM"),0,IFERROR(8-VLOOKUP(Q542,'Dados de consulta'!$A$2:$C$38,3,0),8))</f>
        <v>0</v>
      </c>
      <c r="BO542" s="97">
        <f>IF(OR(AY542="SÁB",AY542="DOM"),0,IFERROR(8-VLOOKUP(R542,'Dados de consulta'!$A$2:$C$38,3,0),8))</f>
        <v>0</v>
      </c>
      <c r="BP542" s="97">
        <f>IF(OR(AY542="SÁB",AY542="DOM"),0,IFERROR(8-VLOOKUP(S542,'Dados de consulta'!$A$2:$C$38,3,0),8))</f>
        <v>0</v>
      </c>
      <c r="BQ542" s="113">
        <f>IFERROR(6-VLOOKUP(T542,'Dados de consulta'!$A$2:$C$38,3,0)+2,6)</f>
        <v>6</v>
      </c>
      <c r="BR542" s="114">
        <f t="shared" si="232"/>
        <v>0</v>
      </c>
      <c r="BS542">
        <f t="shared" si="208"/>
        <v>0</v>
      </c>
      <c r="BU542">
        <f>IFERROR(8-VLOOKUP(U542,'Dados de consulta'!$A:$D,3,0),8)</f>
        <v>8</v>
      </c>
      <c r="BV542">
        <f>IFERROR(8-VLOOKUP(V542,'Dados de consulta'!$A:$D,3,0),8)</f>
        <v>8</v>
      </c>
      <c r="BW542">
        <f t="shared" si="233"/>
        <v>16</v>
      </c>
    </row>
    <row r="543" spans="1:75" ht="15" hidden="1" x14ac:dyDescent="0.2">
      <c r="A543" s="98">
        <v>42666</v>
      </c>
      <c r="B543" s="129" t="str">
        <f t="shared" si="210"/>
        <v>dom</v>
      </c>
      <c r="C543" s="132"/>
      <c r="D543" s="132">
        <v>18</v>
      </c>
      <c r="E543" s="132"/>
      <c r="F543" s="132">
        <v>18</v>
      </c>
      <c r="G543" s="132"/>
      <c r="H543" s="132"/>
      <c r="I543" s="132"/>
      <c r="J543" s="132"/>
      <c r="K543" s="132"/>
      <c r="L543" s="132"/>
      <c r="M543" s="132">
        <v>101</v>
      </c>
      <c r="N543" s="132"/>
      <c r="O543" s="132"/>
      <c r="P543" s="132"/>
      <c r="Q543" s="132"/>
      <c r="R543" s="132"/>
      <c r="S543" s="132"/>
      <c r="T543" s="132"/>
      <c r="U543" s="151"/>
      <c r="V543" s="151"/>
      <c r="W543" s="307" t="s">
        <v>193</v>
      </c>
      <c r="X543" s="308"/>
      <c r="Y543" s="38">
        <f t="shared" si="211"/>
        <v>0</v>
      </c>
      <c r="Z543" s="38">
        <f t="shared" si="212"/>
        <v>16</v>
      </c>
      <c r="AA543" s="38">
        <f t="shared" si="209"/>
        <v>0</v>
      </c>
      <c r="AB543" s="38">
        <f t="shared" si="220"/>
        <v>0</v>
      </c>
      <c r="AC543" s="38">
        <f t="shared" si="221"/>
        <v>0</v>
      </c>
      <c r="AD543" s="38">
        <f t="shared" si="222"/>
        <v>0</v>
      </c>
      <c r="AE543" s="38">
        <f t="shared" si="223"/>
        <v>0</v>
      </c>
      <c r="AF543" s="38">
        <f t="shared" si="224"/>
        <v>0</v>
      </c>
      <c r="AG543" s="33">
        <f t="shared" si="225"/>
        <v>0</v>
      </c>
      <c r="AH543" s="33">
        <f t="shared" si="226"/>
        <v>0</v>
      </c>
      <c r="AI543" s="33">
        <f t="shared" si="227"/>
        <v>0</v>
      </c>
      <c r="AJ543" s="33">
        <f t="shared" si="228"/>
        <v>0</v>
      </c>
      <c r="AK543" s="34">
        <f t="shared" si="229"/>
        <v>0</v>
      </c>
      <c r="AL543" s="35">
        <f t="shared" si="230"/>
        <v>0</v>
      </c>
      <c r="AM543" s="34">
        <f t="shared" si="213"/>
        <v>0</v>
      </c>
      <c r="AN543" s="36">
        <f t="shared" si="231"/>
        <v>0</v>
      </c>
      <c r="AO543" s="6">
        <f t="shared" si="214"/>
        <v>0</v>
      </c>
      <c r="AP543">
        <f t="shared" si="215"/>
        <v>8</v>
      </c>
      <c r="AQ543" s="6">
        <f t="shared" si="216"/>
        <v>0</v>
      </c>
      <c r="AR543" s="6">
        <f t="shared" si="217"/>
        <v>0</v>
      </c>
      <c r="AS543" s="6"/>
      <c r="AX543" s="95">
        <f t="shared" si="218"/>
        <v>42666</v>
      </c>
      <c r="AY543" s="96" t="str">
        <f t="shared" si="219"/>
        <v>dom</v>
      </c>
      <c r="AZ543" s="97">
        <f>IF(OR(AY543="SÁB",AY543="DOM"),0,IFERROR(8-VLOOKUP(C543,'Dados de consulta'!$A$2:$C$38,3,0),8))</f>
        <v>0</v>
      </c>
      <c r="BA543" s="97">
        <f>IF(OR(AY543="SÁB",AY543="DOM"),0,IFERROR(8-VLOOKUP(D543,'Dados de consulta'!$A$2:$C$38,3,0),8))</f>
        <v>0</v>
      </c>
      <c r="BB543" s="97">
        <f>IF(OR(AY543="SÁB",AY543="DOM"),0,IFERROR(8-VLOOKUP(E543,'Dados de consulta'!$A$2:$C$38,3,0),8))</f>
        <v>0</v>
      </c>
      <c r="BC543" s="97">
        <f>IF(OR(AY543="SÁB",AY543="DOM"),0,IFERROR(8-VLOOKUP(F543,'Dados de consulta'!$A$2:$C$38,3,0),8))</f>
        <v>0</v>
      </c>
      <c r="BD543" s="97">
        <f>IF(OR(AY543="SÁB",AY543="DOM"),0,IFERROR(8-VLOOKUP(G543,'Dados de consulta'!$A$2:$C$38,3,0),8))</f>
        <v>0</v>
      </c>
      <c r="BE543" s="97">
        <f>IF(OR(AY543="SÁB",AY543="DOM"),0,IFERROR(8-VLOOKUP(H543,'Dados de consulta'!$A$2:$C$38,3,0),8))</f>
        <v>0</v>
      </c>
      <c r="BF543" s="97">
        <f>IF(OR(AY543="SÁB",AY543="DOM"),0,IFERROR(8-VLOOKUP(I543,'Dados de consulta'!$A$2:$C$38,3,0),8))</f>
        <v>0</v>
      </c>
      <c r="BG543" s="97">
        <f>IF(OR(AY543="SÁB",AY543="DOM"),0,IFERROR(8-VLOOKUP(J543,'Dados de consulta'!$A$2:$C$38,3,0),8))</f>
        <v>0</v>
      </c>
      <c r="BH543" s="97">
        <f>IF(OR(AY543="SÁB",AY543="DOM"),0,IFERROR(8-VLOOKUP(K543,'Dados de consulta'!$A$2:$C$38,3,0),8))</f>
        <v>0</v>
      </c>
      <c r="BI543" s="97">
        <f>IF(OR(AY543="SÁB",AY543="DOM"),0,IFERROR(8-VLOOKUP(L543,'Dados de consulta'!$A$2:$C$38,3,0),8))</f>
        <v>0</v>
      </c>
      <c r="BJ543" s="97">
        <f>IF(OR(AY543="SÁB",AY543="DOM"),0,IFERROR(8-VLOOKUP(M543,'Dados de consulta'!$A$2:$C$38,3,0),8))</f>
        <v>0</v>
      </c>
      <c r="BK543" s="97">
        <f>IF(OR(AY543="SÁB",AY543="DOM"),0,IFERROR(8-VLOOKUP(N543,'Dados de consulta'!$A$2:$C$38,3,0),8))</f>
        <v>0</v>
      </c>
      <c r="BL543" s="97">
        <f>IF(OR(AY543="SÁB",AY543="DOM"),0,IFERROR(8-VLOOKUP(O543,'Dados de consulta'!$A$2:$C$38,3,0),8))</f>
        <v>0</v>
      </c>
      <c r="BM543" s="97">
        <f>IF(OR(AY543="SÁB",AY543="DOM"),0,IFERROR(8-VLOOKUP(P543,'Dados de consulta'!$A$2:$C$38,3,0),8))</f>
        <v>0</v>
      </c>
      <c r="BN543" s="97">
        <f>IF(OR(AY543="SÁB",AY543="DOM"),0,IFERROR(8-VLOOKUP(Q543,'Dados de consulta'!$A$2:$C$38,3,0),8))</f>
        <v>0</v>
      </c>
      <c r="BO543" s="97">
        <f>IF(OR(AY543="SÁB",AY543="DOM"),0,IFERROR(8-VLOOKUP(R543,'Dados de consulta'!$A$2:$C$38,3,0),8))</f>
        <v>0</v>
      </c>
      <c r="BP543" s="97">
        <f>IF(OR(AY543="SÁB",AY543="DOM"),0,IFERROR(8-VLOOKUP(S543,'Dados de consulta'!$A$2:$C$38,3,0),8))</f>
        <v>0</v>
      </c>
      <c r="BQ543" s="113">
        <f>IFERROR(6-VLOOKUP(T543,'Dados de consulta'!$A$2:$C$38,3,0)+2,6)</f>
        <v>6</v>
      </c>
      <c r="BR543" s="114">
        <f t="shared" si="232"/>
        <v>0</v>
      </c>
      <c r="BS543">
        <f t="shared" si="208"/>
        <v>0</v>
      </c>
      <c r="BU543">
        <f>IFERROR(8-VLOOKUP(U543,'Dados de consulta'!$A:$D,3,0),8)</f>
        <v>8</v>
      </c>
      <c r="BV543">
        <f>IFERROR(8-VLOOKUP(V543,'Dados de consulta'!$A:$D,3,0),8)</f>
        <v>8</v>
      </c>
      <c r="BW543">
        <f t="shared" si="233"/>
        <v>16</v>
      </c>
    </row>
    <row r="544" spans="1:75" ht="15" hidden="1" x14ac:dyDescent="0.2">
      <c r="A544" s="98">
        <v>42667</v>
      </c>
      <c r="B544" s="129" t="str">
        <f t="shared" si="210"/>
        <v>seg</v>
      </c>
      <c r="C544" s="132"/>
      <c r="D544" s="132">
        <v>18</v>
      </c>
      <c r="E544" s="132"/>
      <c r="F544" s="132">
        <v>18</v>
      </c>
      <c r="G544" s="132"/>
      <c r="H544" s="132"/>
      <c r="I544" s="132"/>
      <c r="J544" s="132"/>
      <c r="K544" s="132"/>
      <c r="L544" s="132"/>
      <c r="M544" s="132">
        <v>101</v>
      </c>
      <c r="N544" s="132"/>
      <c r="O544" s="132"/>
      <c r="P544" s="132"/>
      <c r="Q544" s="132"/>
      <c r="R544" s="132"/>
      <c r="S544" s="132"/>
      <c r="T544" s="132"/>
      <c r="U544" s="151"/>
      <c r="V544" s="151"/>
      <c r="W544" s="307" t="s">
        <v>193</v>
      </c>
      <c r="X544" s="308"/>
      <c r="Y544" s="38">
        <f t="shared" si="211"/>
        <v>0</v>
      </c>
      <c r="Z544" s="38">
        <f t="shared" si="212"/>
        <v>16</v>
      </c>
      <c r="AA544" s="38">
        <f t="shared" si="209"/>
        <v>0</v>
      </c>
      <c r="AB544" s="38">
        <f t="shared" si="220"/>
        <v>0</v>
      </c>
      <c r="AC544" s="38">
        <f t="shared" si="221"/>
        <v>0</v>
      </c>
      <c r="AD544" s="38">
        <f t="shared" si="222"/>
        <v>0</v>
      </c>
      <c r="AE544" s="38">
        <f t="shared" si="223"/>
        <v>0</v>
      </c>
      <c r="AF544" s="38">
        <f t="shared" si="224"/>
        <v>0</v>
      </c>
      <c r="AG544" s="33">
        <f t="shared" si="225"/>
        <v>0</v>
      </c>
      <c r="AH544" s="33">
        <f t="shared" si="226"/>
        <v>16</v>
      </c>
      <c r="AI544" s="33">
        <f t="shared" si="227"/>
        <v>0</v>
      </c>
      <c r="AJ544" s="33">
        <f t="shared" si="228"/>
        <v>0</v>
      </c>
      <c r="AK544" s="34">
        <f t="shared" si="229"/>
        <v>0</v>
      </c>
      <c r="AL544" s="35">
        <f t="shared" si="230"/>
        <v>0.11267605633802817</v>
      </c>
      <c r="AM544" s="34">
        <f t="shared" si="213"/>
        <v>0</v>
      </c>
      <c r="AN544" s="36">
        <f t="shared" si="231"/>
        <v>0</v>
      </c>
      <c r="AO544" s="6">
        <f t="shared" si="214"/>
        <v>0</v>
      </c>
      <c r="AP544">
        <f t="shared" si="215"/>
        <v>8</v>
      </c>
      <c r="AQ544" s="6">
        <f t="shared" si="216"/>
        <v>0</v>
      </c>
      <c r="AR544" s="6">
        <f t="shared" si="217"/>
        <v>0</v>
      </c>
      <c r="AS544" s="6"/>
      <c r="AX544" s="95">
        <f t="shared" si="218"/>
        <v>42667</v>
      </c>
      <c r="AY544" s="96" t="str">
        <f t="shared" si="219"/>
        <v>seg</v>
      </c>
      <c r="AZ544" s="97">
        <f>IF(OR(AY544="SÁB",AY544="DOM"),0,IFERROR(8-VLOOKUP(C544,'Dados de consulta'!$A$2:$C$38,3,0),8))</f>
        <v>8</v>
      </c>
      <c r="BA544" s="97">
        <f>IF(OR(AY544="SÁB",AY544="DOM"),0,IFERROR(8-VLOOKUP(D544,'Dados de consulta'!$A$2:$C$38,3,0),8))</f>
        <v>0</v>
      </c>
      <c r="BB544" s="97">
        <f>IF(OR(AY544="SÁB",AY544="DOM"),0,IFERROR(8-VLOOKUP(E544,'Dados de consulta'!$A$2:$C$38,3,0),8))</f>
        <v>8</v>
      </c>
      <c r="BC544" s="97">
        <f>IF(OR(AY544="SÁB",AY544="DOM"),0,IFERROR(8-VLOOKUP(F544,'Dados de consulta'!$A$2:$C$38,3,0),8))</f>
        <v>0</v>
      </c>
      <c r="BD544" s="97">
        <f>IF(OR(AY544="SÁB",AY544="DOM"),0,IFERROR(8-VLOOKUP(G544,'Dados de consulta'!$A$2:$C$38,3,0),8))</f>
        <v>8</v>
      </c>
      <c r="BE544" s="97">
        <f>IF(OR(AY544="SÁB",AY544="DOM"),0,IFERROR(8-VLOOKUP(H544,'Dados de consulta'!$A$2:$C$38,3,0),8))</f>
        <v>8</v>
      </c>
      <c r="BF544" s="97">
        <f>IF(OR(AY544="SÁB",AY544="DOM"),0,IFERROR(8-VLOOKUP(I544,'Dados de consulta'!$A$2:$C$38,3,0),8))</f>
        <v>8</v>
      </c>
      <c r="BG544" s="97">
        <f>IF(OR(AY544="SÁB",AY544="DOM"),0,IFERROR(8-VLOOKUP(J544,'Dados de consulta'!$A$2:$C$38,3,0),8))</f>
        <v>8</v>
      </c>
      <c r="BH544" s="97">
        <f>IF(OR(AY544="SÁB",AY544="DOM"),0,IFERROR(8-VLOOKUP(K544,'Dados de consulta'!$A$2:$C$38,3,0),8))</f>
        <v>8</v>
      </c>
      <c r="BI544" s="97">
        <f>IF(OR(AY544="SÁB",AY544="DOM"),0,IFERROR(8-VLOOKUP(L544,'Dados de consulta'!$A$2:$C$38,3,0),8))</f>
        <v>8</v>
      </c>
      <c r="BJ544" s="97">
        <f>IF(OR(AY544="SÁB",AY544="DOM"),0,IFERROR(8-VLOOKUP(M544,'Dados de consulta'!$A$2:$C$38,3,0),8))</f>
        <v>0</v>
      </c>
      <c r="BK544" s="97">
        <f>IF(OR(AY544="SÁB",AY544="DOM"),0,IFERROR(8-VLOOKUP(N544,'Dados de consulta'!$A$2:$C$38,3,0),8))</f>
        <v>8</v>
      </c>
      <c r="BL544" s="97">
        <f>IF(OR(AY544="SÁB",AY544="DOM"),0,IFERROR(8-VLOOKUP(O544,'Dados de consulta'!$A$2:$C$38,3,0),8))</f>
        <v>8</v>
      </c>
      <c r="BM544" s="97">
        <f>IF(OR(AY544="SÁB",AY544="DOM"),0,IFERROR(8-VLOOKUP(P544,'Dados de consulta'!$A$2:$C$38,3,0),8))</f>
        <v>8</v>
      </c>
      <c r="BN544" s="97">
        <f>IF(OR(AY544="SÁB",AY544="DOM"),0,IFERROR(8-VLOOKUP(Q544,'Dados de consulta'!$A$2:$C$38,3,0),8))</f>
        <v>8</v>
      </c>
      <c r="BO544" s="97">
        <f>IF(OR(AY544="SÁB",AY544="DOM"),0,IFERROR(8-VLOOKUP(R544,'Dados de consulta'!$A$2:$C$38,3,0),8))</f>
        <v>8</v>
      </c>
      <c r="BP544" s="97">
        <f>IF(OR(AY544="SÁB",AY544="DOM"),0,IFERROR(8-VLOOKUP(S544,'Dados de consulta'!$A$2:$C$38,3,0),8))</f>
        <v>8</v>
      </c>
      <c r="BQ544" s="113">
        <f>IFERROR(6-VLOOKUP(T544,'Dados de consulta'!$A$2:$C$38,3,0)+2,6)</f>
        <v>6</v>
      </c>
      <c r="BR544" s="114">
        <f t="shared" si="232"/>
        <v>118</v>
      </c>
      <c r="BS544">
        <f t="shared" si="208"/>
        <v>134</v>
      </c>
      <c r="BU544">
        <f>IFERROR(8-VLOOKUP(U544,'Dados de consulta'!$A:$D,3,0),8)</f>
        <v>8</v>
      </c>
      <c r="BV544">
        <f>IFERROR(8-VLOOKUP(V544,'Dados de consulta'!$A:$D,3,0),8)</f>
        <v>8</v>
      </c>
      <c r="BW544">
        <f t="shared" si="233"/>
        <v>16</v>
      </c>
    </row>
    <row r="545" spans="1:75" ht="15" hidden="1" x14ac:dyDescent="0.2">
      <c r="A545" s="98">
        <v>42668</v>
      </c>
      <c r="B545" s="129" t="str">
        <f t="shared" si="210"/>
        <v>ter</v>
      </c>
      <c r="C545" s="132"/>
      <c r="D545" s="132">
        <v>18</v>
      </c>
      <c r="E545" s="132"/>
      <c r="F545" s="132">
        <v>18</v>
      </c>
      <c r="G545" s="132"/>
      <c r="H545" s="132"/>
      <c r="I545" s="132"/>
      <c r="J545" s="132"/>
      <c r="K545" s="132"/>
      <c r="L545" s="132"/>
      <c r="M545" s="132">
        <v>101</v>
      </c>
      <c r="N545" s="132"/>
      <c r="O545" s="132"/>
      <c r="P545" s="132"/>
      <c r="Q545" s="132"/>
      <c r="R545" s="132"/>
      <c r="S545" s="132"/>
      <c r="T545" s="132"/>
      <c r="U545" s="151"/>
      <c r="V545" s="151"/>
      <c r="W545" s="307" t="s">
        <v>193</v>
      </c>
      <c r="X545" s="308"/>
      <c r="Y545" s="38">
        <f t="shared" si="211"/>
        <v>0</v>
      </c>
      <c r="Z545" s="38">
        <f t="shared" si="212"/>
        <v>16</v>
      </c>
      <c r="AA545" s="38">
        <f t="shared" si="209"/>
        <v>0</v>
      </c>
      <c r="AB545" s="38">
        <f t="shared" si="220"/>
        <v>0</v>
      </c>
      <c r="AC545" s="38">
        <f t="shared" si="221"/>
        <v>0</v>
      </c>
      <c r="AD545" s="38">
        <f t="shared" si="222"/>
        <v>0</v>
      </c>
      <c r="AE545" s="38">
        <f t="shared" si="223"/>
        <v>0</v>
      </c>
      <c r="AF545" s="38">
        <f t="shared" si="224"/>
        <v>0</v>
      </c>
      <c r="AG545" s="33">
        <f t="shared" si="225"/>
        <v>0</v>
      </c>
      <c r="AH545" s="33">
        <f t="shared" si="226"/>
        <v>16</v>
      </c>
      <c r="AI545" s="33">
        <f t="shared" si="227"/>
        <v>0</v>
      </c>
      <c r="AJ545" s="33">
        <f t="shared" si="228"/>
        <v>0</v>
      </c>
      <c r="AK545" s="34">
        <f t="shared" si="229"/>
        <v>0</v>
      </c>
      <c r="AL545" s="35">
        <f t="shared" si="230"/>
        <v>0.11267605633802817</v>
      </c>
      <c r="AM545" s="34">
        <f t="shared" si="213"/>
        <v>0</v>
      </c>
      <c r="AN545" s="36">
        <f t="shared" si="231"/>
        <v>0</v>
      </c>
      <c r="AO545" s="6">
        <f t="shared" si="214"/>
        <v>0</v>
      </c>
      <c r="AP545">
        <f t="shared" si="215"/>
        <v>8</v>
      </c>
      <c r="AQ545" s="6">
        <f t="shared" si="216"/>
        <v>0</v>
      </c>
      <c r="AR545" s="6">
        <f t="shared" si="217"/>
        <v>0</v>
      </c>
      <c r="AS545" s="6"/>
      <c r="AX545" s="95">
        <f t="shared" si="218"/>
        <v>42668</v>
      </c>
      <c r="AY545" s="96" t="str">
        <f t="shared" si="219"/>
        <v>ter</v>
      </c>
      <c r="AZ545" s="97">
        <f>IF(OR(AY545="SÁB",AY545="DOM"),0,IFERROR(8-VLOOKUP(C545,'Dados de consulta'!$A$2:$C$38,3,0),8))</f>
        <v>8</v>
      </c>
      <c r="BA545" s="97">
        <f>IF(OR(AY545="SÁB",AY545="DOM"),0,IFERROR(8-VLOOKUP(D545,'Dados de consulta'!$A$2:$C$38,3,0),8))</f>
        <v>0</v>
      </c>
      <c r="BB545" s="97">
        <f>IF(OR(AY545="SÁB",AY545="DOM"),0,IFERROR(8-VLOOKUP(E545,'Dados de consulta'!$A$2:$C$38,3,0),8))</f>
        <v>8</v>
      </c>
      <c r="BC545" s="97">
        <f>IF(OR(AY545="SÁB",AY545="DOM"),0,IFERROR(8-VLOOKUP(F545,'Dados de consulta'!$A$2:$C$38,3,0),8))</f>
        <v>0</v>
      </c>
      <c r="BD545" s="97">
        <f>IF(OR(AY545="SÁB",AY545="DOM"),0,IFERROR(8-VLOOKUP(G545,'Dados de consulta'!$A$2:$C$38,3,0),8))</f>
        <v>8</v>
      </c>
      <c r="BE545" s="97">
        <f>IF(OR(AY545="SÁB",AY545="DOM"),0,IFERROR(8-VLOOKUP(H545,'Dados de consulta'!$A$2:$C$38,3,0),8))</f>
        <v>8</v>
      </c>
      <c r="BF545" s="97">
        <f>IF(OR(AY545="SÁB",AY545="DOM"),0,IFERROR(8-VLOOKUP(I545,'Dados de consulta'!$A$2:$C$38,3,0),8))</f>
        <v>8</v>
      </c>
      <c r="BG545" s="97">
        <f>IF(OR(AY545="SÁB",AY545="DOM"),0,IFERROR(8-VLOOKUP(J545,'Dados de consulta'!$A$2:$C$38,3,0),8))</f>
        <v>8</v>
      </c>
      <c r="BH545" s="97">
        <f>IF(OR(AY545="SÁB",AY545="DOM"),0,IFERROR(8-VLOOKUP(K545,'Dados de consulta'!$A$2:$C$38,3,0),8))</f>
        <v>8</v>
      </c>
      <c r="BI545" s="97">
        <f>IF(OR(AY545="SÁB",AY545="DOM"),0,IFERROR(8-VLOOKUP(L545,'Dados de consulta'!$A$2:$C$38,3,0),8))</f>
        <v>8</v>
      </c>
      <c r="BJ545" s="97">
        <f>IF(OR(AY545="SÁB",AY545="DOM"),0,IFERROR(8-VLOOKUP(M545,'Dados de consulta'!$A$2:$C$38,3,0),8))</f>
        <v>0</v>
      </c>
      <c r="BK545" s="97">
        <f>IF(OR(AY545="SÁB",AY545="DOM"),0,IFERROR(8-VLOOKUP(N545,'Dados de consulta'!$A$2:$C$38,3,0),8))</f>
        <v>8</v>
      </c>
      <c r="BL545" s="97">
        <f>IF(OR(AY545="SÁB",AY545="DOM"),0,IFERROR(8-VLOOKUP(O545,'Dados de consulta'!$A$2:$C$38,3,0),8))</f>
        <v>8</v>
      </c>
      <c r="BM545" s="97">
        <f>IF(OR(AY545="SÁB",AY545="DOM"),0,IFERROR(8-VLOOKUP(P545,'Dados de consulta'!$A$2:$C$38,3,0),8))</f>
        <v>8</v>
      </c>
      <c r="BN545" s="97">
        <f>IF(OR(AY545="SÁB",AY545="DOM"),0,IFERROR(8-VLOOKUP(Q545,'Dados de consulta'!$A$2:$C$38,3,0),8))</f>
        <v>8</v>
      </c>
      <c r="BO545" s="97">
        <f>IF(OR(AY545="SÁB",AY545="DOM"),0,IFERROR(8-VLOOKUP(R545,'Dados de consulta'!$A$2:$C$38,3,0),8))</f>
        <v>8</v>
      </c>
      <c r="BP545" s="97">
        <f>IF(OR(AY545="SÁB",AY545="DOM"),0,IFERROR(8-VLOOKUP(S545,'Dados de consulta'!$A$2:$C$38,3,0),8))</f>
        <v>8</v>
      </c>
      <c r="BQ545" s="113">
        <f>IFERROR(6-VLOOKUP(T545,'Dados de consulta'!$A$2:$C$38,3,0)+2,6)</f>
        <v>6</v>
      </c>
      <c r="BR545" s="114">
        <f t="shared" si="232"/>
        <v>118</v>
      </c>
      <c r="BS545">
        <f t="shared" si="208"/>
        <v>134</v>
      </c>
      <c r="BU545">
        <f>IFERROR(8-VLOOKUP(U545,'Dados de consulta'!$A:$D,3,0),8)</f>
        <v>8</v>
      </c>
      <c r="BV545">
        <f>IFERROR(8-VLOOKUP(V545,'Dados de consulta'!$A:$D,3,0),8)</f>
        <v>8</v>
      </c>
      <c r="BW545">
        <f t="shared" si="233"/>
        <v>16</v>
      </c>
    </row>
    <row r="546" spans="1:75" ht="15" hidden="1" x14ac:dyDescent="0.2">
      <c r="A546" s="98">
        <v>42669</v>
      </c>
      <c r="B546" s="129" t="str">
        <f t="shared" si="210"/>
        <v>qua</v>
      </c>
      <c r="C546" s="132"/>
      <c r="D546" s="132">
        <v>18</v>
      </c>
      <c r="E546" s="132"/>
      <c r="F546" s="132">
        <v>18</v>
      </c>
      <c r="G546" s="132"/>
      <c r="H546" s="132"/>
      <c r="I546" s="132"/>
      <c r="J546" s="132"/>
      <c r="K546" s="132"/>
      <c r="L546" s="132"/>
      <c r="M546" s="132">
        <v>101</v>
      </c>
      <c r="N546" s="132"/>
      <c r="O546" s="132"/>
      <c r="P546" s="132"/>
      <c r="Q546" s="132"/>
      <c r="R546" s="132"/>
      <c r="S546" s="132"/>
      <c r="T546" s="132"/>
      <c r="U546" s="151"/>
      <c r="V546" s="151"/>
      <c r="W546" s="307" t="s">
        <v>193</v>
      </c>
      <c r="X546" s="308"/>
      <c r="Y546" s="38">
        <f t="shared" si="211"/>
        <v>0</v>
      </c>
      <c r="Z546" s="38">
        <f t="shared" si="212"/>
        <v>16</v>
      </c>
      <c r="AA546" s="38">
        <f t="shared" si="209"/>
        <v>0</v>
      </c>
      <c r="AB546" s="38">
        <f t="shared" si="220"/>
        <v>0</v>
      </c>
      <c r="AC546" s="38">
        <f t="shared" si="221"/>
        <v>0</v>
      </c>
      <c r="AD546" s="38">
        <f t="shared" si="222"/>
        <v>0</v>
      </c>
      <c r="AE546" s="38">
        <f t="shared" si="223"/>
        <v>0</v>
      </c>
      <c r="AF546" s="38">
        <f t="shared" si="224"/>
        <v>0</v>
      </c>
      <c r="AG546" s="33">
        <f t="shared" si="225"/>
        <v>0</v>
      </c>
      <c r="AH546" s="33">
        <f t="shared" si="226"/>
        <v>16</v>
      </c>
      <c r="AI546" s="33">
        <f t="shared" si="227"/>
        <v>0</v>
      </c>
      <c r="AJ546" s="33">
        <f t="shared" si="228"/>
        <v>0</v>
      </c>
      <c r="AK546" s="34">
        <f t="shared" si="229"/>
        <v>0</v>
      </c>
      <c r="AL546" s="35">
        <f t="shared" si="230"/>
        <v>0.11267605633802817</v>
      </c>
      <c r="AM546" s="34">
        <f t="shared" si="213"/>
        <v>0</v>
      </c>
      <c r="AN546" s="36">
        <f t="shared" si="231"/>
        <v>0</v>
      </c>
      <c r="AO546" s="6">
        <f t="shared" si="214"/>
        <v>0</v>
      </c>
      <c r="AP546">
        <f t="shared" si="215"/>
        <v>8</v>
      </c>
      <c r="AQ546" s="6">
        <f t="shared" si="216"/>
        <v>0</v>
      </c>
      <c r="AR546" s="6">
        <f t="shared" si="217"/>
        <v>0</v>
      </c>
      <c r="AS546" s="6"/>
      <c r="AX546" s="95">
        <f t="shared" si="218"/>
        <v>42669</v>
      </c>
      <c r="AY546" s="96" t="str">
        <f t="shared" si="219"/>
        <v>qua</v>
      </c>
      <c r="AZ546" s="97">
        <f>IF(OR(AY546="SÁB",AY546="DOM"),0,IFERROR(8-VLOOKUP(C546,'Dados de consulta'!$A$2:$C$38,3,0),8))</f>
        <v>8</v>
      </c>
      <c r="BA546" s="97">
        <f>IF(OR(AY546="SÁB",AY546="DOM"),0,IFERROR(8-VLOOKUP(D546,'Dados de consulta'!$A$2:$C$38,3,0),8))</f>
        <v>0</v>
      </c>
      <c r="BB546" s="97">
        <f>IF(OR(AY546="SÁB",AY546="DOM"),0,IFERROR(8-VLOOKUP(E546,'Dados de consulta'!$A$2:$C$38,3,0),8))</f>
        <v>8</v>
      </c>
      <c r="BC546" s="97">
        <f>IF(OR(AY546="SÁB",AY546="DOM"),0,IFERROR(8-VLOOKUP(F546,'Dados de consulta'!$A$2:$C$38,3,0),8))</f>
        <v>0</v>
      </c>
      <c r="BD546" s="97">
        <f>IF(OR(AY546="SÁB",AY546="DOM"),0,IFERROR(8-VLOOKUP(G546,'Dados de consulta'!$A$2:$C$38,3,0),8))</f>
        <v>8</v>
      </c>
      <c r="BE546" s="97">
        <f>IF(OR(AY546="SÁB",AY546="DOM"),0,IFERROR(8-VLOOKUP(H546,'Dados de consulta'!$A$2:$C$38,3,0),8))</f>
        <v>8</v>
      </c>
      <c r="BF546" s="97">
        <f>IF(OR(AY546="SÁB",AY546="DOM"),0,IFERROR(8-VLOOKUP(I546,'Dados de consulta'!$A$2:$C$38,3,0),8))</f>
        <v>8</v>
      </c>
      <c r="BG546" s="97">
        <f>IF(OR(AY546="SÁB",AY546="DOM"),0,IFERROR(8-VLOOKUP(J546,'Dados de consulta'!$A$2:$C$38,3,0),8))</f>
        <v>8</v>
      </c>
      <c r="BH546" s="97">
        <f>IF(OR(AY546="SÁB",AY546="DOM"),0,IFERROR(8-VLOOKUP(K546,'Dados de consulta'!$A$2:$C$38,3,0),8))</f>
        <v>8</v>
      </c>
      <c r="BI546" s="97">
        <f>IF(OR(AY546="SÁB",AY546="DOM"),0,IFERROR(8-VLOOKUP(L546,'Dados de consulta'!$A$2:$C$38,3,0),8))</f>
        <v>8</v>
      </c>
      <c r="BJ546" s="97">
        <f>IF(OR(AY546="SÁB",AY546="DOM"),0,IFERROR(8-VLOOKUP(M546,'Dados de consulta'!$A$2:$C$38,3,0),8))</f>
        <v>0</v>
      </c>
      <c r="BK546" s="97">
        <f>IF(OR(AY546="SÁB",AY546="DOM"),0,IFERROR(8-VLOOKUP(N546,'Dados de consulta'!$A$2:$C$38,3,0),8))</f>
        <v>8</v>
      </c>
      <c r="BL546" s="97">
        <f>IF(OR(AY546="SÁB",AY546="DOM"),0,IFERROR(8-VLOOKUP(O546,'Dados de consulta'!$A$2:$C$38,3,0),8))</f>
        <v>8</v>
      </c>
      <c r="BM546" s="97">
        <f>IF(OR(AY546="SÁB",AY546="DOM"),0,IFERROR(8-VLOOKUP(P546,'Dados de consulta'!$A$2:$C$38,3,0),8))</f>
        <v>8</v>
      </c>
      <c r="BN546" s="97">
        <f>IF(OR(AY546="SÁB",AY546="DOM"),0,IFERROR(8-VLOOKUP(Q546,'Dados de consulta'!$A$2:$C$38,3,0),8))</f>
        <v>8</v>
      </c>
      <c r="BO546" s="97">
        <f>IF(OR(AY546="SÁB",AY546="DOM"),0,IFERROR(8-VLOOKUP(R546,'Dados de consulta'!$A$2:$C$38,3,0),8))</f>
        <v>8</v>
      </c>
      <c r="BP546" s="97">
        <f>IF(OR(AY546="SÁB",AY546="DOM"),0,IFERROR(8-VLOOKUP(S546,'Dados de consulta'!$A$2:$C$38,3,0),8))</f>
        <v>8</v>
      </c>
      <c r="BQ546" s="113">
        <f>IFERROR(6-VLOOKUP(T546,'Dados de consulta'!$A$2:$C$38,3,0)+2,6)</f>
        <v>6</v>
      </c>
      <c r="BR546" s="114">
        <f t="shared" si="232"/>
        <v>118</v>
      </c>
      <c r="BS546">
        <f t="shared" si="208"/>
        <v>134</v>
      </c>
      <c r="BU546">
        <f>IFERROR(8-VLOOKUP(U546,'Dados de consulta'!$A:$D,3,0),8)</f>
        <v>8</v>
      </c>
      <c r="BV546">
        <f>IFERROR(8-VLOOKUP(V546,'Dados de consulta'!$A:$D,3,0),8)</f>
        <v>8</v>
      </c>
      <c r="BW546">
        <f t="shared" si="233"/>
        <v>16</v>
      </c>
    </row>
    <row r="547" spans="1:75" ht="15" hidden="1" x14ac:dyDescent="0.2">
      <c r="A547" s="98">
        <v>42670</v>
      </c>
      <c r="B547" s="129" t="str">
        <f t="shared" si="210"/>
        <v>qui</v>
      </c>
      <c r="C547" s="132"/>
      <c r="D547" s="132">
        <v>18</v>
      </c>
      <c r="E547" s="132"/>
      <c r="F547" s="132"/>
      <c r="G547" s="132"/>
      <c r="H547" s="132"/>
      <c r="I547" s="132"/>
      <c r="J547" s="132"/>
      <c r="K547" s="132"/>
      <c r="L547" s="132"/>
      <c r="M547" s="132">
        <v>101</v>
      </c>
      <c r="N547" s="132"/>
      <c r="O547" s="132"/>
      <c r="P547" s="132"/>
      <c r="Q547" s="132"/>
      <c r="R547" s="132"/>
      <c r="S547" s="132"/>
      <c r="T547" s="132"/>
      <c r="U547" s="151"/>
      <c r="V547" s="151"/>
      <c r="W547" s="307" t="s">
        <v>193</v>
      </c>
      <c r="X547" s="308"/>
      <c r="Y547" s="38">
        <f t="shared" si="211"/>
        <v>0</v>
      </c>
      <c r="Z547" s="38">
        <f t="shared" si="212"/>
        <v>8</v>
      </c>
      <c r="AA547" s="38">
        <f t="shared" si="209"/>
        <v>0</v>
      </c>
      <c r="AB547" s="38">
        <f t="shared" si="220"/>
        <v>0</v>
      </c>
      <c r="AC547" s="38">
        <f t="shared" si="221"/>
        <v>0</v>
      </c>
      <c r="AD547" s="38">
        <f t="shared" si="222"/>
        <v>0</v>
      </c>
      <c r="AE547" s="38">
        <f t="shared" si="223"/>
        <v>0</v>
      </c>
      <c r="AF547" s="38">
        <f t="shared" si="224"/>
        <v>0</v>
      </c>
      <c r="AG547" s="33">
        <f t="shared" si="225"/>
        <v>0</v>
      </c>
      <c r="AH547" s="33">
        <f t="shared" si="226"/>
        <v>8</v>
      </c>
      <c r="AI547" s="33">
        <f t="shared" si="227"/>
        <v>0</v>
      </c>
      <c r="AJ547" s="33">
        <f t="shared" si="228"/>
        <v>0</v>
      </c>
      <c r="AK547" s="34">
        <f t="shared" si="229"/>
        <v>0</v>
      </c>
      <c r="AL547" s="35">
        <f t="shared" si="230"/>
        <v>5.6338028169014086E-2</v>
      </c>
      <c r="AM547" s="34">
        <f t="shared" si="213"/>
        <v>0</v>
      </c>
      <c r="AN547" s="36">
        <f t="shared" si="231"/>
        <v>0</v>
      </c>
      <c r="AO547" s="6">
        <f t="shared" si="214"/>
        <v>0</v>
      </c>
      <c r="AP547">
        <f t="shared" si="215"/>
        <v>8</v>
      </c>
      <c r="AQ547" s="6">
        <f t="shared" si="216"/>
        <v>0</v>
      </c>
      <c r="AR547" s="6">
        <f t="shared" si="217"/>
        <v>0</v>
      </c>
      <c r="AS547" s="6"/>
      <c r="AX547" s="95">
        <f t="shared" si="218"/>
        <v>42670</v>
      </c>
      <c r="AY547" s="96" t="str">
        <f t="shared" si="219"/>
        <v>qui</v>
      </c>
      <c r="AZ547" s="97">
        <f>IF(OR(AY547="SÁB",AY547="DOM"),0,IFERROR(8-VLOOKUP(C547,'Dados de consulta'!$A$2:$C$38,3,0),8))</f>
        <v>8</v>
      </c>
      <c r="BA547" s="97">
        <f>IF(OR(AY547="SÁB",AY547="DOM"),0,IFERROR(8-VLOOKUP(D547,'Dados de consulta'!$A$2:$C$38,3,0),8))</f>
        <v>0</v>
      </c>
      <c r="BB547" s="97">
        <f>IF(OR(AY547="SÁB",AY547="DOM"),0,IFERROR(8-VLOOKUP(E547,'Dados de consulta'!$A$2:$C$38,3,0),8))</f>
        <v>8</v>
      </c>
      <c r="BC547" s="97">
        <f>IF(OR(AY547="SÁB",AY547="DOM"),0,IFERROR(8-VLOOKUP(F547,'Dados de consulta'!$A$2:$C$38,3,0),8))</f>
        <v>8</v>
      </c>
      <c r="BD547" s="97">
        <f>IF(OR(AY547="SÁB",AY547="DOM"),0,IFERROR(8-VLOOKUP(G547,'Dados de consulta'!$A$2:$C$38,3,0),8))</f>
        <v>8</v>
      </c>
      <c r="BE547" s="97">
        <f>IF(OR(AY547="SÁB",AY547="DOM"),0,IFERROR(8-VLOOKUP(H547,'Dados de consulta'!$A$2:$C$38,3,0),8))</f>
        <v>8</v>
      </c>
      <c r="BF547" s="97">
        <f>IF(OR(AY547="SÁB",AY547="DOM"),0,IFERROR(8-VLOOKUP(I547,'Dados de consulta'!$A$2:$C$38,3,0),8))</f>
        <v>8</v>
      </c>
      <c r="BG547" s="97">
        <f>IF(OR(AY547="SÁB",AY547="DOM"),0,IFERROR(8-VLOOKUP(J547,'Dados de consulta'!$A$2:$C$38,3,0),8))</f>
        <v>8</v>
      </c>
      <c r="BH547" s="97">
        <f>IF(OR(AY547="SÁB",AY547="DOM"),0,IFERROR(8-VLOOKUP(K547,'Dados de consulta'!$A$2:$C$38,3,0),8))</f>
        <v>8</v>
      </c>
      <c r="BI547" s="97">
        <f>IF(OR(AY547="SÁB",AY547="DOM"),0,IFERROR(8-VLOOKUP(L547,'Dados de consulta'!$A$2:$C$38,3,0),8))</f>
        <v>8</v>
      </c>
      <c r="BJ547" s="97">
        <f>IF(OR(AY547="SÁB",AY547="DOM"),0,IFERROR(8-VLOOKUP(M547,'Dados de consulta'!$A$2:$C$38,3,0),8))</f>
        <v>0</v>
      </c>
      <c r="BK547" s="97">
        <f>IF(OR(AY547="SÁB",AY547="DOM"),0,IFERROR(8-VLOOKUP(N547,'Dados de consulta'!$A$2:$C$38,3,0),8))</f>
        <v>8</v>
      </c>
      <c r="BL547" s="97">
        <f>IF(OR(AY547="SÁB",AY547="DOM"),0,IFERROR(8-VLOOKUP(O547,'Dados de consulta'!$A$2:$C$38,3,0),8))</f>
        <v>8</v>
      </c>
      <c r="BM547" s="97">
        <f>IF(OR(AY547="SÁB",AY547="DOM"),0,IFERROR(8-VLOOKUP(P547,'Dados de consulta'!$A$2:$C$38,3,0),8))</f>
        <v>8</v>
      </c>
      <c r="BN547" s="97">
        <f>IF(OR(AY547="SÁB",AY547="DOM"),0,IFERROR(8-VLOOKUP(Q547,'Dados de consulta'!$A$2:$C$38,3,0),8))</f>
        <v>8</v>
      </c>
      <c r="BO547" s="97">
        <f>IF(OR(AY547="SÁB",AY547="DOM"),0,IFERROR(8-VLOOKUP(R547,'Dados de consulta'!$A$2:$C$38,3,0),8))</f>
        <v>8</v>
      </c>
      <c r="BP547" s="97">
        <f>IF(OR(AY547="SÁB",AY547="DOM"),0,IFERROR(8-VLOOKUP(S547,'Dados de consulta'!$A$2:$C$38,3,0),8))</f>
        <v>8</v>
      </c>
      <c r="BQ547" s="113">
        <f>IFERROR(6-VLOOKUP(T547,'Dados de consulta'!$A$2:$C$38,3,0)+2,6)</f>
        <v>6</v>
      </c>
      <c r="BR547" s="114">
        <f t="shared" si="232"/>
        <v>126</v>
      </c>
      <c r="BS547">
        <f t="shared" si="208"/>
        <v>134</v>
      </c>
      <c r="BU547">
        <f>IFERROR(8-VLOOKUP(U547,'Dados de consulta'!$A:$D,3,0),8)</f>
        <v>8</v>
      </c>
      <c r="BV547">
        <f>IFERROR(8-VLOOKUP(V547,'Dados de consulta'!$A:$D,3,0),8)</f>
        <v>8</v>
      </c>
      <c r="BW547">
        <f t="shared" si="233"/>
        <v>16</v>
      </c>
    </row>
    <row r="548" spans="1:75" ht="15" hidden="1" x14ac:dyDescent="0.2">
      <c r="A548" s="98">
        <v>42671</v>
      </c>
      <c r="B548" s="129" t="str">
        <f t="shared" si="210"/>
        <v>sex</v>
      </c>
      <c r="C548" s="132"/>
      <c r="D548" s="132">
        <v>18</v>
      </c>
      <c r="E548" s="132"/>
      <c r="F548" s="132"/>
      <c r="G548" s="132"/>
      <c r="H548" s="132"/>
      <c r="I548" s="132"/>
      <c r="J548" s="132"/>
      <c r="K548" s="132"/>
      <c r="L548" s="132"/>
      <c r="M548" s="132">
        <v>101</v>
      </c>
      <c r="N548" s="132"/>
      <c r="O548" s="132"/>
      <c r="P548" s="132"/>
      <c r="Q548" s="132"/>
      <c r="R548" s="132"/>
      <c r="S548" s="132"/>
      <c r="T548" s="132"/>
      <c r="U548" s="151"/>
      <c r="V548" s="151"/>
      <c r="W548" s="307" t="s">
        <v>193</v>
      </c>
      <c r="X548" s="308"/>
      <c r="Y548" s="38">
        <f t="shared" si="211"/>
        <v>0</v>
      </c>
      <c r="Z548" s="38">
        <f t="shared" si="212"/>
        <v>8</v>
      </c>
      <c r="AA548" s="38">
        <f t="shared" si="209"/>
        <v>0</v>
      </c>
      <c r="AB548" s="38">
        <f t="shared" si="220"/>
        <v>0</v>
      </c>
      <c r="AC548" s="38">
        <f t="shared" si="221"/>
        <v>0</v>
      </c>
      <c r="AD548" s="38">
        <f t="shared" si="222"/>
        <v>0</v>
      </c>
      <c r="AE548" s="38">
        <f t="shared" si="223"/>
        <v>0</v>
      </c>
      <c r="AF548" s="38">
        <f t="shared" si="224"/>
        <v>0</v>
      </c>
      <c r="AG548" s="33">
        <f t="shared" si="225"/>
        <v>0</v>
      </c>
      <c r="AH548" s="33">
        <f t="shared" si="226"/>
        <v>8</v>
      </c>
      <c r="AI548" s="33">
        <f t="shared" si="227"/>
        <v>0</v>
      </c>
      <c r="AJ548" s="33">
        <f t="shared" si="228"/>
        <v>0</v>
      </c>
      <c r="AK548" s="34">
        <f t="shared" si="229"/>
        <v>0</v>
      </c>
      <c r="AL548" s="35">
        <f t="shared" si="230"/>
        <v>5.6338028169014086E-2</v>
      </c>
      <c r="AM548" s="34">
        <f t="shared" si="213"/>
        <v>0</v>
      </c>
      <c r="AN548" s="36">
        <f t="shared" si="231"/>
        <v>0</v>
      </c>
      <c r="AO548" s="6">
        <f t="shared" si="214"/>
        <v>0</v>
      </c>
      <c r="AP548">
        <f t="shared" si="215"/>
        <v>8</v>
      </c>
      <c r="AQ548" s="6">
        <f t="shared" si="216"/>
        <v>0</v>
      </c>
      <c r="AR548" s="6">
        <f t="shared" si="217"/>
        <v>0</v>
      </c>
      <c r="AS548" s="6"/>
      <c r="AX548" s="95">
        <f t="shared" si="218"/>
        <v>42671</v>
      </c>
      <c r="AY548" s="96" t="str">
        <f t="shared" si="219"/>
        <v>sex</v>
      </c>
      <c r="AZ548" s="97">
        <f>IF(OR(AY548="SÁB",AY548="DOM"),0,IFERROR(8-VLOOKUP(C548,'Dados de consulta'!$A$2:$C$38,3,0),8))</f>
        <v>8</v>
      </c>
      <c r="BA548" s="97">
        <f>IF(OR(AY548="SÁB",AY548="DOM"),0,IFERROR(8-VLOOKUP(D548,'Dados de consulta'!$A$2:$C$38,3,0),8))</f>
        <v>0</v>
      </c>
      <c r="BB548" s="97">
        <f>IF(OR(AY548="SÁB",AY548="DOM"),0,IFERROR(8-VLOOKUP(E548,'Dados de consulta'!$A$2:$C$38,3,0),8))</f>
        <v>8</v>
      </c>
      <c r="BC548" s="97">
        <f>IF(OR(AY548="SÁB",AY548="DOM"),0,IFERROR(8-VLOOKUP(F548,'Dados de consulta'!$A$2:$C$38,3,0),8))</f>
        <v>8</v>
      </c>
      <c r="BD548" s="97">
        <f>IF(OR(AY548="SÁB",AY548="DOM"),0,IFERROR(8-VLOOKUP(G548,'Dados de consulta'!$A$2:$C$38,3,0),8))</f>
        <v>8</v>
      </c>
      <c r="BE548" s="97">
        <f>IF(OR(AY548="SÁB",AY548="DOM"),0,IFERROR(8-VLOOKUP(H548,'Dados de consulta'!$A$2:$C$38,3,0),8))</f>
        <v>8</v>
      </c>
      <c r="BF548" s="97">
        <f>IF(OR(AY548="SÁB",AY548="DOM"),0,IFERROR(8-VLOOKUP(I548,'Dados de consulta'!$A$2:$C$38,3,0),8))</f>
        <v>8</v>
      </c>
      <c r="BG548" s="97">
        <f>IF(OR(AY548="SÁB",AY548="DOM"),0,IFERROR(8-VLOOKUP(J548,'Dados de consulta'!$A$2:$C$38,3,0),8))</f>
        <v>8</v>
      </c>
      <c r="BH548" s="97">
        <f>IF(OR(AY548="SÁB",AY548="DOM"),0,IFERROR(8-VLOOKUP(K548,'Dados de consulta'!$A$2:$C$38,3,0),8))</f>
        <v>8</v>
      </c>
      <c r="BI548" s="97">
        <f>IF(OR(AY548="SÁB",AY548="DOM"),0,IFERROR(8-VLOOKUP(L548,'Dados de consulta'!$A$2:$C$38,3,0),8))</f>
        <v>8</v>
      </c>
      <c r="BJ548" s="97">
        <f>IF(OR(AY548="SÁB",AY548="DOM"),0,IFERROR(8-VLOOKUP(M548,'Dados de consulta'!$A$2:$C$38,3,0),8))</f>
        <v>0</v>
      </c>
      <c r="BK548" s="97">
        <f>IF(OR(AY548="SÁB",AY548="DOM"),0,IFERROR(8-VLOOKUP(N548,'Dados de consulta'!$A$2:$C$38,3,0),8))</f>
        <v>8</v>
      </c>
      <c r="BL548" s="97">
        <f>IF(OR(AY548="SÁB",AY548="DOM"),0,IFERROR(8-VLOOKUP(O548,'Dados de consulta'!$A$2:$C$38,3,0),8))</f>
        <v>8</v>
      </c>
      <c r="BM548" s="97">
        <f>IF(OR(AY548="SÁB",AY548="DOM"),0,IFERROR(8-VLOOKUP(P548,'Dados de consulta'!$A$2:$C$38,3,0),8))</f>
        <v>8</v>
      </c>
      <c r="BN548" s="97">
        <f>IF(OR(AY548="SÁB",AY548="DOM"),0,IFERROR(8-VLOOKUP(Q548,'Dados de consulta'!$A$2:$C$38,3,0),8))</f>
        <v>8</v>
      </c>
      <c r="BO548" s="97">
        <f>IF(OR(AY548="SÁB",AY548="DOM"),0,IFERROR(8-VLOOKUP(R548,'Dados de consulta'!$A$2:$C$38,3,0),8))</f>
        <v>8</v>
      </c>
      <c r="BP548" s="97">
        <f>IF(OR(AY548="SÁB",AY548="DOM"),0,IFERROR(8-VLOOKUP(S548,'Dados de consulta'!$A$2:$C$38,3,0),8))</f>
        <v>8</v>
      </c>
      <c r="BQ548" s="113">
        <f>IFERROR(6-VLOOKUP(T548,'Dados de consulta'!$A$2:$C$38,3,0)+2,6)</f>
        <v>6</v>
      </c>
      <c r="BR548" s="114">
        <f t="shared" si="232"/>
        <v>126</v>
      </c>
      <c r="BS548">
        <f t="shared" si="208"/>
        <v>134</v>
      </c>
      <c r="BU548">
        <f>IFERROR(8-VLOOKUP(U548,'Dados de consulta'!$A:$D,3,0),8)</f>
        <v>8</v>
      </c>
      <c r="BV548">
        <f>IFERROR(8-VLOOKUP(V548,'Dados de consulta'!$A:$D,3,0),8)</f>
        <v>8</v>
      </c>
      <c r="BW548">
        <f t="shared" si="233"/>
        <v>16</v>
      </c>
    </row>
    <row r="549" spans="1:75" ht="15" hidden="1" x14ac:dyDescent="0.2">
      <c r="A549" s="98">
        <v>42672</v>
      </c>
      <c r="B549" s="129" t="str">
        <f t="shared" si="210"/>
        <v>sáb</v>
      </c>
      <c r="C549" s="132"/>
      <c r="D549" s="132">
        <v>18</v>
      </c>
      <c r="E549" s="132"/>
      <c r="F549" s="132"/>
      <c r="G549" s="132"/>
      <c r="H549" s="132"/>
      <c r="I549" s="132"/>
      <c r="J549" s="132"/>
      <c r="K549" s="132"/>
      <c r="L549" s="132"/>
      <c r="M549" s="132">
        <v>101</v>
      </c>
      <c r="N549" s="132"/>
      <c r="O549" s="132"/>
      <c r="P549" s="132"/>
      <c r="Q549" s="132"/>
      <c r="R549" s="132"/>
      <c r="S549" s="132"/>
      <c r="T549" s="132"/>
      <c r="U549" s="151"/>
      <c r="V549" s="151"/>
      <c r="W549" s="307" t="s">
        <v>193</v>
      </c>
      <c r="X549" s="308"/>
      <c r="Y549" s="38">
        <f t="shared" si="211"/>
        <v>0</v>
      </c>
      <c r="Z549" s="38">
        <f t="shared" si="212"/>
        <v>8</v>
      </c>
      <c r="AA549" s="38">
        <f t="shared" si="209"/>
        <v>0</v>
      </c>
      <c r="AB549" s="38">
        <f t="shared" si="220"/>
        <v>0</v>
      </c>
      <c r="AC549" s="38">
        <f t="shared" si="221"/>
        <v>0</v>
      </c>
      <c r="AD549" s="38">
        <f t="shared" si="222"/>
        <v>0</v>
      </c>
      <c r="AE549" s="38">
        <f t="shared" si="223"/>
        <v>0</v>
      </c>
      <c r="AF549" s="38">
        <f t="shared" si="224"/>
        <v>0</v>
      </c>
      <c r="AG549" s="33">
        <f t="shared" si="225"/>
        <v>0</v>
      </c>
      <c r="AH549" s="33">
        <f t="shared" si="226"/>
        <v>0</v>
      </c>
      <c r="AI549" s="33">
        <f t="shared" si="227"/>
        <v>0</v>
      </c>
      <c r="AJ549" s="33">
        <f t="shared" si="228"/>
        <v>0</v>
      </c>
      <c r="AK549" s="34">
        <f t="shared" si="229"/>
        <v>0</v>
      </c>
      <c r="AL549" s="35">
        <f t="shared" si="230"/>
        <v>0</v>
      </c>
      <c r="AM549" s="34">
        <f t="shared" si="213"/>
        <v>0</v>
      </c>
      <c r="AN549" s="36">
        <f t="shared" si="231"/>
        <v>0</v>
      </c>
      <c r="AO549" s="6">
        <f t="shared" si="214"/>
        <v>0</v>
      </c>
      <c r="AP549">
        <f t="shared" si="215"/>
        <v>8</v>
      </c>
      <c r="AQ549" s="6">
        <f t="shared" si="216"/>
        <v>0</v>
      </c>
      <c r="AR549" s="6">
        <f t="shared" si="217"/>
        <v>0</v>
      </c>
      <c r="AS549" s="6"/>
      <c r="AX549" s="95">
        <f t="shared" si="218"/>
        <v>42672</v>
      </c>
      <c r="AY549" s="96" t="str">
        <f t="shared" si="219"/>
        <v>sáb</v>
      </c>
      <c r="AZ549" s="97">
        <f>IF(OR(AY549="SÁB",AY549="DOM"),0,IFERROR(8-VLOOKUP(C549,'Dados de consulta'!$A$2:$C$38,3,0),8))</f>
        <v>0</v>
      </c>
      <c r="BA549" s="97">
        <f>IF(OR(AY549="SÁB",AY549="DOM"),0,IFERROR(8-VLOOKUP(D549,'Dados de consulta'!$A$2:$C$38,3,0),8))</f>
        <v>0</v>
      </c>
      <c r="BB549" s="97">
        <f>IF(OR(AY549="SÁB",AY549="DOM"),0,IFERROR(8-VLOOKUP(E549,'Dados de consulta'!$A$2:$C$38,3,0),8))</f>
        <v>0</v>
      </c>
      <c r="BC549" s="97">
        <f>IF(OR(AY549="SÁB",AY549="DOM"),0,IFERROR(8-VLOOKUP(F549,'Dados de consulta'!$A$2:$C$38,3,0),8))</f>
        <v>0</v>
      </c>
      <c r="BD549" s="97">
        <f>IF(OR(AY549="SÁB",AY549="DOM"),0,IFERROR(8-VLOOKUP(G549,'Dados de consulta'!$A$2:$C$38,3,0),8))</f>
        <v>0</v>
      </c>
      <c r="BE549" s="97">
        <f>IF(OR(AY549="SÁB",AY549="DOM"),0,IFERROR(8-VLOOKUP(H549,'Dados de consulta'!$A$2:$C$38,3,0),8))</f>
        <v>0</v>
      </c>
      <c r="BF549" s="97">
        <f>IF(OR(AY549="SÁB",AY549="DOM"),0,IFERROR(8-VLOOKUP(I549,'Dados de consulta'!$A$2:$C$38,3,0),8))</f>
        <v>0</v>
      </c>
      <c r="BG549" s="97">
        <f>IF(OR(AY549="SÁB",AY549="DOM"),0,IFERROR(8-VLOOKUP(J549,'Dados de consulta'!$A$2:$C$38,3,0),8))</f>
        <v>0</v>
      </c>
      <c r="BH549" s="97">
        <f>IF(OR(AY549="SÁB",AY549="DOM"),0,IFERROR(8-VLOOKUP(K549,'Dados de consulta'!$A$2:$C$38,3,0),8))</f>
        <v>0</v>
      </c>
      <c r="BI549" s="97">
        <f>IF(OR(AY549="SÁB",AY549="DOM"),0,IFERROR(8-VLOOKUP(L549,'Dados de consulta'!$A$2:$C$38,3,0),8))</f>
        <v>0</v>
      </c>
      <c r="BJ549" s="97">
        <f>IF(OR(AY549="SÁB",AY549="DOM"),0,IFERROR(8-VLOOKUP(M549,'Dados de consulta'!$A$2:$C$38,3,0),8))</f>
        <v>0</v>
      </c>
      <c r="BK549" s="97">
        <f>IF(OR(AY549="SÁB",AY549="DOM"),0,IFERROR(8-VLOOKUP(N549,'Dados de consulta'!$A$2:$C$38,3,0),8))</f>
        <v>0</v>
      </c>
      <c r="BL549" s="97">
        <f>IF(OR(AY549="SÁB",AY549="DOM"),0,IFERROR(8-VLOOKUP(O549,'Dados de consulta'!$A$2:$C$38,3,0),8))</f>
        <v>0</v>
      </c>
      <c r="BM549" s="97">
        <f>IF(OR(AY549="SÁB",AY549="DOM"),0,IFERROR(8-VLOOKUP(P549,'Dados de consulta'!$A$2:$C$38,3,0),8))</f>
        <v>0</v>
      </c>
      <c r="BN549" s="97">
        <f>IF(OR(AY549="SÁB",AY549="DOM"),0,IFERROR(8-VLOOKUP(Q549,'Dados de consulta'!$A$2:$C$38,3,0),8))</f>
        <v>0</v>
      </c>
      <c r="BO549" s="97">
        <f>IF(OR(AY549="SÁB",AY549="DOM"),0,IFERROR(8-VLOOKUP(R549,'Dados de consulta'!$A$2:$C$38,3,0),8))</f>
        <v>0</v>
      </c>
      <c r="BP549" s="97">
        <f>IF(OR(AY549="SÁB",AY549="DOM"),0,IFERROR(8-VLOOKUP(S549,'Dados de consulta'!$A$2:$C$38,3,0),8))</f>
        <v>0</v>
      </c>
      <c r="BQ549" s="113">
        <f>IFERROR(6-VLOOKUP(T549,'Dados de consulta'!$A$2:$C$38,3,0)+2,6)</f>
        <v>6</v>
      </c>
      <c r="BR549" s="114">
        <f t="shared" si="232"/>
        <v>0</v>
      </c>
      <c r="BS549">
        <f t="shared" si="208"/>
        <v>0</v>
      </c>
      <c r="BU549">
        <f>IFERROR(8-VLOOKUP(U549,'Dados de consulta'!$A:$D,3,0),8)</f>
        <v>8</v>
      </c>
      <c r="BV549">
        <f>IFERROR(8-VLOOKUP(V549,'Dados de consulta'!$A:$D,3,0),8)</f>
        <v>8</v>
      </c>
      <c r="BW549">
        <f t="shared" si="233"/>
        <v>16</v>
      </c>
    </row>
    <row r="550" spans="1:75" ht="15" hidden="1" x14ac:dyDescent="0.2">
      <c r="A550" s="98">
        <v>42673</v>
      </c>
      <c r="B550" s="129" t="str">
        <f t="shared" si="210"/>
        <v>dom</v>
      </c>
      <c r="C550" s="132"/>
      <c r="D550" s="132">
        <v>18</v>
      </c>
      <c r="E550" s="132"/>
      <c r="F550" s="132"/>
      <c r="G550" s="132"/>
      <c r="H550" s="132"/>
      <c r="I550" s="132"/>
      <c r="J550" s="132"/>
      <c r="K550" s="132"/>
      <c r="L550" s="132"/>
      <c r="M550" s="132">
        <v>101</v>
      </c>
      <c r="N550" s="132"/>
      <c r="O550" s="132"/>
      <c r="P550" s="132"/>
      <c r="Q550" s="132"/>
      <c r="R550" s="132"/>
      <c r="S550" s="132"/>
      <c r="T550" s="132"/>
      <c r="U550" s="151"/>
      <c r="V550" s="151"/>
      <c r="W550" s="307" t="s">
        <v>193</v>
      </c>
      <c r="X550" s="308"/>
      <c r="Y550" s="38">
        <f t="shared" si="211"/>
        <v>0</v>
      </c>
      <c r="Z550" s="38">
        <f t="shared" si="212"/>
        <v>8</v>
      </c>
      <c r="AA550" s="38">
        <f t="shared" si="209"/>
        <v>0</v>
      </c>
      <c r="AB550" s="38">
        <f t="shared" si="220"/>
        <v>0</v>
      </c>
      <c r="AC550" s="38">
        <f t="shared" si="221"/>
        <v>0</v>
      </c>
      <c r="AD550" s="38">
        <f t="shared" si="222"/>
        <v>0</v>
      </c>
      <c r="AE550" s="38">
        <f t="shared" si="223"/>
        <v>0</v>
      </c>
      <c r="AF550" s="38">
        <f t="shared" si="224"/>
        <v>0</v>
      </c>
      <c r="AG550" s="33">
        <f t="shared" si="225"/>
        <v>0</v>
      </c>
      <c r="AH550" s="33">
        <f t="shared" si="226"/>
        <v>0</v>
      </c>
      <c r="AI550" s="33">
        <f t="shared" si="227"/>
        <v>0</v>
      </c>
      <c r="AJ550" s="33">
        <f t="shared" si="228"/>
        <v>0</v>
      </c>
      <c r="AK550" s="34">
        <f t="shared" si="229"/>
        <v>0</v>
      </c>
      <c r="AL550" s="35">
        <f t="shared" si="230"/>
        <v>0</v>
      </c>
      <c r="AM550" s="34">
        <f t="shared" si="213"/>
        <v>0</v>
      </c>
      <c r="AN550" s="36">
        <f t="shared" si="231"/>
        <v>0</v>
      </c>
      <c r="AO550" s="6">
        <f t="shared" si="214"/>
        <v>0</v>
      </c>
      <c r="AP550">
        <f t="shared" si="215"/>
        <v>8</v>
      </c>
      <c r="AQ550" s="6">
        <f t="shared" si="216"/>
        <v>0</v>
      </c>
      <c r="AR550" s="6">
        <f t="shared" si="217"/>
        <v>0</v>
      </c>
      <c r="AS550" s="6"/>
      <c r="AX550" s="95">
        <f t="shared" si="218"/>
        <v>42673</v>
      </c>
      <c r="AY550" s="96" t="str">
        <f t="shared" si="219"/>
        <v>dom</v>
      </c>
      <c r="AZ550" s="97">
        <f>IF(OR(AY550="SÁB",AY550="DOM"),0,IFERROR(8-VLOOKUP(C550,'Dados de consulta'!$A$2:$C$38,3,0),8))</f>
        <v>0</v>
      </c>
      <c r="BA550" s="97">
        <f>IF(OR(AY550="SÁB",AY550="DOM"),0,IFERROR(8-VLOOKUP(D550,'Dados de consulta'!$A$2:$C$38,3,0),8))</f>
        <v>0</v>
      </c>
      <c r="BB550" s="97">
        <f>IF(OR(AY550="SÁB",AY550="DOM"),0,IFERROR(8-VLOOKUP(E550,'Dados de consulta'!$A$2:$C$38,3,0),8))</f>
        <v>0</v>
      </c>
      <c r="BC550" s="97">
        <f>IF(OR(AY550="SÁB",AY550="DOM"),0,IFERROR(8-VLOOKUP(F550,'Dados de consulta'!$A$2:$C$38,3,0),8))</f>
        <v>0</v>
      </c>
      <c r="BD550" s="97">
        <f>IF(OR(AY550="SÁB",AY550="DOM"),0,IFERROR(8-VLOOKUP(G550,'Dados de consulta'!$A$2:$C$38,3,0),8))</f>
        <v>0</v>
      </c>
      <c r="BE550" s="97">
        <f>IF(OR(AY550="SÁB",AY550="DOM"),0,IFERROR(8-VLOOKUP(H550,'Dados de consulta'!$A$2:$C$38,3,0),8))</f>
        <v>0</v>
      </c>
      <c r="BF550" s="97">
        <f>IF(OR(AY550="SÁB",AY550="DOM"),0,IFERROR(8-VLOOKUP(I550,'Dados de consulta'!$A$2:$C$38,3,0),8))</f>
        <v>0</v>
      </c>
      <c r="BG550" s="97">
        <f>IF(OR(AY550="SÁB",AY550="DOM"),0,IFERROR(8-VLOOKUP(J550,'Dados de consulta'!$A$2:$C$38,3,0),8))</f>
        <v>0</v>
      </c>
      <c r="BH550" s="97">
        <f>IF(OR(AY550="SÁB",AY550="DOM"),0,IFERROR(8-VLOOKUP(K550,'Dados de consulta'!$A$2:$C$38,3,0),8))</f>
        <v>0</v>
      </c>
      <c r="BI550" s="97">
        <f>IF(OR(AY550="SÁB",AY550="DOM"),0,IFERROR(8-VLOOKUP(L550,'Dados de consulta'!$A$2:$C$38,3,0),8))</f>
        <v>0</v>
      </c>
      <c r="BJ550" s="97">
        <f>IF(OR(AY550="SÁB",AY550="DOM"),0,IFERROR(8-VLOOKUP(M550,'Dados de consulta'!$A$2:$C$38,3,0),8))</f>
        <v>0</v>
      </c>
      <c r="BK550" s="97">
        <f>IF(OR(AY550="SÁB",AY550="DOM"),0,IFERROR(8-VLOOKUP(N550,'Dados de consulta'!$A$2:$C$38,3,0),8))</f>
        <v>0</v>
      </c>
      <c r="BL550" s="97">
        <f>IF(OR(AY550="SÁB",AY550="DOM"),0,IFERROR(8-VLOOKUP(O550,'Dados de consulta'!$A$2:$C$38,3,0),8))</f>
        <v>0</v>
      </c>
      <c r="BM550" s="97">
        <f>IF(OR(AY550="SÁB",AY550="DOM"),0,IFERROR(8-VLOOKUP(P550,'Dados de consulta'!$A$2:$C$38,3,0),8))</f>
        <v>0</v>
      </c>
      <c r="BN550" s="97">
        <f>IF(OR(AY550="SÁB",AY550="DOM"),0,IFERROR(8-VLOOKUP(Q550,'Dados de consulta'!$A$2:$C$38,3,0),8))</f>
        <v>0</v>
      </c>
      <c r="BO550" s="97">
        <f>IF(OR(AY550="SÁB",AY550="DOM"),0,IFERROR(8-VLOOKUP(R550,'Dados de consulta'!$A$2:$C$38,3,0),8))</f>
        <v>0</v>
      </c>
      <c r="BP550" s="97">
        <f>IF(OR(AY550="SÁB",AY550="DOM"),0,IFERROR(8-VLOOKUP(S550,'Dados de consulta'!$A$2:$C$38,3,0),8))</f>
        <v>0</v>
      </c>
      <c r="BQ550" s="113">
        <f>IFERROR(6-VLOOKUP(T550,'Dados de consulta'!$A$2:$C$38,3,0)+2,6)</f>
        <v>6</v>
      </c>
      <c r="BR550" s="114">
        <f t="shared" si="232"/>
        <v>0</v>
      </c>
      <c r="BS550">
        <f t="shared" si="208"/>
        <v>0</v>
      </c>
      <c r="BU550">
        <f>IFERROR(8-VLOOKUP(U550,'Dados de consulta'!$A:$D,3,0),8)</f>
        <v>8</v>
      </c>
      <c r="BV550">
        <f>IFERROR(8-VLOOKUP(V550,'Dados de consulta'!$A:$D,3,0),8)</f>
        <v>8</v>
      </c>
      <c r="BW550">
        <f t="shared" si="233"/>
        <v>16</v>
      </c>
    </row>
    <row r="551" spans="1:75" ht="15" hidden="1" x14ac:dyDescent="0.2">
      <c r="A551" s="98">
        <v>42674</v>
      </c>
      <c r="B551" s="129" t="str">
        <f t="shared" si="210"/>
        <v>seg</v>
      </c>
      <c r="C551" s="132"/>
      <c r="D551" s="132">
        <v>18</v>
      </c>
      <c r="E551" s="132"/>
      <c r="F551" s="132"/>
      <c r="G551" s="132"/>
      <c r="H551" s="132"/>
      <c r="I551" s="132"/>
      <c r="J551" s="132"/>
      <c r="K551" s="132"/>
      <c r="L551" s="132"/>
      <c r="M551" s="132">
        <v>101</v>
      </c>
      <c r="N551" s="132"/>
      <c r="O551" s="132"/>
      <c r="P551" s="132"/>
      <c r="Q551" s="132"/>
      <c r="R551" s="132"/>
      <c r="S551" s="132"/>
      <c r="T551" s="132"/>
      <c r="U551" s="151"/>
      <c r="V551" s="151"/>
      <c r="W551" s="307" t="s">
        <v>193</v>
      </c>
      <c r="X551" s="308"/>
      <c r="Y551" s="38">
        <f t="shared" si="211"/>
        <v>0</v>
      </c>
      <c r="Z551" s="38">
        <f t="shared" si="212"/>
        <v>8</v>
      </c>
      <c r="AA551" s="38">
        <f t="shared" si="209"/>
        <v>0</v>
      </c>
      <c r="AB551" s="38">
        <f t="shared" si="220"/>
        <v>0</v>
      </c>
      <c r="AC551" s="38">
        <f t="shared" si="221"/>
        <v>0</v>
      </c>
      <c r="AD551" s="38">
        <f t="shared" si="222"/>
        <v>0</v>
      </c>
      <c r="AE551" s="38">
        <f t="shared" si="223"/>
        <v>0</v>
      </c>
      <c r="AF551" s="38">
        <f t="shared" si="224"/>
        <v>0</v>
      </c>
      <c r="AG551" s="33">
        <f t="shared" si="225"/>
        <v>0</v>
      </c>
      <c r="AH551" s="33">
        <f t="shared" si="226"/>
        <v>8</v>
      </c>
      <c r="AI551" s="33">
        <f t="shared" si="227"/>
        <v>0</v>
      </c>
      <c r="AJ551" s="33">
        <f t="shared" si="228"/>
        <v>0</v>
      </c>
      <c r="AK551" s="34">
        <f t="shared" si="229"/>
        <v>0</v>
      </c>
      <c r="AL551" s="35">
        <f t="shared" si="230"/>
        <v>5.6338028169014086E-2</v>
      </c>
      <c r="AM551" s="34">
        <f t="shared" si="213"/>
        <v>0</v>
      </c>
      <c r="AN551" s="36">
        <f t="shared" si="231"/>
        <v>0</v>
      </c>
      <c r="AO551" s="6">
        <f t="shared" si="214"/>
        <v>0</v>
      </c>
      <c r="AP551">
        <f t="shared" si="215"/>
        <v>8</v>
      </c>
      <c r="AQ551" s="6">
        <f t="shared" si="216"/>
        <v>0</v>
      </c>
      <c r="AR551" s="6">
        <f t="shared" si="217"/>
        <v>0</v>
      </c>
      <c r="AS551" s="6"/>
      <c r="AX551" s="95">
        <f t="shared" si="218"/>
        <v>42674</v>
      </c>
      <c r="AY551" s="96" t="str">
        <f t="shared" si="219"/>
        <v>seg</v>
      </c>
      <c r="AZ551" s="97">
        <f>IF(OR(AY551="SÁB",AY551="DOM"),0,IFERROR(8-VLOOKUP(C551,'Dados de consulta'!$A$2:$C$38,3,0),8))</f>
        <v>8</v>
      </c>
      <c r="BA551" s="97">
        <f>IF(OR(AY551="SÁB",AY551="DOM"),0,IFERROR(8-VLOOKUP(D551,'Dados de consulta'!$A$2:$C$38,3,0),8))</f>
        <v>0</v>
      </c>
      <c r="BB551" s="97">
        <f>IF(OR(AY551="SÁB",AY551="DOM"),0,IFERROR(8-VLOOKUP(E551,'Dados de consulta'!$A$2:$C$38,3,0),8))</f>
        <v>8</v>
      </c>
      <c r="BC551" s="97">
        <f>IF(OR(AY551="SÁB",AY551="DOM"),0,IFERROR(8-VLOOKUP(F551,'Dados de consulta'!$A$2:$C$38,3,0),8))</f>
        <v>8</v>
      </c>
      <c r="BD551" s="97">
        <f>IF(OR(AY551="SÁB",AY551="DOM"),0,IFERROR(8-VLOOKUP(G551,'Dados de consulta'!$A$2:$C$38,3,0),8))</f>
        <v>8</v>
      </c>
      <c r="BE551" s="97">
        <f>IF(OR(AY551="SÁB",AY551="DOM"),0,IFERROR(8-VLOOKUP(H551,'Dados de consulta'!$A$2:$C$38,3,0),8))</f>
        <v>8</v>
      </c>
      <c r="BF551" s="97">
        <f>IF(OR(AY551="SÁB",AY551="DOM"),0,IFERROR(8-VLOOKUP(I551,'Dados de consulta'!$A$2:$C$38,3,0),8))</f>
        <v>8</v>
      </c>
      <c r="BG551" s="97">
        <f>IF(OR(AY551="SÁB",AY551="DOM"),0,IFERROR(8-VLOOKUP(J551,'Dados de consulta'!$A$2:$C$38,3,0),8))</f>
        <v>8</v>
      </c>
      <c r="BH551" s="97">
        <f>IF(OR(AY551="SÁB",AY551="DOM"),0,IFERROR(8-VLOOKUP(K551,'Dados de consulta'!$A$2:$C$38,3,0),8))</f>
        <v>8</v>
      </c>
      <c r="BI551" s="97">
        <f>IF(OR(AY551="SÁB",AY551="DOM"),0,IFERROR(8-VLOOKUP(L551,'Dados de consulta'!$A$2:$C$38,3,0),8))</f>
        <v>8</v>
      </c>
      <c r="BJ551" s="97">
        <f>IF(OR(AY551="SÁB",AY551="DOM"),0,IFERROR(8-VLOOKUP(M551,'Dados de consulta'!$A$2:$C$38,3,0),8))</f>
        <v>0</v>
      </c>
      <c r="BK551" s="97">
        <f>IF(OR(AY551="SÁB",AY551="DOM"),0,IFERROR(8-VLOOKUP(N551,'Dados de consulta'!$A$2:$C$38,3,0),8))</f>
        <v>8</v>
      </c>
      <c r="BL551" s="97">
        <f>IF(OR(AY551="SÁB",AY551="DOM"),0,IFERROR(8-VLOOKUP(O551,'Dados de consulta'!$A$2:$C$38,3,0),8))</f>
        <v>8</v>
      </c>
      <c r="BM551" s="97">
        <f>IF(OR(AY551="SÁB",AY551="DOM"),0,IFERROR(8-VLOOKUP(P551,'Dados de consulta'!$A$2:$C$38,3,0),8))</f>
        <v>8</v>
      </c>
      <c r="BN551" s="97">
        <f>IF(OR(AY551="SÁB",AY551="DOM"),0,IFERROR(8-VLOOKUP(Q551,'Dados de consulta'!$A$2:$C$38,3,0),8))</f>
        <v>8</v>
      </c>
      <c r="BO551" s="97">
        <f>IF(OR(AY551="SÁB",AY551="DOM"),0,IFERROR(8-VLOOKUP(R551,'Dados de consulta'!$A$2:$C$38,3,0),8))</f>
        <v>8</v>
      </c>
      <c r="BP551" s="97">
        <f>IF(OR(AY551="SÁB",AY551="DOM"),0,IFERROR(8-VLOOKUP(S551,'Dados de consulta'!$A$2:$C$38,3,0),8))</f>
        <v>8</v>
      </c>
      <c r="BQ551" s="113">
        <f>IFERROR(6-VLOOKUP(T551,'Dados de consulta'!$A$2:$C$38,3,0)+2,6)</f>
        <v>6</v>
      </c>
      <c r="BR551" s="114">
        <f t="shared" si="232"/>
        <v>126</v>
      </c>
      <c r="BS551">
        <f t="shared" si="208"/>
        <v>134</v>
      </c>
      <c r="BU551">
        <f>IFERROR(8-VLOOKUP(U551,'Dados de consulta'!$A:$D,3,0),8)</f>
        <v>8</v>
      </c>
      <c r="BV551">
        <f>IFERROR(8-VLOOKUP(V551,'Dados de consulta'!$A:$D,3,0),8)</f>
        <v>8</v>
      </c>
      <c r="BW551">
        <f t="shared" si="233"/>
        <v>16</v>
      </c>
    </row>
    <row r="552" spans="1:75" ht="15" hidden="1" x14ac:dyDescent="0.2">
      <c r="A552" s="98">
        <v>42675</v>
      </c>
      <c r="B552" s="129" t="str">
        <f t="shared" si="210"/>
        <v>ter</v>
      </c>
      <c r="C552" s="132"/>
      <c r="D552" s="132">
        <v>18</v>
      </c>
      <c r="E552" s="132"/>
      <c r="F552" s="132"/>
      <c r="G552" s="132"/>
      <c r="H552" s="132"/>
      <c r="I552" s="132"/>
      <c r="J552" s="132"/>
      <c r="K552" s="132"/>
      <c r="L552" s="132"/>
      <c r="M552" s="132">
        <v>101</v>
      </c>
      <c r="N552" s="132"/>
      <c r="O552" s="132"/>
      <c r="P552" s="132"/>
      <c r="Q552" s="132"/>
      <c r="R552" s="132"/>
      <c r="S552" s="132"/>
      <c r="T552" s="132"/>
      <c r="U552" s="151"/>
      <c r="V552" s="151"/>
      <c r="W552" s="307" t="s">
        <v>193</v>
      </c>
      <c r="X552" s="308"/>
      <c r="Y552" s="38">
        <f t="shared" si="211"/>
        <v>0</v>
      </c>
      <c r="Z552" s="38">
        <f t="shared" si="212"/>
        <v>8</v>
      </c>
      <c r="AA552" s="38">
        <f t="shared" si="209"/>
        <v>0</v>
      </c>
      <c r="AB552" s="38">
        <f t="shared" si="220"/>
        <v>0</v>
      </c>
      <c r="AC552" s="38">
        <f t="shared" si="221"/>
        <v>0</v>
      </c>
      <c r="AD552" s="38">
        <f t="shared" si="222"/>
        <v>0</v>
      </c>
      <c r="AE552" s="38">
        <f t="shared" si="223"/>
        <v>0</v>
      </c>
      <c r="AF552" s="38">
        <f t="shared" si="224"/>
        <v>0</v>
      </c>
      <c r="AG552" s="33">
        <f t="shared" si="225"/>
        <v>0</v>
      </c>
      <c r="AH552" s="33">
        <f t="shared" si="226"/>
        <v>8</v>
      </c>
      <c r="AI552" s="33">
        <f t="shared" si="227"/>
        <v>0</v>
      </c>
      <c r="AJ552" s="33">
        <f t="shared" si="228"/>
        <v>0</v>
      </c>
      <c r="AK552" s="34">
        <f t="shared" si="229"/>
        <v>0</v>
      </c>
      <c r="AL552" s="35">
        <f t="shared" si="230"/>
        <v>5.6338028169014086E-2</v>
      </c>
      <c r="AM552" s="34">
        <f t="shared" si="213"/>
        <v>0</v>
      </c>
      <c r="AN552" s="36">
        <f t="shared" si="231"/>
        <v>0</v>
      </c>
      <c r="AO552" s="6">
        <f t="shared" si="214"/>
        <v>0</v>
      </c>
      <c r="AP552">
        <f t="shared" si="215"/>
        <v>8</v>
      </c>
      <c r="AQ552" s="6">
        <f t="shared" si="216"/>
        <v>0</v>
      </c>
      <c r="AR552" s="6">
        <f t="shared" si="217"/>
        <v>0</v>
      </c>
      <c r="AS552" s="6"/>
      <c r="AX552" s="95">
        <f t="shared" si="218"/>
        <v>42675</v>
      </c>
      <c r="AY552" s="96" t="str">
        <f t="shared" si="219"/>
        <v>ter</v>
      </c>
      <c r="AZ552" s="97">
        <f>IF(OR(AY552="SÁB",AY552="DOM"),0,IFERROR(8-VLOOKUP(C552,'Dados de consulta'!$A$2:$C$38,3,0),8))</f>
        <v>8</v>
      </c>
      <c r="BA552" s="97">
        <f>IF(OR(AY552="SÁB",AY552="DOM"),0,IFERROR(8-VLOOKUP(D552,'Dados de consulta'!$A$2:$C$38,3,0),8))</f>
        <v>0</v>
      </c>
      <c r="BB552" s="97">
        <f>IF(OR(AY552="SÁB",AY552="DOM"),0,IFERROR(8-VLOOKUP(E552,'Dados de consulta'!$A$2:$C$38,3,0),8))</f>
        <v>8</v>
      </c>
      <c r="BC552" s="97">
        <f>IF(OR(AY552="SÁB",AY552="DOM"),0,IFERROR(8-VLOOKUP(F552,'Dados de consulta'!$A$2:$C$38,3,0),8))</f>
        <v>8</v>
      </c>
      <c r="BD552" s="97">
        <f>IF(OR(AY552="SÁB",AY552="DOM"),0,IFERROR(8-VLOOKUP(G552,'Dados de consulta'!$A$2:$C$38,3,0),8))</f>
        <v>8</v>
      </c>
      <c r="BE552" s="97">
        <f>IF(OR(AY552="SÁB",AY552="DOM"),0,IFERROR(8-VLOOKUP(H552,'Dados de consulta'!$A$2:$C$38,3,0),8))</f>
        <v>8</v>
      </c>
      <c r="BF552" s="97">
        <f>IF(OR(AY552="SÁB",AY552="DOM"),0,IFERROR(8-VLOOKUP(I552,'Dados de consulta'!$A$2:$C$38,3,0),8))</f>
        <v>8</v>
      </c>
      <c r="BG552" s="97">
        <f>IF(OR(AY552="SÁB",AY552="DOM"),0,IFERROR(8-VLOOKUP(J552,'Dados de consulta'!$A$2:$C$38,3,0),8))</f>
        <v>8</v>
      </c>
      <c r="BH552" s="97">
        <f>IF(OR(AY552="SÁB",AY552="DOM"),0,IFERROR(8-VLOOKUP(K552,'Dados de consulta'!$A$2:$C$38,3,0),8))</f>
        <v>8</v>
      </c>
      <c r="BI552" s="97">
        <f>IF(OR(AY552="SÁB",AY552="DOM"),0,IFERROR(8-VLOOKUP(L552,'Dados de consulta'!$A$2:$C$38,3,0),8))</f>
        <v>8</v>
      </c>
      <c r="BJ552" s="97">
        <f>IF(OR(AY552="SÁB",AY552="DOM"),0,IFERROR(8-VLOOKUP(M552,'Dados de consulta'!$A$2:$C$38,3,0),8))</f>
        <v>0</v>
      </c>
      <c r="BK552" s="97">
        <f>IF(OR(AY552="SÁB",AY552="DOM"),0,IFERROR(8-VLOOKUP(N552,'Dados de consulta'!$A$2:$C$38,3,0),8))</f>
        <v>8</v>
      </c>
      <c r="BL552" s="97">
        <f>IF(OR(AY552="SÁB",AY552="DOM"),0,IFERROR(8-VLOOKUP(O552,'Dados de consulta'!$A$2:$C$38,3,0),8))</f>
        <v>8</v>
      </c>
      <c r="BM552" s="97">
        <f>IF(OR(AY552="SÁB",AY552="DOM"),0,IFERROR(8-VLOOKUP(P552,'Dados de consulta'!$A$2:$C$38,3,0),8))</f>
        <v>8</v>
      </c>
      <c r="BN552" s="97">
        <f>IF(OR(AY552="SÁB",AY552="DOM"),0,IFERROR(8-VLOOKUP(Q552,'Dados de consulta'!$A$2:$C$38,3,0),8))</f>
        <v>8</v>
      </c>
      <c r="BO552" s="97">
        <f>IF(OR(AY552="SÁB",AY552="DOM"),0,IFERROR(8-VLOOKUP(R552,'Dados de consulta'!$A$2:$C$38,3,0),8))</f>
        <v>8</v>
      </c>
      <c r="BP552" s="97">
        <f>IF(OR(AY552="SÁB",AY552="DOM"),0,IFERROR(8-VLOOKUP(S552,'Dados de consulta'!$A$2:$C$38,3,0),8))</f>
        <v>8</v>
      </c>
      <c r="BQ552" s="113">
        <f>IFERROR(6-VLOOKUP(T552,'Dados de consulta'!$A$2:$C$38,3,0)+2,6)</f>
        <v>6</v>
      </c>
      <c r="BR552" s="114">
        <f t="shared" si="232"/>
        <v>126</v>
      </c>
      <c r="BS552">
        <f t="shared" si="208"/>
        <v>134</v>
      </c>
      <c r="BU552">
        <f>IFERROR(8-VLOOKUP(U552,'Dados de consulta'!$A:$D,3,0),8)</f>
        <v>8</v>
      </c>
      <c r="BV552">
        <f>IFERROR(8-VLOOKUP(V552,'Dados de consulta'!$A:$D,3,0),8)</f>
        <v>8</v>
      </c>
      <c r="BW552">
        <f t="shared" si="233"/>
        <v>16</v>
      </c>
    </row>
    <row r="553" spans="1:75" ht="15" hidden="1" x14ac:dyDescent="0.2">
      <c r="A553" s="98">
        <v>42676</v>
      </c>
      <c r="B553" s="129" t="str">
        <f t="shared" si="210"/>
        <v>qua</v>
      </c>
      <c r="C553" s="132"/>
      <c r="D553" s="132">
        <v>18</v>
      </c>
      <c r="E553" s="132"/>
      <c r="F553" s="132"/>
      <c r="G553" s="132"/>
      <c r="H553" s="132"/>
      <c r="I553" s="132"/>
      <c r="J553" s="132"/>
      <c r="K553" s="132"/>
      <c r="L553" s="132"/>
      <c r="M553" s="132">
        <v>101</v>
      </c>
      <c r="N553" s="132"/>
      <c r="O553" s="132"/>
      <c r="P553" s="132"/>
      <c r="Q553" s="132"/>
      <c r="R553" s="132"/>
      <c r="S553" s="132"/>
      <c r="T553" s="132"/>
      <c r="U553" s="151"/>
      <c r="V553" s="151"/>
      <c r="W553" s="307" t="s">
        <v>193</v>
      </c>
      <c r="X553" s="308"/>
      <c r="Y553" s="38">
        <f t="shared" si="211"/>
        <v>0</v>
      </c>
      <c r="Z553" s="38">
        <f t="shared" si="212"/>
        <v>8</v>
      </c>
      <c r="AA553" s="38">
        <f t="shared" si="209"/>
        <v>0</v>
      </c>
      <c r="AB553" s="38">
        <f t="shared" si="220"/>
        <v>0</v>
      </c>
      <c r="AC553" s="38">
        <f t="shared" si="221"/>
        <v>0</v>
      </c>
      <c r="AD553" s="38">
        <f t="shared" si="222"/>
        <v>0</v>
      </c>
      <c r="AE553" s="38">
        <f t="shared" si="223"/>
        <v>0</v>
      </c>
      <c r="AF553" s="38">
        <f t="shared" si="224"/>
        <v>0</v>
      </c>
      <c r="AG553" s="33">
        <f t="shared" si="225"/>
        <v>0</v>
      </c>
      <c r="AH553" s="33">
        <f t="shared" si="226"/>
        <v>8</v>
      </c>
      <c r="AI553" s="33">
        <f t="shared" si="227"/>
        <v>0</v>
      </c>
      <c r="AJ553" s="33">
        <f t="shared" si="228"/>
        <v>0</v>
      </c>
      <c r="AK553" s="34">
        <f t="shared" si="229"/>
        <v>0</v>
      </c>
      <c r="AL553" s="35">
        <f t="shared" si="230"/>
        <v>5.6338028169014086E-2</v>
      </c>
      <c r="AM553" s="34">
        <f t="shared" si="213"/>
        <v>0</v>
      </c>
      <c r="AN553" s="36">
        <f t="shared" si="231"/>
        <v>0</v>
      </c>
      <c r="AO553" s="6">
        <f t="shared" si="214"/>
        <v>0</v>
      </c>
      <c r="AP553">
        <f t="shared" si="215"/>
        <v>8</v>
      </c>
      <c r="AQ553" s="6">
        <f t="shared" si="216"/>
        <v>0</v>
      </c>
      <c r="AR553" s="6">
        <f t="shared" si="217"/>
        <v>0</v>
      </c>
      <c r="AS553" s="6"/>
      <c r="AX553" s="95">
        <f t="shared" si="218"/>
        <v>42676</v>
      </c>
      <c r="AY553" s="96" t="str">
        <f t="shared" si="219"/>
        <v>qua</v>
      </c>
      <c r="AZ553" s="97">
        <f>IF(OR(AY553="SÁB",AY553="DOM"),0,IFERROR(8-VLOOKUP(C553,'Dados de consulta'!$A$2:$C$38,3,0),8))</f>
        <v>8</v>
      </c>
      <c r="BA553" s="97">
        <f>IF(OR(AY553="SÁB",AY553="DOM"),0,IFERROR(8-VLOOKUP(D553,'Dados de consulta'!$A$2:$C$38,3,0),8))</f>
        <v>0</v>
      </c>
      <c r="BB553" s="97">
        <f>IF(OR(AY553="SÁB",AY553="DOM"),0,IFERROR(8-VLOOKUP(E553,'Dados de consulta'!$A$2:$C$38,3,0),8))</f>
        <v>8</v>
      </c>
      <c r="BC553" s="97">
        <f>IF(OR(AY553="SÁB",AY553="DOM"),0,IFERROR(8-VLOOKUP(F553,'Dados de consulta'!$A$2:$C$38,3,0),8))</f>
        <v>8</v>
      </c>
      <c r="BD553" s="97">
        <f>IF(OR(AY553="SÁB",AY553="DOM"),0,IFERROR(8-VLOOKUP(G553,'Dados de consulta'!$A$2:$C$38,3,0),8))</f>
        <v>8</v>
      </c>
      <c r="BE553" s="97">
        <f>IF(OR(AY553="SÁB",AY553="DOM"),0,IFERROR(8-VLOOKUP(H553,'Dados de consulta'!$A$2:$C$38,3,0),8))</f>
        <v>8</v>
      </c>
      <c r="BF553" s="97">
        <f>IF(OR(AY553="SÁB",AY553="DOM"),0,IFERROR(8-VLOOKUP(I553,'Dados de consulta'!$A$2:$C$38,3,0),8))</f>
        <v>8</v>
      </c>
      <c r="BG553" s="97">
        <f>IF(OR(AY553="SÁB",AY553="DOM"),0,IFERROR(8-VLOOKUP(J553,'Dados de consulta'!$A$2:$C$38,3,0),8))</f>
        <v>8</v>
      </c>
      <c r="BH553" s="97">
        <f>IF(OR(AY553="SÁB",AY553="DOM"),0,IFERROR(8-VLOOKUP(K553,'Dados de consulta'!$A$2:$C$38,3,0),8))</f>
        <v>8</v>
      </c>
      <c r="BI553" s="97">
        <f>IF(OR(AY553="SÁB",AY553="DOM"),0,IFERROR(8-VLOOKUP(L553,'Dados de consulta'!$A$2:$C$38,3,0),8))</f>
        <v>8</v>
      </c>
      <c r="BJ553" s="97">
        <f>IF(OR(AY553="SÁB",AY553="DOM"),0,IFERROR(8-VLOOKUP(M553,'Dados de consulta'!$A$2:$C$38,3,0),8))</f>
        <v>0</v>
      </c>
      <c r="BK553" s="97">
        <f>IF(OR(AY553="SÁB",AY553="DOM"),0,IFERROR(8-VLOOKUP(N553,'Dados de consulta'!$A$2:$C$38,3,0),8))</f>
        <v>8</v>
      </c>
      <c r="BL553" s="97">
        <f>IF(OR(AY553="SÁB",AY553="DOM"),0,IFERROR(8-VLOOKUP(O553,'Dados de consulta'!$A$2:$C$38,3,0),8))</f>
        <v>8</v>
      </c>
      <c r="BM553" s="97">
        <f>IF(OR(AY553="SÁB",AY553="DOM"),0,IFERROR(8-VLOOKUP(P553,'Dados de consulta'!$A$2:$C$38,3,0),8))</f>
        <v>8</v>
      </c>
      <c r="BN553" s="97">
        <f>IF(OR(AY553="SÁB",AY553="DOM"),0,IFERROR(8-VLOOKUP(Q553,'Dados de consulta'!$A$2:$C$38,3,0),8))</f>
        <v>8</v>
      </c>
      <c r="BO553" s="97">
        <f>IF(OR(AY553="SÁB",AY553="DOM"),0,IFERROR(8-VLOOKUP(R553,'Dados de consulta'!$A$2:$C$38,3,0),8))</f>
        <v>8</v>
      </c>
      <c r="BP553" s="97">
        <f>IF(OR(AY553="SÁB",AY553="DOM"),0,IFERROR(8-VLOOKUP(S553,'Dados de consulta'!$A$2:$C$38,3,0),8))</f>
        <v>8</v>
      </c>
      <c r="BQ553" s="113">
        <f>IFERROR(6-VLOOKUP(T553,'Dados de consulta'!$A$2:$C$38,3,0)+2,6)</f>
        <v>6</v>
      </c>
      <c r="BR553" s="114">
        <f t="shared" si="232"/>
        <v>126</v>
      </c>
      <c r="BS553">
        <f t="shared" si="208"/>
        <v>134</v>
      </c>
      <c r="BU553">
        <f>IFERROR(8-VLOOKUP(U553,'Dados de consulta'!$A:$D,3,0),8)</f>
        <v>8</v>
      </c>
      <c r="BV553">
        <f>IFERROR(8-VLOOKUP(V553,'Dados de consulta'!$A:$D,3,0),8)</f>
        <v>8</v>
      </c>
      <c r="BW553">
        <f t="shared" si="233"/>
        <v>16</v>
      </c>
    </row>
    <row r="554" spans="1:75" ht="15" hidden="1" x14ac:dyDescent="0.2">
      <c r="A554" s="98">
        <v>42677</v>
      </c>
      <c r="B554" s="129" t="str">
        <f t="shared" si="210"/>
        <v>qui</v>
      </c>
      <c r="C554" s="132"/>
      <c r="D554" s="132">
        <v>18</v>
      </c>
      <c r="E554" s="132"/>
      <c r="F554" s="132"/>
      <c r="G554" s="132"/>
      <c r="H554" s="132"/>
      <c r="I554" s="132"/>
      <c r="J554" s="132"/>
      <c r="K554" s="132"/>
      <c r="L554" s="132"/>
      <c r="M554" s="132">
        <v>101</v>
      </c>
      <c r="N554" s="132"/>
      <c r="O554" s="132"/>
      <c r="P554" s="132"/>
      <c r="Q554" s="132"/>
      <c r="R554" s="132"/>
      <c r="S554" s="132"/>
      <c r="T554" s="132"/>
      <c r="U554" s="151"/>
      <c r="V554" s="151"/>
      <c r="W554" s="307" t="s">
        <v>193</v>
      </c>
      <c r="X554" s="308"/>
      <c r="Y554" s="38">
        <f t="shared" si="211"/>
        <v>0</v>
      </c>
      <c r="Z554" s="38">
        <f t="shared" si="212"/>
        <v>8</v>
      </c>
      <c r="AA554" s="38">
        <f t="shared" si="209"/>
        <v>0</v>
      </c>
      <c r="AB554" s="38">
        <f t="shared" si="220"/>
        <v>0</v>
      </c>
      <c r="AC554" s="38">
        <f t="shared" si="221"/>
        <v>0</v>
      </c>
      <c r="AD554" s="38">
        <f t="shared" si="222"/>
        <v>0</v>
      </c>
      <c r="AE554" s="38">
        <f t="shared" si="223"/>
        <v>0</v>
      </c>
      <c r="AF554" s="38">
        <f t="shared" si="224"/>
        <v>0</v>
      </c>
      <c r="AG554" s="33">
        <f t="shared" si="225"/>
        <v>0</v>
      </c>
      <c r="AH554" s="33">
        <f t="shared" si="226"/>
        <v>8</v>
      </c>
      <c r="AI554" s="33">
        <f t="shared" si="227"/>
        <v>0</v>
      </c>
      <c r="AJ554" s="33">
        <f t="shared" si="228"/>
        <v>0</v>
      </c>
      <c r="AK554" s="34">
        <f t="shared" si="229"/>
        <v>0</v>
      </c>
      <c r="AL554" s="35">
        <f t="shared" si="230"/>
        <v>5.6338028169014086E-2</v>
      </c>
      <c r="AM554" s="34">
        <f t="shared" si="213"/>
        <v>0</v>
      </c>
      <c r="AN554" s="36">
        <f t="shared" si="231"/>
        <v>0</v>
      </c>
      <c r="AO554" s="6">
        <f t="shared" si="214"/>
        <v>0</v>
      </c>
      <c r="AP554">
        <f t="shared" si="215"/>
        <v>8</v>
      </c>
      <c r="AQ554" s="6">
        <f t="shared" si="216"/>
        <v>0</v>
      </c>
      <c r="AR554" s="6">
        <f t="shared" si="217"/>
        <v>0</v>
      </c>
      <c r="AS554" s="6"/>
      <c r="AX554" s="95">
        <f t="shared" si="218"/>
        <v>42677</v>
      </c>
      <c r="AY554" s="96" t="str">
        <f t="shared" si="219"/>
        <v>qui</v>
      </c>
      <c r="AZ554" s="97">
        <f>IF(OR(AY554="SÁB",AY554="DOM"),0,IFERROR(8-VLOOKUP(C554,'Dados de consulta'!$A$2:$C$38,3,0),8))</f>
        <v>8</v>
      </c>
      <c r="BA554" s="97">
        <f>IF(OR(AY554="SÁB",AY554="DOM"),0,IFERROR(8-VLOOKUP(D554,'Dados de consulta'!$A$2:$C$38,3,0),8))</f>
        <v>0</v>
      </c>
      <c r="BB554" s="97">
        <f>IF(OR(AY554="SÁB",AY554="DOM"),0,IFERROR(8-VLOOKUP(E554,'Dados de consulta'!$A$2:$C$38,3,0),8))</f>
        <v>8</v>
      </c>
      <c r="BC554" s="97">
        <f>IF(OR(AY554="SÁB",AY554="DOM"),0,IFERROR(8-VLOOKUP(F554,'Dados de consulta'!$A$2:$C$38,3,0),8))</f>
        <v>8</v>
      </c>
      <c r="BD554" s="97">
        <f>IF(OR(AY554="SÁB",AY554="DOM"),0,IFERROR(8-VLOOKUP(G554,'Dados de consulta'!$A$2:$C$38,3,0),8))</f>
        <v>8</v>
      </c>
      <c r="BE554" s="97">
        <f>IF(OR(AY554="SÁB",AY554="DOM"),0,IFERROR(8-VLOOKUP(H554,'Dados de consulta'!$A$2:$C$38,3,0),8))</f>
        <v>8</v>
      </c>
      <c r="BF554" s="97">
        <f>IF(OR(AY554="SÁB",AY554="DOM"),0,IFERROR(8-VLOOKUP(I554,'Dados de consulta'!$A$2:$C$38,3,0),8))</f>
        <v>8</v>
      </c>
      <c r="BG554" s="97">
        <f>IF(OR(AY554="SÁB",AY554="DOM"),0,IFERROR(8-VLOOKUP(J554,'Dados de consulta'!$A$2:$C$38,3,0),8))</f>
        <v>8</v>
      </c>
      <c r="BH554" s="97">
        <f>IF(OR(AY554="SÁB",AY554="DOM"),0,IFERROR(8-VLOOKUP(K554,'Dados de consulta'!$A$2:$C$38,3,0),8))</f>
        <v>8</v>
      </c>
      <c r="BI554" s="97">
        <f>IF(OR(AY554="SÁB",AY554="DOM"),0,IFERROR(8-VLOOKUP(L554,'Dados de consulta'!$A$2:$C$38,3,0),8))</f>
        <v>8</v>
      </c>
      <c r="BJ554" s="97">
        <f>IF(OR(AY554="SÁB",AY554="DOM"),0,IFERROR(8-VLOOKUP(M554,'Dados de consulta'!$A$2:$C$38,3,0),8))</f>
        <v>0</v>
      </c>
      <c r="BK554" s="97">
        <f>IF(OR(AY554="SÁB",AY554="DOM"),0,IFERROR(8-VLOOKUP(N554,'Dados de consulta'!$A$2:$C$38,3,0),8))</f>
        <v>8</v>
      </c>
      <c r="BL554" s="97">
        <f>IF(OR(AY554="SÁB",AY554="DOM"),0,IFERROR(8-VLOOKUP(O554,'Dados de consulta'!$A$2:$C$38,3,0),8))</f>
        <v>8</v>
      </c>
      <c r="BM554" s="97">
        <f>IF(OR(AY554="SÁB",AY554="DOM"),0,IFERROR(8-VLOOKUP(P554,'Dados de consulta'!$A$2:$C$38,3,0),8))</f>
        <v>8</v>
      </c>
      <c r="BN554" s="97">
        <f>IF(OR(AY554="SÁB",AY554="DOM"),0,IFERROR(8-VLOOKUP(Q554,'Dados de consulta'!$A$2:$C$38,3,0),8))</f>
        <v>8</v>
      </c>
      <c r="BO554" s="97">
        <f>IF(OR(AY554="SÁB",AY554="DOM"),0,IFERROR(8-VLOOKUP(R554,'Dados de consulta'!$A$2:$C$38,3,0),8))</f>
        <v>8</v>
      </c>
      <c r="BP554" s="97">
        <f>IF(OR(AY554="SÁB",AY554="DOM"),0,IFERROR(8-VLOOKUP(S554,'Dados de consulta'!$A$2:$C$38,3,0),8))</f>
        <v>8</v>
      </c>
      <c r="BQ554" s="113">
        <f>IFERROR(6-VLOOKUP(T554,'Dados de consulta'!$A$2:$C$38,3,0)+2,6)</f>
        <v>6</v>
      </c>
      <c r="BR554" s="114">
        <f t="shared" si="232"/>
        <v>126</v>
      </c>
      <c r="BS554">
        <f t="shared" si="208"/>
        <v>134</v>
      </c>
      <c r="BU554">
        <f>IFERROR(8-VLOOKUP(U554,'Dados de consulta'!$A:$D,3,0),8)</f>
        <v>8</v>
      </c>
      <c r="BV554">
        <f>IFERROR(8-VLOOKUP(V554,'Dados de consulta'!$A:$D,3,0),8)</f>
        <v>8</v>
      </c>
      <c r="BW554">
        <f t="shared" si="233"/>
        <v>16</v>
      </c>
    </row>
    <row r="555" spans="1:75" ht="15" hidden="1" x14ac:dyDescent="0.2">
      <c r="A555" s="98">
        <v>42678</v>
      </c>
      <c r="B555" s="129" t="str">
        <f t="shared" si="210"/>
        <v>sex</v>
      </c>
      <c r="C555" s="132"/>
      <c r="D555" s="132">
        <v>18</v>
      </c>
      <c r="E555" s="132"/>
      <c r="F555" s="132"/>
      <c r="G555" s="132"/>
      <c r="H555" s="132"/>
      <c r="I555" s="132"/>
      <c r="J555" s="132"/>
      <c r="K555" s="132"/>
      <c r="L555" s="132"/>
      <c r="M555" s="132">
        <v>101</v>
      </c>
      <c r="N555" s="132"/>
      <c r="O555" s="132"/>
      <c r="P555" s="132"/>
      <c r="Q555" s="132"/>
      <c r="R555" s="132"/>
      <c r="S555" s="132"/>
      <c r="T555" s="132"/>
      <c r="U555" s="151"/>
      <c r="V555" s="151"/>
      <c r="W555" s="307" t="s">
        <v>193</v>
      </c>
      <c r="X555" s="308"/>
      <c r="Y555" s="38">
        <f t="shared" si="211"/>
        <v>0</v>
      </c>
      <c r="Z555" s="38">
        <f t="shared" si="212"/>
        <v>8</v>
      </c>
      <c r="AA555" s="38">
        <f t="shared" si="209"/>
        <v>0</v>
      </c>
      <c r="AB555" s="38">
        <f t="shared" si="220"/>
        <v>0</v>
      </c>
      <c r="AC555" s="38">
        <f t="shared" si="221"/>
        <v>0</v>
      </c>
      <c r="AD555" s="38">
        <f t="shared" si="222"/>
        <v>0</v>
      </c>
      <c r="AE555" s="38">
        <f t="shared" si="223"/>
        <v>0</v>
      </c>
      <c r="AF555" s="38">
        <f t="shared" si="224"/>
        <v>0</v>
      </c>
      <c r="AG555" s="33">
        <f t="shared" si="225"/>
        <v>0</v>
      </c>
      <c r="AH555" s="33">
        <f t="shared" si="226"/>
        <v>8</v>
      </c>
      <c r="AI555" s="33">
        <f t="shared" si="227"/>
        <v>0</v>
      </c>
      <c r="AJ555" s="33">
        <f t="shared" si="228"/>
        <v>0</v>
      </c>
      <c r="AK555" s="34">
        <f t="shared" si="229"/>
        <v>0</v>
      </c>
      <c r="AL555" s="35">
        <f t="shared" si="230"/>
        <v>5.6338028169014086E-2</v>
      </c>
      <c r="AM555" s="34">
        <f t="shared" si="213"/>
        <v>0</v>
      </c>
      <c r="AN555" s="36">
        <f t="shared" si="231"/>
        <v>0</v>
      </c>
      <c r="AO555" s="6">
        <f t="shared" si="214"/>
        <v>0</v>
      </c>
      <c r="AP555">
        <f t="shared" si="215"/>
        <v>8</v>
      </c>
      <c r="AQ555" s="6">
        <f t="shared" si="216"/>
        <v>0</v>
      </c>
      <c r="AR555" s="6">
        <f t="shared" si="217"/>
        <v>0</v>
      </c>
      <c r="AS555" s="6"/>
      <c r="AX555" s="95">
        <f t="shared" si="218"/>
        <v>42678</v>
      </c>
      <c r="AY555" s="96" t="str">
        <f t="shared" si="219"/>
        <v>sex</v>
      </c>
      <c r="AZ555" s="97">
        <f>IF(OR(AY555="SÁB",AY555="DOM"),0,IFERROR(8-VLOOKUP(C555,'Dados de consulta'!$A$2:$C$38,3,0),8))</f>
        <v>8</v>
      </c>
      <c r="BA555" s="97">
        <f>IF(OR(AY555="SÁB",AY555="DOM"),0,IFERROR(8-VLOOKUP(D555,'Dados de consulta'!$A$2:$C$38,3,0),8))</f>
        <v>0</v>
      </c>
      <c r="BB555" s="97">
        <f>IF(OR(AY555="SÁB",AY555="DOM"),0,IFERROR(8-VLOOKUP(E555,'Dados de consulta'!$A$2:$C$38,3,0),8))</f>
        <v>8</v>
      </c>
      <c r="BC555" s="97">
        <f>IF(OR(AY555="SÁB",AY555="DOM"),0,IFERROR(8-VLOOKUP(F555,'Dados de consulta'!$A$2:$C$38,3,0),8))</f>
        <v>8</v>
      </c>
      <c r="BD555" s="97">
        <f>IF(OR(AY555="SÁB",AY555="DOM"),0,IFERROR(8-VLOOKUP(G555,'Dados de consulta'!$A$2:$C$38,3,0),8))</f>
        <v>8</v>
      </c>
      <c r="BE555" s="97">
        <f>IF(OR(AY555="SÁB",AY555="DOM"),0,IFERROR(8-VLOOKUP(H555,'Dados de consulta'!$A$2:$C$38,3,0),8))</f>
        <v>8</v>
      </c>
      <c r="BF555" s="97">
        <f>IF(OR(AY555="SÁB",AY555="DOM"),0,IFERROR(8-VLOOKUP(I555,'Dados de consulta'!$A$2:$C$38,3,0),8))</f>
        <v>8</v>
      </c>
      <c r="BG555" s="97">
        <f>IF(OR(AY555="SÁB",AY555="DOM"),0,IFERROR(8-VLOOKUP(J555,'Dados de consulta'!$A$2:$C$38,3,0),8))</f>
        <v>8</v>
      </c>
      <c r="BH555" s="97">
        <f>IF(OR(AY555="SÁB",AY555="DOM"),0,IFERROR(8-VLOOKUP(K555,'Dados de consulta'!$A$2:$C$38,3,0),8))</f>
        <v>8</v>
      </c>
      <c r="BI555" s="97">
        <f>IF(OR(AY555="SÁB",AY555="DOM"),0,IFERROR(8-VLOOKUP(L555,'Dados de consulta'!$A$2:$C$38,3,0),8))</f>
        <v>8</v>
      </c>
      <c r="BJ555" s="97">
        <f>IF(OR(AY555="SÁB",AY555="DOM"),0,IFERROR(8-VLOOKUP(M555,'Dados de consulta'!$A$2:$C$38,3,0),8))</f>
        <v>0</v>
      </c>
      <c r="BK555" s="97">
        <f>IF(OR(AY555="SÁB",AY555="DOM"),0,IFERROR(8-VLOOKUP(N555,'Dados de consulta'!$A$2:$C$38,3,0),8))</f>
        <v>8</v>
      </c>
      <c r="BL555" s="97">
        <f>IF(OR(AY555="SÁB",AY555="DOM"),0,IFERROR(8-VLOOKUP(O555,'Dados de consulta'!$A$2:$C$38,3,0),8))</f>
        <v>8</v>
      </c>
      <c r="BM555" s="97">
        <f>IF(OR(AY555="SÁB",AY555="DOM"),0,IFERROR(8-VLOOKUP(P555,'Dados de consulta'!$A$2:$C$38,3,0),8))</f>
        <v>8</v>
      </c>
      <c r="BN555" s="97">
        <f>IF(OR(AY555="SÁB",AY555="DOM"),0,IFERROR(8-VLOOKUP(Q555,'Dados de consulta'!$A$2:$C$38,3,0),8))</f>
        <v>8</v>
      </c>
      <c r="BO555" s="97">
        <f>IF(OR(AY555="SÁB",AY555="DOM"),0,IFERROR(8-VLOOKUP(R555,'Dados de consulta'!$A$2:$C$38,3,0),8))</f>
        <v>8</v>
      </c>
      <c r="BP555" s="97">
        <f>IF(OR(AY555="SÁB",AY555="DOM"),0,IFERROR(8-VLOOKUP(S555,'Dados de consulta'!$A$2:$C$38,3,0),8))</f>
        <v>8</v>
      </c>
      <c r="BQ555" s="113">
        <f>IFERROR(6-VLOOKUP(T555,'Dados de consulta'!$A$2:$C$38,3,0)+2,6)</f>
        <v>6</v>
      </c>
      <c r="BR555" s="114">
        <f t="shared" si="232"/>
        <v>126</v>
      </c>
      <c r="BS555">
        <f t="shared" si="208"/>
        <v>134</v>
      </c>
      <c r="BU555">
        <f>IFERROR(8-VLOOKUP(U555,'Dados de consulta'!$A:$D,3,0),8)</f>
        <v>8</v>
      </c>
      <c r="BV555">
        <f>IFERROR(8-VLOOKUP(V555,'Dados de consulta'!$A:$D,3,0),8)</f>
        <v>8</v>
      </c>
      <c r="BW555">
        <f t="shared" si="233"/>
        <v>16</v>
      </c>
    </row>
    <row r="556" spans="1:75" ht="15" hidden="1" x14ac:dyDescent="0.2">
      <c r="A556" s="98">
        <v>42679</v>
      </c>
      <c r="B556" s="129" t="str">
        <f t="shared" si="210"/>
        <v>sáb</v>
      </c>
      <c r="C556" s="132"/>
      <c r="D556" s="132">
        <v>18</v>
      </c>
      <c r="E556" s="132"/>
      <c r="F556" s="132"/>
      <c r="G556" s="132"/>
      <c r="H556" s="132"/>
      <c r="I556" s="132"/>
      <c r="J556" s="132"/>
      <c r="K556" s="132"/>
      <c r="L556" s="132"/>
      <c r="M556" s="132">
        <v>101</v>
      </c>
      <c r="N556" s="132"/>
      <c r="O556" s="132"/>
      <c r="P556" s="132"/>
      <c r="Q556" s="132"/>
      <c r="R556" s="132"/>
      <c r="S556" s="132"/>
      <c r="T556" s="132"/>
      <c r="U556" s="151"/>
      <c r="V556" s="151"/>
      <c r="W556" s="307" t="s">
        <v>193</v>
      </c>
      <c r="X556" s="308"/>
      <c r="Y556" s="38">
        <f t="shared" si="211"/>
        <v>0</v>
      </c>
      <c r="Z556" s="38">
        <f t="shared" si="212"/>
        <v>8</v>
      </c>
      <c r="AA556" s="38">
        <f t="shared" si="209"/>
        <v>0</v>
      </c>
      <c r="AB556" s="38">
        <f t="shared" si="220"/>
        <v>0</v>
      </c>
      <c r="AC556" s="38">
        <f t="shared" si="221"/>
        <v>0</v>
      </c>
      <c r="AD556" s="38">
        <f t="shared" si="222"/>
        <v>0</v>
      </c>
      <c r="AE556" s="38">
        <f t="shared" si="223"/>
        <v>0</v>
      </c>
      <c r="AF556" s="38">
        <f t="shared" si="224"/>
        <v>0</v>
      </c>
      <c r="AG556" s="33">
        <f t="shared" si="225"/>
        <v>0</v>
      </c>
      <c r="AH556" s="33">
        <f t="shared" si="226"/>
        <v>0</v>
      </c>
      <c r="AI556" s="33">
        <f t="shared" si="227"/>
        <v>0</v>
      </c>
      <c r="AJ556" s="33">
        <f t="shared" si="228"/>
        <v>0</v>
      </c>
      <c r="AK556" s="34">
        <f t="shared" si="229"/>
        <v>0</v>
      </c>
      <c r="AL556" s="35">
        <f t="shared" si="230"/>
        <v>0</v>
      </c>
      <c r="AM556" s="34">
        <f t="shared" si="213"/>
        <v>0</v>
      </c>
      <c r="AN556" s="36">
        <f t="shared" si="231"/>
        <v>0</v>
      </c>
      <c r="AO556" s="6">
        <f t="shared" si="214"/>
        <v>0</v>
      </c>
      <c r="AP556">
        <f t="shared" si="215"/>
        <v>8</v>
      </c>
      <c r="AQ556" s="6">
        <f t="shared" si="216"/>
        <v>0</v>
      </c>
      <c r="AR556" s="6">
        <f t="shared" si="217"/>
        <v>0</v>
      </c>
      <c r="AS556" s="6"/>
      <c r="AX556" s="95">
        <f t="shared" si="218"/>
        <v>42679</v>
      </c>
      <c r="AY556" s="96" t="str">
        <f t="shared" si="219"/>
        <v>sáb</v>
      </c>
      <c r="AZ556" s="97">
        <f>IF(OR(AY556="SÁB",AY556="DOM"),0,IFERROR(8-VLOOKUP(C556,'Dados de consulta'!$A$2:$C$38,3,0),8))</f>
        <v>0</v>
      </c>
      <c r="BA556" s="97">
        <f>IF(OR(AY556="SÁB",AY556="DOM"),0,IFERROR(8-VLOOKUP(D556,'Dados de consulta'!$A$2:$C$38,3,0),8))</f>
        <v>0</v>
      </c>
      <c r="BB556" s="97">
        <f>IF(OR(AY556="SÁB",AY556="DOM"),0,IFERROR(8-VLOOKUP(E556,'Dados de consulta'!$A$2:$C$38,3,0),8))</f>
        <v>0</v>
      </c>
      <c r="BC556" s="97">
        <f>IF(OR(AY556="SÁB",AY556="DOM"),0,IFERROR(8-VLOOKUP(F556,'Dados de consulta'!$A$2:$C$38,3,0),8))</f>
        <v>0</v>
      </c>
      <c r="BD556" s="97">
        <f>IF(OR(AY556="SÁB",AY556="DOM"),0,IFERROR(8-VLOOKUP(G556,'Dados de consulta'!$A$2:$C$38,3,0),8))</f>
        <v>0</v>
      </c>
      <c r="BE556" s="97">
        <f>IF(OR(AY556="SÁB",AY556="DOM"),0,IFERROR(8-VLOOKUP(H556,'Dados de consulta'!$A$2:$C$38,3,0),8))</f>
        <v>0</v>
      </c>
      <c r="BF556" s="97">
        <f>IF(OR(AY556="SÁB",AY556="DOM"),0,IFERROR(8-VLOOKUP(I556,'Dados de consulta'!$A$2:$C$38,3,0),8))</f>
        <v>0</v>
      </c>
      <c r="BG556" s="97">
        <f>IF(OR(AY556="SÁB",AY556="DOM"),0,IFERROR(8-VLOOKUP(J556,'Dados de consulta'!$A$2:$C$38,3,0),8))</f>
        <v>0</v>
      </c>
      <c r="BH556" s="97">
        <f>IF(OR(AY556="SÁB",AY556="DOM"),0,IFERROR(8-VLOOKUP(K556,'Dados de consulta'!$A$2:$C$38,3,0),8))</f>
        <v>0</v>
      </c>
      <c r="BI556" s="97">
        <f>IF(OR(AY556="SÁB",AY556="DOM"),0,IFERROR(8-VLOOKUP(L556,'Dados de consulta'!$A$2:$C$38,3,0),8))</f>
        <v>0</v>
      </c>
      <c r="BJ556" s="97">
        <f>IF(OR(AY556="SÁB",AY556="DOM"),0,IFERROR(8-VLOOKUP(M556,'Dados de consulta'!$A$2:$C$38,3,0),8))</f>
        <v>0</v>
      </c>
      <c r="BK556" s="97">
        <f>IF(OR(AY556="SÁB",AY556="DOM"),0,IFERROR(8-VLOOKUP(N556,'Dados de consulta'!$A$2:$C$38,3,0),8))</f>
        <v>0</v>
      </c>
      <c r="BL556" s="97">
        <f>IF(OR(AY556="SÁB",AY556="DOM"),0,IFERROR(8-VLOOKUP(O556,'Dados de consulta'!$A$2:$C$38,3,0),8))</f>
        <v>0</v>
      </c>
      <c r="BM556" s="97">
        <f>IF(OR(AY556="SÁB",AY556="DOM"),0,IFERROR(8-VLOOKUP(P556,'Dados de consulta'!$A$2:$C$38,3,0),8))</f>
        <v>0</v>
      </c>
      <c r="BN556" s="97">
        <f>IF(OR(AY556="SÁB",AY556="DOM"),0,IFERROR(8-VLOOKUP(Q556,'Dados de consulta'!$A$2:$C$38,3,0),8))</f>
        <v>0</v>
      </c>
      <c r="BO556" s="97">
        <f>IF(OR(AY556="SÁB",AY556="DOM"),0,IFERROR(8-VLOOKUP(R556,'Dados de consulta'!$A$2:$C$38,3,0),8))</f>
        <v>0</v>
      </c>
      <c r="BP556" s="97">
        <f>IF(OR(AY556="SÁB",AY556="DOM"),0,IFERROR(8-VLOOKUP(S556,'Dados de consulta'!$A$2:$C$38,3,0),8))</f>
        <v>0</v>
      </c>
      <c r="BQ556" s="113">
        <f>IFERROR(6-VLOOKUP(T556,'Dados de consulta'!$A$2:$C$38,3,0)+2,6)</f>
        <v>6</v>
      </c>
      <c r="BR556" s="114">
        <f t="shared" si="232"/>
        <v>0</v>
      </c>
      <c r="BS556">
        <f t="shared" si="208"/>
        <v>0</v>
      </c>
      <c r="BU556">
        <f>IFERROR(8-VLOOKUP(U556,'Dados de consulta'!$A:$D,3,0),8)</f>
        <v>8</v>
      </c>
      <c r="BV556">
        <f>IFERROR(8-VLOOKUP(V556,'Dados de consulta'!$A:$D,3,0),8)</f>
        <v>8</v>
      </c>
      <c r="BW556">
        <f t="shared" si="233"/>
        <v>16</v>
      </c>
    </row>
    <row r="557" spans="1:75" ht="15" hidden="1" x14ac:dyDescent="0.2">
      <c r="A557" s="98">
        <v>42680</v>
      </c>
      <c r="B557" s="129" t="str">
        <f t="shared" si="210"/>
        <v>dom</v>
      </c>
      <c r="C557" s="132"/>
      <c r="D557" s="132">
        <v>18</v>
      </c>
      <c r="E557" s="132"/>
      <c r="F557" s="132"/>
      <c r="G557" s="132"/>
      <c r="H557" s="132"/>
      <c r="I557" s="132"/>
      <c r="J557" s="132"/>
      <c r="K557" s="132"/>
      <c r="L557" s="132"/>
      <c r="M557" s="132">
        <v>101</v>
      </c>
      <c r="N557" s="132"/>
      <c r="O557" s="132"/>
      <c r="P557" s="132"/>
      <c r="Q557" s="132"/>
      <c r="R557" s="132"/>
      <c r="S557" s="132"/>
      <c r="T557" s="132"/>
      <c r="U557" s="151"/>
      <c r="V557" s="151"/>
      <c r="W557" s="307" t="s">
        <v>193</v>
      </c>
      <c r="X557" s="308"/>
      <c r="Y557" s="38">
        <f t="shared" si="211"/>
        <v>0</v>
      </c>
      <c r="Z557" s="38">
        <f t="shared" si="212"/>
        <v>8</v>
      </c>
      <c r="AA557" s="38">
        <f t="shared" si="209"/>
        <v>0</v>
      </c>
      <c r="AB557" s="38">
        <f t="shared" si="220"/>
        <v>0</v>
      </c>
      <c r="AC557" s="38">
        <f t="shared" si="221"/>
        <v>0</v>
      </c>
      <c r="AD557" s="38">
        <f t="shared" si="222"/>
        <v>0</v>
      </c>
      <c r="AE557" s="38">
        <f t="shared" si="223"/>
        <v>0</v>
      </c>
      <c r="AF557" s="38">
        <f t="shared" si="224"/>
        <v>0</v>
      </c>
      <c r="AG557" s="33">
        <f t="shared" si="225"/>
        <v>0</v>
      </c>
      <c r="AH557" s="33">
        <f t="shared" si="226"/>
        <v>0</v>
      </c>
      <c r="AI557" s="33">
        <f t="shared" si="227"/>
        <v>0</v>
      </c>
      <c r="AJ557" s="33">
        <f t="shared" si="228"/>
        <v>0</v>
      </c>
      <c r="AK557" s="34">
        <f t="shared" si="229"/>
        <v>0</v>
      </c>
      <c r="AL557" s="35">
        <f t="shared" si="230"/>
        <v>0</v>
      </c>
      <c r="AM557" s="34">
        <f t="shared" si="213"/>
        <v>0</v>
      </c>
      <c r="AN557" s="36">
        <f t="shared" si="231"/>
        <v>0</v>
      </c>
      <c r="AO557" s="6">
        <f t="shared" si="214"/>
        <v>0</v>
      </c>
      <c r="AP557">
        <f t="shared" si="215"/>
        <v>8</v>
      </c>
      <c r="AQ557" s="6">
        <f t="shared" si="216"/>
        <v>0</v>
      </c>
      <c r="AR557" s="6">
        <f t="shared" si="217"/>
        <v>0</v>
      </c>
      <c r="AS557" s="6"/>
      <c r="AX557" s="95">
        <f t="shared" si="218"/>
        <v>42680</v>
      </c>
      <c r="AY557" s="96" t="str">
        <f t="shared" si="219"/>
        <v>dom</v>
      </c>
      <c r="AZ557" s="97">
        <f>IF(OR(AY557="SÁB",AY557="DOM"),0,IFERROR(8-VLOOKUP(C557,'Dados de consulta'!$A$2:$C$38,3,0),8))</f>
        <v>0</v>
      </c>
      <c r="BA557" s="97">
        <f>IF(OR(AY557="SÁB",AY557="DOM"),0,IFERROR(8-VLOOKUP(D557,'Dados de consulta'!$A$2:$C$38,3,0),8))</f>
        <v>0</v>
      </c>
      <c r="BB557" s="97">
        <f>IF(OR(AY557="SÁB",AY557="DOM"),0,IFERROR(8-VLOOKUP(E557,'Dados de consulta'!$A$2:$C$38,3,0),8))</f>
        <v>0</v>
      </c>
      <c r="BC557" s="97">
        <f>IF(OR(AY557="SÁB",AY557="DOM"),0,IFERROR(8-VLOOKUP(F557,'Dados de consulta'!$A$2:$C$38,3,0),8))</f>
        <v>0</v>
      </c>
      <c r="BD557" s="97">
        <f>IF(OR(AY557="SÁB",AY557="DOM"),0,IFERROR(8-VLOOKUP(G557,'Dados de consulta'!$A$2:$C$38,3,0),8))</f>
        <v>0</v>
      </c>
      <c r="BE557" s="97">
        <f>IF(OR(AY557="SÁB",AY557="DOM"),0,IFERROR(8-VLOOKUP(H557,'Dados de consulta'!$A$2:$C$38,3,0),8))</f>
        <v>0</v>
      </c>
      <c r="BF557" s="97">
        <f>IF(OR(AY557="SÁB",AY557="DOM"),0,IFERROR(8-VLOOKUP(I557,'Dados de consulta'!$A$2:$C$38,3,0),8))</f>
        <v>0</v>
      </c>
      <c r="BG557" s="97">
        <f>IF(OR(AY557="SÁB",AY557="DOM"),0,IFERROR(8-VLOOKUP(J557,'Dados de consulta'!$A$2:$C$38,3,0),8))</f>
        <v>0</v>
      </c>
      <c r="BH557" s="97">
        <f>IF(OR(AY557="SÁB",AY557="DOM"),0,IFERROR(8-VLOOKUP(K557,'Dados de consulta'!$A$2:$C$38,3,0),8))</f>
        <v>0</v>
      </c>
      <c r="BI557" s="97">
        <f>IF(OR(AY557="SÁB",AY557="DOM"),0,IFERROR(8-VLOOKUP(L557,'Dados de consulta'!$A$2:$C$38,3,0),8))</f>
        <v>0</v>
      </c>
      <c r="BJ557" s="97">
        <f>IF(OR(AY557="SÁB",AY557="DOM"),0,IFERROR(8-VLOOKUP(M557,'Dados de consulta'!$A$2:$C$38,3,0),8))</f>
        <v>0</v>
      </c>
      <c r="BK557" s="97">
        <f>IF(OR(AY557="SÁB",AY557="DOM"),0,IFERROR(8-VLOOKUP(N557,'Dados de consulta'!$A$2:$C$38,3,0),8))</f>
        <v>0</v>
      </c>
      <c r="BL557" s="97">
        <f>IF(OR(AY557="SÁB",AY557="DOM"),0,IFERROR(8-VLOOKUP(O557,'Dados de consulta'!$A$2:$C$38,3,0),8))</f>
        <v>0</v>
      </c>
      <c r="BM557" s="97">
        <f>IF(OR(AY557="SÁB",AY557="DOM"),0,IFERROR(8-VLOOKUP(P557,'Dados de consulta'!$A$2:$C$38,3,0),8))</f>
        <v>0</v>
      </c>
      <c r="BN557" s="97">
        <f>IF(OR(AY557="SÁB",AY557="DOM"),0,IFERROR(8-VLOOKUP(Q557,'Dados de consulta'!$A$2:$C$38,3,0),8))</f>
        <v>0</v>
      </c>
      <c r="BO557" s="97">
        <f>IF(OR(AY557="SÁB",AY557="DOM"),0,IFERROR(8-VLOOKUP(R557,'Dados de consulta'!$A$2:$C$38,3,0),8))</f>
        <v>0</v>
      </c>
      <c r="BP557" s="97">
        <f>IF(OR(AY557="SÁB",AY557="DOM"),0,IFERROR(8-VLOOKUP(S557,'Dados de consulta'!$A$2:$C$38,3,0),8))</f>
        <v>0</v>
      </c>
      <c r="BQ557" s="113">
        <f>IFERROR(6-VLOOKUP(T557,'Dados de consulta'!$A$2:$C$38,3,0)+2,6)</f>
        <v>6</v>
      </c>
      <c r="BR557" s="114">
        <f t="shared" si="232"/>
        <v>0</v>
      </c>
      <c r="BS557">
        <f t="shared" si="208"/>
        <v>0</v>
      </c>
      <c r="BU557">
        <f>IFERROR(8-VLOOKUP(U557,'Dados de consulta'!$A:$D,3,0),8)</f>
        <v>8</v>
      </c>
      <c r="BV557">
        <f>IFERROR(8-VLOOKUP(V557,'Dados de consulta'!$A:$D,3,0),8)</f>
        <v>8</v>
      </c>
      <c r="BW557">
        <f t="shared" si="233"/>
        <v>16</v>
      </c>
    </row>
    <row r="558" spans="1:75" ht="15" hidden="1" x14ac:dyDescent="0.2">
      <c r="A558" s="98">
        <v>42681</v>
      </c>
      <c r="B558" s="129" t="str">
        <f t="shared" si="210"/>
        <v>seg</v>
      </c>
      <c r="C558" s="132"/>
      <c r="D558" s="132">
        <v>18</v>
      </c>
      <c r="E558" s="132"/>
      <c r="F558" s="132"/>
      <c r="G558" s="132"/>
      <c r="H558" s="132"/>
      <c r="I558" s="132"/>
      <c r="J558" s="132"/>
      <c r="K558" s="132"/>
      <c r="L558" s="132"/>
      <c r="M558" s="132">
        <v>101</v>
      </c>
      <c r="N558" s="132"/>
      <c r="O558" s="132"/>
      <c r="P558" s="132"/>
      <c r="Q558" s="132"/>
      <c r="R558" s="132"/>
      <c r="S558" s="132"/>
      <c r="T558" s="132"/>
      <c r="U558" s="151"/>
      <c r="V558" s="151"/>
      <c r="W558" s="307" t="s">
        <v>193</v>
      </c>
      <c r="X558" s="308"/>
      <c r="Y558" s="38">
        <f t="shared" si="211"/>
        <v>0</v>
      </c>
      <c r="Z558" s="38">
        <f t="shared" si="212"/>
        <v>8</v>
      </c>
      <c r="AA558" s="38">
        <f t="shared" si="209"/>
        <v>0</v>
      </c>
      <c r="AB558" s="38">
        <f t="shared" si="220"/>
        <v>0</v>
      </c>
      <c r="AC558" s="38">
        <f t="shared" si="221"/>
        <v>0</v>
      </c>
      <c r="AD558" s="38">
        <f t="shared" si="222"/>
        <v>0</v>
      </c>
      <c r="AE558" s="38">
        <f t="shared" si="223"/>
        <v>0</v>
      </c>
      <c r="AF558" s="38">
        <f t="shared" si="224"/>
        <v>0</v>
      </c>
      <c r="AG558" s="33">
        <f t="shared" si="225"/>
        <v>0</v>
      </c>
      <c r="AH558" s="33">
        <f t="shared" si="226"/>
        <v>8</v>
      </c>
      <c r="AI558" s="33">
        <f t="shared" si="227"/>
        <v>0</v>
      </c>
      <c r="AJ558" s="33">
        <f t="shared" si="228"/>
        <v>0</v>
      </c>
      <c r="AK558" s="34">
        <f t="shared" si="229"/>
        <v>0</v>
      </c>
      <c r="AL558" s="35">
        <f t="shared" si="230"/>
        <v>5.6338028169014086E-2</v>
      </c>
      <c r="AM558" s="34">
        <f t="shared" si="213"/>
        <v>0</v>
      </c>
      <c r="AN558" s="36">
        <f t="shared" si="231"/>
        <v>0</v>
      </c>
      <c r="AO558" s="6">
        <f t="shared" si="214"/>
        <v>0</v>
      </c>
      <c r="AP558">
        <f t="shared" si="215"/>
        <v>8</v>
      </c>
      <c r="AQ558" s="6">
        <f t="shared" si="216"/>
        <v>0</v>
      </c>
      <c r="AR558" s="6">
        <f t="shared" si="217"/>
        <v>0</v>
      </c>
      <c r="AS558" s="6"/>
      <c r="AX558" s="95">
        <f t="shared" si="218"/>
        <v>42681</v>
      </c>
      <c r="AY558" s="96" t="str">
        <f t="shared" si="219"/>
        <v>seg</v>
      </c>
      <c r="AZ558" s="97">
        <f>IF(OR(AY558="SÁB",AY558="DOM"),0,IFERROR(8-VLOOKUP(C558,'Dados de consulta'!$A$2:$C$38,3,0),8))</f>
        <v>8</v>
      </c>
      <c r="BA558" s="97">
        <f>IF(OR(AY558="SÁB",AY558="DOM"),0,IFERROR(8-VLOOKUP(D558,'Dados de consulta'!$A$2:$C$38,3,0),8))</f>
        <v>0</v>
      </c>
      <c r="BB558" s="97">
        <f>IF(OR(AY558="SÁB",AY558="DOM"),0,IFERROR(8-VLOOKUP(E558,'Dados de consulta'!$A$2:$C$38,3,0),8))</f>
        <v>8</v>
      </c>
      <c r="BC558" s="97">
        <f>IF(OR(AY558="SÁB",AY558="DOM"),0,IFERROR(8-VLOOKUP(F558,'Dados de consulta'!$A$2:$C$38,3,0),8))</f>
        <v>8</v>
      </c>
      <c r="BD558" s="97">
        <f>IF(OR(AY558="SÁB",AY558="DOM"),0,IFERROR(8-VLOOKUP(G558,'Dados de consulta'!$A$2:$C$38,3,0),8))</f>
        <v>8</v>
      </c>
      <c r="BE558" s="97">
        <f>IF(OR(AY558="SÁB",AY558="DOM"),0,IFERROR(8-VLOOKUP(H558,'Dados de consulta'!$A$2:$C$38,3,0),8))</f>
        <v>8</v>
      </c>
      <c r="BF558" s="97">
        <f>IF(OR(AY558="SÁB",AY558="DOM"),0,IFERROR(8-VLOOKUP(I558,'Dados de consulta'!$A$2:$C$38,3,0),8))</f>
        <v>8</v>
      </c>
      <c r="BG558" s="97">
        <f>IF(OR(AY558="SÁB",AY558="DOM"),0,IFERROR(8-VLOOKUP(J558,'Dados de consulta'!$A$2:$C$38,3,0),8))</f>
        <v>8</v>
      </c>
      <c r="BH558" s="97">
        <f>IF(OR(AY558="SÁB",AY558="DOM"),0,IFERROR(8-VLOOKUP(K558,'Dados de consulta'!$A$2:$C$38,3,0),8))</f>
        <v>8</v>
      </c>
      <c r="BI558" s="97">
        <f>IF(OR(AY558="SÁB",AY558="DOM"),0,IFERROR(8-VLOOKUP(L558,'Dados de consulta'!$A$2:$C$38,3,0),8))</f>
        <v>8</v>
      </c>
      <c r="BJ558" s="97">
        <f>IF(OR(AY558="SÁB",AY558="DOM"),0,IFERROR(8-VLOOKUP(M558,'Dados de consulta'!$A$2:$C$38,3,0),8))</f>
        <v>0</v>
      </c>
      <c r="BK558" s="97">
        <f>IF(OR(AY558="SÁB",AY558="DOM"),0,IFERROR(8-VLOOKUP(N558,'Dados de consulta'!$A$2:$C$38,3,0),8))</f>
        <v>8</v>
      </c>
      <c r="BL558" s="97">
        <f>IF(OR(AY558="SÁB",AY558="DOM"),0,IFERROR(8-VLOOKUP(O558,'Dados de consulta'!$A$2:$C$38,3,0),8))</f>
        <v>8</v>
      </c>
      <c r="BM558" s="97">
        <f>IF(OR(AY558="SÁB",AY558="DOM"),0,IFERROR(8-VLOOKUP(P558,'Dados de consulta'!$A$2:$C$38,3,0),8))</f>
        <v>8</v>
      </c>
      <c r="BN558" s="97">
        <f>IF(OR(AY558="SÁB",AY558="DOM"),0,IFERROR(8-VLOOKUP(Q558,'Dados de consulta'!$A$2:$C$38,3,0),8))</f>
        <v>8</v>
      </c>
      <c r="BO558" s="97">
        <f>IF(OR(AY558="SÁB",AY558="DOM"),0,IFERROR(8-VLOOKUP(R558,'Dados de consulta'!$A$2:$C$38,3,0),8))</f>
        <v>8</v>
      </c>
      <c r="BP558" s="97">
        <f>IF(OR(AY558="SÁB",AY558="DOM"),0,IFERROR(8-VLOOKUP(S558,'Dados de consulta'!$A$2:$C$38,3,0),8))</f>
        <v>8</v>
      </c>
      <c r="BQ558" s="113">
        <f>IFERROR(6-VLOOKUP(T558,'Dados de consulta'!$A$2:$C$38,3,0)+2,6)</f>
        <v>6</v>
      </c>
      <c r="BR558" s="114">
        <f t="shared" si="232"/>
        <v>126</v>
      </c>
      <c r="BS558">
        <f t="shared" si="208"/>
        <v>134</v>
      </c>
      <c r="BU558">
        <f>IFERROR(8-VLOOKUP(U558,'Dados de consulta'!$A:$D,3,0),8)</f>
        <v>8</v>
      </c>
      <c r="BV558">
        <f>IFERROR(8-VLOOKUP(V558,'Dados de consulta'!$A:$D,3,0),8)</f>
        <v>8</v>
      </c>
      <c r="BW558">
        <f t="shared" si="233"/>
        <v>16</v>
      </c>
    </row>
    <row r="559" spans="1:75" ht="15" hidden="1" x14ac:dyDescent="0.2">
      <c r="A559" s="98">
        <v>42682</v>
      </c>
      <c r="B559" s="129" t="str">
        <f t="shared" si="210"/>
        <v>ter</v>
      </c>
      <c r="C559" s="132"/>
      <c r="D559" s="132">
        <v>18</v>
      </c>
      <c r="E559" s="132"/>
      <c r="F559" s="132"/>
      <c r="G559" s="132"/>
      <c r="H559" s="132"/>
      <c r="I559" s="132"/>
      <c r="J559" s="132"/>
      <c r="K559" s="132"/>
      <c r="L559" s="132"/>
      <c r="M559" s="132">
        <v>101</v>
      </c>
      <c r="N559" s="132"/>
      <c r="O559" s="132"/>
      <c r="P559" s="132"/>
      <c r="Q559" s="132"/>
      <c r="R559" s="132"/>
      <c r="S559" s="132"/>
      <c r="T559" s="132"/>
      <c r="U559" s="151"/>
      <c r="V559" s="151"/>
      <c r="W559" s="307" t="s">
        <v>193</v>
      </c>
      <c r="X559" s="308"/>
      <c r="Y559" s="38">
        <f t="shared" si="211"/>
        <v>0</v>
      </c>
      <c r="Z559" s="38">
        <f t="shared" si="212"/>
        <v>8</v>
      </c>
      <c r="AA559" s="38">
        <f t="shared" si="209"/>
        <v>0</v>
      </c>
      <c r="AB559" s="38">
        <f t="shared" si="220"/>
        <v>0</v>
      </c>
      <c r="AC559" s="38">
        <f t="shared" si="221"/>
        <v>0</v>
      </c>
      <c r="AD559" s="38">
        <f t="shared" si="222"/>
        <v>0</v>
      </c>
      <c r="AE559" s="38">
        <f t="shared" si="223"/>
        <v>0</v>
      </c>
      <c r="AF559" s="38">
        <f t="shared" si="224"/>
        <v>0</v>
      </c>
      <c r="AG559" s="33">
        <f t="shared" si="225"/>
        <v>0</v>
      </c>
      <c r="AH559" s="33">
        <f t="shared" si="226"/>
        <v>8</v>
      </c>
      <c r="AI559" s="33">
        <f t="shared" si="227"/>
        <v>0</v>
      </c>
      <c r="AJ559" s="33">
        <f t="shared" si="228"/>
        <v>0</v>
      </c>
      <c r="AK559" s="34">
        <f t="shared" si="229"/>
        <v>0</v>
      </c>
      <c r="AL559" s="35">
        <f t="shared" si="230"/>
        <v>5.6338028169014086E-2</v>
      </c>
      <c r="AM559" s="34">
        <f t="shared" si="213"/>
        <v>0</v>
      </c>
      <c r="AN559" s="36">
        <f t="shared" si="231"/>
        <v>0</v>
      </c>
      <c r="AO559" s="6">
        <f t="shared" si="214"/>
        <v>0</v>
      </c>
      <c r="AP559">
        <f t="shared" si="215"/>
        <v>8</v>
      </c>
      <c r="AQ559" s="6">
        <f t="shared" si="216"/>
        <v>0</v>
      </c>
      <c r="AR559" s="6">
        <f t="shared" si="217"/>
        <v>0</v>
      </c>
      <c r="AS559" s="6"/>
      <c r="AX559" s="95">
        <f t="shared" si="218"/>
        <v>42682</v>
      </c>
      <c r="AY559" s="96" t="str">
        <f t="shared" si="219"/>
        <v>ter</v>
      </c>
      <c r="AZ559" s="97">
        <f>IF(OR(AY559="SÁB",AY559="DOM"),0,IFERROR(8-VLOOKUP(C559,'Dados de consulta'!$A$2:$C$38,3,0),8))</f>
        <v>8</v>
      </c>
      <c r="BA559" s="97">
        <f>IF(OR(AY559="SÁB",AY559="DOM"),0,IFERROR(8-VLOOKUP(D559,'Dados de consulta'!$A$2:$C$38,3,0),8))</f>
        <v>0</v>
      </c>
      <c r="BB559" s="97">
        <f>IF(OR(AY559="SÁB",AY559="DOM"),0,IFERROR(8-VLOOKUP(E559,'Dados de consulta'!$A$2:$C$38,3,0),8))</f>
        <v>8</v>
      </c>
      <c r="BC559" s="97">
        <f>IF(OR(AY559="SÁB",AY559="DOM"),0,IFERROR(8-VLOOKUP(F559,'Dados de consulta'!$A$2:$C$38,3,0),8))</f>
        <v>8</v>
      </c>
      <c r="BD559" s="97">
        <f>IF(OR(AY559="SÁB",AY559="DOM"),0,IFERROR(8-VLOOKUP(G559,'Dados de consulta'!$A$2:$C$38,3,0),8))</f>
        <v>8</v>
      </c>
      <c r="BE559" s="97">
        <f>IF(OR(AY559="SÁB",AY559="DOM"),0,IFERROR(8-VLOOKUP(H559,'Dados de consulta'!$A$2:$C$38,3,0),8))</f>
        <v>8</v>
      </c>
      <c r="BF559" s="97">
        <f>IF(OR(AY559="SÁB",AY559="DOM"),0,IFERROR(8-VLOOKUP(I559,'Dados de consulta'!$A$2:$C$38,3,0),8))</f>
        <v>8</v>
      </c>
      <c r="BG559" s="97">
        <f>IF(OR(AY559="SÁB",AY559="DOM"),0,IFERROR(8-VLOOKUP(J559,'Dados de consulta'!$A$2:$C$38,3,0),8))</f>
        <v>8</v>
      </c>
      <c r="BH559" s="97">
        <f>IF(OR(AY559="SÁB",AY559="DOM"),0,IFERROR(8-VLOOKUP(K559,'Dados de consulta'!$A$2:$C$38,3,0),8))</f>
        <v>8</v>
      </c>
      <c r="BI559" s="97">
        <f>IF(OR(AY559="SÁB",AY559="DOM"),0,IFERROR(8-VLOOKUP(L559,'Dados de consulta'!$A$2:$C$38,3,0),8))</f>
        <v>8</v>
      </c>
      <c r="BJ559" s="97">
        <f>IF(OR(AY559="SÁB",AY559="DOM"),0,IFERROR(8-VLOOKUP(M559,'Dados de consulta'!$A$2:$C$38,3,0),8))</f>
        <v>0</v>
      </c>
      <c r="BK559" s="97">
        <f>IF(OR(AY559="SÁB",AY559="DOM"),0,IFERROR(8-VLOOKUP(N559,'Dados de consulta'!$A$2:$C$38,3,0),8))</f>
        <v>8</v>
      </c>
      <c r="BL559" s="97">
        <f>IF(OR(AY559="SÁB",AY559="DOM"),0,IFERROR(8-VLOOKUP(O559,'Dados de consulta'!$A$2:$C$38,3,0),8))</f>
        <v>8</v>
      </c>
      <c r="BM559" s="97">
        <f>IF(OR(AY559="SÁB",AY559="DOM"),0,IFERROR(8-VLOOKUP(P559,'Dados de consulta'!$A$2:$C$38,3,0),8))</f>
        <v>8</v>
      </c>
      <c r="BN559" s="97">
        <f>IF(OR(AY559="SÁB",AY559="DOM"),0,IFERROR(8-VLOOKUP(Q559,'Dados de consulta'!$A$2:$C$38,3,0),8))</f>
        <v>8</v>
      </c>
      <c r="BO559" s="97">
        <f>IF(OR(AY559="SÁB",AY559="DOM"),0,IFERROR(8-VLOOKUP(R559,'Dados de consulta'!$A$2:$C$38,3,0),8))</f>
        <v>8</v>
      </c>
      <c r="BP559" s="97">
        <f>IF(OR(AY559="SÁB",AY559="DOM"),0,IFERROR(8-VLOOKUP(S559,'Dados de consulta'!$A$2:$C$38,3,0),8))</f>
        <v>8</v>
      </c>
      <c r="BQ559" s="113">
        <f>IFERROR(6-VLOOKUP(T559,'Dados de consulta'!$A$2:$C$38,3,0)+2,6)</f>
        <v>6</v>
      </c>
      <c r="BR559" s="114">
        <f t="shared" si="232"/>
        <v>126</v>
      </c>
      <c r="BS559">
        <f t="shared" si="208"/>
        <v>134</v>
      </c>
      <c r="BU559">
        <f>IFERROR(8-VLOOKUP(U559,'Dados de consulta'!$A:$D,3,0),8)</f>
        <v>8</v>
      </c>
      <c r="BV559">
        <f>IFERROR(8-VLOOKUP(V559,'Dados de consulta'!$A:$D,3,0),8)</f>
        <v>8</v>
      </c>
      <c r="BW559">
        <f t="shared" si="233"/>
        <v>16</v>
      </c>
    </row>
    <row r="560" spans="1:75" ht="15" hidden="1" x14ac:dyDescent="0.2">
      <c r="A560" s="98">
        <v>42683</v>
      </c>
      <c r="B560" s="129" t="str">
        <f t="shared" si="210"/>
        <v>qua</v>
      </c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>
        <v>101</v>
      </c>
      <c r="N560" s="132"/>
      <c r="O560" s="132"/>
      <c r="P560" s="132"/>
      <c r="Q560" s="132"/>
      <c r="R560" s="132"/>
      <c r="S560" s="132"/>
      <c r="T560" s="132"/>
      <c r="U560" s="151"/>
      <c r="V560" s="151"/>
      <c r="W560" s="307" t="s">
        <v>193</v>
      </c>
      <c r="X560" s="308"/>
      <c r="Y560" s="38">
        <f t="shared" si="211"/>
        <v>0</v>
      </c>
      <c r="Z560" s="38">
        <f t="shared" si="212"/>
        <v>0</v>
      </c>
      <c r="AA560" s="38">
        <f t="shared" si="209"/>
        <v>0</v>
      </c>
      <c r="AB560" s="38">
        <f t="shared" si="220"/>
        <v>0</v>
      </c>
      <c r="AC560" s="38">
        <f t="shared" si="221"/>
        <v>0</v>
      </c>
      <c r="AD560" s="38">
        <f t="shared" si="222"/>
        <v>0</v>
      </c>
      <c r="AE560" s="38">
        <f t="shared" si="223"/>
        <v>0</v>
      </c>
      <c r="AF560" s="38">
        <f t="shared" si="224"/>
        <v>0</v>
      </c>
      <c r="AG560" s="33">
        <f t="shared" si="225"/>
        <v>0</v>
      </c>
      <c r="AH560" s="33">
        <f t="shared" si="226"/>
        <v>0</v>
      </c>
      <c r="AI560" s="33">
        <f t="shared" si="227"/>
        <v>0</v>
      </c>
      <c r="AJ560" s="33">
        <f t="shared" si="228"/>
        <v>0</v>
      </c>
      <c r="AK560" s="34">
        <f t="shared" si="229"/>
        <v>0</v>
      </c>
      <c r="AL560" s="35">
        <f t="shared" si="230"/>
        <v>0</v>
      </c>
      <c r="AM560" s="34">
        <f t="shared" si="213"/>
        <v>0</v>
      </c>
      <c r="AN560" s="36">
        <f t="shared" si="231"/>
        <v>0</v>
      </c>
      <c r="AO560" s="6">
        <f t="shared" si="214"/>
        <v>0</v>
      </c>
      <c r="AP560">
        <f t="shared" si="215"/>
        <v>8</v>
      </c>
      <c r="AQ560" s="6">
        <f t="shared" si="216"/>
        <v>0</v>
      </c>
      <c r="AR560" s="6">
        <f t="shared" si="217"/>
        <v>0</v>
      </c>
      <c r="AS560" s="6"/>
      <c r="AX560" s="95">
        <f t="shared" si="218"/>
        <v>42683</v>
      </c>
      <c r="AY560" s="96" t="str">
        <f t="shared" si="219"/>
        <v>qua</v>
      </c>
      <c r="AZ560" s="97">
        <f>IF(OR(AY560="SÁB",AY560="DOM"),0,IFERROR(8-VLOOKUP(C560,'Dados de consulta'!$A$2:$C$38,3,0),8))</f>
        <v>8</v>
      </c>
      <c r="BA560" s="97">
        <f>IF(OR(AY560="SÁB",AY560="DOM"),0,IFERROR(8-VLOOKUP(D560,'Dados de consulta'!$A$2:$C$38,3,0),8))</f>
        <v>8</v>
      </c>
      <c r="BB560" s="97">
        <f>IF(OR(AY560="SÁB",AY560="DOM"),0,IFERROR(8-VLOOKUP(E560,'Dados de consulta'!$A$2:$C$38,3,0),8))</f>
        <v>8</v>
      </c>
      <c r="BC560" s="97">
        <f>IF(OR(AY560="SÁB",AY560="DOM"),0,IFERROR(8-VLOOKUP(F560,'Dados de consulta'!$A$2:$C$38,3,0),8))</f>
        <v>8</v>
      </c>
      <c r="BD560" s="97">
        <f>IF(OR(AY560="SÁB",AY560="DOM"),0,IFERROR(8-VLOOKUP(G560,'Dados de consulta'!$A$2:$C$38,3,0),8))</f>
        <v>8</v>
      </c>
      <c r="BE560" s="97">
        <f>IF(OR(AY560="SÁB",AY560="DOM"),0,IFERROR(8-VLOOKUP(H560,'Dados de consulta'!$A$2:$C$38,3,0),8))</f>
        <v>8</v>
      </c>
      <c r="BF560" s="97">
        <f>IF(OR(AY560="SÁB",AY560="DOM"),0,IFERROR(8-VLOOKUP(I560,'Dados de consulta'!$A$2:$C$38,3,0),8))</f>
        <v>8</v>
      </c>
      <c r="BG560" s="97">
        <f>IF(OR(AY560="SÁB",AY560="DOM"),0,IFERROR(8-VLOOKUP(J560,'Dados de consulta'!$A$2:$C$38,3,0),8))</f>
        <v>8</v>
      </c>
      <c r="BH560" s="97">
        <f>IF(OR(AY560="SÁB",AY560="DOM"),0,IFERROR(8-VLOOKUP(K560,'Dados de consulta'!$A$2:$C$38,3,0),8))</f>
        <v>8</v>
      </c>
      <c r="BI560" s="97">
        <f>IF(OR(AY560="SÁB",AY560="DOM"),0,IFERROR(8-VLOOKUP(L560,'Dados de consulta'!$A$2:$C$38,3,0),8))</f>
        <v>8</v>
      </c>
      <c r="BJ560" s="97">
        <f>IF(OR(AY560="SÁB",AY560="DOM"),0,IFERROR(8-VLOOKUP(M560,'Dados de consulta'!$A$2:$C$38,3,0),8))</f>
        <v>0</v>
      </c>
      <c r="BK560" s="97">
        <f>IF(OR(AY560="SÁB",AY560="DOM"),0,IFERROR(8-VLOOKUP(N560,'Dados de consulta'!$A$2:$C$38,3,0),8))</f>
        <v>8</v>
      </c>
      <c r="BL560" s="97">
        <f>IF(OR(AY560="SÁB",AY560="DOM"),0,IFERROR(8-VLOOKUP(O560,'Dados de consulta'!$A$2:$C$38,3,0),8))</f>
        <v>8</v>
      </c>
      <c r="BM560" s="97">
        <f>IF(OR(AY560="SÁB",AY560="DOM"),0,IFERROR(8-VLOOKUP(P560,'Dados de consulta'!$A$2:$C$38,3,0),8))</f>
        <v>8</v>
      </c>
      <c r="BN560" s="97">
        <f>IF(OR(AY560="SÁB",AY560="DOM"),0,IFERROR(8-VLOOKUP(Q560,'Dados de consulta'!$A$2:$C$38,3,0),8))</f>
        <v>8</v>
      </c>
      <c r="BO560" s="97">
        <f>IF(OR(AY560="SÁB",AY560="DOM"),0,IFERROR(8-VLOOKUP(R560,'Dados de consulta'!$A$2:$C$38,3,0),8))</f>
        <v>8</v>
      </c>
      <c r="BP560" s="97">
        <f>IF(OR(AY560="SÁB",AY560="DOM"),0,IFERROR(8-VLOOKUP(S560,'Dados de consulta'!$A$2:$C$38,3,0),8))</f>
        <v>8</v>
      </c>
      <c r="BQ560" s="113">
        <f>IFERROR(6-VLOOKUP(T560,'Dados de consulta'!$A$2:$C$38,3,0)+2,6)</f>
        <v>6</v>
      </c>
      <c r="BR560" s="114">
        <f t="shared" si="232"/>
        <v>134</v>
      </c>
      <c r="BS560">
        <f t="shared" si="208"/>
        <v>134</v>
      </c>
      <c r="BU560">
        <f>IFERROR(8-VLOOKUP(U560,'Dados de consulta'!$A:$D,3,0),8)</f>
        <v>8</v>
      </c>
      <c r="BV560">
        <f>IFERROR(8-VLOOKUP(V560,'Dados de consulta'!$A:$D,3,0),8)</f>
        <v>8</v>
      </c>
      <c r="BW560">
        <f t="shared" si="233"/>
        <v>16</v>
      </c>
    </row>
    <row r="561" spans="1:75" ht="15" hidden="1" x14ac:dyDescent="0.2">
      <c r="A561" s="98">
        <v>42684</v>
      </c>
      <c r="B561" s="129" t="str">
        <f t="shared" si="210"/>
        <v>qui</v>
      </c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>
        <v>101</v>
      </c>
      <c r="N561" s="132"/>
      <c r="O561" s="132"/>
      <c r="P561" s="132"/>
      <c r="Q561" s="132"/>
      <c r="R561" s="132"/>
      <c r="S561" s="132"/>
      <c r="T561" s="132"/>
      <c r="U561" s="151"/>
      <c r="V561" s="151"/>
      <c r="W561" s="307" t="s">
        <v>193</v>
      </c>
      <c r="X561" s="308"/>
      <c r="Y561" s="38">
        <f t="shared" si="211"/>
        <v>0</v>
      </c>
      <c r="Z561" s="38">
        <f t="shared" si="212"/>
        <v>0</v>
      </c>
      <c r="AA561" s="38">
        <f t="shared" si="209"/>
        <v>0</v>
      </c>
      <c r="AB561" s="38">
        <f t="shared" si="220"/>
        <v>0</v>
      </c>
      <c r="AC561" s="38">
        <f t="shared" si="221"/>
        <v>0</v>
      </c>
      <c r="AD561" s="38">
        <f t="shared" si="222"/>
        <v>0</v>
      </c>
      <c r="AE561" s="38">
        <f t="shared" si="223"/>
        <v>0</v>
      </c>
      <c r="AF561" s="38">
        <f t="shared" si="224"/>
        <v>0</v>
      </c>
      <c r="AG561" s="33">
        <f t="shared" si="225"/>
        <v>0</v>
      </c>
      <c r="AH561" s="33">
        <f t="shared" si="226"/>
        <v>0</v>
      </c>
      <c r="AI561" s="33">
        <f t="shared" si="227"/>
        <v>0</v>
      </c>
      <c r="AJ561" s="33">
        <f t="shared" si="228"/>
        <v>0</v>
      </c>
      <c r="AK561" s="34">
        <f t="shared" si="229"/>
        <v>0</v>
      </c>
      <c r="AL561" s="35">
        <f t="shared" si="230"/>
        <v>0</v>
      </c>
      <c r="AM561" s="34">
        <f t="shared" si="213"/>
        <v>0</v>
      </c>
      <c r="AN561" s="36">
        <f t="shared" si="231"/>
        <v>0</v>
      </c>
      <c r="AO561" s="6">
        <f t="shared" si="214"/>
        <v>0</v>
      </c>
      <c r="AP561">
        <f t="shared" si="215"/>
        <v>8</v>
      </c>
      <c r="AQ561" s="6">
        <f t="shared" si="216"/>
        <v>0</v>
      </c>
      <c r="AR561" s="6">
        <f t="shared" si="217"/>
        <v>0</v>
      </c>
      <c r="AS561" s="6"/>
      <c r="AX561" s="95">
        <f t="shared" si="218"/>
        <v>42684</v>
      </c>
      <c r="AY561" s="96" t="str">
        <f t="shared" si="219"/>
        <v>qui</v>
      </c>
      <c r="AZ561" s="97">
        <f>IF(OR(AY561="SÁB",AY561="DOM"),0,IFERROR(8-VLOOKUP(C561,'Dados de consulta'!$A$2:$C$38,3,0),8))</f>
        <v>8</v>
      </c>
      <c r="BA561" s="97">
        <f>IF(OR(AY561="SÁB",AY561="DOM"),0,IFERROR(8-VLOOKUP(D561,'Dados de consulta'!$A$2:$C$38,3,0),8))</f>
        <v>8</v>
      </c>
      <c r="BB561" s="97">
        <f>IF(OR(AY561="SÁB",AY561="DOM"),0,IFERROR(8-VLOOKUP(E561,'Dados de consulta'!$A$2:$C$38,3,0),8))</f>
        <v>8</v>
      </c>
      <c r="BC561" s="97">
        <f>IF(OR(AY561="SÁB",AY561="DOM"),0,IFERROR(8-VLOOKUP(F561,'Dados de consulta'!$A$2:$C$38,3,0),8))</f>
        <v>8</v>
      </c>
      <c r="BD561" s="97">
        <f>IF(OR(AY561="SÁB",AY561="DOM"),0,IFERROR(8-VLOOKUP(G561,'Dados de consulta'!$A$2:$C$38,3,0),8))</f>
        <v>8</v>
      </c>
      <c r="BE561" s="97">
        <f>IF(OR(AY561="SÁB",AY561="DOM"),0,IFERROR(8-VLOOKUP(H561,'Dados de consulta'!$A$2:$C$38,3,0),8))</f>
        <v>8</v>
      </c>
      <c r="BF561" s="97">
        <f>IF(OR(AY561="SÁB",AY561="DOM"),0,IFERROR(8-VLOOKUP(I561,'Dados de consulta'!$A$2:$C$38,3,0),8))</f>
        <v>8</v>
      </c>
      <c r="BG561" s="97">
        <f>IF(OR(AY561="SÁB",AY561="DOM"),0,IFERROR(8-VLOOKUP(J561,'Dados de consulta'!$A$2:$C$38,3,0),8))</f>
        <v>8</v>
      </c>
      <c r="BH561" s="97">
        <f>IF(OR(AY561="SÁB",AY561="DOM"),0,IFERROR(8-VLOOKUP(K561,'Dados de consulta'!$A$2:$C$38,3,0),8))</f>
        <v>8</v>
      </c>
      <c r="BI561" s="97">
        <f>IF(OR(AY561="SÁB",AY561="DOM"),0,IFERROR(8-VLOOKUP(L561,'Dados de consulta'!$A$2:$C$38,3,0),8))</f>
        <v>8</v>
      </c>
      <c r="BJ561" s="97">
        <f>IF(OR(AY561="SÁB",AY561="DOM"),0,IFERROR(8-VLOOKUP(M561,'Dados de consulta'!$A$2:$C$38,3,0),8))</f>
        <v>0</v>
      </c>
      <c r="BK561" s="97">
        <f>IF(OR(AY561="SÁB",AY561="DOM"),0,IFERROR(8-VLOOKUP(N561,'Dados de consulta'!$A$2:$C$38,3,0),8))</f>
        <v>8</v>
      </c>
      <c r="BL561" s="97">
        <f>IF(OR(AY561="SÁB",AY561="DOM"),0,IFERROR(8-VLOOKUP(O561,'Dados de consulta'!$A$2:$C$38,3,0),8))</f>
        <v>8</v>
      </c>
      <c r="BM561" s="97">
        <f>IF(OR(AY561="SÁB",AY561="DOM"),0,IFERROR(8-VLOOKUP(P561,'Dados de consulta'!$A$2:$C$38,3,0),8))</f>
        <v>8</v>
      </c>
      <c r="BN561" s="97">
        <f>IF(OR(AY561="SÁB",AY561="DOM"),0,IFERROR(8-VLOOKUP(Q561,'Dados de consulta'!$A$2:$C$38,3,0),8))</f>
        <v>8</v>
      </c>
      <c r="BO561" s="97">
        <f>IF(OR(AY561="SÁB",AY561="DOM"),0,IFERROR(8-VLOOKUP(R561,'Dados de consulta'!$A$2:$C$38,3,0),8))</f>
        <v>8</v>
      </c>
      <c r="BP561" s="97">
        <f>IF(OR(AY561="SÁB",AY561="DOM"),0,IFERROR(8-VLOOKUP(S561,'Dados de consulta'!$A$2:$C$38,3,0),8))</f>
        <v>8</v>
      </c>
      <c r="BQ561" s="113">
        <f>IFERROR(6-VLOOKUP(T561,'Dados de consulta'!$A$2:$C$38,3,0)+2,6)</f>
        <v>6</v>
      </c>
      <c r="BR561" s="114">
        <f t="shared" si="232"/>
        <v>134</v>
      </c>
      <c r="BS561">
        <f t="shared" si="208"/>
        <v>134</v>
      </c>
      <c r="BU561">
        <f>IFERROR(8-VLOOKUP(U561,'Dados de consulta'!$A:$D,3,0),8)</f>
        <v>8</v>
      </c>
      <c r="BV561">
        <f>IFERROR(8-VLOOKUP(V561,'Dados de consulta'!$A:$D,3,0),8)</f>
        <v>8</v>
      </c>
      <c r="BW561">
        <f t="shared" si="233"/>
        <v>16</v>
      </c>
    </row>
    <row r="562" spans="1:75" ht="15" hidden="1" x14ac:dyDescent="0.2">
      <c r="A562" s="98">
        <v>42685</v>
      </c>
      <c r="B562" s="129" t="str">
        <f t="shared" si="210"/>
        <v>sex</v>
      </c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>
        <v>101</v>
      </c>
      <c r="N562" s="132"/>
      <c r="O562" s="132"/>
      <c r="P562" s="132"/>
      <c r="Q562" s="132"/>
      <c r="R562" s="132"/>
      <c r="S562" s="132"/>
      <c r="T562" s="132"/>
      <c r="U562" s="151"/>
      <c r="V562" s="151"/>
      <c r="W562" s="307" t="s">
        <v>193</v>
      </c>
      <c r="X562" s="308"/>
      <c r="Y562" s="38">
        <f t="shared" si="211"/>
        <v>0</v>
      </c>
      <c r="Z562" s="38">
        <f t="shared" si="212"/>
        <v>0</v>
      </c>
      <c r="AA562" s="38">
        <f t="shared" si="209"/>
        <v>0</v>
      </c>
      <c r="AB562" s="38">
        <f t="shared" si="220"/>
        <v>0</v>
      </c>
      <c r="AC562" s="38">
        <f t="shared" si="221"/>
        <v>0</v>
      </c>
      <c r="AD562" s="38">
        <f t="shared" si="222"/>
        <v>0</v>
      </c>
      <c r="AE562" s="38">
        <f t="shared" si="223"/>
        <v>0</v>
      </c>
      <c r="AF562" s="38">
        <f t="shared" si="224"/>
        <v>0</v>
      </c>
      <c r="AG562" s="33">
        <f t="shared" si="225"/>
        <v>0</v>
      </c>
      <c r="AH562" s="33">
        <f t="shared" si="226"/>
        <v>0</v>
      </c>
      <c r="AI562" s="33">
        <f t="shared" si="227"/>
        <v>0</v>
      </c>
      <c r="AJ562" s="33">
        <f t="shared" si="228"/>
        <v>0</v>
      </c>
      <c r="AK562" s="34">
        <f t="shared" si="229"/>
        <v>0</v>
      </c>
      <c r="AL562" s="35">
        <f t="shared" si="230"/>
        <v>0</v>
      </c>
      <c r="AM562" s="34">
        <f t="shared" si="213"/>
        <v>0</v>
      </c>
      <c r="AN562" s="36">
        <f t="shared" si="231"/>
        <v>0</v>
      </c>
      <c r="AO562" s="6">
        <f t="shared" si="214"/>
        <v>0</v>
      </c>
      <c r="AP562">
        <f t="shared" si="215"/>
        <v>8</v>
      </c>
      <c r="AQ562" s="6">
        <f t="shared" si="216"/>
        <v>0</v>
      </c>
      <c r="AR562" s="6">
        <f t="shared" si="217"/>
        <v>0</v>
      </c>
      <c r="AS562" s="6"/>
      <c r="AX562" s="95">
        <f t="shared" si="218"/>
        <v>42685</v>
      </c>
      <c r="AY562" s="96" t="str">
        <f t="shared" si="219"/>
        <v>sex</v>
      </c>
      <c r="AZ562" s="97">
        <f>IF(OR(AY562="SÁB",AY562="DOM"),0,IFERROR(8-VLOOKUP(C562,'Dados de consulta'!$A$2:$C$38,3,0),8))</f>
        <v>8</v>
      </c>
      <c r="BA562" s="97">
        <f>IF(OR(AY562="SÁB",AY562="DOM"),0,IFERROR(8-VLOOKUP(D562,'Dados de consulta'!$A$2:$C$38,3,0),8))</f>
        <v>8</v>
      </c>
      <c r="BB562" s="97">
        <f>IF(OR(AY562="SÁB",AY562="DOM"),0,IFERROR(8-VLOOKUP(E562,'Dados de consulta'!$A$2:$C$38,3,0),8))</f>
        <v>8</v>
      </c>
      <c r="BC562" s="97">
        <f>IF(OR(AY562="SÁB",AY562="DOM"),0,IFERROR(8-VLOOKUP(F562,'Dados de consulta'!$A$2:$C$38,3,0),8))</f>
        <v>8</v>
      </c>
      <c r="BD562" s="97">
        <f>IF(OR(AY562="SÁB",AY562="DOM"),0,IFERROR(8-VLOOKUP(G562,'Dados de consulta'!$A$2:$C$38,3,0),8))</f>
        <v>8</v>
      </c>
      <c r="BE562" s="97">
        <f>IF(OR(AY562="SÁB",AY562="DOM"),0,IFERROR(8-VLOOKUP(H562,'Dados de consulta'!$A$2:$C$38,3,0),8))</f>
        <v>8</v>
      </c>
      <c r="BF562" s="97">
        <f>IF(OR(AY562="SÁB",AY562="DOM"),0,IFERROR(8-VLOOKUP(I562,'Dados de consulta'!$A$2:$C$38,3,0),8))</f>
        <v>8</v>
      </c>
      <c r="BG562" s="97">
        <f>IF(OR(AY562="SÁB",AY562="DOM"),0,IFERROR(8-VLOOKUP(J562,'Dados de consulta'!$A$2:$C$38,3,0),8))</f>
        <v>8</v>
      </c>
      <c r="BH562" s="97">
        <f>IF(OR(AY562="SÁB",AY562="DOM"),0,IFERROR(8-VLOOKUP(K562,'Dados de consulta'!$A$2:$C$38,3,0),8))</f>
        <v>8</v>
      </c>
      <c r="BI562" s="97">
        <f>IF(OR(AY562="SÁB",AY562="DOM"),0,IFERROR(8-VLOOKUP(L562,'Dados de consulta'!$A$2:$C$38,3,0),8))</f>
        <v>8</v>
      </c>
      <c r="BJ562" s="97">
        <f>IF(OR(AY562="SÁB",AY562="DOM"),0,IFERROR(8-VLOOKUP(M562,'Dados de consulta'!$A$2:$C$38,3,0),8))</f>
        <v>0</v>
      </c>
      <c r="BK562" s="97">
        <f>IF(OR(AY562="SÁB",AY562="DOM"),0,IFERROR(8-VLOOKUP(N562,'Dados de consulta'!$A$2:$C$38,3,0),8))</f>
        <v>8</v>
      </c>
      <c r="BL562" s="97">
        <f>IF(OR(AY562="SÁB",AY562="DOM"),0,IFERROR(8-VLOOKUP(O562,'Dados de consulta'!$A$2:$C$38,3,0),8))</f>
        <v>8</v>
      </c>
      <c r="BM562" s="97">
        <f>IF(OR(AY562="SÁB",AY562="DOM"),0,IFERROR(8-VLOOKUP(P562,'Dados de consulta'!$A$2:$C$38,3,0),8))</f>
        <v>8</v>
      </c>
      <c r="BN562" s="97">
        <f>IF(OR(AY562="SÁB",AY562="DOM"),0,IFERROR(8-VLOOKUP(Q562,'Dados de consulta'!$A$2:$C$38,3,0),8))</f>
        <v>8</v>
      </c>
      <c r="BO562" s="97">
        <f>IF(OR(AY562="SÁB",AY562="DOM"),0,IFERROR(8-VLOOKUP(R562,'Dados de consulta'!$A$2:$C$38,3,0),8))</f>
        <v>8</v>
      </c>
      <c r="BP562" s="97">
        <f>IF(OR(AY562="SÁB",AY562="DOM"),0,IFERROR(8-VLOOKUP(S562,'Dados de consulta'!$A$2:$C$38,3,0),8))</f>
        <v>8</v>
      </c>
      <c r="BQ562" s="113">
        <f>IFERROR(6-VLOOKUP(T562,'Dados de consulta'!$A$2:$C$38,3,0)+2,6)</f>
        <v>6</v>
      </c>
      <c r="BR562" s="114">
        <f t="shared" si="232"/>
        <v>134</v>
      </c>
      <c r="BS562">
        <f t="shared" si="208"/>
        <v>134</v>
      </c>
      <c r="BU562">
        <f>IFERROR(8-VLOOKUP(U562,'Dados de consulta'!$A:$D,3,0),8)</f>
        <v>8</v>
      </c>
      <c r="BV562">
        <f>IFERROR(8-VLOOKUP(V562,'Dados de consulta'!$A:$D,3,0),8)</f>
        <v>8</v>
      </c>
      <c r="BW562">
        <f t="shared" si="233"/>
        <v>16</v>
      </c>
    </row>
    <row r="563" spans="1:75" ht="15" hidden="1" x14ac:dyDescent="0.2">
      <c r="A563" s="98">
        <v>42686</v>
      </c>
      <c r="B563" s="129" t="str">
        <f t="shared" si="210"/>
        <v>sáb</v>
      </c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>
        <v>101</v>
      </c>
      <c r="N563" s="132"/>
      <c r="O563" s="132"/>
      <c r="P563" s="132"/>
      <c r="Q563" s="132"/>
      <c r="R563" s="132"/>
      <c r="S563" s="132"/>
      <c r="T563" s="132"/>
      <c r="U563" s="151"/>
      <c r="V563" s="151"/>
      <c r="W563" s="307" t="s">
        <v>193</v>
      </c>
      <c r="X563" s="308"/>
      <c r="Y563" s="38">
        <f t="shared" si="211"/>
        <v>0</v>
      </c>
      <c r="Z563" s="38">
        <f t="shared" si="212"/>
        <v>0</v>
      </c>
      <c r="AA563" s="38">
        <f t="shared" si="209"/>
        <v>0</v>
      </c>
      <c r="AB563" s="38">
        <f t="shared" si="220"/>
        <v>0</v>
      </c>
      <c r="AC563" s="38">
        <f t="shared" si="221"/>
        <v>0</v>
      </c>
      <c r="AD563" s="38">
        <f t="shared" si="222"/>
        <v>0</v>
      </c>
      <c r="AE563" s="38">
        <f t="shared" si="223"/>
        <v>0</v>
      </c>
      <c r="AF563" s="38">
        <f t="shared" si="224"/>
        <v>0</v>
      </c>
      <c r="AG563" s="33">
        <f t="shared" si="225"/>
        <v>0</v>
      </c>
      <c r="AH563" s="33">
        <f t="shared" si="226"/>
        <v>0</v>
      </c>
      <c r="AI563" s="33">
        <f t="shared" si="227"/>
        <v>0</v>
      </c>
      <c r="AJ563" s="33">
        <f t="shared" si="228"/>
        <v>0</v>
      </c>
      <c r="AK563" s="34">
        <f t="shared" si="229"/>
        <v>0</v>
      </c>
      <c r="AL563" s="35">
        <f t="shared" si="230"/>
        <v>0</v>
      </c>
      <c r="AM563" s="34">
        <f t="shared" si="213"/>
        <v>0</v>
      </c>
      <c r="AN563" s="36">
        <f t="shared" si="231"/>
        <v>0</v>
      </c>
      <c r="AO563" s="6">
        <f t="shared" si="214"/>
        <v>0</v>
      </c>
      <c r="AP563">
        <f t="shared" si="215"/>
        <v>8</v>
      </c>
      <c r="AQ563" s="6">
        <f t="shared" si="216"/>
        <v>0</v>
      </c>
      <c r="AR563" s="6">
        <f t="shared" si="217"/>
        <v>0</v>
      </c>
      <c r="AS563" s="6"/>
      <c r="AX563" s="95">
        <f t="shared" si="218"/>
        <v>42686</v>
      </c>
      <c r="AY563" s="96" t="str">
        <f t="shared" si="219"/>
        <v>sáb</v>
      </c>
      <c r="AZ563" s="97">
        <f>IF(OR(AY563="SÁB",AY563="DOM"),0,IFERROR(8-VLOOKUP(C563,'Dados de consulta'!$A$2:$C$38,3,0),8))</f>
        <v>0</v>
      </c>
      <c r="BA563" s="97">
        <f>IF(OR(AY563="SÁB",AY563="DOM"),0,IFERROR(8-VLOOKUP(D563,'Dados de consulta'!$A$2:$C$38,3,0),8))</f>
        <v>0</v>
      </c>
      <c r="BB563" s="97">
        <f>IF(OR(AY563="SÁB",AY563="DOM"),0,IFERROR(8-VLOOKUP(E563,'Dados de consulta'!$A$2:$C$38,3,0),8))</f>
        <v>0</v>
      </c>
      <c r="BC563" s="97">
        <f>IF(OR(AY563="SÁB",AY563="DOM"),0,IFERROR(8-VLOOKUP(F563,'Dados de consulta'!$A$2:$C$38,3,0),8))</f>
        <v>0</v>
      </c>
      <c r="BD563" s="97">
        <f>IF(OR(AY563="SÁB",AY563="DOM"),0,IFERROR(8-VLOOKUP(G563,'Dados de consulta'!$A$2:$C$38,3,0),8))</f>
        <v>0</v>
      </c>
      <c r="BE563" s="97">
        <f>IF(OR(AY563="SÁB",AY563="DOM"),0,IFERROR(8-VLOOKUP(H563,'Dados de consulta'!$A$2:$C$38,3,0),8))</f>
        <v>0</v>
      </c>
      <c r="BF563" s="97">
        <f>IF(OR(AY563="SÁB",AY563="DOM"),0,IFERROR(8-VLOOKUP(I563,'Dados de consulta'!$A$2:$C$38,3,0),8))</f>
        <v>0</v>
      </c>
      <c r="BG563" s="97">
        <f>IF(OR(AY563="SÁB",AY563="DOM"),0,IFERROR(8-VLOOKUP(J563,'Dados de consulta'!$A$2:$C$38,3,0),8))</f>
        <v>0</v>
      </c>
      <c r="BH563" s="97">
        <f>IF(OR(AY563="SÁB",AY563="DOM"),0,IFERROR(8-VLOOKUP(K563,'Dados de consulta'!$A$2:$C$38,3,0),8))</f>
        <v>0</v>
      </c>
      <c r="BI563" s="97">
        <f>IF(OR(AY563="SÁB",AY563="DOM"),0,IFERROR(8-VLOOKUP(L563,'Dados de consulta'!$A$2:$C$38,3,0),8))</f>
        <v>0</v>
      </c>
      <c r="BJ563" s="97">
        <f>IF(OR(AY563="SÁB",AY563="DOM"),0,IFERROR(8-VLOOKUP(M563,'Dados de consulta'!$A$2:$C$38,3,0),8))</f>
        <v>0</v>
      </c>
      <c r="BK563" s="97">
        <f>IF(OR(AY563="SÁB",AY563="DOM"),0,IFERROR(8-VLOOKUP(N563,'Dados de consulta'!$A$2:$C$38,3,0),8))</f>
        <v>0</v>
      </c>
      <c r="BL563" s="97">
        <f>IF(OR(AY563="SÁB",AY563="DOM"),0,IFERROR(8-VLOOKUP(O563,'Dados de consulta'!$A$2:$C$38,3,0),8))</f>
        <v>0</v>
      </c>
      <c r="BM563" s="97">
        <f>IF(OR(AY563="SÁB",AY563="DOM"),0,IFERROR(8-VLOOKUP(P563,'Dados de consulta'!$A$2:$C$38,3,0),8))</f>
        <v>0</v>
      </c>
      <c r="BN563" s="97">
        <f>IF(OR(AY563="SÁB",AY563="DOM"),0,IFERROR(8-VLOOKUP(Q563,'Dados de consulta'!$A$2:$C$38,3,0),8))</f>
        <v>0</v>
      </c>
      <c r="BO563" s="97">
        <f>IF(OR(AY563="SÁB",AY563="DOM"),0,IFERROR(8-VLOOKUP(R563,'Dados de consulta'!$A$2:$C$38,3,0),8))</f>
        <v>0</v>
      </c>
      <c r="BP563" s="97">
        <f>IF(OR(AY563="SÁB",AY563="DOM"),0,IFERROR(8-VLOOKUP(S563,'Dados de consulta'!$A$2:$C$38,3,0),8))</f>
        <v>0</v>
      </c>
      <c r="BQ563" s="113">
        <f>IFERROR(6-VLOOKUP(T563,'Dados de consulta'!$A$2:$C$38,3,0)+2,6)</f>
        <v>6</v>
      </c>
      <c r="BR563" s="114">
        <f t="shared" si="232"/>
        <v>0</v>
      </c>
      <c r="BS563">
        <f t="shared" si="208"/>
        <v>0</v>
      </c>
      <c r="BU563">
        <f>IFERROR(8-VLOOKUP(U563,'Dados de consulta'!$A:$D,3,0),8)</f>
        <v>8</v>
      </c>
      <c r="BV563">
        <f>IFERROR(8-VLOOKUP(V563,'Dados de consulta'!$A:$D,3,0),8)</f>
        <v>8</v>
      </c>
      <c r="BW563">
        <f t="shared" si="233"/>
        <v>16</v>
      </c>
    </row>
    <row r="564" spans="1:75" ht="15" hidden="1" x14ac:dyDescent="0.2">
      <c r="A564" s="98">
        <v>42687</v>
      </c>
      <c r="B564" s="129" t="str">
        <f t="shared" si="210"/>
        <v>dom</v>
      </c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>
        <v>101</v>
      </c>
      <c r="N564" s="132"/>
      <c r="O564" s="132"/>
      <c r="P564" s="132"/>
      <c r="Q564" s="132"/>
      <c r="R564" s="132"/>
      <c r="S564" s="132"/>
      <c r="T564" s="132"/>
      <c r="U564" s="151"/>
      <c r="V564" s="151"/>
      <c r="W564" s="307" t="s">
        <v>193</v>
      </c>
      <c r="X564" s="308"/>
      <c r="Y564" s="38">
        <f t="shared" si="211"/>
        <v>0</v>
      </c>
      <c r="Z564" s="38">
        <f t="shared" si="212"/>
        <v>0</v>
      </c>
      <c r="AA564" s="38">
        <f t="shared" si="209"/>
        <v>0</v>
      </c>
      <c r="AB564" s="38">
        <f t="shared" si="220"/>
        <v>0</v>
      </c>
      <c r="AC564" s="38">
        <f t="shared" si="221"/>
        <v>0</v>
      </c>
      <c r="AD564" s="38">
        <f t="shared" si="222"/>
        <v>0</v>
      </c>
      <c r="AE564" s="38">
        <f t="shared" si="223"/>
        <v>0</v>
      </c>
      <c r="AF564" s="38">
        <f t="shared" si="224"/>
        <v>0</v>
      </c>
      <c r="AG564" s="33">
        <f t="shared" si="225"/>
        <v>0</v>
      </c>
      <c r="AH564" s="33">
        <f t="shared" si="226"/>
        <v>0</v>
      </c>
      <c r="AI564" s="33">
        <f t="shared" si="227"/>
        <v>0</v>
      </c>
      <c r="AJ564" s="33">
        <f t="shared" si="228"/>
        <v>0</v>
      </c>
      <c r="AK564" s="34">
        <f t="shared" si="229"/>
        <v>0</v>
      </c>
      <c r="AL564" s="35">
        <f t="shared" si="230"/>
        <v>0</v>
      </c>
      <c r="AM564" s="34">
        <f t="shared" si="213"/>
        <v>0</v>
      </c>
      <c r="AN564" s="36">
        <f t="shared" si="231"/>
        <v>0</v>
      </c>
      <c r="AO564" s="6">
        <f t="shared" si="214"/>
        <v>0</v>
      </c>
      <c r="AP564">
        <f t="shared" si="215"/>
        <v>8</v>
      </c>
      <c r="AQ564" s="6">
        <f t="shared" si="216"/>
        <v>0</v>
      </c>
      <c r="AR564" s="6">
        <f t="shared" si="217"/>
        <v>0</v>
      </c>
      <c r="AS564" s="6"/>
      <c r="AX564" s="95">
        <f t="shared" si="218"/>
        <v>42687</v>
      </c>
      <c r="AY564" s="96" t="str">
        <f t="shared" si="219"/>
        <v>dom</v>
      </c>
      <c r="AZ564" s="97">
        <f>IF(OR(AY564="SÁB",AY564="DOM"),0,IFERROR(8-VLOOKUP(C564,'Dados de consulta'!$A$2:$C$38,3,0),8))</f>
        <v>0</v>
      </c>
      <c r="BA564" s="97">
        <f>IF(OR(AY564="SÁB",AY564="DOM"),0,IFERROR(8-VLOOKUP(D564,'Dados de consulta'!$A$2:$C$38,3,0),8))</f>
        <v>0</v>
      </c>
      <c r="BB564" s="97">
        <f>IF(OR(AY564="SÁB",AY564="DOM"),0,IFERROR(8-VLOOKUP(E564,'Dados de consulta'!$A$2:$C$38,3,0),8))</f>
        <v>0</v>
      </c>
      <c r="BC564" s="97">
        <f>IF(OR(AY564="SÁB",AY564="DOM"),0,IFERROR(8-VLOOKUP(F564,'Dados de consulta'!$A$2:$C$38,3,0),8))</f>
        <v>0</v>
      </c>
      <c r="BD564" s="97">
        <f>IF(OR(AY564="SÁB",AY564="DOM"),0,IFERROR(8-VLOOKUP(G564,'Dados de consulta'!$A$2:$C$38,3,0),8))</f>
        <v>0</v>
      </c>
      <c r="BE564" s="97">
        <f>IF(OR(AY564="SÁB",AY564="DOM"),0,IFERROR(8-VLOOKUP(H564,'Dados de consulta'!$A$2:$C$38,3,0),8))</f>
        <v>0</v>
      </c>
      <c r="BF564" s="97">
        <f>IF(OR(AY564="SÁB",AY564="DOM"),0,IFERROR(8-VLOOKUP(I564,'Dados de consulta'!$A$2:$C$38,3,0),8))</f>
        <v>0</v>
      </c>
      <c r="BG564" s="97">
        <f>IF(OR(AY564="SÁB",AY564="DOM"),0,IFERROR(8-VLOOKUP(J564,'Dados de consulta'!$A$2:$C$38,3,0),8))</f>
        <v>0</v>
      </c>
      <c r="BH564" s="97">
        <f>IF(OR(AY564="SÁB",AY564="DOM"),0,IFERROR(8-VLOOKUP(K564,'Dados de consulta'!$A$2:$C$38,3,0),8))</f>
        <v>0</v>
      </c>
      <c r="BI564" s="97">
        <f>IF(OR(AY564="SÁB",AY564="DOM"),0,IFERROR(8-VLOOKUP(L564,'Dados de consulta'!$A$2:$C$38,3,0),8))</f>
        <v>0</v>
      </c>
      <c r="BJ564" s="97">
        <f>IF(OR(AY564="SÁB",AY564="DOM"),0,IFERROR(8-VLOOKUP(M564,'Dados de consulta'!$A$2:$C$38,3,0),8))</f>
        <v>0</v>
      </c>
      <c r="BK564" s="97">
        <f>IF(OR(AY564="SÁB",AY564="DOM"),0,IFERROR(8-VLOOKUP(N564,'Dados de consulta'!$A$2:$C$38,3,0),8))</f>
        <v>0</v>
      </c>
      <c r="BL564" s="97">
        <f>IF(OR(AY564="SÁB",AY564="DOM"),0,IFERROR(8-VLOOKUP(O564,'Dados de consulta'!$A$2:$C$38,3,0),8))</f>
        <v>0</v>
      </c>
      <c r="BM564" s="97">
        <f>IF(OR(AY564="SÁB",AY564="DOM"),0,IFERROR(8-VLOOKUP(P564,'Dados de consulta'!$A$2:$C$38,3,0),8))</f>
        <v>0</v>
      </c>
      <c r="BN564" s="97">
        <f>IF(OR(AY564="SÁB",AY564="DOM"),0,IFERROR(8-VLOOKUP(Q564,'Dados de consulta'!$A$2:$C$38,3,0),8))</f>
        <v>0</v>
      </c>
      <c r="BO564" s="97">
        <f>IF(OR(AY564="SÁB",AY564="DOM"),0,IFERROR(8-VLOOKUP(R564,'Dados de consulta'!$A$2:$C$38,3,0),8))</f>
        <v>0</v>
      </c>
      <c r="BP564" s="97">
        <f>IF(OR(AY564="SÁB",AY564="DOM"),0,IFERROR(8-VLOOKUP(S564,'Dados de consulta'!$A$2:$C$38,3,0),8))</f>
        <v>0</v>
      </c>
      <c r="BQ564" s="113">
        <f>IFERROR(6-VLOOKUP(T564,'Dados de consulta'!$A$2:$C$38,3,0)+2,6)</f>
        <v>6</v>
      </c>
      <c r="BR564" s="114">
        <f t="shared" si="232"/>
        <v>0</v>
      </c>
      <c r="BS564">
        <f t="shared" si="208"/>
        <v>0</v>
      </c>
      <c r="BU564">
        <f>IFERROR(8-VLOOKUP(U564,'Dados de consulta'!$A:$D,3,0),8)</f>
        <v>8</v>
      </c>
      <c r="BV564">
        <f>IFERROR(8-VLOOKUP(V564,'Dados de consulta'!$A:$D,3,0),8)</f>
        <v>8</v>
      </c>
      <c r="BW564">
        <f t="shared" si="233"/>
        <v>16</v>
      </c>
    </row>
    <row r="565" spans="1:75" ht="15" hidden="1" x14ac:dyDescent="0.2">
      <c r="A565" s="98">
        <v>42688</v>
      </c>
      <c r="B565" s="129" t="str">
        <f t="shared" si="210"/>
        <v>seg</v>
      </c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>
        <v>101</v>
      </c>
      <c r="N565" s="132"/>
      <c r="O565" s="132"/>
      <c r="P565" s="132"/>
      <c r="Q565" s="132"/>
      <c r="R565" s="132"/>
      <c r="S565" s="132"/>
      <c r="T565" s="132"/>
      <c r="U565" s="151"/>
      <c r="V565" s="151"/>
      <c r="W565" s="307" t="s">
        <v>193</v>
      </c>
      <c r="X565" s="308"/>
      <c r="Y565" s="38">
        <f t="shared" si="211"/>
        <v>0</v>
      </c>
      <c r="Z565" s="38">
        <f t="shared" si="212"/>
        <v>0</v>
      </c>
      <c r="AA565" s="38">
        <f t="shared" si="209"/>
        <v>0</v>
      </c>
      <c r="AB565" s="38">
        <f t="shared" si="220"/>
        <v>0</v>
      </c>
      <c r="AC565" s="38">
        <f t="shared" si="221"/>
        <v>0</v>
      </c>
      <c r="AD565" s="38">
        <f t="shared" si="222"/>
        <v>0</v>
      </c>
      <c r="AE565" s="38">
        <f t="shared" si="223"/>
        <v>0</v>
      </c>
      <c r="AF565" s="38">
        <f t="shared" si="224"/>
        <v>0</v>
      </c>
      <c r="AG565" s="33">
        <f t="shared" si="225"/>
        <v>0</v>
      </c>
      <c r="AH565" s="33">
        <f t="shared" si="226"/>
        <v>0</v>
      </c>
      <c r="AI565" s="33">
        <f t="shared" si="227"/>
        <v>0</v>
      </c>
      <c r="AJ565" s="33">
        <f t="shared" si="228"/>
        <v>0</v>
      </c>
      <c r="AK565" s="34">
        <f t="shared" si="229"/>
        <v>0</v>
      </c>
      <c r="AL565" s="35">
        <f t="shared" si="230"/>
        <v>0</v>
      </c>
      <c r="AM565" s="34">
        <f t="shared" si="213"/>
        <v>0</v>
      </c>
      <c r="AN565" s="36">
        <f t="shared" si="231"/>
        <v>0</v>
      </c>
      <c r="AO565" s="6">
        <f t="shared" si="214"/>
        <v>0</v>
      </c>
      <c r="AP565">
        <f t="shared" si="215"/>
        <v>8</v>
      </c>
      <c r="AQ565" s="6">
        <f t="shared" si="216"/>
        <v>0</v>
      </c>
      <c r="AR565" s="6">
        <f t="shared" si="217"/>
        <v>0</v>
      </c>
      <c r="AS565" s="6"/>
      <c r="AX565" s="95">
        <f t="shared" si="218"/>
        <v>42688</v>
      </c>
      <c r="AY565" s="96" t="str">
        <f t="shared" si="219"/>
        <v>seg</v>
      </c>
      <c r="AZ565" s="97">
        <f>IF(OR(AY565="SÁB",AY565="DOM"),0,IFERROR(8-VLOOKUP(C565,'Dados de consulta'!$A$2:$C$38,3,0),8))</f>
        <v>8</v>
      </c>
      <c r="BA565" s="97">
        <f>IF(OR(AY565="SÁB",AY565="DOM"),0,IFERROR(8-VLOOKUP(D565,'Dados de consulta'!$A$2:$C$38,3,0),8))</f>
        <v>8</v>
      </c>
      <c r="BB565" s="97">
        <f>IF(OR(AY565="SÁB",AY565="DOM"),0,IFERROR(8-VLOOKUP(E565,'Dados de consulta'!$A$2:$C$38,3,0),8))</f>
        <v>8</v>
      </c>
      <c r="BC565" s="97">
        <f>IF(OR(AY565="SÁB",AY565="DOM"),0,IFERROR(8-VLOOKUP(F565,'Dados de consulta'!$A$2:$C$38,3,0),8))</f>
        <v>8</v>
      </c>
      <c r="BD565" s="97">
        <f>IF(OR(AY565="SÁB",AY565="DOM"),0,IFERROR(8-VLOOKUP(G565,'Dados de consulta'!$A$2:$C$38,3,0),8))</f>
        <v>8</v>
      </c>
      <c r="BE565" s="97">
        <f>IF(OR(AY565="SÁB",AY565="DOM"),0,IFERROR(8-VLOOKUP(H565,'Dados de consulta'!$A$2:$C$38,3,0),8))</f>
        <v>8</v>
      </c>
      <c r="BF565" s="97">
        <f>IF(OR(AY565="SÁB",AY565="DOM"),0,IFERROR(8-VLOOKUP(I565,'Dados de consulta'!$A$2:$C$38,3,0),8))</f>
        <v>8</v>
      </c>
      <c r="BG565" s="97">
        <f>IF(OR(AY565="SÁB",AY565="DOM"),0,IFERROR(8-VLOOKUP(J565,'Dados de consulta'!$A$2:$C$38,3,0),8))</f>
        <v>8</v>
      </c>
      <c r="BH565" s="97">
        <f>IF(OR(AY565="SÁB",AY565="DOM"),0,IFERROR(8-VLOOKUP(K565,'Dados de consulta'!$A$2:$C$38,3,0),8))</f>
        <v>8</v>
      </c>
      <c r="BI565" s="97">
        <f>IF(OR(AY565="SÁB",AY565="DOM"),0,IFERROR(8-VLOOKUP(L565,'Dados de consulta'!$A$2:$C$38,3,0),8))</f>
        <v>8</v>
      </c>
      <c r="BJ565" s="97">
        <f>IF(OR(AY565="SÁB",AY565="DOM"),0,IFERROR(8-VLOOKUP(M565,'Dados de consulta'!$A$2:$C$38,3,0),8))</f>
        <v>0</v>
      </c>
      <c r="BK565" s="97">
        <f>IF(OR(AY565="SÁB",AY565="DOM"),0,IFERROR(8-VLOOKUP(N565,'Dados de consulta'!$A$2:$C$38,3,0),8))</f>
        <v>8</v>
      </c>
      <c r="BL565" s="97">
        <f>IF(OR(AY565="SÁB",AY565="DOM"),0,IFERROR(8-VLOOKUP(O565,'Dados de consulta'!$A$2:$C$38,3,0),8))</f>
        <v>8</v>
      </c>
      <c r="BM565" s="97">
        <f>IF(OR(AY565="SÁB",AY565="DOM"),0,IFERROR(8-VLOOKUP(P565,'Dados de consulta'!$A$2:$C$38,3,0),8))</f>
        <v>8</v>
      </c>
      <c r="BN565" s="97">
        <f>IF(OR(AY565="SÁB",AY565="DOM"),0,IFERROR(8-VLOOKUP(Q565,'Dados de consulta'!$A$2:$C$38,3,0),8))</f>
        <v>8</v>
      </c>
      <c r="BO565" s="97">
        <f>IF(OR(AY565="SÁB",AY565="DOM"),0,IFERROR(8-VLOOKUP(R565,'Dados de consulta'!$A$2:$C$38,3,0),8))</f>
        <v>8</v>
      </c>
      <c r="BP565" s="97">
        <f>IF(OR(AY565="SÁB",AY565="DOM"),0,IFERROR(8-VLOOKUP(S565,'Dados de consulta'!$A$2:$C$38,3,0),8))</f>
        <v>8</v>
      </c>
      <c r="BQ565" s="113">
        <f>IFERROR(6-VLOOKUP(T565,'Dados de consulta'!$A$2:$C$38,3,0)+2,6)</f>
        <v>6</v>
      </c>
      <c r="BR565" s="114">
        <f t="shared" si="232"/>
        <v>134</v>
      </c>
      <c r="BS565">
        <f t="shared" si="208"/>
        <v>134</v>
      </c>
      <c r="BU565">
        <f>IFERROR(8-VLOOKUP(U565,'Dados de consulta'!$A:$D,3,0),8)</f>
        <v>8</v>
      </c>
      <c r="BV565">
        <f>IFERROR(8-VLOOKUP(V565,'Dados de consulta'!$A:$D,3,0),8)</f>
        <v>8</v>
      </c>
      <c r="BW565">
        <f t="shared" si="233"/>
        <v>16</v>
      </c>
    </row>
    <row r="566" spans="1:75" ht="15" hidden="1" x14ac:dyDescent="0.2">
      <c r="A566" s="98">
        <v>42689</v>
      </c>
      <c r="B566" s="129" t="str">
        <f t="shared" si="210"/>
        <v>ter</v>
      </c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>
        <v>101</v>
      </c>
      <c r="N566" s="132"/>
      <c r="O566" s="132"/>
      <c r="P566" s="132"/>
      <c r="Q566" s="132"/>
      <c r="R566" s="132"/>
      <c r="S566" s="132"/>
      <c r="T566" s="132"/>
      <c r="U566" s="151"/>
      <c r="V566" s="151"/>
      <c r="W566" s="307" t="s">
        <v>193</v>
      </c>
      <c r="X566" s="308"/>
      <c r="Y566" s="38">
        <f t="shared" si="211"/>
        <v>0</v>
      </c>
      <c r="Z566" s="38">
        <f t="shared" si="212"/>
        <v>0</v>
      </c>
      <c r="AA566" s="38">
        <f t="shared" si="209"/>
        <v>0</v>
      </c>
      <c r="AB566" s="38">
        <f t="shared" si="220"/>
        <v>0</v>
      </c>
      <c r="AC566" s="38">
        <f t="shared" si="221"/>
        <v>0</v>
      </c>
      <c r="AD566" s="38">
        <f t="shared" si="222"/>
        <v>0</v>
      </c>
      <c r="AE566" s="38">
        <f t="shared" si="223"/>
        <v>0</v>
      </c>
      <c r="AF566" s="38">
        <f t="shared" si="224"/>
        <v>0</v>
      </c>
      <c r="AG566" s="33">
        <f t="shared" si="225"/>
        <v>0</v>
      </c>
      <c r="AH566" s="33">
        <f t="shared" si="226"/>
        <v>0</v>
      </c>
      <c r="AI566" s="33">
        <f t="shared" si="227"/>
        <v>0</v>
      </c>
      <c r="AJ566" s="33">
        <f t="shared" si="228"/>
        <v>0</v>
      </c>
      <c r="AK566" s="34">
        <f t="shared" si="229"/>
        <v>0</v>
      </c>
      <c r="AL566" s="35">
        <f t="shared" si="230"/>
        <v>0</v>
      </c>
      <c r="AM566" s="34">
        <f t="shared" si="213"/>
        <v>0</v>
      </c>
      <c r="AN566" s="36">
        <f t="shared" si="231"/>
        <v>0</v>
      </c>
      <c r="AO566" s="6">
        <f t="shared" si="214"/>
        <v>0</v>
      </c>
      <c r="AP566">
        <f t="shared" si="215"/>
        <v>8</v>
      </c>
      <c r="AQ566" s="6">
        <f t="shared" si="216"/>
        <v>0</v>
      </c>
      <c r="AR566" s="6">
        <f t="shared" si="217"/>
        <v>0</v>
      </c>
      <c r="AS566" s="6"/>
      <c r="AX566" s="95">
        <f t="shared" si="218"/>
        <v>42689</v>
      </c>
      <c r="AY566" s="96" t="str">
        <f t="shared" si="219"/>
        <v>ter</v>
      </c>
      <c r="AZ566" s="97">
        <f>IF(OR(AY566="SÁB",AY566="DOM"),0,IFERROR(8-VLOOKUP(C566,'Dados de consulta'!$A$2:$C$38,3,0),8))</f>
        <v>8</v>
      </c>
      <c r="BA566" s="97">
        <f>IF(OR(AY566="SÁB",AY566="DOM"),0,IFERROR(8-VLOOKUP(D566,'Dados de consulta'!$A$2:$C$38,3,0),8))</f>
        <v>8</v>
      </c>
      <c r="BB566" s="97">
        <f>IF(OR(AY566="SÁB",AY566="DOM"),0,IFERROR(8-VLOOKUP(E566,'Dados de consulta'!$A$2:$C$38,3,0),8))</f>
        <v>8</v>
      </c>
      <c r="BC566" s="97">
        <f>IF(OR(AY566="SÁB",AY566="DOM"),0,IFERROR(8-VLOOKUP(F566,'Dados de consulta'!$A$2:$C$38,3,0),8))</f>
        <v>8</v>
      </c>
      <c r="BD566" s="97">
        <f>IF(OR(AY566="SÁB",AY566="DOM"),0,IFERROR(8-VLOOKUP(G566,'Dados de consulta'!$A$2:$C$38,3,0),8))</f>
        <v>8</v>
      </c>
      <c r="BE566" s="97">
        <f>IF(OR(AY566="SÁB",AY566="DOM"),0,IFERROR(8-VLOOKUP(H566,'Dados de consulta'!$A$2:$C$38,3,0),8))</f>
        <v>8</v>
      </c>
      <c r="BF566" s="97">
        <f>IF(OR(AY566="SÁB",AY566="DOM"),0,IFERROR(8-VLOOKUP(I566,'Dados de consulta'!$A$2:$C$38,3,0),8))</f>
        <v>8</v>
      </c>
      <c r="BG566" s="97">
        <f>IF(OR(AY566="SÁB",AY566="DOM"),0,IFERROR(8-VLOOKUP(J566,'Dados de consulta'!$A$2:$C$38,3,0),8))</f>
        <v>8</v>
      </c>
      <c r="BH566" s="97">
        <f>IF(OR(AY566="SÁB",AY566="DOM"),0,IFERROR(8-VLOOKUP(K566,'Dados de consulta'!$A$2:$C$38,3,0),8))</f>
        <v>8</v>
      </c>
      <c r="BI566" s="97">
        <f>IF(OR(AY566="SÁB",AY566="DOM"),0,IFERROR(8-VLOOKUP(L566,'Dados de consulta'!$A$2:$C$38,3,0),8))</f>
        <v>8</v>
      </c>
      <c r="BJ566" s="97">
        <f>IF(OR(AY566="SÁB",AY566="DOM"),0,IFERROR(8-VLOOKUP(M566,'Dados de consulta'!$A$2:$C$38,3,0),8))</f>
        <v>0</v>
      </c>
      <c r="BK566" s="97">
        <f>IF(OR(AY566="SÁB",AY566="DOM"),0,IFERROR(8-VLOOKUP(N566,'Dados de consulta'!$A$2:$C$38,3,0),8))</f>
        <v>8</v>
      </c>
      <c r="BL566" s="97">
        <f>IF(OR(AY566="SÁB",AY566="DOM"),0,IFERROR(8-VLOOKUP(O566,'Dados de consulta'!$A$2:$C$38,3,0),8))</f>
        <v>8</v>
      </c>
      <c r="BM566" s="97">
        <f>IF(OR(AY566="SÁB",AY566="DOM"),0,IFERROR(8-VLOOKUP(P566,'Dados de consulta'!$A$2:$C$38,3,0),8))</f>
        <v>8</v>
      </c>
      <c r="BN566" s="97">
        <f>IF(OR(AY566="SÁB",AY566="DOM"),0,IFERROR(8-VLOOKUP(Q566,'Dados de consulta'!$A$2:$C$38,3,0),8))</f>
        <v>8</v>
      </c>
      <c r="BO566" s="97">
        <f>IF(OR(AY566="SÁB",AY566="DOM"),0,IFERROR(8-VLOOKUP(R566,'Dados de consulta'!$A$2:$C$38,3,0),8))</f>
        <v>8</v>
      </c>
      <c r="BP566" s="97">
        <f>IF(OR(AY566="SÁB",AY566="DOM"),0,IFERROR(8-VLOOKUP(S566,'Dados de consulta'!$A$2:$C$38,3,0),8))</f>
        <v>8</v>
      </c>
      <c r="BQ566" s="113">
        <f>IFERROR(6-VLOOKUP(T566,'Dados de consulta'!$A$2:$C$38,3,0)+2,6)</f>
        <v>6</v>
      </c>
      <c r="BR566" s="114">
        <f t="shared" si="232"/>
        <v>134</v>
      </c>
      <c r="BS566">
        <f t="shared" si="208"/>
        <v>134</v>
      </c>
      <c r="BU566">
        <f>IFERROR(8-VLOOKUP(U566,'Dados de consulta'!$A:$D,3,0),8)</f>
        <v>8</v>
      </c>
      <c r="BV566">
        <f>IFERROR(8-VLOOKUP(V566,'Dados de consulta'!$A:$D,3,0),8)</f>
        <v>8</v>
      </c>
      <c r="BW566">
        <f t="shared" si="233"/>
        <v>16</v>
      </c>
    </row>
    <row r="567" spans="1:75" ht="15" hidden="1" x14ac:dyDescent="0.2">
      <c r="A567" s="98">
        <v>42690</v>
      </c>
      <c r="B567" s="129" t="str">
        <f t="shared" si="210"/>
        <v>qua</v>
      </c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>
        <v>101</v>
      </c>
      <c r="N567" s="132"/>
      <c r="O567" s="132"/>
      <c r="P567" s="132"/>
      <c r="Q567" s="132">
        <v>18</v>
      </c>
      <c r="R567" s="132"/>
      <c r="S567" s="132"/>
      <c r="T567" s="132"/>
      <c r="U567" s="151"/>
      <c r="V567" s="151"/>
      <c r="W567" s="307" t="s">
        <v>193</v>
      </c>
      <c r="X567" s="308"/>
      <c r="Y567" s="38">
        <f t="shared" si="211"/>
        <v>0</v>
      </c>
      <c r="Z567" s="38">
        <f t="shared" si="212"/>
        <v>8</v>
      </c>
      <c r="AA567" s="38">
        <f t="shared" si="209"/>
        <v>0</v>
      </c>
      <c r="AB567" s="38">
        <f t="shared" si="220"/>
        <v>0</v>
      </c>
      <c r="AC567" s="38">
        <f t="shared" si="221"/>
        <v>0</v>
      </c>
      <c r="AD567" s="38">
        <f t="shared" si="222"/>
        <v>0</v>
      </c>
      <c r="AE567" s="38">
        <f t="shared" si="223"/>
        <v>0</v>
      </c>
      <c r="AF567" s="38">
        <f t="shared" si="224"/>
        <v>0</v>
      </c>
      <c r="AG567" s="33">
        <f t="shared" si="225"/>
        <v>0</v>
      </c>
      <c r="AH567" s="33">
        <f t="shared" si="226"/>
        <v>8</v>
      </c>
      <c r="AI567" s="33">
        <f t="shared" si="227"/>
        <v>0</v>
      </c>
      <c r="AJ567" s="33">
        <f t="shared" si="228"/>
        <v>0</v>
      </c>
      <c r="AK567" s="34">
        <f t="shared" si="229"/>
        <v>0</v>
      </c>
      <c r="AL567" s="35">
        <f t="shared" si="230"/>
        <v>5.6338028169014086E-2</v>
      </c>
      <c r="AM567" s="34">
        <f t="shared" si="213"/>
        <v>0</v>
      </c>
      <c r="AN567" s="36">
        <f t="shared" si="231"/>
        <v>0</v>
      </c>
      <c r="AO567" s="6">
        <f t="shared" si="214"/>
        <v>0</v>
      </c>
      <c r="AP567">
        <f t="shared" si="215"/>
        <v>8</v>
      </c>
      <c r="AQ567" s="6">
        <f t="shared" si="216"/>
        <v>0</v>
      </c>
      <c r="AR567" s="6">
        <f t="shared" si="217"/>
        <v>0</v>
      </c>
      <c r="AS567" s="6"/>
      <c r="AX567" s="95">
        <f t="shared" si="218"/>
        <v>42690</v>
      </c>
      <c r="AY567" s="96" t="str">
        <f t="shared" si="219"/>
        <v>qua</v>
      </c>
      <c r="AZ567" s="97">
        <f>IF(OR(AY567="SÁB",AY567="DOM"),0,IFERROR(8-VLOOKUP(C567,'Dados de consulta'!$A$2:$C$38,3,0),8))</f>
        <v>8</v>
      </c>
      <c r="BA567" s="97">
        <f>IF(OR(AY567="SÁB",AY567="DOM"),0,IFERROR(8-VLOOKUP(D567,'Dados de consulta'!$A$2:$C$38,3,0),8))</f>
        <v>8</v>
      </c>
      <c r="BB567" s="97">
        <f>IF(OR(AY567="SÁB",AY567="DOM"),0,IFERROR(8-VLOOKUP(E567,'Dados de consulta'!$A$2:$C$38,3,0),8))</f>
        <v>8</v>
      </c>
      <c r="BC567" s="97">
        <f>IF(OR(AY567="SÁB",AY567="DOM"),0,IFERROR(8-VLOOKUP(F567,'Dados de consulta'!$A$2:$C$38,3,0),8))</f>
        <v>8</v>
      </c>
      <c r="BD567" s="97">
        <f>IF(OR(AY567="SÁB",AY567="DOM"),0,IFERROR(8-VLOOKUP(G567,'Dados de consulta'!$A$2:$C$38,3,0),8))</f>
        <v>8</v>
      </c>
      <c r="BE567" s="97">
        <f>IF(OR(AY567="SÁB",AY567="DOM"),0,IFERROR(8-VLOOKUP(H567,'Dados de consulta'!$A$2:$C$38,3,0),8))</f>
        <v>8</v>
      </c>
      <c r="BF567" s="97">
        <f>IF(OR(AY567="SÁB",AY567="DOM"),0,IFERROR(8-VLOOKUP(I567,'Dados de consulta'!$A$2:$C$38,3,0),8))</f>
        <v>8</v>
      </c>
      <c r="BG567" s="97">
        <f>IF(OR(AY567="SÁB",AY567="DOM"),0,IFERROR(8-VLOOKUP(J567,'Dados de consulta'!$A$2:$C$38,3,0),8))</f>
        <v>8</v>
      </c>
      <c r="BH567" s="97">
        <f>IF(OR(AY567="SÁB",AY567="DOM"),0,IFERROR(8-VLOOKUP(K567,'Dados de consulta'!$A$2:$C$38,3,0),8))</f>
        <v>8</v>
      </c>
      <c r="BI567" s="97">
        <f>IF(OR(AY567="SÁB",AY567="DOM"),0,IFERROR(8-VLOOKUP(L567,'Dados de consulta'!$A$2:$C$38,3,0),8))</f>
        <v>8</v>
      </c>
      <c r="BJ567" s="97">
        <f>IF(OR(AY567="SÁB",AY567="DOM"),0,IFERROR(8-VLOOKUP(M567,'Dados de consulta'!$A$2:$C$38,3,0),8))</f>
        <v>0</v>
      </c>
      <c r="BK567" s="97">
        <f>IF(OR(AY567="SÁB",AY567="DOM"),0,IFERROR(8-VLOOKUP(N567,'Dados de consulta'!$A$2:$C$38,3,0),8))</f>
        <v>8</v>
      </c>
      <c r="BL567" s="97">
        <f>IF(OR(AY567="SÁB",AY567="DOM"),0,IFERROR(8-VLOOKUP(O567,'Dados de consulta'!$A$2:$C$38,3,0),8))</f>
        <v>8</v>
      </c>
      <c r="BM567" s="97">
        <f>IF(OR(AY567="SÁB",AY567="DOM"),0,IFERROR(8-VLOOKUP(P567,'Dados de consulta'!$A$2:$C$38,3,0),8))</f>
        <v>8</v>
      </c>
      <c r="BN567" s="97">
        <f>IF(OR(AY567="SÁB",AY567="DOM"),0,IFERROR(8-VLOOKUP(Q567,'Dados de consulta'!$A$2:$C$38,3,0),8))</f>
        <v>0</v>
      </c>
      <c r="BO567" s="97">
        <f>IF(OR(AY567="SÁB",AY567="DOM"),0,IFERROR(8-VLOOKUP(R567,'Dados de consulta'!$A$2:$C$38,3,0),8))</f>
        <v>8</v>
      </c>
      <c r="BP567" s="97">
        <f>IF(OR(AY567="SÁB",AY567="DOM"),0,IFERROR(8-VLOOKUP(S567,'Dados de consulta'!$A$2:$C$38,3,0),8))</f>
        <v>8</v>
      </c>
      <c r="BQ567" s="113">
        <f>IFERROR(6-VLOOKUP(T567,'Dados de consulta'!$A$2:$C$38,3,0)+2,6)</f>
        <v>6</v>
      </c>
      <c r="BR567" s="114">
        <f t="shared" si="232"/>
        <v>126</v>
      </c>
      <c r="BS567">
        <f t="shared" si="208"/>
        <v>134</v>
      </c>
      <c r="BU567">
        <f>IFERROR(8-VLOOKUP(U567,'Dados de consulta'!$A:$D,3,0),8)</f>
        <v>8</v>
      </c>
      <c r="BV567">
        <f>IFERROR(8-VLOOKUP(V567,'Dados de consulta'!$A:$D,3,0),8)</f>
        <v>8</v>
      </c>
      <c r="BW567">
        <f t="shared" si="233"/>
        <v>16</v>
      </c>
    </row>
    <row r="568" spans="1:75" ht="15" hidden="1" x14ac:dyDescent="0.2">
      <c r="A568" s="98">
        <v>42691</v>
      </c>
      <c r="B568" s="129" t="str">
        <f t="shared" si="210"/>
        <v>qui</v>
      </c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>
        <v>101</v>
      </c>
      <c r="N568" s="132"/>
      <c r="O568" s="132"/>
      <c r="P568" s="132"/>
      <c r="Q568" s="132">
        <v>18</v>
      </c>
      <c r="R568" s="132"/>
      <c r="S568" s="132"/>
      <c r="T568" s="132"/>
      <c r="U568" s="151"/>
      <c r="V568" s="151"/>
      <c r="W568" s="307" t="s">
        <v>193</v>
      </c>
      <c r="X568" s="308"/>
      <c r="Y568" s="38">
        <f t="shared" si="211"/>
        <v>0</v>
      </c>
      <c r="Z568" s="38">
        <f t="shared" si="212"/>
        <v>8</v>
      </c>
      <c r="AA568" s="38">
        <f t="shared" si="209"/>
        <v>0</v>
      </c>
      <c r="AB568" s="38">
        <f t="shared" si="220"/>
        <v>0</v>
      </c>
      <c r="AC568" s="38">
        <f t="shared" si="221"/>
        <v>0</v>
      </c>
      <c r="AD568" s="38">
        <f t="shared" si="222"/>
        <v>0</v>
      </c>
      <c r="AE568" s="38">
        <f t="shared" si="223"/>
        <v>0</v>
      </c>
      <c r="AF568" s="38">
        <f t="shared" si="224"/>
        <v>0</v>
      </c>
      <c r="AG568" s="33">
        <f t="shared" si="225"/>
        <v>0</v>
      </c>
      <c r="AH568" s="33">
        <f t="shared" si="226"/>
        <v>8</v>
      </c>
      <c r="AI568" s="33">
        <f t="shared" si="227"/>
        <v>0</v>
      </c>
      <c r="AJ568" s="33">
        <f t="shared" si="228"/>
        <v>0</v>
      </c>
      <c r="AK568" s="34">
        <f t="shared" si="229"/>
        <v>0</v>
      </c>
      <c r="AL568" s="35">
        <f t="shared" si="230"/>
        <v>5.6338028169014086E-2</v>
      </c>
      <c r="AM568" s="34">
        <f t="shared" si="213"/>
        <v>0</v>
      </c>
      <c r="AN568" s="36">
        <f t="shared" si="231"/>
        <v>0</v>
      </c>
      <c r="AO568" s="6">
        <f t="shared" si="214"/>
        <v>0</v>
      </c>
      <c r="AP568">
        <f t="shared" si="215"/>
        <v>8</v>
      </c>
      <c r="AQ568" s="6">
        <f t="shared" si="216"/>
        <v>0</v>
      </c>
      <c r="AR568" s="6">
        <f t="shared" si="217"/>
        <v>0</v>
      </c>
      <c r="AS568" s="6"/>
      <c r="AX568" s="95">
        <f t="shared" si="218"/>
        <v>42691</v>
      </c>
      <c r="AY568" s="96" t="str">
        <f t="shared" si="219"/>
        <v>qui</v>
      </c>
      <c r="AZ568" s="97">
        <f>IF(OR(AY568="SÁB",AY568="DOM"),0,IFERROR(8-VLOOKUP(C568,'Dados de consulta'!$A$2:$C$38,3,0),8))</f>
        <v>8</v>
      </c>
      <c r="BA568" s="97">
        <f>IF(OR(AY568="SÁB",AY568="DOM"),0,IFERROR(8-VLOOKUP(D568,'Dados de consulta'!$A$2:$C$38,3,0),8))</f>
        <v>8</v>
      </c>
      <c r="BB568" s="97">
        <f>IF(OR(AY568="SÁB",AY568="DOM"),0,IFERROR(8-VLOOKUP(E568,'Dados de consulta'!$A$2:$C$38,3,0),8))</f>
        <v>8</v>
      </c>
      <c r="BC568" s="97">
        <f>IF(OR(AY568="SÁB",AY568="DOM"),0,IFERROR(8-VLOOKUP(F568,'Dados de consulta'!$A$2:$C$38,3,0),8))</f>
        <v>8</v>
      </c>
      <c r="BD568" s="97">
        <f>IF(OR(AY568="SÁB",AY568="DOM"),0,IFERROR(8-VLOOKUP(G568,'Dados de consulta'!$A$2:$C$38,3,0),8))</f>
        <v>8</v>
      </c>
      <c r="BE568" s="97">
        <f>IF(OR(AY568="SÁB",AY568="DOM"),0,IFERROR(8-VLOOKUP(H568,'Dados de consulta'!$A$2:$C$38,3,0),8))</f>
        <v>8</v>
      </c>
      <c r="BF568" s="97">
        <f>IF(OR(AY568="SÁB",AY568="DOM"),0,IFERROR(8-VLOOKUP(I568,'Dados de consulta'!$A$2:$C$38,3,0),8))</f>
        <v>8</v>
      </c>
      <c r="BG568" s="97">
        <f>IF(OR(AY568="SÁB",AY568="DOM"),0,IFERROR(8-VLOOKUP(J568,'Dados de consulta'!$A$2:$C$38,3,0),8))</f>
        <v>8</v>
      </c>
      <c r="BH568" s="97">
        <f>IF(OR(AY568="SÁB",AY568="DOM"),0,IFERROR(8-VLOOKUP(K568,'Dados de consulta'!$A$2:$C$38,3,0),8))</f>
        <v>8</v>
      </c>
      <c r="BI568" s="97">
        <f>IF(OR(AY568="SÁB",AY568="DOM"),0,IFERROR(8-VLOOKUP(L568,'Dados de consulta'!$A$2:$C$38,3,0),8))</f>
        <v>8</v>
      </c>
      <c r="BJ568" s="97">
        <f>IF(OR(AY568="SÁB",AY568="DOM"),0,IFERROR(8-VLOOKUP(M568,'Dados de consulta'!$A$2:$C$38,3,0),8))</f>
        <v>0</v>
      </c>
      <c r="BK568" s="97">
        <f>IF(OR(AY568="SÁB",AY568="DOM"),0,IFERROR(8-VLOOKUP(N568,'Dados de consulta'!$A$2:$C$38,3,0),8))</f>
        <v>8</v>
      </c>
      <c r="BL568" s="97">
        <f>IF(OR(AY568="SÁB",AY568="DOM"),0,IFERROR(8-VLOOKUP(O568,'Dados de consulta'!$A$2:$C$38,3,0),8))</f>
        <v>8</v>
      </c>
      <c r="BM568" s="97">
        <f>IF(OR(AY568="SÁB",AY568="DOM"),0,IFERROR(8-VLOOKUP(P568,'Dados de consulta'!$A$2:$C$38,3,0),8))</f>
        <v>8</v>
      </c>
      <c r="BN568" s="97">
        <f>IF(OR(AY568="SÁB",AY568="DOM"),0,IFERROR(8-VLOOKUP(Q568,'Dados de consulta'!$A$2:$C$38,3,0),8))</f>
        <v>0</v>
      </c>
      <c r="BO568" s="97">
        <f>IF(OR(AY568="SÁB",AY568="DOM"),0,IFERROR(8-VLOOKUP(R568,'Dados de consulta'!$A$2:$C$38,3,0),8))</f>
        <v>8</v>
      </c>
      <c r="BP568" s="97">
        <f>IF(OR(AY568="SÁB",AY568="DOM"),0,IFERROR(8-VLOOKUP(S568,'Dados de consulta'!$A$2:$C$38,3,0),8))</f>
        <v>8</v>
      </c>
      <c r="BQ568" s="113">
        <f>IFERROR(6-VLOOKUP(T568,'Dados de consulta'!$A$2:$C$38,3,0)+2,6)</f>
        <v>6</v>
      </c>
      <c r="BR568" s="114">
        <f t="shared" si="232"/>
        <v>126</v>
      </c>
      <c r="BS568">
        <f t="shared" si="208"/>
        <v>134</v>
      </c>
      <c r="BU568">
        <f>IFERROR(8-VLOOKUP(U568,'Dados de consulta'!$A:$D,3,0),8)</f>
        <v>8</v>
      </c>
      <c r="BV568">
        <f>IFERROR(8-VLOOKUP(V568,'Dados de consulta'!$A:$D,3,0),8)</f>
        <v>8</v>
      </c>
      <c r="BW568">
        <f t="shared" si="233"/>
        <v>16</v>
      </c>
    </row>
    <row r="569" spans="1:75" ht="15" hidden="1" x14ac:dyDescent="0.2">
      <c r="A569" s="98">
        <v>42692</v>
      </c>
      <c r="B569" s="129" t="str">
        <f t="shared" si="210"/>
        <v>sex</v>
      </c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>
        <v>101</v>
      </c>
      <c r="N569" s="132"/>
      <c r="O569" s="132"/>
      <c r="P569" s="132"/>
      <c r="Q569" s="132">
        <v>18</v>
      </c>
      <c r="R569" s="132"/>
      <c r="S569" s="132"/>
      <c r="T569" s="132"/>
      <c r="U569" s="151"/>
      <c r="V569" s="151"/>
      <c r="W569" s="307" t="s">
        <v>193</v>
      </c>
      <c r="X569" s="308"/>
      <c r="Y569" s="38">
        <f t="shared" si="211"/>
        <v>0</v>
      </c>
      <c r="Z569" s="38">
        <f t="shared" si="212"/>
        <v>8</v>
      </c>
      <c r="AA569" s="38">
        <f t="shared" si="209"/>
        <v>0</v>
      </c>
      <c r="AB569" s="38">
        <f t="shared" si="220"/>
        <v>0</v>
      </c>
      <c r="AC569" s="38">
        <f t="shared" si="221"/>
        <v>0</v>
      </c>
      <c r="AD569" s="38">
        <f t="shared" si="222"/>
        <v>0</v>
      </c>
      <c r="AE569" s="38">
        <f t="shared" si="223"/>
        <v>0</v>
      </c>
      <c r="AF569" s="38">
        <f t="shared" si="224"/>
        <v>0</v>
      </c>
      <c r="AG569" s="33">
        <f t="shared" si="225"/>
        <v>0</v>
      </c>
      <c r="AH569" s="33">
        <f t="shared" si="226"/>
        <v>8</v>
      </c>
      <c r="AI569" s="33">
        <f t="shared" si="227"/>
        <v>0</v>
      </c>
      <c r="AJ569" s="33">
        <f t="shared" si="228"/>
        <v>0</v>
      </c>
      <c r="AK569" s="34">
        <f t="shared" si="229"/>
        <v>0</v>
      </c>
      <c r="AL569" s="35">
        <f t="shared" si="230"/>
        <v>5.6338028169014086E-2</v>
      </c>
      <c r="AM569" s="34">
        <f t="shared" si="213"/>
        <v>0</v>
      </c>
      <c r="AN569" s="36">
        <f t="shared" si="231"/>
        <v>0</v>
      </c>
      <c r="AO569" s="6">
        <f t="shared" si="214"/>
        <v>0</v>
      </c>
      <c r="AP569">
        <f t="shared" si="215"/>
        <v>8</v>
      </c>
      <c r="AQ569" s="6">
        <f t="shared" si="216"/>
        <v>0</v>
      </c>
      <c r="AR569" s="6">
        <f t="shared" si="217"/>
        <v>0</v>
      </c>
      <c r="AS569" s="6"/>
      <c r="AX569" s="95">
        <f t="shared" si="218"/>
        <v>42692</v>
      </c>
      <c r="AY569" s="96" t="str">
        <f t="shared" si="219"/>
        <v>sex</v>
      </c>
      <c r="AZ569" s="97">
        <f>IF(OR(AY569="SÁB",AY569="DOM"),0,IFERROR(8-VLOOKUP(C569,'Dados de consulta'!$A$2:$C$38,3,0),8))</f>
        <v>8</v>
      </c>
      <c r="BA569" s="97">
        <f>IF(OR(AY569="SÁB",AY569="DOM"),0,IFERROR(8-VLOOKUP(D569,'Dados de consulta'!$A$2:$C$38,3,0),8))</f>
        <v>8</v>
      </c>
      <c r="BB569" s="97">
        <f>IF(OR(AY569="SÁB",AY569="DOM"),0,IFERROR(8-VLOOKUP(E569,'Dados de consulta'!$A$2:$C$38,3,0),8))</f>
        <v>8</v>
      </c>
      <c r="BC569" s="97">
        <f>IF(OR(AY569="SÁB",AY569="DOM"),0,IFERROR(8-VLOOKUP(F569,'Dados de consulta'!$A$2:$C$38,3,0),8))</f>
        <v>8</v>
      </c>
      <c r="BD569" s="97">
        <f>IF(OR(AY569="SÁB",AY569="DOM"),0,IFERROR(8-VLOOKUP(G569,'Dados de consulta'!$A$2:$C$38,3,0),8))</f>
        <v>8</v>
      </c>
      <c r="BE569" s="97">
        <f>IF(OR(AY569="SÁB",AY569="DOM"),0,IFERROR(8-VLOOKUP(H569,'Dados de consulta'!$A$2:$C$38,3,0),8))</f>
        <v>8</v>
      </c>
      <c r="BF569" s="97">
        <f>IF(OR(AY569="SÁB",AY569="DOM"),0,IFERROR(8-VLOOKUP(I569,'Dados de consulta'!$A$2:$C$38,3,0),8))</f>
        <v>8</v>
      </c>
      <c r="BG569" s="97">
        <f>IF(OR(AY569="SÁB",AY569="DOM"),0,IFERROR(8-VLOOKUP(J569,'Dados de consulta'!$A$2:$C$38,3,0),8))</f>
        <v>8</v>
      </c>
      <c r="BH569" s="97">
        <f>IF(OR(AY569="SÁB",AY569="DOM"),0,IFERROR(8-VLOOKUP(K569,'Dados de consulta'!$A$2:$C$38,3,0),8))</f>
        <v>8</v>
      </c>
      <c r="BI569" s="97">
        <f>IF(OR(AY569="SÁB",AY569="DOM"),0,IFERROR(8-VLOOKUP(L569,'Dados de consulta'!$A$2:$C$38,3,0),8))</f>
        <v>8</v>
      </c>
      <c r="BJ569" s="97">
        <f>IF(OR(AY569="SÁB",AY569="DOM"),0,IFERROR(8-VLOOKUP(M569,'Dados de consulta'!$A$2:$C$38,3,0),8))</f>
        <v>0</v>
      </c>
      <c r="BK569" s="97">
        <f>IF(OR(AY569="SÁB",AY569="DOM"),0,IFERROR(8-VLOOKUP(N569,'Dados de consulta'!$A$2:$C$38,3,0),8))</f>
        <v>8</v>
      </c>
      <c r="BL569" s="97">
        <f>IF(OR(AY569="SÁB",AY569="DOM"),0,IFERROR(8-VLOOKUP(O569,'Dados de consulta'!$A$2:$C$38,3,0),8))</f>
        <v>8</v>
      </c>
      <c r="BM569" s="97">
        <f>IF(OR(AY569="SÁB",AY569="DOM"),0,IFERROR(8-VLOOKUP(P569,'Dados de consulta'!$A$2:$C$38,3,0),8))</f>
        <v>8</v>
      </c>
      <c r="BN569" s="97">
        <f>IF(OR(AY569="SÁB",AY569="DOM"),0,IFERROR(8-VLOOKUP(Q569,'Dados de consulta'!$A$2:$C$38,3,0),8))</f>
        <v>0</v>
      </c>
      <c r="BO569" s="97">
        <f>IF(OR(AY569="SÁB",AY569="DOM"),0,IFERROR(8-VLOOKUP(R569,'Dados de consulta'!$A$2:$C$38,3,0),8))</f>
        <v>8</v>
      </c>
      <c r="BP569" s="97">
        <f>IF(OR(AY569="SÁB",AY569="DOM"),0,IFERROR(8-VLOOKUP(S569,'Dados de consulta'!$A$2:$C$38,3,0),8))</f>
        <v>8</v>
      </c>
      <c r="BQ569" s="113">
        <f>IFERROR(6-VLOOKUP(T569,'Dados de consulta'!$A$2:$C$38,3,0)+2,6)</f>
        <v>6</v>
      </c>
      <c r="BR569" s="114">
        <f t="shared" si="232"/>
        <v>126</v>
      </c>
      <c r="BS569">
        <f t="shared" si="208"/>
        <v>134</v>
      </c>
      <c r="BU569">
        <f>IFERROR(8-VLOOKUP(U569,'Dados de consulta'!$A:$D,3,0),8)</f>
        <v>8</v>
      </c>
      <c r="BV569">
        <f>IFERROR(8-VLOOKUP(V569,'Dados de consulta'!$A:$D,3,0),8)</f>
        <v>8</v>
      </c>
      <c r="BW569">
        <f t="shared" si="233"/>
        <v>16</v>
      </c>
    </row>
    <row r="570" spans="1:75" ht="15" hidden="1" x14ac:dyDescent="0.2">
      <c r="A570" s="98">
        <v>42693</v>
      </c>
      <c r="B570" s="129" t="str">
        <f t="shared" si="210"/>
        <v>sáb</v>
      </c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>
        <v>101</v>
      </c>
      <c r="N570" s="132"/>
      <c r="O570" s="132"/>
      <c r="P570" s="132"/>
      <c r="Q570" s="132">
        <v>18</v>
      </c>
      <c r="R570" s="132"/>
      <c r="S570" s="132"/>
      <c r="T570" s="132"/>
      <c r="U570" s="151"/>
      <c r="V570" s="151"/>
      <c r="W570" s="307" t="s">
        <v>193</v>
      </c>
      <c r="X570" s="308"/>
      <c r="Y570" s="38">
        <f t="shared" si="211"/>
        <v>0</v>
      </c>
      <c r="Z570" s="38">
        <f t="shared" si="212"/>
        <v>8</v>
      </c>
      <c r="AA570" s="38">
        <f t="shared" si="209"/>
        <v>0</v>
      </c>
      <c r="AB570" s="38">
        <f t="shared" si="220"/>
        <v>0</v>
      </c>
      <c r="AC570" s="38">
        <f t="shared" si="221"/>
        <v>0</v>
      </c>
      <c r="AD570" s="38">
        <f t="shared" si="222"/>
        <v>0</v>
      </c>
      <c r="AE570" s="38">
        <f t="shared" si="223"/>
        <v>0</v>
      </c>
      <c r="AF570" s="38">
        <f t="shared" si="224"/>
        <v>0</v>
      </c>
      <c r="AG570" s="33">
        <f t="shared" si="225"/>
        <v>0</v>
      </c>
      <c r="AH570" s="33">
        <f t="shared" si="226"/>
        <v>0</v>
      </c>
      <c r="AI570" s="33">
        <f t="shared" si="227"/>
        <v>0</v>
      </c>
      <c r="AJ570" s="33">
        <f t="shared" si="228"/>
        <v>0</v>
      </c>
      <c r="AK570" s="34">
        <f t="shared" si="229"/>
        <v>0</v>
      </c>
      <c r="AL570" s="35">
        <f t="shared" si="230"/>
        <v>0</v>
      </c>
      <c r="AM570" s="34">
        <f t="shared" si="213"/>
        <v>0</v>
      </c>
      <c r="AN570" s="36">
        <f t="shared" si="231"/>
        <v>0</v>
      </c>
      <c r="AO570" s="6">
        <f t="shared" si="214"/>
        <v>0</v>
      </c>
      <c r="AP570">
        <f t="shared" si="215"/>
        <v>8</v>
      </c>
      <c r="AQ570" s="6">
        <f t="shared" si="216"/>
        <v>0</v>
      </c>
      <c r="AR570" s="6">
        <f t="shared" si="217"/>
        <v>0</v>
      </c>
      <c r="AS570" s="6"/>
      <c r="AX570" s="95">
        <f t="shared" si="218"/>
        <v>42693</v>
      </c>
      <c r="AY570" s="96" t="str">
        <f t="shared" si="219"/>
        <v>sáb</v>
      </c>
      <c r="AZ570" s="97">
        <f>IF(OR(AY570="SÁB",AY570="DOM"),0,IFERROR(8-VLOOKUP(C570,'Dados de consulta'!$A$2:$C$38,3,0),8))</f>
        <v>0</v>
      </c>
      <c r="BA570" s="97">
        <f>IF(OR(AY570="SÁB",AY570="DOM"),0,IFERROR(8-VLOOKUP(D570,'Dados de consulta'!$A$2:$C$38,3,0),8))</f>
        <v>0</v>
      </c>
      <c r="BB570" s="97">
        <f>IF(OR(AY570="SÁB",AY570="DOM"),0,IFERROR(8-VLOOKUP(E570,'Dados de consulta'!$A$2:$C$38,3,0),8))</f>
        <v>0</v>
      </c>
      <c r="BC570" s="97">
        <f>IF(OR(AY570="SÁB",AY570="DOM"),0,IFERROR(8-VLOOKUP(F570,'Dados de consulta'!$A$2:$C$38,3,0),8))</f>
        <v>0</v>
      </c>
      <c r="BD570" s="97">
        <f>IF(OR(AY570="SÁB",AY570="DOM"),0,IFERROR(8-VLOOKUP(G570,'Dados de consulta'!$A$2:$C$38,3,0),8))</f>
        <v>0</v>
      </c>
      <c r="BE570" s="97">
        <f>IF(OR(AY570="SÁB",AY570="DOM"),0,IFERROR(8-VLOOKUP(H570,'Dados de consulta'!$A$2:$C$38,3,0),8))</f>
        <v>0</v>
      </c>
      <c r="BF570" s="97">
        <f>IF(OR(AY570="SÁB",AY570="DOM"),0,IFERROR(8-VLOOKUP(I570,'Dados de consulta'!$A$2:$C$38,3,0),8))</f>
        <v>0</v>
      </c>
      <c r="BG570" s="97">
        <f>IF(OR(AY570="SÁB",AY570="DOM"),0,IFERROR(8-VLOOKUP(J570,'Dados de consulta'!$A$2:$C$38,3,0),8))</f>
        <v>0</v>
      </c>
      <c r="BH570" s="97">
        <f>IF(OR(AY570="SÁB",AY570="DOM"),0,IFERROR(8-VLOOKUP(K570,'Dados de consulta'!$A$2:$C$38,3,0),8))</f>
        <v>0</v>
      </c>
      <c r="BI570" s="97">
        <f>IF(OR(AY570="SÁB",AY570="DOM"),0,IFERROR(8-VLOOKUP(L570,'Dados de consulta'!$A$2:$C$38,3,0),8))</f>
        <v>0</v>
      </c>
      <c r="BJ570" s="97">
        <f>IF(OR(AY570="SÁB",AY570="DOM"),0,IFERROR(8-VLOOKUP(M570,'Dados de consulta'!$A$2:$C$38,3,0),8))</f>
        <v>0</v>
      </c>
      <c r="BK570" s="97">
        <f>IF(OR(AY570="SÁB",AY570="DOM"),0,IFERROR(8-VLOOKUP(N570,'Dados de consulta'!$A$2:$C$38,3,0),8))</f>
        <v>0</v>
      </c>
      <c r="BL570" s="97">
        <f>IF(OR(AY570="SÁB",AY570="DOM"),0,IFERROR(8-VLOOKUP(O570,'Dados de consulta'!$A$2:$C$38,3,0),8))</f>
        <v>0</v>
      </c>
      <c r="BM570" s="97">
        <f>IF(OR(AY570="SÁB",AY570="DOM"),0,IFERROR(8-VLOOKUP(P570,'Dados de consulta'!$A$2:$C$38,3,0),8))</f>
        <v>0</v>
      </c>
      <c r="BN570" s="97">
        <f>IF(OR(AY570="SÁB",AY570="DOM"),0,IFERROR(8-VLOOKUP(Q570,'Dados de consulta'!$A$2:$C$38,3,0),8))</f>
        <v>0</v>
      </c>
      <c r="BO570" s="97">
        <f>IF(OR(AY570="SÁB",AY570="DOM"),0,IFERROR(8-VLOOKUP(R570,'Dados de consulta'!$A$2:$C$38,3,0),8))</f>
        <v>0</v>
      </c>
      <c r="BP570" s="97">
        <f>IF(OR(AY570="SÁB",AY570="DOM"),0,IFERROR(8-VLOOKUP(S570,'Dados de consulta'!$A$2:$C$38,3,0),8))</f>
        <v>0</v>
      </c>
      <c r="BQ570" s="113">
        <f>IFERROR(6-VLOOKUP(T570,'Dados de consulta'!$A$2:$C$38,3,0)+2,6)</f>
        <v>6</v>
      </c>
      <c r="BR570" s="114">
        <f t="shared" si="232"/>
        <v>0</v>
      </c>
      <c r="BS570">
        <f t="shared" si="208"/>
        <v>0</v>
      </c>
      <c r="BU570">
        <f>IFERROR(8-VLOOKUP(U570,'Dados de consulta'!$A:$D,3,0),8)</f>
        <v>8</v>
      </c>
      <c r="BV570">
        <f>IFERROR(8-VLOOKUP(V570,'Dados de consulta'!$A:$D,3,0),8)</f>
        <v>8</v>
      </c>
      <c r="BW570">
        <f t="shared" si="233"/>
        <v>16</v>
      </c>
    </row>
    <row r="571" spans="1:75" ht="15" hidden="1" x14ac:dyDescent="0.2">
      <c r="A571" s="98">
        <v>42694</v>
      </c>
      <c r="B571" s="129" t="str">
        <f t="shared" si="210"/>
        <v>dom</v>
      </c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>
        <v>101</v>
      </c>
      <c r="N571" s="132"/>
      <c r="O571" s="132"/>
      <c r="P571" s="132"/>
      <c r="Q571" s="132">
        <v>18</v>
      </c>
      <c r="R571" s="132"/>
      <c r="S571" s="132"/>
      <c r="T571" s="132"/>
      <c r="U571" s="151"/>
      <c r="V571" s="151"/>
      <c r="W571" s="307" t="s">
        <v>193</v>
      </c>
      <c r="X571" s="308"/>
      <c r="Y571" s="38">
        <f t="shared" si="211"/>
        <v>0</v>
      </c>
      <c r="Z571" s="38">
        <f t="shared" si="212"/>
        <v>8</v>
      </c>
      <c r="AA571" s="38">
        <f t="shared" si="209"/>
        <v>0</v>
      </c>
      <c r="AB571" s="38">
        <f t="shared" si="220"/>
        <v>0</v>
      </c>
      <c r="AC571" s="38">
        <f t="shared" si="221"/>
        <v>0</v>
      </c>
      <c r="AD571" s="38">
        <f t="shared" si="222"/>
        <v>0</v>
      </c>
      <c r="AE571" s="38">
        <f t="shared" si="223"/>
        <v>0</v>
      </c>
      <c r="AF571" s="38">
        <f t="shared" si="224"/>
        <v>0</v>
      </c>
      <c r="AG571" s="33">
        <f t="shared" si="225"/>
        <v>0</v>
      </c>
      <c r="AH571" s="33">
        <f t="shared" si="226"/>
        <v>0</v>
      </c>
      <c r="AI571" s="33">
        <f t="shared" si="227"/>
        <v>0</v>
      </c>
      <c r="AJ571" s="33">
        <f t="shared" si="228"/>
        <v>0</v>
      </c>
      <c r="AK571" s="34">
        <f t="shared" si="229"/>
        <v>0</v>
      </c>
      <c r="AL571" s="35">
        <f t="shared" si="230"/>
        <v>0</v>
      </c>
      <c r="AM571" s="34">
        <f t="shared" si="213"/>
        <v>0</v>
      </c>
      <c r="AN571" s="36">
        <f t="shared" si="231"/>
        <v>0</v>
      </c>
      <c r="AO571" s="6">
        <f t="shared" si="214"/>
        <v>0</v>
      </c>
      <c r="AP571">
        <f t="shared" si="215"/>
        <v>8</v>
      </c>
      <c r="AQ571" s="6">
        <f t="shared" si="216"/>
        <v>0</v>
      </c>
      <c r="AR571" s="6">
        <f t="shared" si="217"/>
        <v>0</v>
      </c>
      <c r="AS571" s="6"/>
      <c r="AX571" s="95">
        <f t="shared" si="218"/>
        <v>42694</v>
      </c>
      <c r="AY571" s="96" t="str">
        <f t="shared" si="219"/>
        <v>dom</v>
      </c>
      <c r="AZ571" s="97">
        <f>IF(OR(AY571="SÁB",AY571="DOM"),0,IFERROR(8-VLOOKUP(C571,'Dados de consulta'!$A$2:$C$38,3,0),8))</f>
        <v>0</v>
      </c>
      <c r="BA571" s="97">
        <f>IF(OR(AY571="SÁB",AY571="DOM"),0,IFERROR(8-VLOOKUP(D571,'Dados de consulta'!$A$2:$C$38,3,0),8))</f>
        <v>0</v>
      </c>
      <c r="BB571" s="97">
        <f>IF(OR(AY571="SÁB",AY571="DOM"),0,IFERROR(8-VLOOKUP(E571,'Dados de consulta'!$A$2:$C$38,3,0),8))</f>
        <v>0</v>
      </c>
      <c r="BC571" s="97">
        <f>IF(OR(AY571="SÁB",AY571="DOM"),0,IFERROR(8-VLOOKUP(F571,'Dados de consulta'!$A$2:$C$38,3,0),8))</f>
        <v>0</v>
      </c>
      <c r="BD571" s="97">
        <f>IF(OR(AY571="SÁB",AY571="DOM"),0,IFERROR(8-VLOOKUP(G571,'Dados de consulta'!$A$2:$C$38,3,0),8))</f>
        <v>0</v>
      </c>
      <c r="BE571" s="97">
        <f>IF(OR(AY571="SÁB",AY571="DOM"),0,IFERROR(8-VLOOKUP(H571,'Dados de consulta'!$A$2:$C$38,3,0),8))</f>
        <v>0</v>
      </c>
      <c r="BF571" s="97">
        <f>IF(OR(AY571="SÁB",AY571="DOM"),0,IFERROR(8-VLOOKUP(I571,'Dados de consulta'!$A$2:$C$38,3,0),8))</f>
        <v>0</v>
      </c>
      <c r="BG571" s="97">
        <f>IF(OR(AY571="SÁB",AY571="DOM"),0,IFERROR(8-VLOOKUP(J571,'Dados de consulta'!$A$2:$C$38,3,0),8))</f>
        <v>0</v>
      </c>
      <c r="BH571" s="97">
        <f>IF(OR(AY571="SÁB",AY571="DOM"),0,IFERROR(8-VLOOKUP(K571,'Dados de consulta'!$A$2:$C$38,3,0),8))</f>
        <v>0</v>
      </c>
      <c r="BI571" s="97">
        <f>IF(OR(AY571="SÁB",AY571="DOM"),0,IFERROR(8-VLOOKUP(L571,'Dados de consulta'!$A$2:$C$38,3,0),8))</f>
        <v>0</v>
      </c>
      <c r="BJ571" s="97">
        <f>IF(OR(AY571="SÁB",AY571="DOM"),0,IFERROR(8-VLOOKUP(M571,'Dados de consulta'!$A$2:$C$38,3,0),8))</f>
        <v>0</v>
      </c>
      <c r="BK571" s="97">
        <f>IF(OR(AY571="SÁB",AY571="DOM"),0,IFERROR(8-VLOOKUP(N571,'Dados de consulta'!$A$2:$C$38,3,0),8))</f>
        <v>0</v>
      </c>
      <c r="BL571" s="97">
        <f>IF(OR(AY571="SÁB",AY571="DOM"),0,IFERROR(8-VLOOKUP(O571,'Dados de consulta'!$A$2:$C$38,3,0),8))</f>
        <v>0</v>
      </c>
      <c r="BM571" s="97">
        <f>IF(OR(AY571="SÁB",AY571="DOM"),0,IFERROR(8-VLOOKUP(P571,'Dados de consulta'!$A$2:$C$38,3,0),8))</f>
        <v>0</v>
      </c>
      <c r="BN571" s="97">
        <f>IF(OR(AY571="SÁB",AY571="DOM"),0,IFERROR(8-VLOOKUP(Q571,'Dados de consulta'!$A$2:$C$38,3,0),8))</f>
        <v>0</v>
      </c>
      <c r="BO571" s="97">
        <f>IF(OR(AY571="SÁB",AY571="DOM"),0,IFERROR(8-VLOOKUP(R571,'Dados de consulta'!$A$2:$C$38,3,0),8))</f>
        <v>0</v>
      </c>
      <c r="BP571" s="97">
        <f>IF(OR(AY571="SÁB",AY571="DOM"),0,IFERROR(8-VLOOKUP(S571,'Dados de consulta'!$A$2:$C$38,3,0),8))</f>
        <v>0</v>
      </c>
      <c r="BQ571" s="113">
        <f>IFERROR(6-VLOOKUP(T571,'Dados de consulta'!$A$2:$C$38,3,0)+2,6)</f>
        <v>6</v>
      </c>
      <c r="BR571" s="114">
        <f t="shared" si="232"/>
        <v>0</v>
      </c>
      <c r="BS571">
        <f t="shared" si="208"/>
        <v>0</v>
      </c>
      <c r="BU571">
        <f>IFERROR(8-VLOOKUP(U571,'Dados de consulta'!$A:$D,3,0),8)</f>
        <v>8</v>
      </c>
      <c r="BV571">
        <f>IFERROR(8-VLOOKUP(V571,'Dados de consulta'!$A:$D,3,0),8)</f>
        <v>8</v>
      </c>
      <c r="BW571">
        <f t="shared" si="233"/>
        <v>16</v>
      </c>
    </row>
    <row r="572" spans="1:75" ht="15" hidden="1" x14ac:dyDescent="0.2">
      <c r="A572" s="98">
        <v>42695</v>
      </c>
      <c r="B572" s="129" t="str">
        <f t="shared" si="210"/>
        <v>seg</v>
      </c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>
        <v>101</v>
      </c>
      <c r="N572" s="132"/>
      <c r="O572" s="132"/>
      <c r="P572" s="132"/>
      <c r="Q572" s="132">
        <v>18</v>
      </c>
      <c r="R572" s="132"/>
      <c r="S572" s="132"/>
      <c r="T572" s="132"/>
      <c r="U572" s="151"/>
      <c r="V572" s="151"/>
      <c r="W572" s="307" t="s">
        <v>193</v>
      </c>
      <c r="X572" s="308"/>
      <c r="Y572" s="38">
        <f t="shared" si="211"/>
        <v>0</v>
      </c>
      <c r="Z572" s="38">
        <f t="shared" si="212"/>
        <v>8</v>
      </c>
      <c r="AA572" s="38">
        <f t="shared" si="209"/>
        <v>0</v>
      </c>
      <c r="AB572" s="38">
        <f t="shared" si="220"/>
        <v>0</v>
      </c>
      <c r="AC572" s="38">
        <f t="shared" si="221"/>
        <v>0</v>
      </c>
      <c r="AD572" s="38">
        <f t="shared" si="222"/>
        <v>0</v>
      </c>
      <c r="AE572" s="38">
        <f t="shared" si="223"/>
        <v>0</v>
      </c>
      <c r="AF572" s="38">
        <f t="shared" si="224"/>
        <v>0</v>
      </c>
      <c r="AG572" s="33">
        <f t="shared" si="225"/>
        <v>0</v>
      </c>
      <c r="AH572" s="33">
        <f t="shared" si="226"/>
        <v>8</v>
      </c>
      <c r="AI572" s="33">
        <f t="shared" si="227"/>
        <v>0</v>
      </c>
      <c r="AJ572" s="33">
        <f t="shared" si="228"/>
        <v>0</v>
      </c>
      <c r="AK572" s="34">
        <f t="shared" si="229"/>
        <v>0</v>
      </c>
      <c r="AL572" s="35">
        <f t="shared" si="230"/>
        <v>5.6338028169014086E-2</v>
      </c>
      <c r="AM572" s="34">
        <f t="shared" si="213"/>
        <v>0</v>
      </c>
      <c r="AN572" s="36">
        <f t="shared" si="231"/>
        <v>0</v>
      </c>
      <c r="AO572" s="6">
        <f t="shared" si="214"/>
        <v>0</v>
      </c>
      <c r="AP572">
        <f t="shared" si="215"/>
        <v>8</v>
      </c>
      <c r="AQ572" s="6">
        <f t="shared" si="216"/>
        <v>0</v>
      </c>
      <c r="AR572" s="6">
        <f t="shared" si="217"/>
        <v>0</v>
      </c>
      <c r="AS572" s="6"/>
      <c r="AX572" s="95">
        <f t="shared" si="218"/>
        <v>42695</v>
      </c>
      <c r="AY572" s="96" t="str">
        <f t="shared" si="219"/>
        <v>seg</v>
      </c>
      <c r="AZ572" s="97">
        <f>IF(OR(AY572="SÁB",AY572="DOM"),0,IFERROR(8-VLOOKUP(C572,'Dados de consulta'!$A$2:$C$38,3,0),8))</f>
        <v>8</v>
      </c>
      <c r="BA572" s="97">
        <f>IF(OR(AY572="SÁB",AY572="DOM"),0,IFERROR(8-VLOOKUP(D572,'Dados de consulta'!$A$2:$C$38,3,0),8))</f>
        <v>8</v>
      </c>
      <c r="BB572" s="97">
        <f>IF(OR(AY572="SÁB",AY572="DOM"),0,IFERROR(8-VLOOKUP(E572,'Dados de consulta'!$A$2:$C$38,3,0),8))</f>
        <v>8</v>
      </c>
      <c r="BC572" s="97">
        <f>IF(OR(AY572="SÁB",AY572="DOM"),0,IFERROR(8-VLOOKUP(F572,'Dados de consulta'!$A$2:$C$38,3,0),8))</f>
        <v>8</v>
      </c>
      <c r="BD572" s="97">
        <f>IF(OR(AY572="SÁB",AY572="DOM"),0,IFERROR(8-VLOOKUP(G572,'Dados de consulta'!$A$2:$C$38,3,0),8))</f>
        <v>8</v>
      </c>
      <c r="BE572" s="97">
        <f>IF(OR(AY572="SÁB",AY572="DOM"),0,IFERROR(8-VLOOKUP(H572,'Dados de consulta'!$A$2:$C$38,3,0),8))</f>
        <v>8</v>
      </c>
      <c r="BF572" s="97">
        <f>IF(OR(AY572="SÁB",AY572="DOM"),0,IFERROR(8-VLOOKUP(I572,'Dados de consulta'!$A$2:$C$38,3,0),8))</f>
        <v>8</v>
      </c>
      <c r="BG572" s="97">
        <f>IF(OR(AY572="SÁB",AY572="DOM"),0,IFERROR(8-VLOOKUP(J572,'Dados de consulta'!$A$2:$C$38,3,0),8))</f>
        <v>8</v>
      </c>
      <c r="BH572" s="97">
        <f>IF(OR(AY572="SÁB",AY572="DOM"),0,IFERROR(8-VLOOKUP(K572,'Dados de consulta'!$A$2:$C$38,3,0),8))</f>
        <v>8</v>
      </c>
      <c r="BI572" s="97">
        <f>IF(OR(AY572="SÁB",AY572="DOM"),0,IFERROR(8-VLOOKUP(L572,'Dados de consulta'!$A$2:$C$38,3,0),8))</f>
        <v>8</v>
      </c>
      <c r="BJ572" s="97">
        <f>IF(OR(AY572="SÁB",AY572="DOM"),0,IFERROR(8-VLOOKUP(M572,'Dados de consulta'!$A$2:$C$38,3,0),8))</f>
        <v>0</v>
      </c>
      <c r="BK572" s="97">
        <f>IF(OR(AY572="SÁB",AY572="DOM"),0,IFERROR(8-VLOOKUP(N572,'Dados de consulta'!$A$2:$C$38,3,0),8))</f>
        <v>8</v>
      </c>
      <c r="BL572" s="97">
        <f>IF(OR(AY572="SÁB",AY572="DOM"),0,IFERROR(8-VLOOKUP(O572,'Dados de consulta'!$A$2:$C$38,3,0),8))</f>
        <v>8</v>
      </c>
      <c r="BM572" s="97">
        <f>IF(OR(AY572="SÁB",AY572="DOM"),0,IFERROR(8-VLOOKUP(P572,'Dados de consulta'!$A$2:$C$38,3,0),8))</f>
        <v>8</v>
      </c>
      <c r="BN572" s="97">
        <f>IF(OR(AY572="SÁB",AY572="DOM"),0,IFERROR(8-VLOOKUP(Q572,'Dados de consulta'!$A$2:$C$38,3,0),8))</f>
        <v>0</v>
      </c>
      <c r="BO572" s="97">
        <f>IF(OR(AY572="SÁB",AY572="DOM"),0,IFERROR(8-VLOOKUP(R572,'Dados de consulta'!$A$2:$C$38,3,0),8))</f>
        <v>8</v>
      </c>
      <c r="BP572" s="97">
        <f>IF(OR(AY572="SÁB",AY572="DOM"),0,IFERROR(8-VLOOKUP(S572,'Dados de consulta'!$A$2:$C$38,3,0),8))</f>
        <v>8</v>
      </c>
      <c r="BQ572" s="113">
        <f>IFERROR(6-VLOOKUP(T572,'Dados de consulta'!$A$2:$C$38,3,0)+2,6)</f>
        <v>6</v>
      </c>
      <c r="BR572" s="114">
        <f t="shared" si="232"/>
        <v>126</v>
      </c>
      <c r="BS572">
        <f t="shared" si="208"/>
        <v>134</v>
      </c>
      <c r="BU572">
        <f>IFERROR(8-VLOOKUP(U572,'Dados de consulta'!$A:$D,3,0),8)</f>
        <v>8</v>
      </c>
      <c r="BV572">
        <f>IFERROR(8-VLOOKUP(V572,'Dados de consulta'!$A:$D,3,0),8)</f>
        <v>8</v>
      </c>
      <c r="BW572">
        <f t="shared" si="233"/>
        <v>16</v>
      </c>
    </row>
    <row r="573" spans="1:75" ht="15" hidden="1" x14ac:dyDescent="0.2">
      <c r="A573" s="98">
        <v>42696</v>
      </c>
      <c r="B573" s="129" t="str">
        <f t="shared" si="210"/>
        <v>ter</v>
      </c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>
        <v>101</v>
      </c>
      <c r="N573" s="132"/>
      <c r="O573" s="132"/>
      <c r="P573" s="132"/>
      <c r="Q573" s="132">
        <v>18</v>
      </c>
      <c r="R573" s="132"/>
      <c r="S573" s="132"/>
      <c r="T573" s="132"/>
      <c r="U573" s="151"/>
      <c r="V573" s="151"/>
      <c r="W573" s="307" t="s">
        <v>193</v>
      </c>
      <c r="X573" s="308"/>
      <c r="Y573" s="38">
        <f t="shared" si="211"/>
        <v>0</v>
      </c>
      <c r="Z573" s="38">
        <f t="shared" si="212"/>
        <v>8</v>
      </c>
      <c r="AA573" s="38">
        <f t="shared" si="209"/>
        <v>0</v>
      </c>
      <c r="AB573" s="38">
        <f t="shared" si="220"/>
        <v>0</v>
      </c>
      <c r="AC573" s="38">
        <f t="shared" si="221"/>
        <v>0</v>
      </c>
      <c r="AD573" s="38">
        <f t="shared" si="222"/>
        <v>0</v>
      </c>
      <c r="AE573" s="38">
        <f t="shared" si="223"/>
        <v>0</v>
      </c>
      <c r="AF573" s="38">
        <f t="shared" si="224"/>
        <v>0</v>
      </c>
      <c r="AG573" s="33">
        <f t="shared" si="225"/>
        <v>0</v>
      </c>
      <c r="AH573" s="33">
        <f t="shared" si="226"/>
        <v>8</v>
      </c>
      <c r="AI573" s="33">
        <f t="shared" si="227"/>
        <v>0</v>
      </c>
      <c r="AJ573" s="33">
        <f t="shared" si="228"/>
        <v>0</v>
      </c>
      <c r="AK573" s="34">
        <f t="shared" si="229"/>
        <v>0</v>
      </c>
      <c r="AL573" s="35">
        <f t="shared" si="230"/>
        <v>5.6338028169014086E-2</v>
      </c>
      <c r="AM573" s="34">
        <f t="shared" si="213"/>
        <v>0</v>
      </c>
      <c r="AN573" s="36">
        <f t="shared" si="231"/>
        <v>0</v>
      </c>
      <c r="AO573" s="6">
        <f t="shared" si="214"/>
        <v>0</v>
      </c>
      <c r="AP573">
        <f t="shared" si="215"/>
        <v>8</v>
      </c>
      <c r="AQ573" s="6">
        <f t="shared" si="216"/>
        <v>0</v>
      </c>
      <c r="AR573" s="6">
        <f t="shared" si="217"/>
        <v>0</v>
      </c>
      <c r="AS573" s="6"/>
      <c r="AX573" s="95">
        <f t="shared" si="218"/>
        <v>42696</v>
      </c>
      <c r="AY573" s="96" t="str">
        <f t="shared" si="219"/>
        <v>ter</v>
      </c>
      <c r="AZ573" s="97">
        <f>IF(OR(AY573="SÁB",AY573="DOM"),0,IFERROR(8-VLOOKUP(C573,'Dados de consulta'!$A$2:$C$38,3,0),8))</f>
        <v>8</v>
      </c>
      <c r="BA573" s="97">
        <f>IF(OR(AY573="SÁB",AY573="DOM"),0,IFERROR(8-VLOOKUP(D573,'Dados de consulta'!$A$2:$C$38,3,0),8))</f>
        <v>8</v>
      </c>
      <c r="BB573" s="97">
        <f>IF(OR(AY573="SÁB",AY573="DOM"),0,IFERROR(8-VLOOKUP(E573,'Dados de consulta'!$A$2:$C$38,3,0),8))</f>
        <v>8</v>
      </c>
      <c r="BC573" s="97">
        <f>IF(OR(AY573="SÁB",AY573="DOM"),0,IFERROR(8-VLOOKUP(F573,'Dados de consulta'!$A$2:$C$38,3,0),8))</f>
        <v>8</v>
      </c>
      <c r="BD573" s="97">
        <f>IF(OR(AY573="SÁB",AY573="DOM"),0,IFERROR(8-VLOOKUP(G573,'Dados de consulta'!$A$2:$C$38,3,0),8))</f>
        <v>8</v>
      </c>
      <c r="BE573" s="97">
        <f>IF(OR(AY573="SÁB",AY573="DOM"),0,IFERROR(8-VLOOKUP(H573,'Dados de consulta'!$A$2:$C$38,3,0),8))</f>
        <v>8</v>
      </c>
      <c r="BF573" s="97">
        <f>IF(OR(AY573="SÁB",AY573="DOM"),0,IFERROR(8-VLOOKUP(I573,'Dados de consulta'!$A$2:$C$38,3,0),8))</f>
        <v>8</v>
      </c>
      <c r="BG573" s="97">
        <f>IF(OR(AY573="SÁB",AY573="DOM"),0,IFERROR(8-VLOOKUP(J573,'Dados de consulta'!$A$2:$C$38,3,0),8))</f>
        <v>8</v>
      </c>
      <c r="BH573" s="97">
        <f>IF(OR(AY573="SÁB",AY573="DOM"),0,IFERROR(8-VLOOKUP(K573,'Dados de consulta'!$A$2:$C$38,3,0),8))</f>
        <v>8</v>
      </c>
      <c r="BI573" s="97">
        <f>IF(OR(AY573="SÁB",AY573="DOM"),0,IFERROR(8-VLOOKUP(L573,'Dados de consulta'!$A$2:$C$38,3,0),8))</f>
        <v>8</v>
      </c>
      <c r="BJ573" s="97">
        <f>IF(OR(AY573="SÁB",AY573="DOM"),0,IFERROR(8-VLOOKUP(M573,'Dados de consulta'!$A$2:$C$38,3,0),8))</f>
        <v>0</v>
      </c>
      <c r="BK573" s="97">
        <f>IF(OR(AY573="SÁB",AY573="DOM"),0,IFERROR(8-VLOOKUP(N573,'Dados de consulta'!$A$2:$C$38,3,0),8))</f>
        <v>8</v>
      </c>
      <c r="BL573" s="97">
        <f>IF(OR(AY573="SÁB",AY573="DOM"),0,IFERROR(8-VLOOKUP(O573,'Dados de consulta'!$A$2:$C$38,3,0),8))</f>
        <v>8</v>
      </c>
      <c r="BM573" s="97">
        <f>IF(OR(AY573="SÁB",AY573="DOM"),0,IFERROR(8-VLOOKUP(P573,'Dados de consulta'!$A$2:$C$38,3,0),8))</f>
        <v>8</v>
      </c>
      <c r="BN573" s="97">
        <f>IF(OR(AY573="SÁB",AY573="DOM"),0,IFERROR(8-VLOOKUP(Q573,'Dados de consulta'!$A$2:$C$38,3,0),8))</f>
        <v>0</v>
      </c>
      <c r="BO573" s="97">
        <f>IF(OR(AY573="SÁB",AY573="DOM"),0,IFERROR(8-VLOOKUP(R573,'Dados de consulta'!$A$2:$C$38,3,0),8))</f>
        <v>8</v>
      </c>
      <c r="BP573" s="97">
        <f>IF(OR(AY573="SÁB",AY573="DOM"),0,IFERROR(8-VLOOKUP(S573,'Dados de consulta'!$A$2:$C$38,3,0),8))</f>
        <v>8</v>
      </c>
      <c r="BQ573" s="113">
        <f>IFERROR(6-VLOOKUP(T573,'Dados de consulta'!$A$2:$C$38,3,0)+2,6)</f>
        <v>6</v>
      </c>
      <c r="BR573" s="114">
        <f t="shared" si="232"/>
        <v>126</v>
      </c>
      <c r="BS573">
        <f t="shared" si="208"/>
        <v>134</v>
      </c>
      <c r="BU573">
        <f>IFERROR(8-VLOOKUP(U573,'Dados de consulta'!$A:$D,3,0),8)</f>
        <v>8</v>
      </c>
      <c r="BV573">
        <f>IFERROR(8-VLOOKUP(V573,'Dados de consulta'!$A:$D,3,0),8)</f>
        <v>8</v>
      </c>
      <c r="BW573">
        <f t="shared" si="233"/>
        <v>16</v>
      </c>
    </row>
    <row r="574" spans="1:75" ht="15" hidden="1" x14ac:dyDescent="0.2">
      <c r="A574" s="98">
        <v>42697</v>
      </c>
      <c r="B574" s="129" t="str">
        <f t="shared" si="210"/>
        <v>qua</v>
      </c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>
        <v>101</v>
      </c>
      <c r="N574" s="132"/>
      <c r="O574" s="132"/>
      <c r="P574" s="132"/>
      <c r="Q574" s="132">
        <v>18</v>
      </c>
      <c r="R574" s="132"/>
      <c r="S574" s="132"/>
      <c r="T574" s="132"/>
      <c r="U574" s="151"/>
      <c r="V574" s="151"/>
      <c r="W574" s="307" t="s">
        <v>193</v>
      </c>
      <c r="X574" s="308"/>
      <c r="Y574" s="38">
        <f t="shared" si="211"/>
        <v>0</v>
      </c>
      <c r="Z574" s="38">
        <f t="shared" si="212"/>
        <v>8</v>
      </c>
      <c r="AA574" s="38">
        <f t="shared" si="209"/>
        <v>0</v>
      </c>
      <c r="AB574" s="38">
        <f t="shared" si="220"/>
        <v>0</v>
      </c>
      <c r="AC574" s="38">
        <f t="shared" si="221"/>
        <v>0</v>
      </c>
      <c r="AD574" s="38">
        <f t="shared" si="222"/>
        <v>0</v>
      </c>
      <c r="AE574" s="38">
        <f t="shared" si="223"/>
        <v>0</v>
      </c>
      <c r="AF574" s="38">
        <f t="shared" si="224"/>
        <v>0</v>
      </c>
      <c r="AG574" s="33">
        <f t="shared" si="225"/>
        <v>0</v>
      </c>
      <c r="AH574" s="33">
        <f t="shared" si="226"/>
        <v>8</v>
      </c>
      <c r="AI574" s="33">
        <f t="shared" si="227"/>
        <v>0</v>
      </c>
      <c r="AJ574" s="33">
        <f t="shared" si="228"/>
        <v>0</v>
      </c>
      <c r="AK574" s="34">
        <f t="shared" si="229"/>
        <v>0</v>
      </c>
      <c r="AL574" s="35">
        <f t="shared" si="230"/>
        <v>5.6338028169014086E-2</v>
      </c>
      <c r="AM574" s="34">
        <f t="shared" si="213"/>
        <v>0</v>
      </c>
      <c r="AN574" s="36">
        <f t="shared" si="231"/>
        <v>0</v>
      </c>
      <c r="AO574" s="6">
        <f t="shared" si="214"/>
        <v>0</v>
      </c>
      <c r="AP574">
        <f t="shared" si="215"/>
        <v>8</v>
      </c>
      <c r="AQ574" s="6">
        <f t="shared" si="216"/>
        <v>0</v>
      </c>
      <c r="AR574" s="6">
        <f t="shared" si="217"/>
        <v>0</v>
      </c>
      <c r="AS574" s="6"/>
      <c r="AX574" s="95">
        <f t="shared" si="218"/>
        <v>42697</v>
      </c>
      <c r="AY574" s="96" t="str">
        <f t="shared" si="219"/>
        <v>qua</v>
      </c>
      <c r="AZ574" s="97">
        <f>IF(OR(AY574="SÁB",AY574="DOM"),0,IFERROR(8-VLOOKUP(C574,'Dados de consulta'!$A$2:$C$38,3,0),8))</f>
        <v>8</v>
      </c>
      <c r="BA574" s="97">
        <f>IF(OR(AY574="SÁB",AY574="DOM"),0,IFERROR(8-VLOOKUP(D574,'Dados de consulta'!$A$2:$C$38,3,0),8))</f>
        <v>8</v>
      </c>
      <c r="BB574" s="97">
        <f>IF(OR(AY574="SÁB",AY574="DOM"),0,IFERROR(8-VLOOKUP(E574,'Dados de consulta'!$A$2:$C$38,3,0),8))</f>
        <v>8</v>
      </c>
      <c r="BC574" s="97">
        <f>IF(OR(AY574="SÁB",AY574="DOM"),0,IFERROR(8-VLOOKUP(F574,'Dados de consulta'!$A$2:$C$38,3,0),8))</f>
        <v>8</v>
      </c>
      <c r="BD574" s="97">
        <f>IF(OR(AY574="SÁB",AY574="DOM"),0,IFERROR(8-VLOOKUP(G574,'Dados de consulta'!$A$2:$C$38,3,0),8))</f>
        <v>8</v>
      </c>
      <c r="BE574" s="97">
        <f>IF(OR(AY574="SÁB",AY574="DOM"),0,IFERROR(8-VLOOKUP(H574,'Dados de consulta'!$A$2:$C$38,3,0),8))</f>
        <v>8</v>
      </c>
      <c r="BF574" s="97">
        <f>IF(OR(AY574="SÁB",AY574="DOM"),0,IFERROR(8-VLOOKUP(I574,'Dados de consulta'!$A$2:$C$38,3,0),8))</f>
        <v>8</v>
      </c>
      <c r="BG574" s="97">
        <f>IF(OR(AY574="SÁB",AY574="DOM"),0,IFERROR(8-VLOOKUP(J574,'Dados de consulta'!$A$2:$C$38,3,0),8))</f>
        <v>8</v>
      </c>
      <c r="BH574" s="97">
        <f>IF(OR(AY574="SÁB",AY574="DOM"),0,IFERROR(8-VLOOKUP(K574,'Dados de consulta'!$A$2:$C$38,3,0),8))</f>
        <v>8</v>
      </c>
      <c r="BI574" s="97">
        <f>IF(OR(AY574="SÁB",AY574="DOM"),0,IFERROR(8-VLOOKUP(L574,'Dados de consulta'!$A$2:$C$38,3,0),8))</f>
        <v>8</v>
      </c>
      <c r="BJ574" s="97">
        <f>IF(OR(AY574="SÁB",AY574="DOM"),0,IFERROR(8-VLOOKUP(M574,'Dados de consulta'!$A$2:$C$38,3,0),8))</f>
        <v>0</v>
      </c>
      <c r="BK574" s="97">
        <f>IF(OR(AY574="SÁB",AY574="DOM"),0,IFERROR(8-VLOOKUP(N574,'Dados de consulta'!$A$2:$C$38,3,0),8))</f>
        <v>8</v>
      </c>
      <c r="BL574" s="97">
        <f>IF(OR(AY574="SÁB",AY574="DOM"),0,IFERROR(8-VLOOKUP(O574,'Dados de consulta'!$A$2:$C$38,3,0),8))</f>
        <v>8</v>
      </c>
      <c r="BM574" s="97">
        <f>IF(OR(AY574="SÁB",AY574="DOM"),0,IFERROR(8-VLOOKUP(P574,'Dados de consulta'!$A$2:$C$38,3,0),8))</f>
        <v>8</v>
      </c>
      <c r="BN574" s="97">
        <f>IF(OR(AY574="SÁB",AY574="DOM"),0,IFERROR(8-VLOOKUP(Q574,'Dados de consulta'!$A$2:$C$38,3,0),8))</f>
        <v>0</v>
      </c>
      <c r="BO574" s="97">
        <f>IF(OR(AY574="SÁB",AY574="DOM"),0,IFERROR(8-VLOOKUP(R574,'Dados de consulta'!$A$2:$C$38,3,0),8))</f>
        <v>8</v>
      </c>
      <c r="BP574" s="97">
        <f>IF(OR(AY574="SÁB",AY574="DOM"),0,IFERROR(8-VLOOKUP(S574,'Dados de consulta'!$A$2:$C$38,3,0),8))</f>
        <v>8</v>
      </c>
      <c r="BQ574" s="113">
        <f>IFERROR(6-VLOOKUP(T574,'Dados de consulta'!$A$2:$C$38,3,0)+2,6)</f>
        <v>6</v>
      </c>
      <c r="BR574" s="114">
        <f t="shared" si="232"/>
        <v>126</v>
      </c>
      <c r="BS574">
        <f t="shared" ref="BS574:BS637" si="234">IF(R575=17,0,IF(OR(AY574="SÁB",AY574="DOM"),0,((COUNT(AZ574:BQ574)-1)*8+6)-SUM(AO574:AR574)))</f>
        <v>134</v>
      </c>
      <c r="BU574">
        <f>IFERROR(8-VLOOKUP(U574,'Dados de consulta'!$A:$D,3,0),8)</f>
        <v>8</v>
      </c>
      <c r="BV574">
        <f>IFERROR(8-VLOOKUP(V574,'Dados de consulta'!$A:$D,3,0),8)</f>
        <v>8</v>
      </c>
      <c r="BW574">
        <f t="shared" si="233"/>
        <v>16</v>
      </c>
    </row>
    <row r="575" spans="1:75" ht="15" hidden="1" x14ac:dyDescent="0.2">
      <c r="A575" s="98">
        <v>42698</v>
      </c>
      <c r="B575" s="129" t="str">
        <f t="shared" si="210"/>
        <v>qui</v>
      </c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>
        <v>101</v>
      </c>
      <c r="N575" s="132"/>
      <c r="O575" s="132"/>
      <c r="P575" s="132"/>
      <c r="Q575" s="132">
        <v>18</v>
      </c>
      <c r="R575" s="132"/>
      <c r="S575" s="132"/>
      <c r="T575" s="132"/>
      <c r="U575" s="151"/>
      <c r="V575" s="151"/>
      <c r="W575" s="307" t="s">
        <v>193</v>
      </c>
      <c r="X575" s="308"/>
      <c r="Y575" s="38">
        <f t="shared" si="211"/>
        <v>0</v>
      </c>
      <c r="Z575" s="38">
        <f t="shared" si="212"/>
        <v>8</v>
      </c>
      <c r="AA575" s="38">
        <f t="shared" si="209"/>
        <v>0</v>
      </c>
      <c r="AB575" s="38">
        <f t="shared" si="220"/>
        <v>0</v>
      </c>
      <c r="AC575" s="38">
        <f t="shared" si="221"/>
        <v>0</v>
      </c>
      <c r="AD575" s="38">
        <f t="shared" si="222"/>
        <v>0</v>
      </c>
      <c r="AE575" s="38">
        <f t="shared" si="223"/>
        <v>0</v>
      </c>
      <c r="AF575" s="38">
        <f t="shared" si="224"/>
        <v>0</v>
      </c>
      <c r="AG575" s="33">
        <f t="shared" si="225"/>
        <v>0</v>
      </c>
      <c r="AH575" s="33">
        <f t="shared" si="226"/>
        <v>8</v>
      </c>
      <c r="AI575" s="33">
        <f t="shared" si="227"/>
        <v>0</v>
      </c>
      <c r="AJ575" s="33">
        <f t="shared" si="228"/>
        <v>0</v>
      </c>
      <c r="AK575" s="34">
        <f t="shared" si="229"/>
        <v>0</v>
      </c>
      <c r="AL575" s="35">
        <f t="shared" si="230"/>
        <v>5.6338028169014086E-2</v>
      </c>
      <c r="AM575" s="34">
        <f t="shared" si="213"/>
        <v>0</v>
      </c>
      <c r="AN575" s="36">
        <f t="shared" si="231"/>
        <v>0</v>
      </c>
      <c r="AO575" s="6">
        <f t="shared" si="214"/>
        <v>0</v>
      </c>
      <c r="AP575">
        <f t="shared" si="215"/>
        <v>8</v>
      </c>
      <c r="AQ575" s="6">
        <f t="shared" si="216"/>
        <v>0</v>
      </c>
      <c r="AR575" s="6">
        <f t="shared" si="217"/>
        <v>0</v>
      </c>
      <c r="AS575" s="6"/>
      <c r="AX575" s="95">
        <f t="shared" si="218"/>
        <v>42698</v>
      </c>
      <c r="AY575" s="96" t="str">
        <f t="shared" si="219"/>
        <v>qui</v>
      </c>
      <c r="AZ575" s="97">
        <f>IF(OR(AY575="SÁB",AY575="DOM"),0,IFERROR(8-VLOOKUP(C575,'Dados de consulta'!$A$2:$C$38,3,0),8))</f>
        <v>8</v>
      </c>
      <c r="BA575" s="97">
        <f>IF(OR(AY575="SÁB",AY575="DOM"),0,IFERROR(8-VLOOKUP(D575,'Dados de consulta'!$A$2:$C$38,3,0),8))</f>
        <v>8</v>
      </c>
      <c r="BB575" s="97">
        <f>IF(OR(AY575="SÁB",AY575="DOM"),0,IFERROR(8-VLOOKUP(E575,'Dados de consulta'!$A$2:$C$38,3,0),8))</f>
        <v>8</v>
      </c>
      <c r="BC575" s="97">
        <f>IF(OR(AY575="SÁB",AY575="DOM"),0,IFERROR(8-VLOOKUP(F575,'Dados de consulta'!$A$2:$C$38,3,0),8))</f>
        <v>8</v>
      </c>
      <c r="BD575" s="97">
        <f>IF(OR(AY575="SÁB",AY575="DOM"),0,IFERROR(8-VLOOKUP(G575,'Dados de consulta'!$A$2:$C$38,3,0),8))</f>
        <v>8</v>
      </c>
      <c r="BE575" s="97">
        <f>IF(OR(AY575="SÁB",AY575="DOM"),0,IFERROR(8-VLOOKUP(H575,'Dados de consulta'!$A$2:$C$38,3,0),8))</f>
        <v>8</v>
      </c>
      <c r="BF575" s="97">
        <f>IF(OR(AY575="SÁB",AY575="DOM"),0,IFERROR(8-VLOOKUP(I575,'Dados de consulta'!$A$2:$C$38,3,0),8))</f>
        <v>8</v>
      </c>
      <c r="BG575" s="97">
        <f>IF(OR(AY575="SÁB",AY575="DOM"),0,IFERROR(8-VLOOKUP(J575,'Dados de consulta'!$A$2:$C$38,3,0),8))</f>
        <v>8</v>
      </c>
      <c r="BH575" s="97">
        <f>IF(OR(AY575="SÁB",AY575="DOM"),0,IFERROR(8-VLOOKUP(K575,'Dados de consulta'!$A$2:$C$38,3,0),8))</f>
        <v>8</v>
      </c>
      <c r="BI575" s="97">
        <f>IF(OR(AY575="SÁB",AY575="DOM"),0,IFERROR(8-VLOOKUP(L575,'Dados de consulta'!$A$2:$C$38,3,0),8))</f>
        <v>8</v>
      </c>
      <c r="BJ575" s="97">
        <f>IF(OR(AY575="SÁB",AY575="DOM"),0,IFERROR(8-VLOOKUP(M575,'Dados de consulta'!$A$2:$C$38,3,0),8))</f>
        <v>0</v>
      </c>
      <c r="BK575" s="97">
        <f>IF(OR(AY575="SÁB",AY575="DOM"),0,IFERROR(8-VLOOKUP(N575,'Dados de consulta'!$A$2:$C$38,3,0),8))</f>
        <v>8</v>
      </c>
      <c r="BL575" s="97">
        <f>IF(OR(AY575="SÁB",AY575="DOM"),0,IFERROR(8-VLOOKUP(O575,'Dados de consulta'!$A$2:$C$38,3,0),8))</f>
        <v>8</v>
      </c>
      <c r="BM575" s="97">
        <f>IF(OR(AY575="SÁB",AY575="DOM"),0,IFERROR(8-VLOOKUP(P575,'Dados de consulta'!$A$2:$C$38,3,0),8))</f>
        <v>8</v>
      </c>
      <c r="BN575" s="97">
        <f>IF(OR(AY575="SÁB",AY575="DOM"),0,IFERROR(8-VLOOKUP(Q575,'Dados de consulta'!$A$2:$C$38,3,0),8))</f>
        <v>0</v>
      </c>
      <c r="BO575" s="97">
        <f>IF(OR(AY575="SÁB",AY575="DOM"),0,IFERROR(8-VLOOKUP(R575,'Dados de consulta'!$A$2:$C$38,3,0),8))</f>
        <v>8</v>
      </c>
      <c r="BP575" s="97">
        <f>IF(OR(AY575="SÁB",AY575="DOM"),0,IFERROR(8-VLOOKUP(S575,'Dados de consulta'!$A$2:$C$38,3,0),8))</f>
        <v>8</v>
      </c>
      <c r="BQ575" s="113">
        <f>IFERROR(6-VLOOKUP(T575,'Dados de consulta'!$A$2:$C$38,3,0)+2,6)</f>
        <v>6</v>
      </c>
      <c r="BR575" s="114">
        <f t="shared" si="232"/>
        <v>126</v>
      </c>
      <c r="BS575">
        <f t="shared" si="234"/>
        <v>134</v>
      </c>
      <c r="BU575">
        <f>IFERROR(8-VLOOKUP(U575,'Dados de consulta'!$A:$D,3,0),8)</f>
        <v>8</v>
      </c>
      <c r="BV575">
        <f>IFERROR(8-VLOOKUP(V575,'Dados de consulta'!$A:$D,3,0),8)</f>
        <v>8</v>
      </c>
      <c r="BW575">
        <f t="shared" si="233"/>
        <v>16</v>
      </c>
    </row>
    <row r="576" spans="1:75" ht="15" hidden="1" x14ac:dyDescent="0.2">
      <c r="A576" s="98">
        <v>42699</v>
      </c>
      <c r="B576" s="129" t="str">
        <f t="shared" si="210"/>
        <v>sex</v>
      </c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>
        <v>101</v>
      </c>
      <c r="N576" s="132"/>
      <c r="O576" s="132"/>
      <c r="P576" s="132"/>
      <c r="Q576" s="132">
        <v>18</v>
      </c>
      <c r="R576" s="132"/>
      <c r="S576" s="132"/>
      <c r="T576" s="132"/>
      <c r="U576" s="151"/>
      <c r="V576" s="151"/>
      <c r="W576" s="307" t="s">
        <v>193</v>
      </c>
      <c r="X576" s="308"/>
      <c r="Y576" s="38">
        <f t="shared" si="211"/>
        <v>0</v>
      </c>
      <c r="Z576" s="38">
        <f t="shared" si="212"/>
        <v>8</v>
      </c>
      <c r="AA576" s="38">
        <f t="shared" si="209"/>
        <v>0</v>
      </c>
      <c r="AB576" s="38">
        <f t="shared" si="220"/>
        <v>0</v>
      </c>
      <c r="AC576" s="38">
        <f t="shared" si="221"/>
        <v>0</v>
      </c>
      <c r="AD576" s="38">
        <f t="shared" si="222"/>
        <v>0</v>
      </c>
      <c r="AE576" s="38">
        <f t="shared" si="223"/>
        <v>0</v>
      </c>
      <c r="AF576" s="38">
        <f t="shared" si="224"/>
        <v>0</v>
      </c>
      <c r="AG576" s="33">
        <f t="shared" si="225"/>
        <v>0</v>
      </c>
      <c r="AH576" s="33">
        <f t="shared" si="226"/>
        <v>8</v>
      </c>
      <c r="AI576" s="33">
        <f t="shared" si="227"/>
        <v>0</v>
      </c>
      <c r="AJ576" s="33">
        <f t="shared" si="228"/>
        <v>0</v>
      </c>
      <c r="AK576" s="34">
        <f t="shared" si="229"/>
        <v>0</v>
      </c>
      <c r="AL576" s="35">
        <f t="shared" si="230"/>
        <v>5.6338028169014086E-2</v>
      </c>
      <c r="AM576" s="34">
        <f t="shared" si="213"/>
        <v>0</v>
      </c>
      <c r="AN576" s="36">
        <f t="shared" si="231"/>
        <v>0</v>
      </c>
      <c r="AO576" s="6">
        <f t="shared" si="214"/>
        <v>0</v>
      </c>
      <c r="AP576">
        <f t="shared" si="215"/>
        <v>8</v>
      </c>
      <c r="AQ576" s="6">
        <f t="shared" si="216"/>
        <v>0</v>
      </c>
      <c r="AR576" s="6">
        <f t="shared" si="217"/>
        <v>0</v>
      </c>
      <c r="AS576" s="6"/>
      <c r="AX576" s="95">
        <f t="shared" si="218"/>
        <v>42699</v>
      </c>
      <c r="AY576" s="96" t="str">
        <f t="shared" si="219"/>
        <v>sex</v>
      </c>
      <c r="AZ576" s="97">
        <f>IF(OR(AY576="SÁB",AY576="DOM"),0,IFERROR(8-VLOOKUP(C576,'Dados de consulta'!$A$2:$C$38,3,0),8))</f>
        <v>8</v>
      </c>
      <c r="BA576" s="97">
        <f>IF(OR(AY576="SÁB",AY576="DOM"),0,IFERROR(8-VLOOKUP(D576,'Dados de consulta'!$A$2:$C$38,3,0),8))</f>
        <v>8</v>
      </c>
      <c r="BB576" s="97">
        <f>IF(OR(AY576="SÁB",AY576="DOM"),0,IFERROR(8-VLOOKUP(E576,'Dados de consulta'!$A$2:$C$38,3,0),8))</f>
        <v>8</v>
      </c>
      <c r="BC576" s="97">
        <f>IF(OR(AY576="SÁB",AY576="DOM"),0,IFERROR(8-VLOOKUP(F576,'Dados de consulta'!$A$2:$C$38,3,0),8))</f>
        <v>8</v>
      </c>
      <c r="BD576" s="97">
        <f>IF(OR(AY576="SÁB",AY576="DOM"),0,IFERROR(8-VLOOKUP(G576,'Dados de consulta'!$A$2:$C$38,3,0),8))</f>
        <v>8</v>
      </c>
      <c r="BE576" s="97">
        <f>IF(OR(AY576="SÁB",AY576="DOM"),0,IFERROR(8-VLOOKUP(H576,'Dados de consulta'!$A$2:$C$38,3,0),8))</f>
        <v>8</v>
      </c>
      <c r="BF576" s="97">
        <f>IF(OR(AY576="SÁB",AY576="DOM"),0,IFERROR(8-VLOOKUP(I576,'Dados de consulta'!$A$2:$C$38,3,0),8))</f>
        <v>8</v>
      </c>
      <c r="BG576" s="97">
        <f>IF(OR(AY576="SÁB",AY576="DOM"),0,IFERROR(8-VLOOKUP(J576,'Dados de consulta'!$A$2:$C$38,3,0),8))</f>
        <v>8</v>
      </c>
      <c r="BH576" s="97">
        <f>IF(OR(AY576="SÁB",AY576="DOM"),0,IFERROR(8-VLOOKUP(K576,'Dados de consulta'!$A$2:$C$38,3,0),8))</f>
        <v>8</v>
      </c>
      <c r="BI576" s="97">
        <f>IF(OR(AY576="SÁB",AY576="DOM"),0,IFERROR(8-VLOOKUP(L576,'Dados de consulta'!$A$2:$C$38,3,0),8))</f>
        <v>8</v>
      </c>
      <c r="BJ576" s="97">
        <f>IF(OR(AY576="SÁB",AY576="DOM"),0,IFERROR(8-VLOOKUP(M576,'Dados de consulta'!$A$2:$C$38,3,0),8))</f>
        <v>0</v>
      </c>
      <c r="BK576" s="97">
        <f>IF(OR(AY576="SÁB",AY576="DOM"),0,IFERROR(8-VLOOKUP(N576,'Dados de consulta'!$A$2:$C$38,3,0),8))</f>
        <v>8</v>
      </c>
      <c r="BL576" s="97">
        <f>IF(OR(AY576="SÁB",AY576="DOM"),0,IFERROR(8-VLOOKUP(O576,'Dados de consulta'!$A$2:$C$38,3,0),8))</f>
        <v>8</v>
      </c>
      <c r="BM576" s="97">
        <f>IF(OR(AY576="SÁB",AY576="DOM"),0,IFERROR(8-VLOOKUP(P576,'Dados de consulta'!$A$2:$C$38,3,0),8))</f>
        <v>8</v>
      </c>
      <c r="BN576" s="97">
        <f>IF(OR(AY576="SÁB",AY576="DOM"),0,IFERROR(8-VLOOKUP(Q576,'Dados de consulta'!$A$2:$C$38,3,0),8))</f>
        <v>0</v>
      </c>
      <c r="BO576" s="97">
        <f>IF(OR(AY576="SÁB",AY576="DOM"),0,IFERROR(8-VLOOKUP(R576,'Dados de consulta'!$A$2:$C$38,3,0),8))</f>
        <v>8</v>
      </c>
      <c r="BP576" s="97">
        <f>IF(OR(AY576="SÁB",AY576="DOM"),0,IFERROR(8-VLOOKUP(S576,'Dados de consulta'!$A$2:$C$38,3,0),8))</f>
        <v>8</v>
      </c>
      <c r="BQ576" s="113">
        <f>IFERROR(6-VLOOKUP(T576,'Dados de consulta'!$A$2:$C$38,3,0)+2,6)</f>
        <v>6</v>
      </c>
      <c r="BR576" s="114">
        <f t="shared" si="232"/>
        <v>126</v>
      </c>
      <c r="BS576">
        <f t="shared" si="234"/>
        <v>134</v>
      </c>
      <c r="BU576">
        <f>IFERROR(8-VLOOKUP(U576,'Dados de consulta'!$A:$D,3,0),8)</f>
        <v>8</v>
      </c>
      <c r="BV576">
        <f>IFERROR(8-VLOOKUP(V576,'Dados de consulta'!$A:$D,3,0),8)</f>
        <v>8</v>
      </c>
      <c r="BW576">
        <f t="shared" si="233"/>
        <v>16</v>
      </c>
    </row>
    <row r="577" spans="1:75" ht="15" hidden="1" x14ac:dyDescent="0.2">
      <c r="A577" s="98">
        <v>42700</v>
      </c>
      <c r="B577" s="129" t="str">
        <f t="shared" si="210"/>
        <v>sáb</v>
      </c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>
        <v>101</v>
      </c>
      <c r="N577" s="132"/>
      <c r="O577" s="132"/>
      <c r="P577" s="132"/>
      <c r="Q577" s="132">
        <v>18</v>
      </c>
      <c r="R577" s="132"/>
      <c r="S577" s="132"/>
      <c r="T577" s="132"/>
      <c r="U577" s="151"/>
      <c r="V577" s="151"/>
      <c r="W577" s="307" t="s">
        <v>193</v>
      </c>
      <c r="X577" s="308"/>
      <c r="Y577" s="38">
        <f t="shared" si="211"/>
        <v>0</v>
      </c>
      <c r="Z577" s="38">
        <f t="shared" si="212"/>
        <v>8</v>
      </c>
      <c r="AA577" s="38">
        <f t="shared" ref="AA577:AA640" si="235">(COUNTIF(C577:S577,28)+COUNTIF(C577:S577,"28P")/2+COUNTIF(C577:S577,29))*8</f>
        <v>0</v>
      </c>
      <c r="AB577" s="38">
        <f t="shared" si="220"/>
        <v>0</v>
      </c>
      <c r="AC577" s="38">
        <f t="shared" si="221"/>
        <v>0</v>
      </c>
      <c r="AD577" s="38">
        <f t="shared" si="222"/>
        <v>0</v>
      </c>
      <c r="AE577" s="38">
        <f t="shared" si="223"/>
        <v>0</v>
      </c>
      <c r="AF577" s="38">
        <f t="shared" si="224"/>
        <v>0</v>
      </c>
      <c r="AG577" s="33">
        <f t="shared" si="225"/>
        <v>0</v>
      </c>
      <c r="AH577" s="33">
        <f t="shared" si="226"/>
        <v>0</v>
      </c>
      <c r="AI577" s="33">
        <f t="shared" si="227"/>
        <v>0</v>
      </c>
      <c r="AJ577" s="33">
        <f t="shared" si="228"/>
        <v>0</v>
      </c>
      <c r="AK577" s="34">
        <f t="shared" si="229"/>
        <v>0</v>
      </c>
      <c r="AL577" s="35">
        <f t="shared" si="230"/>
        <v>0</v>
      </c>
      <c r="AM577" s="34">
        <f t="shared" si="213"/>
        <v>0</v>
      </c>
      <c r="AN577" s="36">
        <f t="shared" si="231"/>
        <v>0</v>
      </c>
      <c r="AO577" s="6">
        <f t="shared" si="214"/>
        <v>0</v>
      </c>
      <c r="AP577">
        <f t="shared" si="215"/>
        <v>8</v>
      </c>
      <c r="AQ577" s="6">
        <f t="shared" si="216"/>
        <v>0</v>
      </c>
      <c r="AR577" s="6">
        <f t="shared" si="217"/>
        <v>0</v>
      </c>
      <c r="AS577" s="6"/>
      <c r="AX577" s="95">
        <f t="shared" si="218"/>
        <v>42700</v>
      </c>
      <c r="AY577" s="96" t="str">
        <f t="shared" si="219"/>
        <v>sáb</v>
      </c>
      <c r="AZ577" s="97">
        <f>IF(OR(AY577="SÁB",AY577="DOM"),0,IFERROR(8-VLOOKUP(C577,'Dados de consulta'!$A$2:$C$38,3,0),8))</f>
        <v>0</v>
      </c>
      <c r="BA577" s="97">
        <f>IF(OR(AY577="SÁB",AY577="DOM"),0,IFERROR(8-VLOOKUP(D577,'Dados de consulta'!$A$2:$C$38,3,0),8))</f>
        <v>0</v>
      </c>
      <c r="BB577" s="97">
        <f>IF(OR(AY577="SÁB",AY577="DOM"),0,IFERROR(8-VLOOKUP(E577,'Dados de consulta'!$A$2:$C$38,3,0),8))</f>
        <v>0</v>
      </c>
      <c r="BC577" s="97">
        <f>IF(OR(AY577="SÁB",AY577="DOM"),0,IFERROR(8-VLOOKUP(F577,'Dados de consulta'!$A$2:$C$38,3,0),8))</f>
        <v>0</v>
      </c>
      <c r="BD577" s="97">
        <f>IF(OR(AY577="SÁB",AY577="DOM"),0,IFERROR(8-VLOOKUP(G577,'Dados de consulta'!$A$2:$C$38,3,0),8))</f>
        <v>0</v>
      </c>
      <c r="BE577" s="97">
        <f>IF(OR(AY577="SÁB",AY577="DOM"),0,IFERROR(8-VLOOKUP(H577,'Dados de consulta'!$A$2:$C$38,3,0),8))</f>
        <v>0</v>
      </c>
      <c r="BF577" s="97">
        <f>IF(OR(AY577="SÁB",AY577="DOM"),0,IFERROR(8-VLOOKUP(I577,'Dados de consulta'!$A$2:$C$38,3,0),8))</f>
        <v>0</v>
      </c>
      <c r="BG577" s="97">
        <f>IF(OR(AY577="SÁB",AY577="DOM"),0,IFERROR(8-VLOOKUP(J577,'Dados de consulta'!$A$2:$C$38,3,0),8))</f>
        <v>0</v>
      </c>
      <c r="BH577" s="97">
        <f>IF(OR(AY577="SÁB",AY577="DOM"),0,IFERROR(8-VLOOKUP(K577,'Dados de consulta'!$A$2:$C$38,3,0),8))</f>
        <v>0</v>
      </c>
      <c r="BI577" s="97">
        <f>IF(OR(AY577="SÁB",AY577="DOM"),0,IFERROR(8-VLOOKUP(L577,'Dados de consulta'!$A$2:$C$38,3,0),8))</f>
        <v>0</v>
      </c>
      <c r="BJ577" s="97">
        <f>IF(OR(AY577="SÁB",AY577="DOM"),0,IFERROR(8-VLOOKUP(M577,'Dados de consulta'!$A$2:$C$38,3,0),8))</f>
        <v>0</v>
      </c>
      <c r="BK577" s="97">
        <f>IF(OR(AY577="SÁB",AY577="DOM"),0,IFERROR(8-VLOOKUP(N577,'Dados de consulta'!$A$2:$C$38,3,0),8))</f>
        <v>0</v>
      </c>
      <c r="BL577" s="97">
        <f>IF(OR(AY577="SÁB",AY577="DOM"),0,IFERROR(8-VLOOKUP(O577,'Dados de consulta'!$A$2:$C$38,3,0),8))</f>
        <v>0</v>
      </c>
      <c r="BM577" s="97">
        <f>IF(OR(AY577="SÁB",AY577="DOM"),0,IFERROR(8-VLOOKUP(P577,'Dados de consulta'!$A$2:$C$38,3,0),8))</f>
        <v>0</v>
      </c>
      <c r="BN577" s="97">
        <f>IF(OR(AY577="SÁB",AY577="DOM"),0,IFERROR(8-VLOOKUP(Q577,'Dados de consulta'!$A$2:$C$38,3,0),8))</f>
        <v>0</v>
      </c>
      <c r="BO577" s="97">
        <f>IF(OR(AY577="SÁB",AY577="DOM"),0,IFERROR(8-VLOOKUP(R577,'Dados de consulta'!$A$2:$C$38,3,0),8))</f>
        <v>0</v>
      </c>
      <c r="BP577" s="97">
        <f>IF(OR(AY577="SÁB",AY577="DOM"),0,IFERROR(8-VLOOKUP(S577,'Dados de consulta'!$A$2:$C$38,3,0),8))</f>
        <v>0</v>
      </c>
      <c r="BQ577" s="113">
        <f>IFERROR(6-VLOOKUP(T577,'Dados de consulta'!$A$2:$C$38,3,0)+2,6)</f>
        <v>6</v>
      </c>
      <c r="BR577" s="114">
        <f t="shared" si="232"/>
        <v>0</v>
      </c>
      <c r="BS577">
        <f t="shared" si="234"/>
        <v>0</v>
      </c>
      <c r="BU577">
        <f>IFERROR(8-VLOOKUP(U577,'Dados de consulta'!$A:$D,3,0),8)</f>
        <v>8</v>
      </c>
      <c r="BV577">
        <f>IFERROR(8-VLOOKUP(V577,'Dados de consulta'!$A:$D,3,0),8)</f>
        <v>8</v>
      </c>
      <c r="BW577">
        <f t="shared" si="233"/>
        <v>16</v>
      </c>
    </row>
    <row r="578" spans="1:75" ht="15" hidden="1" x14ac:dyDescent="0.2">
      <c r="A578" s="98">
        <v>42701</v>
      </c>
      <c r="B578" s="129" t="str">
        <f t="shared" ref="B578:B641" si="236">TEXT(A578,"ddd")</f>
        <v>dom</v>
      </c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>
        <v>101</v>
      </c>
      <c r="N578" s="132"/>
      <c r="O578" s="132"/>
      <c r="P578" s="132"/>
      <c r="Q578" s="132">
        <v>18</v>
      </c>
      <c r="R578" s="132"/>
      <c r="S578" s="132"/>
      <c r="T578" s="132"/>
      <c r="U578" s="151"/>
      <c r="V578" s="151"/>
      <c r="W578" s="307" t="s">
        <v>193</v>
      </c>
      <c r="X578" s="308"/>
      <c r="Y578" s="38">
        <f t="shared" ref="Y578:Y641" si="237">(COUNTIF(C578:S578,4)+COUNTIF(C578:S578,8)+COUNTIF(C578:S578,"8P")/2+COUNTIF(C578:S578,9)+COUNTIF(C578:S578,"9P")/2+COUNTIF(C578:S578,14))*8</f>
        <v>0</v>
      </c>
      <c r="Z578" s="38">
        <f t="shared" ref="Z578:Z641" si="238">(COUNTIF(C578:S578,1)+COUNTIF(C578:S578,2)+COUNTIF(C578:S578,3)+COUNTIF(C578:S578,5)+COUNTIF(C578:S578,10)+COUNTIF(C578:S578,13)+COUNTIF(C578:S578,"13P")/2+COUNTIF(C578:S578,15)+COUNTIF(C578:S578,18)+COUNTIF(C578:S578,20)+COUNTIF(C578:S578,22)+COUNTIF(C578:S578,23)+COUNTIF(C578:S578,24)+COUNTIF(C578:S578,25)+COUNTIF(C578:S578,26)+COUNTIF(C578:S578,99))*8</f>
        <v>8</v>
      </c>
      <c r="AA578" s="38">
        <f t="shared" si="235"/>
        <v>0</v>
      </c>
      <c r="AB578" s="38">
        <f t="shared" si="220"/>
        <v>0</v>
      </c>
      <c r="AC578" s="38">
        <f t="shared" si="221"/>
        <v>0</v>
      </c>
      <c r="AD578" s="38">
        <f t="shared" si="222"/>
        <v>0</v>
      </c>
      <c r="AE578" s="38">
        <f t="shared" si="223"/>
        <v>0</v>
      </c>
      <c r="AF578" s="38">
        <f t="shared" si="224"/>
        <v>0</v>
      </c>
      <c r="AG578" s="33">
        <f t="shared" si="225"/>
        <v>0</v>
      </c>
      <c r="AH578" s="33">
        <f t="shared" si="226"/>
        <v>0</v>
      </c>
      <c r="AI578" s="33">
        <f t="shared" si="227"/>
        <v>0</v>
      </c>
      <c r="AJ578" s="33">
        <f t="shared" si="228"/>
        <v>0</v>
      </c>
      <c r="AK578" s="34">
        <f t="shared" si="229"/>
        <v>0</v>
      </c>
      <c r="AL578" s="35">
        <f t="shared" si="230"/>
        <v>0</v>
      </c>
      <c r="AM578" s="34">
        <f t="shared" ref="AM578:AM641" si="239">(AA578+AE578)/(COUNTA($C$1:$S$1)*8+COUNTA($T$1:$T$1)*6)</f>
        <v>0</v>
      </c>
      <c r="AN578" s="36">
        <f t="shared" si="231"/>
        <v>0</v>
      </c>
      <c r="AO578" s="6">
        <f t="shared" ref="AO578:AO641" si="240">COUNTIF(C578:S578,100)*8</f>
        <v>0</v>
      </c>
      <c r="AP578">
        <f t="shared" ref="AP578:AP641" si="241">COUNTIF(C578:S578,101)*8</f>
        <v>8</v>
      </c>
      <c r="AQ578" s="6">
        <f t="shared" ref="AQ578:AQ641" si="242">COUNTIF(T578:T578,101)*6</f>
        <v>0</v>
      </c>
      <c r="AR578" s="6">
        <f t="shared" ref="AR578:AR641" si="243">COUNTIF(T578:T578,100)*6</f>
        <v>0</v>
      </c>
      <c r="AS578" s="6"/>
      <c r="AX578" s="95">
        <f t="shared" ref="AX578:AX641" si="244">A578</f>
        <v>42701</v>
      </c>
      <c r="AY578" s="96" t="str">
        <f t="shared" ref="AY578:AY641" si="245">B578</f>
        <v>dom</v>
      </c>
      <c r="AZ578" s="97">
        <f>IF(OR(AY578="SÁB",AY578="DOM"),0,IFERROR(8-VLOOKUP(C578,'Dados de consulta'!$A$2:$C$38,3,0),8))</f>
        <v>0</v>
      </c>
      <c r="BA578" s="97">
        <f>IF(OR(AY578="SÁB",AY578="DOM"),0,IFERROR(8-VLOOKUP(D578,'Dados de consulta'!$A$2:$C$38,3,0),8))</f>
        <v>0</v>
      </c>
      <c r="BB578" s="97">
        <f>IF(OR(AY578="SÁB",AY578="DOM"),0,IFERROR(8-VLOOKUP(E578,'Dados de consulta'!$A$2:$C$38,3,0),8))</f>
        <v>0</v>
      </c>
      <c r="BC578" s="97">
        <f>IF(OR(AY578="SÁB",AY578="DOM"),0,IFERROR(8-VLOOKUP(F578,'Dados de consulta'!$A$2:$C$38,3,0),8))</f>
        <v>0</v>
      </c>
      <c r="BD578" s="97">
        <f>IF(OR(AY578="SÁB",AY578="DOM"),0,IFERROR(8-VLOOKUP(G578,'Dados de consulta'!$A$2:$C$38,3,0),8))</f>
        <v>0</v>
      </c>
      <c r="BE578" s="97">
        <f>IF(OR(AY578="SÁB",AY578="DOM"),0,IFERROR(8-VLOOKUP(H578,'Dados de consulta'!$A$2:$C$38,3,0),8))</f>
        <v>0</v>
      </c>
      <c r="BF578" s="97">
        <f>IF(OR(AY578="SÁB",AY578="DOM"),0,IFERROR(8-VLOOKUP(I578,'Dados de consulta'!$A$2:$C$38,3,0),8))</f>
        <v>0</v>
      </c>
      <c r="BG578" s="97">
        <f>IF(OR(AY578="SÁB",AY578="DOM"),0,IFERROR(8-VLOOKUP(J578,'Dados de consulta'!$A$2:$C$38,3,0),8))</f>
        <v>0</v>
      </c>
      <c r="BH578" s="97">
        <f>IF(OR(AY578="SÁB",AY578="DOM"),0,IFERROR(8-VLOOKUP(K578,'Dados de consulta'!$A$2:$C$38,3,0),8))</f>
        <v>0</v>
      </c>
      <c r="BI578" s="97">
        <f>IF(OR(AY578="SÁB",AY578="DOM"),0,IFERROR(8-VLOOKUP(L578,'Dados de consulta'!$A$2:$C$38,3,0),8))</f>
        <v>0</v>
      </c>
      <c r="BJ578" s="97">
        <f>IF(OR(AY578="SÁB",AY578="DOM"),0,IFERROR(8-VLOOKUP(M578,'Dados de consulta'!$A$2:$C$38,3,0),8))</f>
        <v>0</v>
      </c>
      <c r="BK578" s="97">
        <f>IF(OR(AY578="SÁB",AY578="DOM"),0,IFERROR(8-VLOOKUP(N578,'Dados de consulta'!$A$2:$C$38,3,0),8))</f>
        <v>0</v>
      </c>
      <c r="BL578" s="97">
        <f>IF(OR(AY578="SÁB",AY578="DOM"),0,IFERROR(8-VLOOKUP(O578,'Dados de consulta'!$A$2:$C$38,3,0),8))</f>
        <v>0</v>
      </c>
      <c r="BM578" s="97">
        <f>IF(OR(AY578="SÁB",AY578="DOM"),0,IFERROR(8-VLOOKUP(P578,'Dados de consulta'!$A$2:$C$38,3,0),8))</f>
        <v>0</v>
      </c>
      <c r="BN578" s="97">
        <f>IF(OR(AY578="SÁB",AY578="DOM"),0,IFERROR(8-VLOOKUP(Q578,'Dados de consulta'!$A$2:$C$38,3,0),8))</f>
        <v>0</v>
      </c>
      <c r="BO578" s="97">
        <f>IF(OR(AY578="SÁB",AY578="DOM"),0,IFERROR(8-VLOOKUP(R578,'Dados de consulta'!$A$2:$C$38,3,0),8))</f>
        <v>0</v>
      </c>
      <c r="BP578" s="97">
        <f>IF(OR(AY578="SÁB",AY578="DOM"),0,IFERROR(8-VLOOKUP(S578,'Dados de consulta'!$A$2:$C$38,3,0),8))</f>
        <v>0</v>
      </c>
      <c r="BQ578" s="113">
        <f>IFERROR(6-VLOOKUP(T578,'Dados de consulta'!$A$2:$C$38,3,0)+2,6)</f>
        <v>6</v>
      </c>
      <c r="BR578" s="114">
        <f t="shared" si="232"/>
        <v>0</v>
      </c>
      <c r="BS578">
        <f t="shared" si="234"/>
        <v>0</v>
      </c>
      <c r="BU578">
        <f>IFERROR(8-VLOOKUP(U578,'Dados de consulta'!$A:$D,3,0),8)</f>
        <v>8</v>
      </c>
      <c r="BV578">
        <f>IFERROR(8-VLOOKUP(V578,'Dados de consulta'!$A:$D,3,0),8)</f>
        <v>8</v>
      </c>
      <c r="BW578">
        <f t="shared" si="233"/>
        <v>16</v>
      </c>
    </row>
    <row r="579" spans="1:75" ht="15" hidden="1" x14ac:dyDescent="0.2">
      <c r="A579" s="98">
        <v>42702</v>
      </c>
      <c r="B579" s="129" t="str">
        <f t="shared" si="236"/>
        <v>seg</v>
      </c>
      <c r="C579" s="132"/>
      <c r="D579" s="132"/>
      <c r="E579" s="132"/>
      <c r="F579" s="132"/>
      <c r="G579" s="132"/>
      <c r="H579" s="132"/>
      <c r="I579" s="132">
        <v>18</v>
      </c>
      <c r="J579" s="132"/>
      <c r="K579" s="132"/>
      <c r="L579" s="132"/>
      <c r="M579" s="132">
        <v>101</v>
      </c>
      <c r="N579" s="132"/>
      <c r="O579" s="132"/>
      <c r="P579" s="132"/>
      <c r="Q579" s="132">
        <v>18</v>
      </c>
      <c r="R579" s="132"/>
      <c r="S579" s="132"/>
      <c r="T579" s="132"/>
      <c r="U579" s="151"/>
      <c r="V579" s="151"/>
      <c r="W579" s="307" t="s">
        <v>193</v>
      </c>
      <c r="X579" s="308"/>
      <c r="Y579" s="38">
        <f t="shared" si="237"/>
        <v>0</v>
      </c>
      <c r="Z579" s="38">
        <f t="shared" si="238"/>
        <v>16</v>
      </c>
      <c r="AA579" s="38">
        <f t="shared" si="235"/>
        <v>0</v>
      </c>
      <c r="AB579" s="38">
        <f t="shared" ref="AB579:AB642" si="246">(COUNTIF(C579:S579,6)+COUNTIF(C579:S579,"6P")/2+COUNTIF(C579:S579,7)+COUNTIF(C579:S579,11)+COUNTIF(C579:S579,12)+COUNTIF(C579:S579,19))*8</f>
        <v>0</v>
      </c>
      <c r="AC579" s="38">
        <f t="shared" ref="AC579:AC642" si="247">(COUNTIF(T579,4)+COUNTIF(T579,8)+COUNTIF(T579,"8P")+COUNTIF(T579,9)+COUNTIF(T579,"9P")+COUNTIF(T579,14))*6</f>
        <v>0</v>
      </c>
      <c r="AD579" s="38">
        <f t="shared" ref="AD579:AD642" si="248">(COUNTIF(T579,1)+COUNTIF(T579,2)+COUNTIF(T579,3)+COUNTIF(T579,5)+COUNTIF(T579,10)+COUNTIF(T579,13)+COUNTIF(T579,"13P")+COUNTIF(T579,15)+COUNTIF(T579,16)+COUNTIF(T579,18)+COUNTIF(T579,20)+COUNTIF(T579,21)+COUNTIF(T579,22)+COUNTIF(T579,23)+COUNTIF(T579,24)+COUNTIF(T579,25)+COUNTIF(T579,26)+COUNTIF(T579,99))*6</f>
        <v>0</v>
      </c>
      <c r="AE579" s="38">
        <f t="shared" ref="AE579:AE642" si="249">(COUNTIF(T579,28)+COUNTIF(T579,"28P")+COUNTIF(T579,29))*6</f>
        <v>0</v>
      </c>
      <c r="AF579" s="38">
        <f t="shared" ref="AF579:AF642" si="250">(COUNTIF(T579,6)+COUNTIF(T579,"6P")+COUNTIF(T579,7)+COUNTIF(T579,11)+COUNTIF(T579,12))*6</f>
        <v>0</v>
      </c>
      <c r="AG579" s="33">
        <f t="shared" ref="AG579:AG642" si="251">IF(OR(B579="SÁB",B579="DOM"),0,Y579+AC579)</f>
        <v>0</v>
      </c>
      <c r="AH579" s="33">
        <f t="shared" ref="AH579:AH642" si="252">IF(OR(B579="SÁB",B579="DOM"),0,Z579+AD579)</f>
        <v>16</v>
      </c>
      <c r="AI579" s="33">
        <f t="shared" ref="AI579:AI642" si="253">IF(OR(B579="SÁB",B579="DOM"),0,AA579+AE579)</f>
        <v>0</v>
      </c>
      <c r="AJ579" s="33">
        <f t="shared" ref="AJ579:AJ642" si="254">IF(OR(B579="SÁB",B579="DOM"),0,AB579+AF579)</f>
        <v>0</v>
      </c>
      <c r="AK579" s="34">
        <f t="shared" ref="AK579:AK642" si="255">AG579/(COUNTA($C$1:$S$1)*8+6)</f>
        <v>0</v>
      </c>
      <c r="AL579" s="35">
        <f t="shared" ref="AL579:AL642" si="256">AH579/(COUNTA($C$1:$S$1)*8+6)</f>
        <v>0.11267605633802817</v>
      </c>
      <c r="AM579" s="34">
        <f t="shared" si="239"/>
        <v>0</v>
      </c>
      <c r="AN579" s="36">
        <f t="shared" ref="AN579:AN642" si="257">AJ579/(COUNTA($C$1:$S$1)*8+6)</f>
        <v>0</v>
      </c>
      <c r="AO579" s="6">
        <f t="shared" si="240"/>
        <v>0</v>
      </c>
      <c r="AP579">
        <f t="shared" si="241"/>
        <v>8</v>
      </c>
      <c r="AQ579" s="6">
        <f t="shared" si="242"/>
        <v>0</v>
      </c>
      <c r="AR579" s="6">
        <f t="shared" si="243"/>
        <v>0</v>
      </c>
      <c r="AS579" s="6"/>
      <c r="AX579" s="95">
        <f t="shared" si="244"/>
        <v>42702</v>
      </c>
      <c r="AY579" s="96" t="str">
        <f t="shared" si="245"/>
        <v>seg</v>
      </c>
      <c r="AZ579" s="97">
        <f>IF(OR(AY579="SÁB",AY579="DOM"),0,IFERROR(8-VLOOKUP(C579,'Dados de consulta'!$A$2:$C$38,3,0),8))</f>
        <v>8</v>
      </c>
      <c r="BA579" s="97">
        <f>IF(OR(AY579="SÁB",AY579="DOM"),0,IFERROR(8-VLOOKUP(D579,'Dados de consulta'!$A$2:$C$38,3,0),8))</f>
        <v>8</v>
      </c>
      <c r="BB579" s="97">
        <f>IF(OR(AY579="SÁB",AY579="DOM"),0,IFERROR(8-VLOOKUP(E579,'Dados de consulta'!$A$2:$C$38,3,0),8))</f>
        <v>8</v>
      </c>
      <c r="BC579" s="97">
        <f>IF(OR(AY579="SÁB",AY579="DOM"),0,IFERROR(8-VLOOKUP(F579,'Dados de consulta'!$A$2:$C$38,3,0),8))</f>
        <v>8</v>
      </c>
      <c r="BD579" s="97">
        <f>IF(OR(AY579="SÁB",AY579="DOM"),0,IFERROR(8-VLOOKUP(G579,'Dados de consulta'!$A$2:$C$38,3,0),8))</f>
        <v>8</v>
      </c>
      <c r="BE579" s="97">
        <f>IF(OR(AY579="SÁB",AY579="DOM"),0,IFERROR(8-VLOOKUP(H579,'Dados de consulta'!$A$2:$C$38,3,0),8))</f>
        <v>8</v>
      </c>
      <c r="BF579" s="97">
        <f>IF(OR(AY579="SÁB",AY579="DOM"),0,IFERROR(8-VLOOKUP(I579,'Dados de consulta'!$A$2:$C$38,3,0),8))</f>
        <v>0</v>
      </c>
      <c r="BG579" s="97">
        <f>IF(OR(AY579="SÁB",AY579="DOM"),0,IFERROR(8-VLOOKUP(J579,'Dados de consulta'!$A$2:$C$38,3,0),8))</f>
        <v>8</v>
      </c>
      <c r="BH579" s="97">
        <f>IF(OR(AY579="SÁB",AY579="DOM"),0,IFERROR(8-VLOOKUP(K579,'Dados de consulta'!$A$2:$C$38,3,0),8))</f>
        <v>8</v>
      </c>
      <c r="BI579" s="97">
        <f>IF(OR(AY579="SÁB",AY579="DOM"),0,IFERROR(8-VLOOKUP(L579,'Dados de consulta'!$A$2:$C$38,3,0),8))</f>
        <v>8</v>
      </c>
      <c r="BJ579" s="97">
        <f>IF(OR(AY579="SÁB",AY579="DOM"),0,IFERROR(8-VLOOKUP(M579,'Dados de consulta'!$A$2:$C$38,3,0),8))</f>
        <v>0</v>
      </c>
      <c r="BK579" s="97">
        <f>IF(OR(AY579="SÁB",AY579="DOM"),0,IFERROR(8-VLOOKUP(N579,'Dados de consulta'!$A$2:$C$38,3,0),8))</f>
        <v>8</v>
      </c>
      <c r="BL579" s="97">
        <f>IF(OR(AY579="SÁB",AY579="DOM"),0,IFERROR(8-VLOOKUP(O579,'Dados de consulta'!$A$2:$C$38,3,0),8))</f>
        <v>8</v>
      </c>
      <c r="BM579" s="97">
        <f>IF(OR(AY579="SÁB",AY579="DOM"),0,IFERROR(8-VLOOKUP(P579,'Dados de consulta'!$A$2:$C$38,3,0),8))</f>
        <v>8</v>
      </c>
      <c r="BN579" s="97">
        <f>IF(OR(AY579="SÁB",AY579="DOM"),0,IFERROR(8-VLOOKUP(Q579,'Dados de consulta'!$A$2:$C$38,3,0),8))</f>
        <v>0</v>
      </c>
      <c r="BO579" s="97">
        <f>IF(OR(AY579="SÁB",AY579="DOM"),0,IFERROR(8-VLOOKUP(R579,'Dados de consulta'!$A$2:$C$38,3,0),8))</f>
        <v>8</v>
      </c>
      <c r="BP579" s="97">
        <f>IF(OR(AY579="SÁB",AY579="DOM"),0,IFERROR(8-VLOOKUP(S579,'Dados de consulta'!$A$2:$C$38,3,0),8))</f>
        <v>8</v>
      </c>
      <c r="BQ579" s="113">
        <f>IFERROR(6-VLOOKUP(T579,'Dados de consulta'!$A$2:$C$38,3,0)+2,6)</f>
        <v>6</v>
      </c>
      <c r="BR579" s="114">
        <f t="shared" ref="BR579:BR642" si="258">IF(OR(AY579="SÁB",AY579="DOM"),0,SUM(AZ579:BQ579))</f>
        <v>118</v>
      </c>
      <c r="BS579">
        <f t="shared" si="234"/>
        <v>134</v>
      </c>
      <c r="BU579">
        <f>IFERROR(8-VLOOKUP(U579,'Dados de consulta'!$A:$D,3,0),8)</f>
        <v>8</v>
      </c>
      <c r="BV579">
        <f>IFERROR(8-VLOOKUP(V579,'Dados de consulta'!$A:$D,3,0),8)</f>
        <v>8</v>
      </c>
      <c r="BW579">
        <f t="shared" ref="BW579:BW642" si="259">BU579+BV579</f>
        <v>16</v>
      </c>
    </row>
    <row r="580" spans="1:75" ht="15" hidden="1" x14ac:dyDescent="0.2">
      <c r="A580" s="98">
        <v>42703</v>
      </c>
      <c r="B580" s="129" t="str">
        <f t="shared" si="236"/>
        <v>ter</v>
      </c>
      <c r="C580" s="132"/>
      <c r="D580" s="132"/>
      <c r="E580" s="132"/>
      <c r="F580" s="132"/>
      <c r="G580" s="132"/>
      <c r="H580" s="132"/>
      <c r="I580" s="132">
        <v>18</v>
      </c>
      <c r="J580" s="132"/>
      <c r="K580" s="132"/>
      <c r="L580" s="132"/>
      <c r="M580" s="132">
        <v>101</v>
      </c>
      <c r="N580" s="132"/>
      <c r="O580" s="132"/>
      <c r="P580" s="132"/>
      <c r="Q580" s="132">
        <v>18</v>
      </c>
      <c r="R580" s="132"/>
      <c r="S580" s="132"/>
      <c r="T580" s="132"/>
      <c r="U580" s="151"/>
      <c r="V580" s="151"/>
      <c r="W580" s="307" t="s">
        <v>193</v>
      </c>
      <c r="X580" s="308"/>
      <c r="Y580" s="38">
        <f t="shared" si="237"/>
        <v>0</v>
      </c>
      <c r="Z580" s="38">
        <f t="shared" si="238"/>
        <v>16</v>
      </c>
      <c r="AA580" s="38">
        <f t="shared" si="235"/>
        <v>0</v>
      </c>
      <c r="AB580" s="38">
        <f t="shared" si="246"/>
        <v>0</v>
      </c>
      <c r="AC580" s="38">
        <f t="shared" si="247"/>
        <v>0</v>
      </c>
      <c r="AD580" s="38">
        <f t="shared" si="248"/>
        <v>0</v>
      </c>
      <c r="AE580" s="38">
        <f t="shared" si="249"/>
        <v>0</v>
      </c>
      <c r="AF580" s="38">
        <f t="shared" si="250"/>
        <v>0</v>
      </c>
      <c r="AG580" s="33">
        <f t="shared" si="251"/>
        <v>0</v>
      </c>
      <c r="AH580" s="33">
        <f t="shared" si="252"/>
        <v>16</v>
      </c>
      <c r="AI580" s="33">
        <f t="shared" si="253"/>
        <v>0</v>
      </c>
      <c r="AJ580" s="33">
        <f t="shared" si="254"/>
        <v>0</v>
      </c>
      <c r="AK580" s="34">
        <f t="shared" si="255"/>
        <v>0</v>
      </c>
      <c r="AL580" s="35">
        <f t="shared" si="256"/>
        <v>0.11267605633802817</v>
      </c>
      <c r="AM580" s="34">
        <f t="shared" si="239"/>
        <v>0</v>
      </c>
      <c r="AN580" s="36">
        <f t="shared" si="257"/>
        <v>0</v>
      </c>
      <c r="AO580" s="6">
        <f t="shared" si="240"/>
        <v>0</v>
      </c>
      <c r="AP580">
        <f t="shared" si="241"/>
        <v>8</v>
      </c>
      <c r="AQ580" s="6">
        <f t="shared" si="242"/>
        <v>0</v>
      </c>
      <c r="AR580" s="6">
        <f t="shared" si="243"/>
        <v>0</v>
      </c>
      <c r="AS580" s="6"/>
      <c r="AX580" s="95">
        <f t="shared" si="244"/>
        <v>42703</v>
      </c>
      <c r="AY580" s="96" t="str">
        <f t="shared" si="245"/>
        <v>ter</v>
      </c>
      <c r="AZ580" s="97">
        <f>IF(OR(AY580="SÁB",AY580="DOM"),0,IFERROR(8-VLOOKUP(C580,'Dados de consulta'!$A$2:$C$38,3,0),8))</f>
        <v>8</v>
      </c>
      <c r="BA580" s="97">
        <f>IF(OR(AY580="SÁB",AY580="DOM"),0,IFERROR(8-VLOOKUP(D580,'Dados de consulta'!$A$2:$C$38,3,0),8))</f>
        <v>8</v>
      </c>
      <c r="BB580" s="97">
        <f>IF(OR(AY580="SÁB",AY580="DOM"),0,IFERROR(8-VLOOKUP(E580,'Dados de consulta'!$A$2:$C$38,3,0),8))</f>
        <v>8</v>
      </c>
      <c r="BC580" s="97">
        <f>IF(OR(AY580="SÁB",AY580="DOM"),0,IFERROR(8-VLOOKUP(F580,'Dados de consulta'!$A$2:$C$38,3,0),8))</f>
        <v>8</v>
      </c>
      <c r="BD580" s="97">
        <f>IF(OR(AY580="SÁB",AY580="DOM"),0,IFERROR(8-VLOOKUP(G580,'Dados de consulta'!$A$2:$C$38,3,0),8))</f>
        <v>8</v>
      </c>
      <c r="BE580" s="97">
        <f>IF(OR(AY580="SÁB",AY580="DOM"),0,IFERROR(8-VLOOKUP(H580,'Dados de consulta'!$A$2:$C$38,3,0),8))</f>
        <v>8</v>
      </c>
      <c r="BF580" s="97">
        <f>IF(OR(AY580="SÁB",AY580="DOM"),0,IFERROR(8-VLOOKUP(I580,'Dados de consulta'!$A$2:$C$38,3,0),8))</f>
        <v>0</v>
      </c>
      <c r="BG580" s="97">
        <f>IF(OR(AY580="SÁB",AY580="DOM"),0,IFERROR(8-VLOOKUP(J580,'Dados de consulta'!$A$2:$C$38,3,0),8))</f>
        <v>8</v>
      </c>
      <c r="BH580" s="97">
        <f>IF(OR(AY580="SÁB",AY580="DOM"),0,IFERROR(8-VLOOKUP(K580,'Dados de consulta'!$A$2:$C$38,3,0),8))</f>
        <v>8</v>
      </c>
      <c r="BI580" s="97">
        <f>IF(OR(AY580="SÁB",AY580="DOM"),0,IFERROR(8-VLOOKUP(L580,'Dados de consulta'!$A$2:$C$38,3,0),8))</f>
        <v>8</v>
      </c>
      <c r="BJ580" s="97">
        <f>IF(OR(AY580="SÁB",AY580="DOM"),0,IFERROR(8-VLOOKUP(M580,'Dados de consulta'!$A$2:$C$38,3,0),8))</f>
        <v>0</v>
      </c>
      <c r="BK580" s="97">
        <f>IF(OR(AY580="SÁB",AY580="DOM"),0,IFERROR(8-VLOOKUP(N580,'Dados de consulta'!$A$2:$C$38,3,0),8))</f>
        <v>8</v>
      </c>
      <c r="BL580" s="97">
        <f>IF(OR(AY580="SÁB",AY580="DOM"),0,IFERROR(8-VLOOKUP(O580,'Dados de consulta'!$A$2:$C$38,3,0),8))</f>
        <v>8</v>
      </c>
      <c r="BM580" s="97">
        <f>IF(OR(AY580="SÁB",AY580="DOM"),0,IFERROR(8-VLOOKUP(P580,'Dados de consulta'!$A$2:$C$38,3,0),8))</f>
        <v>8</v>
      </c>
      <c r="BN580" s="97">
        <f>IF(OR(AY580="SÁB",AY580="DOM"),0,IFERROR(8-VLOOKUP(Q580,'Dados de consulta'!$A$2:$C$38,3,0),8))</f>
        <v>0</v>
      </c>
      <c r="BO580" s="97">
        <f>IF(OR(AY580="SÁB",AY580="DOM"),0,IFERROR(8-VLOOKUP(R580,'Dados de consulta'!$A$2:$C$38,3,0),8))</f>
        <v>8</v>
      </c>
      <c r="BP580" s="97">
        <f>IF(OR(AY580="SÁB",AY580="DOM"),0,IFERROR(8-VLOOKUP(S580,'Dados de consulta'!$A$2:$C$38,3,0),8))</f>
        <v>8</v>
      </c>
      <c r="BQ580" s="113">
        <f>IFERROR(6-VLOOKUP(T580,'Dados de consulta'!$A$2:$C$38,3,0)+2,6)</f>
        <v>6</v>
      </c>
      <c r="BR580" s="114">
        <f t="shared" si="258"/>
        <v>118</v>
      </c>
      <c r="BS580">
        <f t="shared" si="234"/>
        <v>134</v>
      </c>
      <c r="BU580">
        <f>IFERROR(8-VLOOKUP(U580,'Dados de consulta'!$A:$D,3,0),8)</f>
        <v>8</v>
      </c>
      <c r="BV580">
        <f>IFERROR(8-VLOOKUP(V580,'Dados de consulta'!$A:$D,3,0),8)</f>
        <v>8</v>
      </c>
      <c r="BW580">
        <f t="shared" si="259"/>
        <v>16</v>
      </c>
    </row>
    <row r="581" spans="1:75" ht="15" hidden="1" x14ac:dyDescent="0.2">
      <c r="A581" s="98">
        <v>42704</v>
      </c>
      <c r="B581" s="129" t="str">
        <f t="shared" si="236"/>
        <v>qua</v>
      </c>
      <c r="C581" s="132"/>
      <c r="D581" s="132"/>
      <c r="E581" s="132"/>
      <c r="F581" s="132"/>
      <c r="G581" s="132"/>
      <c r="H581" s="132"/>
      <c r="I581" s="132">
        <v>18</v>
      </c>
      <c r="J581" s="132"/>
      <c r="K581" s="132"/>
      <c r="L581" s="132"/>
      <c r="M581" s="132">
        <v>101</v>
      </c>
      <c r="N581" s="132"/>
      <c r="O581" s="132"/>
      <c r="P581" s="132"/>
      <c r="Q581" s="132">
        <v>18</v>
      </c>
      <c r="R581" s="132"/>
      <c r="S581" s="132"/>
      <c r="T581" s="132"/>
      <c r="U581" s="151"/>
      <c r="V581" s="151"/>
      <c r="W581" s="307" t="s">
        <v>193</v>
      </c>
      <c r="X581" s="308"/>
      <c r="Y581" s="38">
        <f t="shared" si="237"/>
        <v>0</v>
      </c>
      <c r="Z581" s="38">
        <f t="shared" si="238"/>
        <v>16</v>
      </c>
      <c r="AA581" s="38">
        <f t="shared" si="235"/>
        <v>0</v>
      </c>
      <c r="AB581" s="38">
        <f t="shared" si="246"/>
        <v>0</v>
      </c>
      <c r="AC581" s="38">
        <f t="shared" si="247"/>
        <v>0</v>
      </c>
      <c r="AD581" s="38">
        <f t="shared" si="248"/>
        <v>0</v>
      </c>
      <c r="AE581" s="38">
        <f t="shared" si="249"/>
        <v>0</v>
      </c>
      <c r="AF581" s="38">
        <f t="shared" si="250"/>
        <v>0</v>
      </c>
      <c r="AG581" s="33">
        <f t="shared" si="251"/>
        <v>0</v>
      </c>
      <c r="AH581" s="33">
        <f t="shared" si="252"/>
        <v>16</v>
      </c>
      <c r="AI581" s="33">
        <f t="shared" si="253"/>
        <v>0</v>
      </c>
      <c r="AJ581" s="33">
        <f t="shared" si="254"/>
        <v>0</v>
      </c>
      <c r="AK581" s="34">
        <f t="shared" si="255"/>
        <v>0</v>
      </c>
      <c r="AL581" s="35">
        <f t="shared" si="256"/>
        <v>0.11267605633802817</v>
      </c>
      <c r="AM581" s="34">
        <f t="shared" si="239"/>
        <v>0</v>
      </c>
      <c r="AN581" s="36">
        <f t="shared" si="257"/>
        <v>0</v>
      </c>
      <c r="AO581" s="6">
        <f t="shared" si="240"/>
        <v>0</v>
      </c>
      <c r="AP581">
        <f t="shared" si="241"/>
        <v>8</v>
      </c>
      <c r="AQ581" s="6">
        <f t="shared" si="242"/>
        <v>0</v>
      </c>
      <c r="AR581" s="6">
        <f t="shared" si="243"/>
        <v>0</v>
      </c>
      <c r="AS581" s="6"/>
      <c r="AX581" s="95">
        <f t="shared" si="244"/>
        <v>42704</v>
      </c>
      <c r="AY581" s="96" t="str">
        <f t="shared" si="245"/>
        <v>qua</v>
      </c>
      <c r="AZ581" s="97">
        <f>IF(OR(AY581="SÁB",AY581="DOM"),0,IFERROR(8-VLOOKUP(C581,'Dados de consulta'!$A$2:$C$38,3,0),8))</f>
        <v>8</v>
      </c>
      <c r="BA581" s="97">
        <f>IF(OR(AY581="SÁB",AY581="DOM"),0,IFERROR(8-VLOOKUP(D581,'Dados de consulta'!$A$2:$C$38,3,0),8))</f>
        <v>8</v>
      </c>
      <c r="BB581" s="97">
        <f>IF(OR(AY581="SÁB",AY581="DOM"),0,IFERROR(8-VLOOKUP(E581,'Dados de consulta'!$A$2:$C$38,3,0),8))</f>
        <v>8</v>
      </c>
      <c r="BC581" s="97">
        <f>IF(OR(AY581="SÁB",AY581="DOM"),0,IFERROR(8-VLOOKUP(F581,'Dados de consulta'!$A$2:$C$38,3,0),8))</f>
        <v>8</v>
      </c>
      <c r="BD581" s="97">
        <f>IF(OR(AY581="SÁB",AY581="DOM"),0,IFERROR(8-VLOOKUP(G581,'Dados de consulta'!$A$2:$C$38,3,0),8))</f>
        <v>8</v>
      </c>
      <c r="BE581" s="97">
        <f>IF(OR(AY581="SÁB",AY581="DOM"),0,IFERROR(8-VLOOKUP(H581,'Dados de consulta'!$A$2:$C$38,3,0),8))</f>
        <v>8</v>
      </c>
      <c r="BF581" s="97">
        <f>IF(OR(AY581="SÁB",AY581="DOM"),0,IFERROR(8-VLOOKUP(I581,'Dados de consulta'!$A$2:$C$38,3,0),8))</f>
        <v>0</v>
      </c>
      <c r="BG581" s="97">
        <f>IF(OR(AY581="SÁB",AY581="DOM"),0,IFERROR(8-VLOOKUP(J581,'Dados de consulta'!$A$2:$C$38,3,0),8))</f>
        <v>8</v>
      </c>
      <c r="BH581" s="97">
        <f>IF(OR(AY581="SÁB",AY581="DOM"),0,IFERROR(8-VLOOKUP(K581,'Dados de consulta'!$A$2:$C$38,3,0),8))</f>
        <v>8</v>
      </c>
      <c r="BI581" s="97">
        <f>IF(OR(AY581="SÁB",AY581="DOM"),0,IFERROR(8-VLOOKUP(L581,'Dados de consulta'!$A$2:$C$38,3,0),8))</f>
        <v>8</v>
      </c>
      <c r="BJ581" s="97">
        <f>IF(OR(AY581="SÁB",AY581="DOM"),0,IFERROR(8-VLOOKUP(M581,'Dados de consulta'!$A$2:$C$38,3,0),8))</f>
        <v>0</v>
      </c>
      <c r="BK581" s="97">
        <f>IF(OR(AY581="SÁB",AY581="DOM"),0,IFERROR(8-VLOOKUP(N581,'Dados de consulta'!$A$2:$C$38,3,0),8))</f>
        <v>8</v>
      </c>
      <c r="BL581" s="97">
        <f>IF(OR(AY581="SÁB",AY581="DOM"),0,IFERROR(8-VLOOKUP(O581,'Dados de consulta'!$A$2:$C$38,3,0),8))</f>
        <v>8</v>
      </c>
      <c r="BM581" s="97">
        <f>IF(OR(AY581="SÁB",AY581="DOM"),0,IFERROR(8-VLOOKUP(P581,'Dados de consulta'!$A$2:$C$38,3,0),8))</f>
        <v>8</v>
      </c>
      <c r="BN581" s="97">
        <f>IF(OR(AY581="SÁB",AY581="DOM"),0,IFERROR(8-VLOOKUP(Q581,'Dados de consulta'!$A$2:$C$38,3,0),8))</f>
        <v>0</v>
      </c>
      <c r="BO581" s="97">
        <f>IF(OR(AY581="SÁB",AY581="DOM"),0,IFERROR(8-VLOOKUP(R581,'Dados de consulta'!$A$2:$C$38,3,0),8))</f>
        <v>8</v>
      </c>
      <c r="BP581" s="97">
        <f>IF(OR(AY581="SÁB",AY581="DOM"),0,IFERROR(8-VLOOKUP(S581,'Dados de consulta'!$A$2:$C$38,3,0),8))</f>
        <v>8</v>
      </c>
      <c r="BQ581" s="113">
        <f>IFERROR(6-VLOOKUP(T581,'Dados de consulta'!$A$2:$C$38,3,0)+2,6)</f>
        <v>6</v>
      </c>
      <c r="BR581" s="114">
        <f t="shared" si="258"/>
        <v>118</v>
      </c>
      <c r="BS581">
        <f t="shared" si="234"/>
        <v>134</v>
      </c>
      <c r="BU581">
        <f>IFERROR(8-VLOOKUP(U581,'Dados de consulta'!$A:$D,3,0),8)</f>
        <v>8</v>
      </c>
      <c r="BV581">
        <f>IFERROR(8-VLOOKUP(V581,'Dados de consulta'!$A:$D,3,0),8)</f>
        <v>8</v>
      </c>
      <c r="BW581">
        <f t="shared" si="259"/>
        <v>16</v>
      </c>
    </row>
    <row r="582" spans="1:75" ht="15" hidden="1" x14ac:dyDescent="0.2">
      <c r="A582" s="98">
        <v>42705</v>
      </c>
      <c r="B582" s="129" t="str">
        <f t="shared" si="236"/>
        <v>qui</v>
      </c>
      <c r="C582" s="132"/>
      <c r="D582" s="132"/>
      <c r="E582" s="132"/>
      <c r="F582" s="132"/>
      <c r="G582" s="132"/>
      <c r="H582" s="132"/>
      <c r="I582" s="132">
        <v>18</v>
      </c>
      <c r="J582" s="132"/>
      <c r="K582" s="132"/>
      <c r="L582" s="132"/>
      <c r="M582" s="132">
        <v>101</v>
      </c>
      <c r="N582" s="132"/>
      <c r="O582" s="132"/>
      <c r="P582" s="132"/>
      <c r="Q582" s="132">
        <v>18</v>
      </c>
      <c r="R582" s="132"/>
      <c r="S582" s="132"/>
      <c r="T582" s="132"/>
      <c r="U582" s="151"/>
      <c r="V582" s="151"/>
      <c r="W582" s="307" t="s">
        <v>193</v>
      </c>
      <c r="X582" s="308"/>
      <c r="Y582" s="38">
        <f t="shared" si="237"/>
        <v>0</v>
      </c>
      <c r="Z582" s="38">
        <f t="shared" si="238"/>
        <v>16</v>
      </c>
      <c r="AA582" s="38">
        <f t="shared" si="235"/>
        <v>0</v>
      </c>
      <c r="AB582" s="38">
        <f t="shared" si="246"/>
        <v>0</v>
      </c>
      <c r="AC582" s="38">
        <f t="shared" si="247"/>
        <v>0</v>
      </c>
      <c r="AD582" s="38">
        <f t="shared" si="248"/>
        <v>0</v>
      </c>
      <c r="AE582" s="38">
        <f t="shared" si="249"/>
        <v>0</v>
      </c>
      <c r="AF582" s="38">
        <f t="shared" si="250"/>
        <v>0</v>
      </c>
      <c r="AG582" s="33">
        <f t="shared" si="251"/>
        <v>0</v>
      </c>
      <c r="AH582" s="33">
        <f t="shared" si="252"/>
        <v>16</v>
      </c>
      <c r="AI582" s="33">
        <f t="shared" si="253"/>
        <v>0</v>
      </c>
      <c r="AJ582" s="33">
        <f t="shared" si="254"/>
        <v>0</v>
      </c>
      <c r="AK582" s="34">
        <f t="shared" si="255"/>
        <v>0</v>
      </c>
      <c r="AL582" s="35">
        <f t="shared" si="256"/>
        <v>0.11267605633802817</v>
      </c>
      <c r="AM582" s="34">
        <f t="shared" si="239"/>
        <v>0</v>
      </c>
      <c r="AN582" s="36">
        <f t="shared" si="257"/>
        <v>0</v>
      </c>
      <c r="AO582" s="6">
        <f t="shared" si="240"/>
        <v>0</v>
      </c>
      <c r="AP582">
        <f t="shared" si="241"/>
        <v>8</v>
      </c>
      <c r="AQ582" s="6">
        <f t="shared" si="242"/>
        <v>0</v>
      </c>
      <c r="AR582" s="6">
        <f t="shared" si="243"/>
        <v>0</v>
      </c>
      <c r="AS582" s="6"/>
      <c r="AX582" s="95">
        <f t="shared" si="244"/>
        <v>42705</v>
      </c>
      <c r="AY582" s="96" t="str">
        <f t="shared" si="245"/>
        <v>qui</v>
      </c>
      <c r="AZ582" s="97">
        <f>IF(OR(AY582="SÁB",AY582="DOM"),0,IFERROR(8-VLOOKUP(C582,'Dados de consulta'!$A$2:$C$38,3,0),8))</f>
        <v>8</v>
      </c>
      <c r="BA582" s="97">
        <f>IF(OR(AY582="SÁB",AY582="DOM"),0,IFERROR(8-VLOOKUP(D582,'Dados de consulta'!$A$2:$C$38,3,0),8))</f>
        <v>8</v>
      </c>
      <c r="BB582" s="97">
        <f>IF(OR(AY582="SÁB",AY582="DOM"),0,IFERROR(8-VLOOKUP(E582,'Dados de consulta'!$A$2:$C$38,3,0),8))</f>
        <v>8</v>
      </c>
      <c r="BC582" s="97">
        <f>IF(OR(AY582="SÁB",AY582="DOM"),0,IFERROR(8-VLOOKUP(F582,'Dados de consulta'!$A$2:$C$38,3,0),8))</f>
        <v>8</v>
      </c>
      <c r="BD582" s="97">
        <f>IF(OR(AY582="SÁB",AY582="DOM"),0,IFERROR(8-VLOOKUP(G582,'Dados de consulta'!$A$2:$C$38,3,0),8))</f>
        <v>8</v>
      </c>
      <c r="BE582" s="97">
        <f>IF(OR(AY582="SÁB",AY582="DOM"),0,IFERROR(8-VLOOKUP(H582,'Dados de consulta'!$A$2:$C$38,3,0),8))</f>
        <v>8</v>
      </c>
      <c r="BF582" s="97">
        <f>IF(OR(AY582="SÁB",AY582="DOM"),0,IFERROR(8-VLOOKUP(I582,'Dados de consulta'!$A$2:$C$38,3,0),8))</f>
        <v>0</v>
      </c>
      <c r="BG582" s="97">
        <f>IF(OR(AY582="SÁB",AY582="DOM"),0,IFERROR(8-VLOOKUP(J582,'Dados de consulta'!$A$2:$C$38,3,0),8))</f>
        <v>8</v>
      </c>
      <c r="BH582" s="97">
        <f>IF(OR(AY582="SÁB",AY582="DOM"),0,IFERROR(8-VLOOKUP(K582,'Dados de consulta'!$A$2:$C$38,3,0),8))</f>
        <v>8</v>
      </c>
      <c r="BI582" s="97">
        <f>IF(OR(AY582="SÁB",AY582="DOM"),0,IFERROR(8-VLOOKUP(L582,'Dados de consulta'!$A$2:$C$38,3,0),8))</f>
        <v>8</v>
      </c>
      <c r="BJ582" s="97">
        <f>IF(OR(AY582="SÁB",AY582="DOM"),0,IFERROR(8-VLOOKUP(M582,'Dados de consulta'!$A$2:$C$38,3,0),8))</f>
        <v>0</v>
      </c>
      <c r="BK582" s="97">
        <f>IF(OR(AY582="SÁB",AY582="DOM"),0,IFERROR(8-VLOOKUP(N582,'Dados de consulta'!$A$2:$C$38,3,0),8))</f>
        <v>8</v>
      </c>
      <c r="BL582" s="97">
        <f>IF(OR(AY582="SÁB",AY582="DOM"),0,IFERROR(8-VLOOKUP(O582,'Dados de consulta'!$A$2:$C$38,3,0),8))</f>
        <v>8</v>
      </c>
      <c r="BM582" s="97">
        <f>IF(OR(AY582="SÁB",AY582="DOM"),0,IFERROR(8-VLOOKUP(P582,'Dados de consulta'!$A$2:$C$38,3,0),8))</f>
        <v>8</v>
      </c>
      <c r="BN582" s="97">
        <f>IF(OR(AY582="SÁB",AY582="DOM"),0,IFERROR(8-VLOOKUP(Q582,'Dados de consulta'!$A$2:$C$38,3,0),8))</f>
        <v>0</v>
      </c>
      <c r="BO582" s="97">
        <f>IF(OR(AY582="SÁB",AY582="DOM"),0,IFERROR(8-VLOOKUP(R582,'Dados de consulta'!$A$2:$C$38,3,0),8))</f>
        <v>8</v>
      </c>
      <c r="BP582" s="97">
        <f>IF(OR(AY582="SÁB",AY582="DOM"),0,IFERROR(8-VLOOKUP(S582,'Dados de consulta'!$A$2:$C$38,3,0),8))</f>
        <v>8</v>
      </c>
      <c r="BQ582" s="113">
        <f>IFERROR(6-VLOOKUP(T582,'Dados de consulta'!$A$2:$C$38,3,0)+2,6)</f>
        <v>6</v>
      </c>
      <c r="BR582" s="114">
        <f t="shared" si="258"/>
        <v>118</v>
      </c>
      <c r="BS582">
        <f t="shared" si="234"/>
        <v>134</v>
      </c>
      <c r="BU582">
        <f>IFERROR(8-VLOOKUP(U582,'Dados de consulta'!$A:$D,3,0),8)</f>
        <v>8</v>
      </c>
      <c r="BV582">
        <f>IFERROR(8-VLOOKUP(V582,'Dados de consulta'!$A:$D,3,0),8)</f>
        <v>8</v>
      </c>
      <c r="BW582">
        <f t="shared" si="259"/>
        <v>16</v>
      </c>
    </row>
    <row r="583" spans="1:75" ht="15" hidden="1" x14ac:dyDescent="0.2">
      <c r="A583" s="98">
        <v>42706</v>
      </c>
      <c r="B583" s="129" t="str">
        <f t="shared" si="236"/>
        <v>sex</v>
      </c>
      <c r="C583" s="132"/>
      <c r="D583" s="132"/>
      <c r="E583" s="132"/>
      <c r="F583" s="132"/>
      <c r="G583" s="132"/>
      <c r="H583" s="132"/>
      <c r="I583" s="132">
        <v>18</v>
      </c>
      <c r="J583" s="132"/>
      <c r="K583" s="132"/>
      <c r="L583" s="132"/>
      <c r="M583" s="132">
        <v>101</v>
      </c>
      <c r="N583" s="132"/>
      <c r="O583" s="132"/>
      <c r="P583" s="132"/>
      <c r="Q583" s="132">
        <v>18</v>
      </c>
      <c r="R583" s="132"/>
      <c r="S583" s="132"/>
      <c r="T583" s="132"/>
      <c r="U583" s="151"/>
      <c r="V583" s="151"/>
      <c r="W583" s="307" t="s">
        <v>193</v>
      </c>
      <c r="X583" s="308"/>
      <c r="Y583" s="38">
        <f t="shared" si="237"/>
        <v>0</v>
      </c>
      <c r="Z583" s="38">
        <f t="shared" si="238"/>
        <v>16</v>
      </c>
      <c r="AA583" s="38">
        <f t="shared" si="235"/>
        <v>0</v>
      </c>
      <c r="AB583" s="38">
        <f t="shared" si="246"/>
        <v>0</v>
      </c>
      <c r="AC583" s="38">
        <f t="shared" si="247"/>
        <v>0</v>
      </c>
      <c r="AD583" s="38">
        <f t="shared" si="248"/>
        <v>0</v>
      </c>
      <c r="AE583" s="38">
        <f t="shared" si="249"/>
        <v>0</v>
      </c>
      <c r="AF583" s="38">
        <f t="shared" si="250"/>
        <v>0</v>
      </c>
      <c r="AG583" s="33">
        <f t="shared" si="251"/>
        <v>0</v>
      </c>
      <c r="AH583" s="33">
        <f t="shared" si="252"/>
        <v>16</v>
      </c>
      <c r="AI583" s="33">
        <f t="shared" si="253"/>
        <v>0</v>
      </c>
      <c r="AJ583" s="33">
        <f t="shared" si="254"/>
        <v>0</v>
      </c>
      <c r="AK583" s="34">
        <f t="shared" si="255"/>
        <v>0</v>
      </c>
      <c r="AL583" s="35">
        <f t="shared" si="256"/>
        <v>0.11267605633802817</v>
      </c>
      <c r="AM583" s="34">
        <f t="shared" si="239"/>
        <v>0</v>
      </c>
      <c r="AN583" s="36">
        <f t="shared" si="257"/>
        <v>0</v>
      </c>
      <c r="AO583" s="6">
        <f t="shared" si="240"/>
        <v>0</v>
      </c>
      <c r="AP583">
        <f t="shared" si="241"/>
        <v>8</v>
      </c>
      <c r="AQ583" s="6">
        <f t="shared" si="242"/>
        <v>0</v>
      </c>
      <c r="AR583" s="6">
        <f t="shared" si="243"/>
        <v>0</v>
      </c>
      <c r="AS583" s="6"/>
      <c r="AX583" s="95">
        <f t="shared" si="244"/>
        <v>42706</v>
      </c>
      <c r="AY583" s="96" t="str">
        <f t="shared" si="245"/>
        <v>sex</v>
      </c>
      <c r="AZ583" s="97">
        <f>IF(OR(AY583="SÁB",AY583="DOM"),0,IFERROR(8-VLOOKUP(C583,'Dados de consulta'!$A$2:$C$38,3,0),8))</f>
        <v>8</v>
      </c>
      <c r="BA583" s="97">
        <f>IF(OR(AY583="SÁB",AY583="DOM"),0,IFERROR(8-VLOOKUP(D583,'Dados de consulta'!$A$2:$C$38,3,0),8))</f>
        <v>8</v>
      </c>
      <c r="BB583" s="97">
        <f>IF(OR(AY583="SÁB",AY583="DOM"),0,IFERROR(8-VLOOKUP(E583,'Dados de consulta'!$A$2:$C$38,3,0),8))</f>
        <v>8</v>
      </c>
      <c r="BC583" s="97">
        <f>IF(OR(AY583="SÁB",AY583="DOM"),0,IFERROR(8-VLOOKUP(F583,'Dados de consulta'!$A$2:$C$38,3,0),8))</f>
        <v>8</v>
      </c>
      <c r="BD583" s="97">
        <f>IF(OR(AY583="SÁB",AY583="DOM"),0,IFERROR(8-VLOOKUP(G583,'Dados de consulta'!$A$2:$C$38,3,0),8))</f>
        <v>8</v>
      </c>
      <c r="BE583" s="97">
        <f>IF(OR(AY583="SÁB",AY583="DOM"),0,IFERROR(8-VLOOKUP(H583,'Dados de consulta'!$A$2:$C$38,3,0),8))</f>
        <v>8</v>
      </c>
      <c r="BF583" s="97">
        <f>IF(OR(AY583="SÁB",AY583="DOM"),0,IFERROR(8-VLOOKUP(I583,'Dados de consulta'!$A$2:$C$38,3,0),8))</f>
        <v>0</v>
      </c>
      <c r="BG583" s="97">
        <f>IF(OR(AY583="SÁB",AY583="DOM"),0,IFERROR(8-VLOOKUP(J583,'Dados de consulta'!$A$2:$C$38,3,0),8))</f>
        <v>8</v>
      </c>
      <c r="BH583" s="97">
        <f>IF(OR(AY583="SÁB",AY583="DOM"),0,IFERROR(8-VLOOKUP(K583,'Dados de consulta'!$A$2:$C$38,3,0),8))</f>
        <v>8</v>
      </c>
      <c r="BI583" s="97">
        <f>IF(OR(AY583="SÁB",AY583="DOM"),0,IFERROR(8-VLOOKUP(L583,'Dados de consulta'!$A$2:$C$38,3,0),8))</f>
        <v>8</v>
      </c>
      <c r="BJ583" s="97">
        <f>IF(OR(AY583="SÁB",AY583="DOM"),0,IFERROR(8-VLOOKUP(M583,'Dados de consulta'!$A$2:$C$38,3,0),8))</f>
        <v>0</v>
      </c>
      <c r="BK583" s="97">
        <f>IF(OR(AY583="SÁB",AY583="DOM"),0,IFERROR(8-VLOOKUP(N583,'Dados de consulta'!$A$2:$C$38,3,0),8))</f>
        <v>8</v>
      </c>
      <c r="BL583" s="97">
        <f>IF(OR(AY583="SÁB",AY583="DOM"),0,IFERROR(8-VLOOKUP(O583,'Dados de consulta'!$A$2:$C$38,3,0),8))</f>
        <v>8</v>
      </c>
      <c r="BM583" s="97">
        <f>IF(OR(AY583="SÁB",AY583="DOM"),0,IFERROR(8-VLOOKUP(P583,'Dados de consulta'!$A$2:$C$38,3,0),8))</f>
        <v>8</v>
      </c>
      <c r="BN583" s="97">
        <f>IF(OR(AY583="SÁB",AY583="DOM"),0,IFERROR(8-VLOOKUP(Q583,'Dados de consulta'!$A$2:$C$38,3,0),8))</f>
        <v>0</v>
      </c>
      <c r="BO583" s="97">
        <f>IF(OR(AY583="SÁB",AY583="DOM"),0,IFERROR(8-VLOOKUP(R583,'Dados de consulta'!$A$2:$C$38,3,0),8))</f>
        <v>8</v>
      </c>
      <c r="BP583" s="97">
        <f>IF(OR(AY583="SÁB",AY583="DOM"),0,IFERROR(8-VLOOKUP(S583,'Dados de consulta'!$A$2:$C$38,3,0),8))</f>
        <v>8</v>
      </c>
      <c r="BQ583" s="113">
        <f>IFERROR(6-VLOOKUP(T583,'Dados de consulta'!$A$2:$C$38,3,0)+2,6)</f>
        <v>6</v>
      </c>
      <c r="BR583" s="114">
        <f t="shared" si="258"/>
        <v>118</v>
      </c>
      <c r="BS583">
        <f t="shared" si="234"/>
        <v>134</v>
      </c>
      <c r="BU583">
        <f>IFERROR(8-VLOOKUP(U583,'Dados de consulta'!$A:$D,3,0),8)</f>
        <v>8</v>
      </c>
      <c r="BV583">
        <f>IFERROR(8-VLOOKUP(V583,'Dados de consulta'!$A:$D,3,0),8)</f>
        <v>8</v>
      </c>
      <c r="BW583">
        <f t="shared" si="259"/>
        <v>16</v>
      </c>
    </row>
    <row r="584" spans="1:75" ht="15" hidden="1" x14ac:dyDescent="0.2">
      <c r="A584" s="98">
        <v>42707</v>
      </c>
      <c r="B584" s="129" t="str">
        <f t="shared" si="236"/>
        <v>sáb</v>
      </c>
      <c r="C584" s="132"/>
      <c r="D584" s="132"/>
      <c r="E584" s="132"/>
      <c r="F584" s="132"/>
      <c r="G584" s="132"/>
      <c r="H584" s="132"/>
      <c r="I584" s="132">
        <v>18</v>
      </c>
      <c r="J584" s="132"/>
      <c r="K584" s="132"/>
      <c r="L584" s="132"/>
      <c r="M584" s="132">
        <v>101</v>
      </c>
      <c r="N584" s="132"/>
      <c r="O584" s="132"/>
      <c r="P584" s="132"/>
      <c r="Q584" s="132">
        <v>18</v>
      </c>
      <c r="R584" s="132"/>
      <c r="S584" s="132"/>
      <c r="T584" s="132"/>
      <c r="U584" s="151"/>
      <c r="V584" s="151"/>
      <c r="W584" s="307" t="s">
        <v>193</v>
      </c>
      <c r="X584" s="308"/>
      <c r="Y584" s="38">
        <f t="shared" si="237"/>
        <v>0</v>
      </c>
      <c r="Z584" s="38">
        <f t="shared" si="238"/>
        <v>16</v>
      </c>
      <c r="AA584" s="38">
        <f t="shared" si="235"/>
        <v>0</v>
      </c>
      <c r="AB584" s="38">
        <f t="shared" si="246"/>
        <v>0</v>
      </c>
      <c r="AC584" s="38">
        <f t="shared" si="247"/>
        <v>0</v>
      </c>
      <c r="AD584" s="38">
        <f t="shared" si="248"/>
        <v>0</v>
      </c>
      <c r="AE584" s="38">
        <f t="shared" si="249"/>
        <v>0</v>
      </c>
      <c r="AF584" s="38">
        <f t="shared" si="250"/>
        <v>0</v>
      </c>
      <c r="AG584" s="33">
        <f t="shared" si="251"/>
        <v>0</v>
      </c>
      <c r="AH584" s="33">
        <f t="shared" si="252"/>
        <v>0</v>
      </c>
      <c r="AI584" s="33">
        <f t="shared" si="253"/>
        <v>0</v>
      </c>
      <c r="AJ584" s="33">
        <f t="shared" si="254"/>
        <v>0</v>
      </c>
      <c r="AK584" s="34">
        <f t="shared" si="255"/>
        <v>0</v>
      </c>
      <c r="AL584" s="35">
        <f t="shared" si="256"/>
        <v>0</v>
      </c>
      <c r="AM584" s="34">
        <f t="shared" si="239"/>
        <v>0</v>
      </c>
      <c r="AN584" s="36">
        <f t="shared" si="257"/>
        <v>0</v>
      </c>
      <c r="AO584" s="6">
        <f t="shared" si="240"/>
        <v>0</v>
      </c>
      <c r="AP584">
        <f t="shared" si="241"/>
        <v>8</v>
      </c>
      <c r="AQ584" s="6">
        <f t="shared" si="242"/>
        <v>0</v>
      </c>
      <c r="AR584" s="6">
        <f t="shared" si="243"/>
        <v>0</v>
      </c>
      <c r="AS584" s="6"/>
      <c r="AX584" s="95">
        <f t="shared" si="244"/>
        <v>42707</v>
      </c>
      <c r="AY584" s="96" t="str">
        <f t="shared" si="245"/>
        <v>sáb</v>
      </c>
      <c r="AZ584" s="97">
        <f>IF(OR(AY584="SÁB",AY584="DOM"),0,IFERROR(8-VLOOKUP(C584,'Dados de consulta'!$A$2:$C$38,3,0),8))</f>
        <v>0</v>
      </c>
      <c r="BA584" s="97">
        <f>IF(OR(AY584="SÁB",AY584="DOM"),0,IFERROR(8-VLOOKUP(D584,'Dados de consulta'!$A$2:$C$38,3,0),8))</f>
        <v>0</v>
      </c>
      <c r="BB584" s="97">
        <f>IF(OR(AY584="SÁB",AY584="DOM"),0,IFERROR(8-VLOOKUP(E584,'Dados de consulta'!$A$2:$C$38,3,0),8))</f>
        <v>0</v>
      </c>
      <c r="BC584" s="97">
        <f>IF(OR(AY584="SÁB",AY584="DOM"),0,IFERROR(8-VLOOKUP(F584,'Dados de consulta'!$A$2:$C$38,3,0),8))</f>
        <v>0</v>
      </c>
      <c r="BD584" s="97">
        <f>IF(OR(AY584="SÁB",AY584="DOM"),0,IFERROR(8-VLOOKUP(G584,'Dados de consulta'!$A$2:$C$38,3,0),8))</f>
        <v>0</v>
      </c>
      <c r="BE584" s="97">
        <f>IF(OR(AY584="SÁB",AY584="DOM"),0,IFERROR(8-VLOOKUP(H584,'Dados de consulta'!$A$2:$C$38,3,0),8))</f>
        <v>0</v>
      </c>
      <c r="BF584" s="97">
        <f>IF(OR(AY584="SÁB",AY584="DOM"),0,IFERROR(8-VLOOKUP(I584,'Dados de consulta'!$A$2:$C$38,3,0),8))</f>
        <v>0</v>
      </c>
      <c r="BG584" s="97">
        <f>IF(OR(AY584="SÁB",AY584="DOM"),0,IFERROR(8-VLOOKUP(J584,'Dados de consulta'!$A$2:$C$38,3,0),8))</f>
        <v>0</v>
      </c>
      <c r="BH584" s="97">
        <f>IF(OR(AY584="SÁB",AY584="DOM"),0,IFERROR(8-VLOOKUP(K584,'Dados de consulta'!$A$2:$C$38,3,0),8))</f>
        <v>0</v>
      </c>
      <c r="BI584" s="97">
        <f>IF(OR(AY584="SÁB",AY584="DOM"),0,IFERROR(8-VLOOKUP(L584,'Dados de consulta'!$A$2:$C$38,3,0),8))</f>
        <v>0</v>
      </c>
      <c r="BJ584" s="97">
        <f>IF(OR(AY584="SÁB",AY584="DOM"),0,IFERROR(8-VLOOKUP(M584,'Dados de consulta'!$A$2:$C$38,3,0),8))</f>
        <v>0</v>
      </c>
      <c r="BK584" s="97">
        <f>IF(OR(AY584="SÁB",AY584="DOM"),0,IFERROR(8-VLOOKUP(N584,'Dados de consulta'!$A$2:$C$38,3,0),8))</f>
        <v>0</v>
      </c>
      <c r="BL584" s="97">
        <f>IF(OR(AY584="SÁB",AY584="DOM"),0,IFERROR(8-VLOOKUP(O584,'Dados de consulta'!$A$2:$C$38,3,0),8))</f>
        <v>0</v>
      </c>
      <c r="BM584" s="97">
        <f>IF(OR(AY584="SÁB",AY584="DOM"),0,IFERROR(8-VLOOKUP(P584,'Dados de consulta'!$A$2:$C$38,3,0),8))</f>
        <v>0</v>
      </c>
      <c r="BN584" s="97">
        <f>IF(OR(AY584="SÁB",AY584="DOM"),0,IFERROR(8-VLOOKUP(Q584,'Dados de consulta'!$A$2:$C$38,3,0),8))</f>
        <v>0</v>
      </c>
      <c r="BO584" s="97">
        <f>IF(OR(AY584="SÁB",AY584="DOM"),0,IFERROR(8-VLOOKUP(R584,'Dados de consulta'!$A$2:$C$38,3,0),8))</f>
        <v>0</v>
      </c>
      <c r="BP584" s="97">
        <f>IF(OR(AY584="SÁB",AY584="DOM"),0,IFERROR(8-VLOOKUP(S584,'Dados de consulta'!$A$2:$C$38,3,0),8))</f>
        <v>0</v>
      </c>
      <c r="BQ584" s="113">
        <f>IFERROR(6-VLOOKUP(T584,'Dados de consulta'!$A$2:$C$38,3,0)+2,6)</f>
        <v>6</v>
      </c>
      <c r="BR584" s="114">
        <f t="shared" si="258"/>
        <v>0</v>
      </c>
      <c r="BS584">
        <f t="shared" si="234"/>
        <v>0</v>
      </c>
      <c r="BU584">
        <f>IFERROR(8-VLOOKUP(U584,'Dados de consulta'!$A:$D,3,0),8)</f>
        <v>8</v>
      </c>
      <c r="BV584">
        <f>IFERROR(8-VLOOKUP(V584,'Dados de consulta'!$A:$D,3,0),8)</f>
        <v>8</v>
      </c>
      <c r="BW584">
        <f t="shared" si="259"/>
        <v>16</v>
      </c>
    </row>
    <row r="585" spans="1:75" ht="15" hidden="1" x14ac:dyDescent="0.2">
      <c r="A585" s="98">
        <v>42708</v>
      </c>
      <c r="B585" s="129" t="str">
        <f t="shared" si="236"/>
        <v>dom</v>
      </c>
      <c r="C585" s="132"/>
      <c r="D585" s="132"/>
      <c r="E585" s="132"/>
      <c r="F585" s="132"/>
      <c r="G585" s="132"/>
      <c r="H585" s="132"/>
      <c r="I585" s="132">
        <v>18</v>
      </c>
      <c r="J585" s="132"/>
      <c r="K585" s="132"/>
      <c r="L585" s="132"/>
      <c r="M585" s="132">
        <v>101</v>
      </c>
      <c r="N585" s="132"/>
      <c r="O585" s="132"/>
      <c r="P585" s="132"/>
      <c r="Q585" s="132">
        <v>18</v>
      </c>
      <c r="R585" s="132"/>
      <c r="S585" s="132"/>
      <c r="T585" s="132"/>
      <c r="U585" s="151"/>
      <c r="V585" s="151"/>
      <c r="W585" s="307" t="s">
        <v>193</v>
      </c>
      <c r="X585" s="308"/>
      <c r="Y585" s="38">
        <f t="shared" si="237"/>
        <v>0</v>
      </c>
      <c r="Z585" s="38">
        <f t="shared" si="238"/>
        <v>16</v>
      </c>
      <c r="AA585" s="38">
        <f t="shared" si="235"/>
        <v>0</v>
      </c>
      <c r="AB585" s="38">
        <f t="shared" si="246"/>
        <v>0</v>
      </c>
      <c r="AC585" s="38">
        <f t="shared" si="247"/>
        <v>0</v>
      </c>
      <c r="AD585" s="38">
        <f t="shared" si="248"/>
        <v>0</v>
      </c>
      <c r="AE585" s="38">
        <f t="shared" si="249"/>
        <v>0</v>
      </c>
      <c r="AF585" s="38">
        <f t="shared" si="250"/>
        <v>0</v>
      </c>
      <c r="AG585" s="33">
        <f t="shared" si="251"/>
        <v>0</v>
      </c>
      <c r="AH585" s="33">
        <f t="shared" si="252"/>
        <v>0</v>
      </c>
      <c r="AI585" s="33">
        <f t="shared" si="253"/>
        <v>0</v>
      </c>
      <c r="AJ585" s="33">
        <f t="shared" si="254"/>
        <v>0</v>
      </c>
      <c r="AK585" s="34">
        <f t="shared" si="255"/>
        <v>0</v>
      </c>
      <c r="AL585" s="35">
        <f t="shared" si="256"/>
        <v>0</v>
      </c>
      <c r="AM585" s="34">
        <f t="shared" si="239"/>
        <v>0</v>
      </c>
      <c r="AN585" s="36">
        <f t="shared" si="257"/>
        <v>0</v>
      </c>
      <c r="AO585" s="6">
        <f t="shared" si="240"/>
        <v>0</v>
      </c>
      <c r="AP585">
        <f t="shared" si="241"/>
        <v>8</v>
      </c>
      <c r="AQ585" s="6">
        <f t="shared" si="242"/>
        <v>0</v>
      </c>
      <c r="AR585" s="6">
        <f t="shared" si="243"/>
        <v>0</v>
      </c>
      <c r="AS585" s="6"/>
      <c r="AX585" s="95">
        <f t="shared" si="244"/>
        <v>42708</v>
      </c>
      <c r="AY585" s="96" t="str">
        <f t="shared" si="245"/>
        <v>dom</v>
      </c>
      <c r="AZ585" s="97">
        <f>IF(OR(AY585="SÁB",AY585="DOM"),0,IFERROR(8-VLOOKUP(C585,'Dados de consulta'!$A$2:$C$38,3,0),8))</f>
        <v>0</v>
      </c>
      <c r="BA585" s="97">
        <f>IF(OR(AY585="SÁB",AY585="DOM"),0,IFERROR(8-VLOOKUP(D585,'Dados de consulta'!$A$2:$C$38,3,0),8))</f>
        <v>0</v>
      </c>
      <c r="BB585" s="97">
        <f>IF(OR(AY585="SÁB",AY585="DOM"),0,IFERROR(8-VLOOKUP(E585,'Dados de consulta'!$A$2:$C$38,3,0),8))</f>
        <v>0</v>
      </c>
      <c r="BC585" s="97">
        <f>IF(OR(AY585="SÁB",AY585="DOM"),0,IFERROR(8-VLOOKUP(F585,'Dados de consulta'!$A$2:$C$38,3,0),8))</f>
        <v>0</v>
      </c>
      <c r="BD585" s="97">
        <f>IF(OR(AY585="SÁB",AY585="DOM"),0,IFERROR(8-VLOOKUP(G585,'Dados de consulta'!$A$2:$C$38,3,0),8))</f>
        <v>0</v>
      </c>
      <c r="BE585" s="97">
        <f>IF(OR(AY585="SÁB",AY585="DOM"),0,IFERROR(8-VLOOKUP(H585,'Dados de consulta'!$A$2:$C$38,3,0),8))</f>
        <v>0</v>
      </c>
      <c r="BF585" s="97">
        <f>IF(OR(AY585="SÁB",AY585="DOM"),0,IFERROR(8-VLOOKUP(I585,'Dados de consulta'!$A$2:$C$38,3,0),8))</f>
        <v>0</v>
      </c>
      <c r="BG585" s="97">
        <f>IF(OR(AY585="SÁB",AY585="DOM"),0,IFERROR(8-VLOOKUP(J585,'Dados de consulta'!$A$2:$C$38,3,0),8))</f>
        <v>0</v>
      </c>
      <c r="BH585" s="97">
        <f>IF(OR(AY585="SÁB",AY585="DOM"),0,IFERROR(8-VLOOKUP(K585,'Dados de consulta'!$A$2:$C$38,3,0),8))</f>
        <v>0</v>
      </c>
      <c r="BI585" s="97">
        <f>IF(OR(AY585="SÁB",AY585="DOM"),0,IFERROR(8-VLOOKUP(L585,'Dados de consulta'!$A$2:$C$38,3,0),8))</f>
        <v>0</v>
      </c>
      <c r="BJ585" s="97">
        <f>IF(OR(AY585="SÁB",AY585="DOM"),0,IFERROR(8-VLOOKUP(M585,'Dados de consulta'!$A$2:$C$38,3,0),8))</f>
        <v>0</v>
      </c>
      <c r="BK585" s="97">
        <f>IF(OR(AY585="SÁB",AY585="DOM"),0,IFERROR(8-VLOOKUP(N585,'Dados de consulta'!$A$2:$C$38,3,0),8))</f>
        <v>0</v>
      </c>
      <c r="BL585" s="97">
        <f>IF(OR(AY585="SÁB",AY585="DOM"),0,IFERROR(8-VLOOKUP(O585,'Dados de consulta'!$A$2:$C$38,3,0),8))</f>
        <v>0</v>
      </c>
      <c r="BM585" s="97">
        <f>IF(OR(AY585="SÁB",AY585="DOM"),0,IFERROR(8-VLOOKUP(P585,'Dados de consulta'!$A$2:$C$38,3,0),8))</f>
        <v>0</v>
      </c>
      <c r="BN585" s="97">
        <f>IF(OR(AY585="SÁB",AY585="DOM"),0,IFERROR(8-VLOOKUP(Q585,'Dados de consulta'!$A$2:$C$38,3,0),8))</f>
        <v>0</v>
      </c>
      <c r="BO585" s="97">
        <f>IF(OR(AY585="SÁB",AY585="DOM"),0,IFERROR(8-VLOOKUP(R585,'Dados de consulta'!$A$2:$C$38,3,0),8))</f>
        <v>0</v>
      </c>
      <c r="BP585" s="97">
        <f>IF(OR(AY585="SÁB",AY585="DOM"),0,IFERROR(8-VLOOKUP(S585,'Dados de consulta'!$A$2:$C$38,3,0),8))</f>
        <v>0</v>
      </c>
      <c r="BQ585" s="113">
        <f>IFERROR(6-VLOOKUP(T585,'Dados de consulta'!$A$2:$C$38,3,0)+2,6)</f>
        <v>6</v>
      </c>
      <c r="BR585" s="114">
        <f t="shared" si="258"/>
        <v>0</v>
      </c>
      <c r="BS585">
        <f t="shared" si="234"/>
        <v>0</v>
      </c>
      <c r="BU585">
        <f>IFERROR(8-VLOOKUP(U585,'Dados de consulta'!$A:$D,3,0),8)</f>
        <v>8</v>
      </c>
      <c r="BV585">
        <f>IFERROR(8-VLOOKUP(V585,'Dados de consulta'!$A:$D,3,0),8)</f>
        <v>8</v>
      </c>
      <c r="BW585">
        <f t="shared" si="259"/>
        <v>16</v>
      </c>
    </row>
    <row r="586" spans="1:75" ht="15" hidden="1" x14ac:dyDescent="0.2">
      <c r="A586" s="98">
        <v>42709</v>
      </c>
      <c r="B586" s="129" t="str">
        <f t="shared" si="236"/>
        <v>seg</v>
      </c>
      <c r="C586" s="132"/>
      <c r="D586" s="132"/>
      <c r="E586" s="132"/>
      <c r="F586" s="132"/>
      <c r="G586" s="132"/>
      <c r="H586" s="132"/>
      <c r="I586" s="132">
        <v>18</v>
      </c>
      <c r="J586" s="132"/>
      <c r="K586" s="132"/>
      <c r="L586" s="132"/>
      <c r="M586" s="132">
        <v>101</v>
      </c>
      <c r="N586" s="132"/>
      <c r="O586" s="132"/>
      <c r="P586" s="132"/>
      <c r="Q586" s="132">
        <v>18</v>
      </c>
      <c r="R586" s="132"/>
      <c r="S586" s="132"/>
      <c r="T586" s="132"/>
      <c r="U586" s="151">
        <v>18</v>
      </c>
      <c r="V586" s="151"/>
      <c r="W586" s="307" t="s">
        <v>193</v>
      </c>
      <c r="X586" s="308"/>
      <c r="Y586" s="38">
        <f t="shared" si="237"/>
        <v>0</v>
      </c>
      <c r="Z586" s="38">
        <f t="shared" si="238"/>
        <v>16</v>
      </c>
      <c r="AA586" s="38">
        <f t="shared" si="235"/>
        <v>0</v>
      </c>
      <c r="AB586" s="38">
        <f t="shared" si="246"/>
        <v>0</v>
      </c>
      <c r="AC586" s="38">
        <f t="shared" si="247"/>
        <v>0</v>
      </c>
      <c r="AD586" s="38">
        <f t="shared" si="248"/>
        <v>0</v>
      </c>
      <c r="AE586" s="38">
        <f t="shared" si="249"/>
        <v>0</v>
      </c>
      <c r="AF586" s="38">
        <f t="shared" si="250"/>
        <v>0</v>
      </c>
      <c r="AG586" s="33">
        <f t="shared" si="251"/>
        <v>0</v>
      </c>
      <c r="AH586" s="33">
        <f t="shared" si="252"/>
        <v>16</v>
      </c>
      <c r="AI586" s="33">
        <f t="shared" si="253"/>
        <v>0</v>
      </c>
      <c r="AJ586" s="33">
        <f t="shared" si="254"/>
        <v>0</v>
      </c>
      <c r="AK586" s="34">
        <f t="shared" si="255"/>
        <v>0</v>
      </c>
      <c r="AL586" s="35">
        <f t="shared" si="256"/>
        <v>0.11267605633802817</v>
      </c>
      <c r="AM586" s="34">
        <f t="shared" si="239"/>
        <v>0</v>
      </c>
      <c r="AN586" s="36">
        <f t="shared" si="257"/>
        <v>0</v>
      </c>
      <c r="AO586" s="6">
        <f t="shared" si="240"/>
        <v>0</v>
      </c>
      <c r="AP586">
        <f t="shared" si="241"/>
        <v>8</v>
      </c>
      <c r="AQ586" s="6">
        <f t="shared" si="242"/>
        <v>0</v>
      </c>
      <c r="AR586" s="6">
        <f t="shared" si="243"/>
        <v>0</v>
      </c>
      <c r="AS586" s="6"/>
      <c r="AX586" s="95">
        <f t="shared" si="244"/>
        <v>42709</v>
      </c>
      <c r="AY586" s="96" t="str">
        <f t="shared" si="245"/>
        <v>seg</v>
      </c>
      <c r="AZ586" s="97">
        <f>IF(OR(AY586="SÁB",AY586="DOM"),0,IFERROR(8-VLOOKUP(C586,'Dados de consulta'!$A$2:$C$38,3,0),8))</f>
        <v>8</v>
      </c>
      <c r="BA586" s="97">
        <f>IF(OR(AY586="SÁB",AY586="DOM"),0,IFERROR(8-VLOOKUP(D586,'Dados de consulta'!$A$2:$C$38,3,0),8))</f>
        <v>8</v>
      </c>
      <c r="BB586" s="97">
        <f>IF(OR(AY586="SÁB",AY586="DOM"),0,IFERROR(8-VLOOKUP(E586,'Dados de consulta'!$A$2:$C$38,3,0),8))</f>
        <v>8</v>
      </c>
      <c r="BC586" s="97">
        <f>IF(OR(AY586="SÁB",AY586="DOM"),0,IFERROR(8-VLOOKUP(F586,'Dados de consulta'!$A$2:$C$38,3,0),8))</f>
        <v>8</v>
      </c>
      <c r="BD586" s="97">
        <f>IF(OR(AY586="SÁB",AY586="DOM"),0,IFERROR(8-VLOOKUP(G586,'Dados de consulta'!$A$2:$C$38,3,0),8))</f>
        <v>8</v>
      </c>
      <c r="BE586" s="97">
        <f>IF(OR(AY586="SÁB",AY586="DOM"),0,IFERROR(8-VLOOKUP(H586,'Dados de consulta'!$A$2:$C$38,3,0),8))</f>
        <v>8</v>
      </c>
      <c r="BF586" s="97">
        <f>IF(OR(AY586="SÁB",AY586="DOM"),0,IFERROR(8-VLOOKUP(I586,'Dados de consulta'!$A$2:$C$38,3,0),8))</f>
        <v>0</v>
      </c>
      <c r="BG586" s="97">
        <f>IF(OR(AY586="SÁB",AY586="DOM"),0,IFERROR(8-VLOOKUP(J586,'Dados de consulta'!$A$2:$C$38,3,0),8))</f>
        <v>8</v>
      </c>
      <c r="BH586" s="97">
        <f>IF(OR(AY586="SÁB",AY586="DOM"),0,IFERROR(8-VLOOKUP(K586,'Dados de consulta'!$A$2:$C$38,3,0),8))</f>
        <v>8</v>
      </c>
      <c r="BI586" s="97">
        <f>IF(OR(AY586="SÁB",AY586="DOM"),0,IFERROR(8-VLOOKUP(L586,'Dados de consulta'!$A$2:$C$38,3,0),8))</f>
        <v>8</v>
      </c>
      <c r="BJ586" s="97">
        <f>IF(OR(AY586="SÁB",AY586="DOM"),0,IFERROR(8-VLOOKUP(M586,'Dados de consulta'!$A$2:$C$38,3,0),8))</f>
        <v>0</v>
      </c>
      <c r="BK586" s="97">
        <f>IF(OR(AY586="SÁB",AY586="DOM"),0,IFERROR(8-VLOOKUP(N586,'Dados de consulta'!$A$2:$C$38,3,0),8))</f>
        <v>8</v>
      </c>
      <c r="BL586" s="97">
        <f>IF(OR(AY586="SÁB",AY586="DOM"),0,IFERROR(8-VLOOKUP(O586,'Dados de consulta'!$A$2:$C$38,3,0),8))</f>
        <v>8</v>
      </c>
      <c r="BM586" s="97">
        <f>IF(OR(AY586="SÁB",AY586="DOM"),0,IFERROR(8-VLOOKUP(P586,'Dados de consulta'!$A$2:$C$38,3,0),8))</f>
        <v>8</v>
      </c>
      <c r="BN586" s="97">
        <f>IF(OR(AY586="SÁB",AY586="DOM"),0,IFERROR(8-VLOOKUP(Q586,'Dados de consulta'!$A$2:$C$38,3,0),8))</f>
        <v>0</v>
      </c>
      <c r="BO586" s="97">
        <f>IF(OR(AY586="SÁB",AY586="DOM"),0,IFERROR(8-VLOOKUP(R586,'Dados de consulta'!$A$2:$C$38,3,0),8))</f>
        <v>8</v>
      </c>
      <c r="BP586" s="97">
        <f>IF(OR(AY586="SÁB",AY586="DOM"),0,IFERROR(8-VLOOKUP(S586,'Dados de consulta'!$A$2:$C$38,3,0),8))</f>
        <v>8</v>
      </c>
      <c r="BQ586" s="113">
        <f>IFERROR(6-VLOOKUP(T586,'Dados de consulta'!$A$2:$C$38,3,0)+2,6)</f>
        <v>6</v>
      </c>
      <c r="BR586" s="114">
        <f t="shared" si="258"/>
        <v>118</v>
      </c>
      <c r="BS586">
        <f t="shared" si="234"/>
        <v>134</v>
      </c>
      <c r="BU586">
        <f>IFERROR(8-VLOOKUP(U586,'Dados de consulta'!$A:$D,3,0),8)</f>
        <v>0</v>
      </c>
      <c r="BV586">
        <f>IFERROR(8-VLOOKUP(V586,'Dados de consulta'!$A:$D,3,0),8)</f>
        <v>8</v>
      </c>
      <c r="BW586">
        <f t="shared" si="259"/>
        <v>8</v>
      </c>
    </row>
    <row r="587" spans="1:75" ht="15" hidden="1" x14ac:dyDescent="0.2">
      <c r="A587" s="98">
        <v>42710</v>
      </c>
      <c r="B587" s="129" t="str">
        <f t="shared" si="236"/>
        <v>ter</v>
      </c>
      <c r="C587" s="132"/>
      <c r="D587" s="132"/>
      <c r="E587" s="132"/>
      <c r="F587" s="132"/>
      <c r="G587" s="132"/>
      <c r="H587" s="132"/>
      <c r="I587" s="132">
        <v>18</v>
      </c>
      <c r="J587" s="132"/>
      <c r="K587" s="132"/>
      <c r="L587" s="132"/>
      <c r="M587" s="132">
        <v>101</v>
      </c>
      <c r="N587" s="132"/>
      <c r="O587" s="132"/>
      <c r="P587" s="132"/>
      <c r="Q587" s="132"/>
      <c r="R587" s="132"/>
      <c r="S587" s="132"/>
      <c r="T587" s="132"/>
      <c r="U587" s="151">
        <v>18</v>
      </c>
      <c r="V587" s="151"/>
      <c r="W587" s="307" t="s">
        <v>193</v>
      </c>
      <c r="X587" s="308"/>
      <c r="Y587" s="38">
        <f t="shared" si="237"/>
        <v>0</v>
      </c>
      <c r="Z587" s="38">
        <f t="shared" si="238"/>
        <v>8</v>
      </c>
      <c r="AA587" s="38">
        <f t="shared" si="235"/>
        <v>0</v>
      </c>
      <c r="AB587" s="38">
        <f t="shared" si="246"/>
        <v>0</v>
      </c>
      <c r="AC587" s="38">
        <f t="shared" si="247"/>
        <v>0</v>
      </c>
      <c r="AD587" s="38">
        <f t="shared" si="248"/>
        <v>0</v>
      </c>
      <c r="AE587" s="38">
        <f t="shared" si="249"/>
        <v>0</v>
      </c>
      <c r="AF587" s="38">
        <f t="shared" si="250"/>
        <v>0</v>
      </c>
      <c r="AG587" s="33">
        <f t="shared" si="251"/>
        <v>0</v>
      </c>
      <c r="AH587" s="33">
        <f t="shared" si="252"/>
        <v>8</v>
      </c>
      <c r="AI587" s="33">
        <f t="shared" si="253"/>
        <v>0</v>
      </c>
      <c r="AJ587" s="33">
        <f t="shared" si="254"/>
        <v>0</v>
      </c>
      <c r="AK587" s="34">
        <f t="shared" si="255"/>
        <v>0</v>
      </c>
      <c r="AL587" s="35">
        <f t="shared" si="256"/>
        <v>5.6338028169014086E-2</v>
      </c>
      <c r="AM587" s="34">
        <f t="shared" si="239"/>
        <v>0</v>
      </c>
      <c r="AN587" s="36">
        <f t="shared" si="257"/>
        <v>0</v>
      </c>
      <c r="AO587" s="6">
        <f t="shared" si="240"/>
        <v>0</v>
      </c>
      <c r="AP587">
        <f t="shared" si="241"/>
        <v>8</v>
      </c>
      <c r="AQ587" s="6">
        <f t="shared" si="242"/>
        <v>0</v>
      </c>
      <c r="AR587" s="6">
        <f t="shared" si="243"/>
        <v>0</v>
      </c>
      <c r="AS587" s="6"/>
      <c r="AX587" s="95">
        <f t="shared" si="244"/>
        <v>42710</v>
      </c>
      <c r="AY587" s="96" t="str">
        <f t="shared" si="245"/>
        <v>ter</v>
      </c>
      <c r="AZ587" s="97">
        <f>IF(OR(AY587="SÁB",AY587="DOM"),0,IFERROR(8-VLOOKUP(C587,'Dados de consulta'!$A$2:$C$38,3,0),8))</f>
        <v>8</v>
      </c>
      <c r="BA587" s="97">
        <f>IF(OR(AY587="SÁB",AY587="DOM"),0,IFERROR(8-VLOOKUP(D587,'Dados de consulta'!$A$2:$C$38,3,0),8))</f>
        <v>8</v>
      </c>
      <c r="BB587" s="97">
        <f>IF(OR(AY587="SÁB",AY587="DOM"),0,IFERROR(8-VLOOKUP(E587,'Dados de consulta'!$A$2:$C$38,3,0),8))</f>
        <v>8</v>
      </c>
      <c r="BC587" s="97">
        <f>IF(OR(AY587="SÁB",AY587="DOM"),0,IFERROR(8-VLOOKUP(F587,'Dados de consulta'!$A$2:$C$38,3,0),8))</f>
        <v>8</v>
      </c>
      <c r="BD587" s="97">
        <f>IF(OR(AY587="SÁB",AY587="DOM"),0,IFERROR(8-VLOOKUP(G587,'Dados de consulta'!$A$2:$C$38,3,0),8))</f>
        <v>8</v>
      </c>
      <c r="BE587" s="97">
        <f>IF(OR(AY587="SÁB",AY587="DOM"),0,IFERROR(8-VLOOKUP(H587,'Dados de consulta'!$A$2:$C$38,3,0),8))</f>
        <v>8</v>
      </c>
      <c r="BF587" s="97">
        <f>IF(OR(AY587="SÁB",AY587="DOM"),0,IFERROR(8-VLOOKUP(I587,'Dados de consulta'!$A$2:$C$38,3,0),8))</f>
        <v>0</v>
      </c>
      <c r="BG587" s="97">
        <f>IF(OR(AY587="SÁB",AY587="DOM"),0,IFERROR(8-VLOOKUP(J587,'Dados de consulta'!$A$2:$C$38,3,0),8))</f>
        <v>8</v>
      </c>
      <c r="BH587" s="97">
        <f>IF(OR(AY587="SÁB",AY587="DOM"),0,IFERROR(8-VLOOKUP(K587,'Dados de consulta'!$A$2:$C$38,3,0),8))</f>
        <v>8</v>
      </c>
      <c r="BI587" s="97">
        <f>IF(OR(AY587="SÁB",AY587="DOM"),0,IFERROR(8-VLOOKUP(L587,'Dados de consulta'!$A$2:$C$38,3,0),8))</f>
        <v>8</v>
      </c>
      <c r="BJ587" s="97">
        <f>IF(OR(AY587="SÁB",AY587="DOM"),0,IFERROR(8-VLOOKUP(M587,'Dados de consulta'!$A$2:$C$38,3,0),8))</f>
        <v>0</v>
      </c>
      <c r="BK587" s="97">
        <f>IF(OR(AY587="SÁB",AY587="DOM"),0,IFERROR(8-VLOOKUP(N587,'Dados de consulta'!$A$2:$C$38,3,0),8))</f>
        <v>8</v>
      </c>
      <c r="BL587" s="97">
        <f>IF(OR(AY587="SÁB",AY587="DOM"),0,IFERROR(8-VLOOKUP(O587,'Dados de consulta'!$A$2:$C$38,3,0),8))</f>
        <v>8</v>
      </c>
      <c r="BM587" s="97">
        <f>IF(OR(AY587="SÁB",AY587="DOM"),0,IFERROR(8-VLOOKUP(P587,'Dados de consulta'!$A$2:$C$38,3,0),8))</f>
        <v>8</v>
      </c>
      <c r="BN587" s="97">
        <f>IF(OR(AY587="SÁB",AY587="DOM"),0,IFERROR(8-VLOOKUP(Q587,'Dados de consulta'!$A$2:$C$38,3,0),8))</f>
        <v>8</v>
      </c>
      <c r="BO587" s="97">
        <f>IF(OR(AY587="SÁB",AY587="DOM"),0,IFERROR(8-VLOOKUP(R587,'Dados de consulta'!$A$2:$C$38,3,0),8))</f>
        <v>8</v>
      </c>
      <c r="BP587" s="97">
        <f>IF(OR(AY587="SÁB",AY587="DOM"),0,IFERROR(8-VLOOKUP(S587,'Dados de consulta'!$A$2:$C$38,3,0),8))</f>
        <v>8</v>
      </c>
      <c r="BQ587" s="113">
        <f>IFERROR(6-VLOOKUP(T587,'Dados de consulta'!$A$2:$C$38,3,0)+2,6)</f>
        <v>6</v>
      </c>
      <c r="BR587" s="114">
        <f t="shared" si="258"/>
        <v>126</v>
      </c>
      <c r="BS587">
        <f t="shared" si="234"/>
        <v>134</v>
      </c>
      <c r="BU587">
        <f>IFERROR(8-VLOOKUP(U587,'Dados de consulta'!$A:$D,3,0),8)</f>
        <v>0</v>
      </c>
      <c r="BV587">
        <f>IFERROR(8-VLOOKUP(V587,'Dados de consulta'!$A:$D,3,0),8)</f>
        <v>8</v>
      </c>
      <c r="BW587">
        <f t="shared" si="259"/>
        <v>8</v>
      </c>
    </row>
    <row r="588" spans="1:75" ht="15" hidden="1" x14ac:dyDescent="0.2">
      <c r="A588" s="98">
        <v>42711</v>
      </c>
      <c r="B588" s="129" t="str">
        <f t="shared" si="236"/>
        <v>qua</v>
      </c>
      <c r="C588" s="132"/>
      <c r="D588" s="132"/>
      <c r="E588" s="132"/>
      <c r="F588" s="132"/>
      <c r="G588" s="132"/>
      <c r="H588" s="132"/>
      <c r="I588" s="132">
        <v>18</v>
      </c>
      <c r="J588" s="132"/>
      <c r="K588" s="132"/>
      <c r="L588" s="132"/>
      <c r="M588" s="132">
        <v>101</v>
      </c>
      <c r="N588" s="132"/>
      <c r="O588" s="132"/>
      <c r="P588" s="132"/>
      <c r="Q588" s="132"/>
      <c r="R588" s="132"/>
      <c r="S588" s="132"/>
      <c r="T588" s="132"/>
      <c r="U588" s="151">
        <v>18</v>
      </c>
      <c r="V588" s="151"/>
      <c r="W588" s="307" t="s">
        <v>193</v>
      </c>
      <c r="X588" s="308"/>
      <c r="Y588" s="38">
        <f t="shared" si="237"/>
        <v>0</v>
      </c>
      <c r="Z588" s="38">
        <f t="shared" si="238"/>
        <v>8</v>
      </c>
      <c r="AA588" s="38">
        <f t="shared" si="235"/>
        <v>0</v>
      </c>
      <c r="AB588" s="38">
        <f t="shared" si="246"/>
        <v>0</v>
      </c>
      <c r="AC588" s="38">
        <f t="shared" si="247"/>
        <v>0</v>
      </c>
      <c r="AD588" s="38">
        <f t="shared" si="248"/>
        <v>0</v>
      </c>
      <c r="AE588" s="38">
        <f t="shared" si="249"/>
        <v>0</v>
      </c>
      <c r="AF588" s="38">
        <f t="shared" si="250"/>
        <v>0</v>
      </c>
      <c r="AG588" s="33">
        <f t="shared" si="251"/>
        <v>0</v>
      </c>
      <c r="AH588" s="33">
        <f t="shared" si="252"/>
        <v>8</v>
      </c>
      <c r="AI588" s="33">
        <f t="shared" si="253"/>
        <v>0</v>
      </c>
      <c r="AJ588" s="33">
        <f t="shared" si="254"/>
        <v>0</v>
      </c>
      <c r="AK588" s="34">
        <f t="shared" si="255"/>
        <v>0</v>
      </c>
      <c r="AL588" s="35">
        <f t="shared" si="256"/>
        <v>5.6338028169014086E-2</v>
      </c>
      <c r="AM588" s="34">
        <f t="shared" si="239"/>
        <v>0</v>
      </c>
      <c r="AN588" s="36">
        <f t="shared" si="257"/>
        <v>0</v>
      </c>
      <c r="AO588" s="6">
        <f t="shared" si="240"/>
        <v>0</v>
      </c>
      <c r="AP588">
        <f t="shared" si="241"/>
        <v>8</v>
      </c>
      <c r="AQ588" s="6">
        <f t="shared" si="242"/>
        <v>0</v>
      </c>
      <c r="AR588" s="6">
        <f t="shared" si="243"/>
        <v>0</v>
      </c>
      <c r="AS588" s="6"/>
      <c r="AX588" s="95">
        <f t="shared" si="244"/>
        <v>42711</v>
      </c>
      <c r="AY588" s="96" t="str">
        <f t="shared" si="245"/>
        <v>qua</v>
      </c>
      <c r="AZ588" s="97">
        <f>IF(OR(AY588="SÁB",AY588="DOM"),0,IFERROR(8-VLOOKUP(C588,'Dados de consulta'!$A$2:$C$38,3,0),8))</f>
        <v>8</v>
      </c>
      <c r="BA588" s="97">
        <f>IF(OR(AY588="SÁB",AY588="DOM"),0,IFERROR(8-VLOOKUP(D588,'Dados de consulta'!$A$2:$C$38,3,0),8))</f>
        <v>8</v>
      </c>
      <c r="BB588" s="97">
        <f>IF(OR(AY588="SÁB",AY588="DOM"),0,IFERROR(8-VLOOKUP(E588,'Dados de consulta'!$A$2:$C$38,3,0),8))</f>
        <v>8</v>
      </c>
      <c r="BC588" s="97">
        <f>IF(OR(AY588="SÁB",AY588="DOM"),0,IFERROR(8-VLOOKUP(F588,'Dados de consulta'!$A$2:$C$38,3,0),8))</f>
        <v>8</v>
      </c>
      <c r="BD588" s="97">
        <f>IF(OR(AY588="SÁB",AY588="DOM"),0,IFERROR(8-VLOOKUP(G588,'Dados de consulta'!$A$2:$C$38,3,0),8))</f>
        <v>8</v>
      </c>
      <c r="BE588" s="97">
        <f>IF(OR(AY588="SÁB",AY588="DOM"),0,IFERROR(8-VLOOKUP(H588,'Dados de consulta'!$A$2:$C$38,3,0),8))</f>
        <v>8</v>
      </c>
      <c r="BF588" s="97">
        <f>IF(OR(AY588="SÁB",AY588="DOM"),0,IFERROR(8-VLOOKUP(I588,'Dados de consulta'!$A$2:$C$38,3,0),8))</f>
        <v>0</v>
      </c>
      <c r="BG588" s="97">
        <f>IF(OR(AY588="SÁB",AY588="DOM"),0,IFERROR(8-VLOOKUP(J588,'Dados de consulta'!$A$2:$C$38,3,0),8))</f>
        <v>8</v>
      </c>
      <c r="BH588" s="97">
        <f>IF(OR(AY588="SÁB",AY588="DOM"),0,IFERROR(8-VLOOKUP(K588,'Dados de consulta'!$A$2:$C$38,3,0),8))</f>
        <v>8</v>
      </c>
      <c r="BI588" s="97">
        <f>IF(OR(AY588="SÁB",AY588="DOM"),0,IFERROR(8-VLOOKUP(L588,'Dados de consulta'!$A$2:$C$38,3,0),8))</f>
        <v>8</v>
      </c>
      <c r="BJ588" s="97">
        <f>IF(OR(AY588="SÁB",AY588="DOM"),0,IFERROR(8-VLOOKUP(M588,'Dados de consulta'!$A$2:$C$38,3,0),8))</f>
        <v>0</v>
      </c>
      <c r="BK588" s="97">
        <f>IF(OR(AY588="SÁB",AY588="DOM"),0,IFERROR(8-VLOOKUP(N588,'Dados de consulta'!$A$2:$C$38,3,0),8))</f>
        <v>8</v>
      </c>
      <c r="BL588" s="97">
        <f>IF(OR(AY588="SÁB",AY588="DOM"),0,IFERROR(8-VLOOKUP(O588,'Dados de consulta'!$A$2:$C$38,3,0),8))</f>
        <v>8</v>
      </c>
      <c r="BM588" s="97">
        <f>IF(OR(AY588="SÁB",AY588="DOM"),0,IFERROR(8-VLOOKUP(P588,'Dados de consulta'!$A$2:$C$38,3,0),8))</f>
        <v>8</v>
      </c>
      <c r="BN588" s="97">
        <f>IF(OR(AY588="SÁB",AY588="DOM"),0,IFERROR(8-VLOOKUP(Q588,'Dados de consulta'!$A$2:$C$38,3,0),8))</f>
        <v>8</v>
      </c>
      <c r="BO588" s="97">
        <f>IF(OR(AY588="SÁB",AY588="DOM"),0,IFERROR(8-VLOOKUP(R588,'Dados de consulta'!$A$2:$C$38,3,0),8))</f>
        <v>8</v>
      </c>
      <c r="BP588" s="97">
        <f>IF(OR(AY588="SÁB",AY588="DOM"),0,IFERROR(8-VLOOKUP(S588,'Dados de consulta'!$A$2:$C$38,3,0),8))</f>
        <v>8</v>
      </c>
      <c r="BQ588" s="113">
        <f>IFERROR(6-VLOOKUP(T588,'Dados de consulta'!$A$2:$C$38,3,0)+2,6)</f>
        <v>6</v>
      </c>
      <c r="BR588" s="114">
        <f t="shared" si="258"/>
        <v>126</v>
      </c>
      <c r="BS588">
        <f t="shared" si="234"/>
        <v>134</v>
      </c>
      <c r="BU588">
        <f>IFERROR(8-VLOOKUP(U588,'Dados de consulta'!$A:$D,3,0),8)</f>
        <v>0</v>
      </c>
      <c r="BV588">
        <f>IFERROR(8-VLOOKUP(V588,'Dados de consulta'!$A:$D,3,0),8)</f>
        <v>8</v>
      </c>
      <c r="BW588">
        <f t="shared" si="259"/>
        <v>8</v>
      </c>
    </row>
    <row r="589" spans="1:75" ht="15" hidden="1" x14ac:dyDescent="0.2">
      <c r="A589" s="98">
        <v>42712</v>
      </c>
      <c r="B589" s="129" t="str">
        <f t="shared" si="236"/>
        <v>qui</v>
      </c>
      <c r="C589" s="132"/>
      <c r="D589" s="132"/>
      <c r="E589" s="132"/>
      <c r="F589" s="132"/>
      <c r="G589" s="132"/>
      <c r="H589" s="132"/>
      <c r="I589" s="132">
        <v>18</v>
      </c>
      <c r="J589" s="132"/>
      <c r="K589" s="132"/>
      <c r="L589" s="132"/>
      <c r="M589" s="132">
        <v>101</v>
      </c>
      <c r="N589" s="132"/>
      <c r="O589" s="132"/>
      <c r="P589" s="132"/>
      <c r="Q589" s="132"/>
      <c r="R589" s="132"/>
      <c r="S589" s="132"/>
      <c r="T589" s="132"/>
      <c r="U589" s="151">
        <v>18</v>
      </c>
      <c r="V589" s="151"/>
      <c r="W589" s="307" t="s">
        <v>193</v>
      </c>
      <c r="X589" s="308"/>
      <c r="Y589" s="38">
        <f t="shared" si="237"/>
        <v>0</v>
      </c>
      <c r="Z589" s="38">
        <f t="shared" si="238"/>
        <v>8</v>
      </c>
      <c r="AA589" s="38">
        <f t="shared" si="235"/>
        <v>0</v>
      </c>
      <c r="AB589" s="38">
        <f t="shared" si="246"/>
        <v>0</v>
      </c>
      <c r="AC589" s="38">
        <f t="shared" si="247"/>
        <v>0</v>
      </c>
      <c r="AD589" s="38">
        <f t="shared" si="248"/>
        <v>0</v>
      </c>
      <c r="AE589" s="38">
        <f t="shared" si="249"/>
        <v>0</v>
      </c>
      <c r="AF589" s="38">
        <f t="shared" si="250"/>
        <v>0</v>
      </c>
      <c r="AG589" s="33">
        <f t="shared" si="251"/>
        <v>0</v>
      </c>
      <c r="AH589" s="33">
        <f t="shared" si="252"/>
        <v>8</v>
      </c>
      <c r="AI589" s="33">
        <f t="shared" si="253"/>
        <v>0</v>
      </c>
      <c r="AJ589" s="33">
        <f t="shared" si="254"/>
        <v>0</v>
      </c>
      <c r="AK589" s="34">
        <f t="shared" si="255"/>
        <v>0</v>
      </c>
      <c r="AL589" s="35">
        <f t="shared" si="256"/>
        <v>5.6338028169014086E-2</v>
      </c>
      <c r="AM589" s="34">
        <f t="shared" si="239"/>
        <v>0</v>
      </c>
      <c r="AN589" s="36">
        <f t="shared" si="257"/>
        <v>0</v>
      </c>
      <c r="AO589" s="6">
        <f t="shared" si="240"/>
        <v>0</v>
      </c>
      <c r="AP589">
        <f t="shared" si="241"/>
        <v>8</v>
      </c>
      <c r="AQ589" s="6">
        <f t="shared" si="242"/>
        <v>0</v>
      </c>
      <c r="AR589" s="6">
        <f t="shared" si="243"/>
        <v>0</v>
      </c>
      <c r="AS589" s="6"/>
      <c r="AX589" s="95">
        <f t="shared" si="244"/>
        <v>42712</v>
      </c>
      <c r="AY589" s="96" t="str">
        <f t="shared" si="245"/>
        <v>qui</v>
      </c>
      <c r="AZ589" s="97">
        <f>IF(OR(AY589="SÁB",AY589="DOM"),0,IFERROR(8-VLOOKUP(C589,'Dados de consulta'!$A$2:$C$38,3,0),8))</f>
        <v>8</v>
      </c>
      <c r="BA589" s="97">
        <f>IF(OR(AY589="SÁB",AY589="DOM"),0,IFERROR(8-VLOOKUP(D589,'Dados de consulta'!$A$2:$C$38,3,0),8))</f>
        <v>8</v>
      </c>
      <c r="BB589" s="97">
        <f>IF(OR(AY589="SÁB",AY589="DOM"),0,IFERROR(8-VLOOKUP(E589,'Dados de consulta'!$A$2:$C$38,3,0),8))</f>
        <v>8</v>
      </c>
      <c r="BC589" s="97">
        <f>IF(OR(AY589="SÁB",AY589="DOM"),0,IFERROR(8-VLOOKUP(F589,'Dados de consulta'!$A$2:$C$38,3,0),8))</f>
        <v>8</v>
      </c>
      <c r="BD589" s="97">
        <f>IF(OR(AY589="SÁB",AY589="DOM"),0,IFERROR(8-VLOOKUP(G589,'Dados de consulta'!$A$2:$C$38,3,0),8))</f>
        <v>8</v>
      </c>
      <c r="BE589" s="97">
        <f>IF(OR(AY589="SÁB",AY589="DOM"),0,IFERROR(8-VLOOKUP(H589,'Dados de consulta'!$A$2:$C$38,3,0),8))</f>
        <v>8</v>
      </c>
      <c r="BF589" s="97">
        <f>IF(OR(AY589="SÁB",AY589="DOM"),0,IFERROR(8-VLOOKUP(I589,'Dados de consulta'!$A$2:$C$38,3,0),8))</f>
        <v>0</v>
      </c>
      <c r="BG589" s="97">
        <f>IF(OR(AY589="SÁB",AY589="DOM"),0,IFERROR(8-VLOOKUP(J589,'Dados de consulta'!$A$2:$C$38,3,0),8))</f>
        <v>8</v>
      </c>
      <c r="BH589" s="97">
        <f>IF(OR(AY589="SÁB",AY589="DOM"),0,IFERROR(8-VLOOKUP(K589,'Dados de consulta'!$A$2:$C$38,3,0),8))</f>
        <v>8</v>
      </c>
      <c r="BI589" s="97">
        <f>IF(OR(AY589="SÁB",AY589="DOM"),0,IFERROR(8-VLOOKUP(L589,'Dados de consulta'!$A$2:$C$38,3,0),8))</f>
        <v>8</v>
      </c>
      <c r="BJ589" s="97">
        <f>IF(OR(AY589="SÁB",AY589="DOM"),0,IFERROR(8-VLOOKUP(M589,'Dados de consulta'!$A$2:$C$38,3,0),8))</f>
        <v>0</v>
      </c>
      <c r="BK589" s="97">
        <f>IF(OR(AY589="SÁB",AY589="DOM"),0,IFERROR(8-VLOOKUP(N589,'Dados de consulta'!$A$2:$C$38,3,0),8))</f>
        <v>8</v>
      </c>
      <c r="BL589" s="97">
        <f>IF(OR(AY589="SÁB",AY589="DOM"),0,IFERROR(8-VLOOKUP(O589,'Dados de consulta'!$A$2:$C$38,3,0),8))</f>
        <v>8</v>
      </c>
      <c r="BM589" s="97">
        <f>IF(OR(AY589="SÁB",AY589="DOM"),0,IFERROR(8-VLOOKUP(P589,'Dados de consulta'!$A$2:$C$38,3,0),8))</f>
        <v>8</v>
      </c>
      <c r="BN589" s="97">
        <f>IF(OR(AY589="SÁB",AY589="DOM"),0,IFERROR(8-VLOOKUP(Q589,'Dados de consulta'!$A$2:$C$38,3,0),8))</f>
        <v>8</v>
      </c>
      <c r="BO589" s="97">
        <f>IF(OR(AY589="SÁB",AY589="DOM"),0,IFERROR(8-VLOOKUP(R589,'Dados de consulta'!$A$2:$C$38,3,0),8))</f>
        <v>8</v>
      </c>
      <c r="BP589" s="97">
        <f>IF(OR(AY589="SÁB",AY589="DOM"),0,IFERROR(8-VLOOKUP(S589,'Dados de consulta'!$A$2:$C$38,3,0),8))</f>
        <v>8</v>
      </c>
      <c r="BQ589" s="113">
        <f>IFERROR(6-VLOOKUP(T589,'Dados de consulta'!$A$2:$C$38,3,0)+2,6)</f>
        <v>6</v>
      </c>
      <c r="BR589" s="114">
        <f t="shared" si="258"/>
        <v>126</v>
      </c>
      <c r="BS589">
        <f t="shared" si="234"/>
        <v>134</v>
      </c>
      <c r="BU589">
        <f>IFERROR(8-VLOOKUP(U589,'Dados de consulta'!$A:$D,3,0),8)</f>
        <v>0</v>
      </c>
      <c r="BV589">
        <f>IFERROR(8-VLOOKUP(V589,'Dados de consulta'!$A:$D,3,0),8)</f>
        <v>8</v>
      </c>
      <c r="BW589">
        <f t="shared" si="259"/>
        <v>8</v>
      </c>
    </row>
    <row r="590" spans="1:75" ht="15" hidden="1" x14ac:dyDescent="0.2">
      <c r="A590" s="98">
        <v>42713</v>
      </c>
      <c r="B590" s="129" t="str">
        <f t="shared" si="236"/>
        <v>sex</v>
      </c>
      <c r="C590" s="132"/>
      <c r="D590" s="132"/>
      <c r="E590" s="132"/>
      <c r="F590" s="132"/>
      <c r="G590" s="132"/>
      <c r="H590" s="132"/>
      <c r="I590" s="132">
        <v>18</v>
      </c>
      <c r="J590" s="132"/>
      <c r="K590" s="132"/>
      <c r="L590" s="132"/>
      <c r="M590" s="132">
        <v>101</v>
      </c>
      <c r="N590" s="132"/>
      <c r="O590" s="132"/>
      <c r="P590" s="132"/>
      <c r="Q590" s="132"/>
      <c r="R590" s="132"/>
      <c r="S590" s="132"/>
      <c r="T590" s="132"/>
      <c r="U590" s="151">
        <v>18</v>
      </c>
      <c r="V590" s="151"/>
      <c r="W590" s="307" t="s">
        <v>193</v>
      </c>
      <c r="X590" s="308"/>
      <c r="Y590" s="38">
        <f t="shared" si="237"/>
        <v>0</v>
      </c>
      <c r="Z590" s="38">
        <f t="shared" si="238"/>
        <v>8</v>
      </c>
      <c r="AA590" s="38">
        <f t="shared" si="235"/>
        <v>0</v>
      </c>
      <c r="AB590" s="38">
        <f t="shared" si="246"/>
        <v>0</v>
      </c>
      <c r="AC590" s="38">
        <f t="shared" si="247"/>
        <v>0</v>
      </c>
      <c r="AD590" s="38">
        <f t="shared" si="248"/>
        <v>0</v>
      </c>
      <c r="AE590" s="38">
        <f t="shared" si="249"/>
        <v>0</v>
      </c>
      <c r="AF590" s="38">
        <f t="shared" si="250"/>
        <v>0</v>
      </c>
      <c r="AG590" s="33">
        <f t="shared" si="251"/>
        <v>0</v>
      </c>
      <c r="AH590" s="33">
        <f t="shared" si="252"/>
        <v>8</v>
      </c>
      <c r="AI590" s="33">
        <f t="shared" si="253"/>
        <v>0</v>
      </c>
      <c r="AJ590" s="33">
        <f t="shared" si="254"/>
        <v>0</v>
      </c>
      <c r="AK590" s="34">
        <f t="shared" si="255"/>
        <v>0</v>
      </c>
      <c r="AL590" s="35">
        <f t="shared" si="256"/>
        <v>5.6338028169014086E-2</v>
      </c>
      <c r="AM590" s="34">
        <f t="shared" si="239"/>
        <v>0</v>
      </c>
      <c r="AN590" s="36">
        <f t="shared" si="257"/>
        <v>0</v>
      </c>
      <c r="AO590" s="6">
        <f t="shared" si="240"/>
        <v>0</v>
      </c>
      <c r="AP590">
        <f t="shared" si="241"/>
        <v>8</v>
      </c>
      <c r="AQ590" s="6">
        <f t="shared" si="242"/>
        <v>0</v>
      </c>
      <c r="AR590" s="6">
        <f t="shared" si="243"/>
        <v>0</v>
      </c>
      <c r="AS590" s="6"/>
      <c r="AX590" s="95">
        <f t="shared" si="244"/>
        <v>42713</v>
      </c>
      <c r="AY590" s="96" t="str">
        <f t="shared" si="245"/>
        <v>sex</v>
      </c>
      <c r="AZ590" s="97">
        <f>IF(OR(AY590="SÁB",AY590="DOM"),0,IFERROR(8-VLOOKUP(C590,'Dados de consulta'!$A$2:$C$38,3,0),8))</f>
        <v>8</v>
      </c>
      <c r="BA590" s="97">
        <f>IF(OR(AY590="SÁB",AY590="DOM"),0,IFERROR(8-VLOOKUP(D590,'Dados de consulta'!$A$2:$C$38,3,0),8))</f>
        <v>8</v>
      </c>
      <c r="BB590" s="97">
        <f>IF(OR(AY590="SÁB",AY590="DOM"),0,IFERROR(8-VLOOKUP(E590,'Dados de consulta'!$A$2:$C$38,3,0),8))</f>
        <v>8</v>
      </c>
      <c r="BC590" s="97">
        <f>IF(OR(AY590="SÁB",AY590="DOM"),0,IFERROR(8-VLOOKUP(F590,'Dados de consulta'!$A$2:$C$38,3,0),8))</f>
        <v>8</v>
      </c>
      <c r="BD590" s="97">
        <f>IF(OR(AY590="SÁB",AY590="DOM"),0,IFERROR(8-VLOOKUP(G590,'Dados de consulta'!$A$2:$C$38,3,0),8))</f>
        <v>8</v>
      </c>
      <c r="BE590" s="97">
        <f>IF(OR(AY590="SÁB",AY590="DOM"),0,IFERROR(8-VLOOKUP(H590,'Dados de consulta'!$A$2:$C$38,3,0),8))</f>
        <v>8</v>
      </c>
      <c r="BF590" s="97">
        <f>IF(OR(AY590="SÁB",AY590="DOM"),0,IFERROR(8-VLOOKUP(I590,'Dados de consulta'!$A$2:$C$38,3,0),8))</f>
        <v>0</v>
      </c>
      <c r="BG590" s="97">
        <f>IF(OR(AY590="SÁB",AY590="DOM"),0,IFERROR(8-VLOOKUP(J590,'Dados de consulta'!$A$2:$C$38,3,0),8))</f>
        <v>8</v>
      </c>
      <c r="BH590" s="97">
        <f>IF(OR(AY590="SÁB",AY590="DOM"),0,IFERROR(8-VLOOKUP(K590,'Dados de consulta'!$A$2:$C$38,3,0),8))</f>
        <v>8</v>
      </c>
      <c r="BI590" s="97">
        <f>IF(OR(AY590="SÁB",AY590="DOM"),0,IFERROR(8-VLOOKUP(L590,'Dados de consulta'!$A$2:$C$38,3,0),8))</f>
        <v>8</v>
      </c>
      <c r="BJ590" s="97">
        <f>IF(OR(AY590="SÁB",AY590="DOM"),0,IFERROR(8-VLOOKUP(M590,'Dados de consulta'!$A$2:$C$38,3,0),8))</f>
        <v>0</v>
      </c>
      <c r="BK590" s="97">
        <f>IF(OR(AY590="SÁB",AY590="DOM"),0,IFERROR(8-VLOOKUP(N590,'Dados de consulta'!$A$2:$C$38,3,0),8))</f>
        <v>8</v>
      </c>
      <c r="BL590" s="97">
        <f>IF(OR(AY590="SÁB",AY590="DOM"),0,IFERROR(8-VLOOKUP(O590,'Dados de consulta'!$A$2:$C$38,3,0),8))</f>
        <v>8</v>
      </c>
      <c r="BM590" s="97">
        <f>IF(OR(AY590="SÁB",AY590="DOM"),0,IFERROR(8-VLOOKUP(P590,'Dados de consulta'!$A$2:$C$38,3,0),8))</f>
        <v>8</v>
      </c>
      <c r="BN590" s="97">
        <f>IF(OR(AY590="SÁB",AY590="DOM"),0,IFERROR(8-VLOOKUP(Q590,'Dados de consulta'!$A$2:$C$38,3,0),8))</f>
        <v>8</v>
      </c>
      <c r="BO590" s="97">
        <f>IF(OR(AY590="SÁB",AY590="DOM"),0,IFERROR(8-VLOOKUP(R590,'Dados de consulta'!$A$2:$C$38,3,0),8))</f>
        <v>8</v>
      </c>
      <c r="BP590" s="97">
        <f>IF(OR(AY590="SÁB",AY590="DOM"),0,IFERROR(8-VLOOKUP(S590,'Dados de consulta'!$A$2:$C$38,3,0),8))</f>
        <v>8</v>
      </c>
      <c r="BQ590" s="113">
        <f>IFERROR(6-VLOOKUP(T590,'Dados de consulta'!$A$2:$C$38,3,0)+2,6)</f>
        <v>6</v>
      </c>
      <c r="BR590" s="114">
        <f t="shared" si="258"/>
        <v>126</v>
      </c>
      <c r="BS590">
        <f t="shared" si="234"/>
        <v>134</v>
      </c>
      <c r="BU590">
        <f>IFERROR(8-VLOOKUP(U590,'Dados de consulta'!$A:$D,3,0),8)</f>
        <v>0</v>
      </c>
      <c r="BV590">
        <f>IFERROR(8-VLOOKUP(V590,'Dados de consulta'!$A:$D,3,0),8)</f>
        <v>8</v>
      </c>
      <c r="BW590">
        <f t="shared" si="259"/>
        <v>8</v>
      </c>
    </row>
    <row r="591" spans="1:75" ht="15" hidden="1" x14ac:dyDescent="0.2">
      <c r="A591" s="98">
        <v>42714</v>
      </c>
      <c r="B591" s="129" t="str">
        <f t="shared" si="236"/>
        <v>sáb</v>
      </c>
      <c r="C591" s="132"/>
      <c r="D591" s="132"/>
      <c r="E591" s="132"/>
      <c r="F591" s="132"/>
      <c r="G591" s="132"/>
      <c r="H591" s="132"/>
      <c r="I591" s="132">
        <v>18</v>
      </c>
      <c r="J591" s="132"/>
      <c r="K591" s="132"/>
      <c r="L591" s="132"/>
      <c r="M591" s="132">
        <v>101</v>
      </c>
      <c r="N591" s="132"/>
      <c r="O591" s="132"/>
      <c r="P591" s="132"/>
      <c r="Q591" s="132"/>
      <c r="R591" s="132"/>
      <c r="S591" s="132"/>
      <c r="T591" s="132"/>
      <c r="U591" s="151">
        <v>18</v>
      </c>
      <c r="V591" s="151"/>
      <c r="W591" s="307" t="s">
        <v>193</v>
      </c>
      <c r="X591" s="308"/>
      <c r="Y591" s="38">
        <f t="shared" si="237"/>
        <v>0</v>
      </c>
      <c r="Z591" s="38">
        <f t="shared" si="238"/>
        <v>8</v>
      </c>
      <c r="AA591" s="38">
        <f t="shared" si="235"/>
        <v>0</v>
      </c>
      <c r="AB591" s="38">
        <f t="shared" si="246"/>
        <v>0</v>
      </c>
      <c r="AC591" s="38">
        <f t="shared" si="247"/>
        <v>0</v>
      </c>
      <c r="AD591" s="38">
        <f t="shared" si="248"/>
        <v>0</v>
      </c>
      <c r="AE591" s="38">
        <f t="shared" si="249"/>
        <v>0</v>
      </c>
      <c r="AF591" s="38">
        <f t="shared" si="250"/>
        <v>0</v>
      </c>
      <c r="AG591" s="33">
        <f t="shared" si="251"/>
        <v>0</v>
      </c>
      <c r="AH591" s="33">
        <f t="shared" si="252"/>
        <v>0</v>
      </c>
      <c r="AI591" s="33">
        <f t="shared" si="253"/>
        <v>0</v>
      </c>
      <c r="AJ591" s="33">
        <f t="shared" si="254"/>
        <v>0</v>
      </c>
      <c r="AK591" s="34">
        <f t="shared" si="255"/>
        <v>0</v>
      </c>
      <c r="AL591" s="35">
        <f t="shared" si="256"/>
        <v>0</v>
      </c>
      <c r="AM591" s="34">
        <f t="shared" si="239"/>
        <v>0</v>
      </c>
      <c r="AN591" s="36">
        <f t="shared" si="257"/>
        <v>0</v>
      </c>
      <c r="AO591" s="6">
        <f t="shared" si="240"/>
        <v>0</v>
      </c>
      <c r="AP591">
        <f t="shared" si="241"/>
        <v>8</v>
      </c>
      <c r="AQ591" s="6">
        <f t="shared" si="242"/>
        <v>0</v>
      </c>
      <c r="AR591" s="6">
        <f t="shared" si="243"/>
        <v>0</v>
      </c>
      <c r="AS591" s="6"/>
      <c r="AX591" s="95">
        <f t="shared" si="244"/>
        <v>42714</v>
      </c>
      <c r="AY591" s="96" t="str">
        <f t="shared" si="245"/>
        <v>sáb</v>
      </c>
      <c r="AZ591" s="97">
        <f>IF(OR(AY591="SÁB",AY591="DOM"),0,IFERROR(8-VLOOKUP(C591,'Dados de consulta'!$A$2:$C$38,3,0),8))</f>
        <v>0</v>
      </c>
      <c r="BA591" s="97">
        <f>IF(OR(AY591="SÁB",AY591="DOM"),0,IFERROR(8-VLOOKUP(D591,'Dados de consulta'!$A$2:$C$38,3,0),8))</f>
        <v>0</v>
      </c>
      <c r="BB591" s="97">
        <f>IF(OR(AY591="SÁB",AY591="DOM"),0,IFERROR(8-VLOOKUP(E591,'Dados de consulta'!$A$2:$C$38,3,0),8))</f>
        <v>0</v>
      </c>
      <c r="BC591" s="97">
        <f>IF(OR(AY591="SÁB",AY591="DOM"),0,IFERROR(8-VLOOKUP(F591,'Dados de consulta'!$A$2:$C$38,3,0),8))</f>
        <v>0</v>
      </c>
      <c r="BD591" s="97">
        <f>IF(OR(AY591="SÁB",AY591="DOM"),0,IFERROR(8-VLOOKUP(G591,'Dados de consulta'!$A$2:$C$38,3,0),8))</f>
        <v>0</v>
      </c>
      <c r="BE591" s="97">
        <f>IF(OR(AY591="SÁB",AY591="DOM"),0,IFERROR(8-VLOOKUP(H591,'Dados de consulta'!$A$2:$C$38,3,0),8))</f>
        <v>0</v>
      </c>
      <c r="BF591" s="97">
        <f>IF(OR(AY591="SÁB",AY591="DOM"),0,IFERROR(8-VLOOKUP(I591,'Dados de consulta'!$A$2:$C$38,3,0),8))</f>
        <v>0</v>
      </c>
      <c r="BG591" s="97">
        <f>IF(OR(AY591="SÁB",AY591="DOM"),0,IFERROR(8-VLOOKUP(J591,'Dados de consulta'!$A$2:$C$38,3,0),8))</f>
        <v>0</v>
      </c>
      <c r="BH591" s="97">
        <f>IF(OR(AY591="SÁB",AY591="DOM"),0,IFERROR(8-VLOOKUP(K591,'Dados de consulta'!$A$2:$C$38,3,0),8))</f>
        <v>0</v>
      </c>
      <c r="BI591" s="97">
        <f>IF(OR(AY591="SÁB",AY591="DOM"),0,IFERROR(8-VLOOKUP(L591,'Dados de consulta'!$A$2:$C$38,3,0),8))</f>
        <v>0</v>
      </c>
      <c r="BJ591" s="97">
        <f>IF(OR(AY591="SÁB",AY591="DOM"),0,IFERROR(8-VLOOKUP(M591,'Dados de consulta'!$A$2:$C$38,3,0),8))</f>
        <v>0</v>
      </c>
      <c r="BK591" s="97">
        <f>IF(OR(AY591="SÁB",AY591="DOM"),0,IFERROR(8-VLOOKUP(N591,'Dados de consulta'!$A$2:$C$38,3,0),8))</f>
        <v>0</v>
      </c>
      <c r="BL591" s="97">
        <f>IF(OR(AY591="SÁB",AY591="DOM"),0,IFERROR(8-VLOOKUP(O591,'Dados de consulta'!$A$2:$C$38,3,0),8))</f>
        <v>0</v>
      </c>
      <c r="BM591" s="97">
        <f>IF(OR(AY591="SÁB",AY591="DOM"),0,IFERROR(8-VLOOKUP(P591,'Dados de consulta'!$A$2:$C$38,3,0),8))</f>
        <v>0</v>
      </c>
      <c r="BN591" s="97">
        <f>IF(OR(AY591="SÁB",AY591="DOM"),0,IFERROR(8-VLOOKUP(Q591,'Dados de consulta'!$A$2:$C$38,3,0),8))</f>
        <v>0</v>
      </c>
      <c r="BO591" s="97">
        <f>IF(OR(AY591="SÁB",AY591="DOM"),0,IFERROR(8-VLOOKUP(R591,'Dados de consulta'!$A$2:$C$38,3,0),8))</f>
        <v>0</v>
      </c>
      <c r="BP591" s="97">
        <f>IF(OR(AY591="SÁB",AY591="DOM"),0,IFERROR(8-VLOOKUP(S591,'Dados de consulta'!$A$2:$C$38,3,0),8))</f>
        <v>0</v>
      </c>
      <c r="BQ591" s="113">
        <f>IFERROR(6-VLOOKUP(T591,'Dados de consulta'!$A$2:$C$38,3,0)+2,6)</f>
        <v>6</v>
      </c>
      <c r="BR591" s="114">
        <f t="shared" si="258"/>
        <v>0</v>
      </c>
      <c r="BS591">
        <f t="shared" si="234"/>
        <v>0</v>
      </c>
      <c r="BU591">
        <f>IFERROR(8-VLOOKUP(U591,'Dados de consulta'!$A:$D,3,0),8)</f>
        <v>0</v>
      </c>
      <c r="BV591">
        <f>IFERROR(8-VLOOKUP(V591,'Dados de consulta'!$A:$D,3,0),8)</f>
        <v>8</v>
      </c>
      <c r="BW591">
        <f t="shared" si="259"/>
        <v>8</v>
      </c>
    </row>
    <row r="592" spans="1:75" ht="15" hidden="1" x14ac:dyDescent="0.2">
      <c r="A592" s="98">
        <v>42715</v>
      </c>
      <c r="B592" s="129" t="str">
        <f t="shared" si="236"/>
        <v>dom</v>
      </c>
      <c r="C592" s="132"/>
      <c r="D592" s="132"/>
      <c r="E592" s="132"/>
      <c r="F592" s="132"/>
      <c r="G592" s="132"/>
      <c r="H592" s="132"/>
      <c r="I592" s="132">
        <v>18</v>
      </c>
      <c r="J592" s="132"/>
      <c r="K592" s="132"/>
      <c r="L592" s="132"/>
      <c r="M592" s="132">
        <v>101</v>
      </c>
      <c r="N592" s="132"/>
      <c r="O592" s="132"/>
      <c r="P592" s="132"/>
      <c r="Q592" s="132"/>
      <c r="R592" s="132"/>
      <c r="S592" s="132"/>
      <c r="T592" s="132"/>
      <c r="U592" s="151">
        <v>18</v>
      </c>
      <c r="V592" s="151"/>
      <c r="W592" s="307" t="s">
        <v>193</v>
      </c>
      <c r="X592" s="308"/>
      <c r="Y592" s="38">
        <f t="shared" si="237"/>
        <v>0</v>
      </c>
      <c r="Z592" s="38">
        <f t="shared" si="238"/>
        <v>8</v>
      </c>
      <c r="AA592" s="38">
        <f t="shared" si="235"/>
        <v>0</v>
      </c>
      <c r="AB592" s="38">
        <f t="shared" si="246"/>
        <v>0</v>
      </c>
      <c r="AC592" s="38">
        <f t="shared" si="247"/>
        <v>0</v>
      </c>
      <c r="AD592" s="38">
        <f t="shared" si="248"/>
        <v>0</v>
      </c>
      <c r="AE592" s="38">
        <f t="shared" si="249"/>
        <v>0</v>
      </c>
      <c r="AF592" s="38">
        <f t="shared" si="250"/>
        <v>0</v>
      </c>
      <c r="AG592" s="33">
        <f t="shared" si="251"/>
        <v>0</v>
      </c>
      <c r="AH592" s="33">
        <f t="shared" si="252"/>
        <v>0</v>
      </c>
      <c r="AI592" s="33">
        <f t="shared" si="253"/>
        <v>0</v>
      </c>
      <c r="AJ592" s="33">
        <f t="shared" si="254"/>
        <v>0</v>
      </c>
      <c r="AK592" s="34">
        <f t="shared" si="255"/>
        <v>0</v>
      </c>
      <c r="AL592" s="35">
        <f t="shared" si="256"/>
        <v>0</v>
      </c>
      <c r="AM592" s="34">
        <f t="shared" si="239"/>
        <v>0</v>
      </c>
      <c r="AN592" s="36">
        <f t="shared" si="257"/>
        <v>0</v>
      </c>
      <c r="AO592" s="6">
        <f t="shared" si="240"/>
        <v>0</v>
      </c>
      <c r="AP592">
        <f t="shared" si="241"/>
        <v>8</v>
      </c>
      <c r="AQ592" s="6">
        <f t="shared" si="242"/>
        <v>0</v>
      </c>
      <c r="AR592" s="6">
        <f t="shared" si="243"/>
        <v>0</v>
      </c>
      <c r="AS592" s="6"/>
      <c r="AX592" s="95">
        <f t="shared" si="244"/>
        <v>42715</v>
      </c>
      <c r="AY592" s="96" t="str">
        <f t="shared" si="245"/>
        <v>dom</v>
      </c>
      <c r="AZ592" s="97">
        <f>IF(OR(AY592="SÁB",AY592="DOM"),0,IFERROR(8-VLOOKUP(C592,'Dados de consulta'!$A$2:$C$38,3,0),8))</f>
        <v>0</v>
      </c>
      <c r="BA592" s="97">
        <f>IF(OR(AY592="SÁB",AY592="DOM"),0,IFERROR(8-VLOOKUP(D592,'Dados de consulta'!$A$2:$C$38,3,0),8))</f>
        <v>0</v>
      </c>
      <c r="BB592" s="97">
        <f>IF(OR(AY592="SÁB",AY592="DOM"),0,IFERROR(8-VLOOKUP(E592,'Dados de consulta'!$A$2:$C$38,3,0),8))</f>
        <v>0</v>
      </c>
      <c r="BC592" s="97">
        <f>IF(OR(AY592="SÁB",AY592="DOM"),0,IFERROR(8-VLOOKUP(F592,'Dados de consulta'!$A$2:$C$38,3,0),8))</f>
        <v>0</v>
      </c>
      <c r="BD592" s="97">
        <f>IF(OR(AY592="SÁB",AY592="DOM"),0,IFERROR(8-VLOOKUP(G592,'Dados de consulta'!$A$2:$C$38,3,0),8))</f>
        <v>0</v>
      </c>
      <c r="BE592" s="97">
        <f>IF(OR(AY592="SÁB",AY592="DOM"),0,IFERROR(8-VLOOKUP(H592,'Dados de consulta'!$A$2:$C$38,3,0),8))</f>
        <v>0</v>
      </c>
      <c r="BF592" s="97">
        <f>IF(OR(AY592="SÁB",AY592="DOM"),0,IFERROR(8-VLOOKUP(I592,'Dados de consulta'!$A$2:$C$38,3,0),8))</f>
        <v>0</v>
      </c>
      <c r="BG592" s="97">
        <f>IF(OR(AY592="SÁB",AY592="DOM"),0,IFERROR(8-VLOOKUP(J592,'Dados de consulta'!$A$2:$C$38,3,0),8))</f>
        <v>0</v>
      </c>
      <c r="BH592" s="97">
        <f>IF(OR(AY592="SÁB",AY592="DOM"),0,IFERROR(8-VLOOKUP(K592,'Dados de consulta'!$A$2:$C$38,3,0),8))</f>
        <v>0</v>
      </c>
      <c r="BI592" s="97">
        <f>IF(OR(AY592="SÁB",AY592="DOM"),0,IFERROR(8-VLOOKUP(L592,'Dados de consulta'!$A$2:$C$38,3,0),8))</f>
        <v>0</v>
      </c>
      <c r="BJ592" s="97">
        <f>IF(OR(AY592="SÁB",AY592="DOM"),0,IFERROR(8-VLOOKUP(M592,'Dados de consulta'!$A$2:$C$38,3,0),8))</f>
        <v>0</v>
      </c>
      <c r="BK592" s="97">
        <f>IF(OR(AY592="SÁB",AY592="DOM"),0,IFERROR(8-VLOOKUP(N592,'Dados de consulta'!$A$2:$C$38,3,0),8))</f>
        <v>0</v>
      </c>
      <c r="BL592" s="97">
        <f>IF(OR(AY592="SÁB",AY592="DOM"),0,IFERROR(8-VLOOKUP(O592,'Dados de consulta'!$A$2:$C$38,3,0),8))</f>
        <v>0</v>
      </c>
      <c r="BM592" s="97">
        <f>IF(OR(AY592="SÁB",AY592="DOM"),0,IFERROR(8-VLOOKUP(P592,'Dados de consulta'!$A$2:$C$38,3,0),8))</f>
        <v>0</v>
      </c>
      <c r="BN592" s="97">
        <f>IF(OR(AY592="SÁB",AY592="DOM"),0,IFERROR(8-VLOOKUP(Q592,'Dados de consulta'!$A$2:$C$38,3,0),8))</f>
        <v>0</v>
      </c>
      <c r="BO592" s="97">
        <f>IF(OR(AY592="SÁB",AY592="DOM"),0,IFERROR(8-VLOOKUP(R592,'Dados de consulta'!$A$2:$C$38,3,0),8))</f>
        <v>0</v>
      </c>
      <c r="BP592" s="97">
        <f>IF(OR(AY592="SÁB",AY592="DOM"),0,IFERROR(8-VLOOKUP(S592,'Dados de consulta'!$A$2:$C$38,3,0),8))</f>
        <v>0</v>
      </c>
      <c r="BQ592" s="113">
        <f>IFERROR(6-VLOOKUP(T592,'Dados de consulta'!$A$2:$C$38,3,0)+2,6)</f>
        <v>6</v>
      </c>
      <c r="BR592" s="114">
        <f t="shared" si="258"/>
        <v>0</v>
      </c>
      <c r="BS592">
        <f t="shared" si="234"/>
        <v>0</v>
      </c>
      <c r="BU592">
        <f>IFERROR(8-VLOOKUP(U592,'Dados de consulta'!$A:$D,3,0),8)</f>
        <v>0</v>
      </c>
      <c r="BV592">
        <f>IFERROR(8-VLOOKUP(V592,'Dados de consulta'!$A:$D,3,0),8)</f>
        <v>8</v>
      </c>
      <c r="BW592">
        <f t="shared" si="259"/>
        <v>8</v>
      </c>
    </row>
    <row r="593" spans="1:75" ht="15" hidden="1" x14ac:dyDescent="0.2">
      <c r="A593" s="98">
        <v>42716</v>
      </c>
      <c r="B593" s="129" t="str">
        <f t="shared" si="236"/>
        <v>seg</v>
      </c>
      <c r="C593" s="132"/>
      <c r="D593" s="132"/>
      <c r="E593" s="132"/>
      <c r="F593" s="132"/>
      <c r="G593" s="132"/>
      <c r="H593" s="132"/>
      <c r="I593" s="132">
        <v>18</v>
      </c>
      <c r="J593" s="132"/>
      <c r="K593" s="132"/>
      <c r="L593" s="132"/>
      <c r="M593" s="132">
        <v>101</v>
      </c>
      <c r="N593" s="132"/>
      <c r="O593" s="132"/>
      <c r="P593" s="132"/>
      <c r="Q593" s="132"/>
      <c r="R593" s="132"/>
      <c r="S593" s="132"/>
      <c r="T593" s="132"/>
      <c r="U593" s="151">
        <v>18</v>
      </c>
      <c r="V593" s="151"/>
      <c r="W593" s="307" t="s">
        <v>193</v>
      </c>
      <c r="X593" s="308"/>
      <c r="Y593" s="38">
        <f t="shared" si="237"/>
        <v>0</v>
      </c>
      <c r="Z593" s="38">
        <f t="shared" si="238"/>
        <v>8</v>
      </c>
      <c r="AA593" s="38">
        <f t="shared" si="235"/>
        <v>0</v>
      </c>
      <c r="AB593" s="38">
        <f t="shared" si="246"/>
        <v>0</v>
      </c>
      <c r="AC593" s="38">
        <f t="shared" si="247"/>
        <v>0</v>
      </c>
      <c r="AD593" s="38">
        <f t="shared" si="248"/>
        <v>0</v>
      </c>
      <c r="AE593" s="38">
        <f t="shared" si="249"/>
        <v>0</v>
      </c>
      <c r="AF593" s="38">
        <f t="shared" si="250"/>
        <v>0</v>
      </c>
      <c r="AG593" s="33">
        <f t="shared" si="251"/>
        <v>0</v>
      </c>
      <c r="AH593" s="33">
        <f t="shared" si="252"/>
        <v>8</v>
      </c>
      <c r="AI593" s="33">
        <f t="shared" si="253"/>
        <v>0</v>
      </c>
      <c r="AJ593" s="33">
        <f t="shared" si="254"/>
        <v>0</v>
      </c>
      <c r="AK593" s="34">
        <f t="shared" si="255"/>
        <v>0</v>
      </c>
      <c r="AL593" s="35">
        <f t="shared" si="256"/>
        <v>5.6338028169014086E-2</v>
      </c>
      <c r="AM593" s="34">
        <f t="shared" si="239"/>
        <v>0</v>
      </c>
      <c r="AN593" s="36">
        <f t="shared" si="257"/>
        <v>0</v>
      </c>
      <c r="AO593" s="6">
        <f t="shared" si="240"/>
        <v>0</v>
      </c>
      <c r="AP593">
        <f t="shared" si="241"/>
        <v>8</v>
      </c>
      <c r="AQ593" s="6">
        <f t="shared" si="242"/>
        <v>0</v>
      </c>
      <c r="AR593" s="6">
        <f t="shared" si="243"/>
        <v>0</v>
      </c>
      <c r="AS593" s="6"/>
      <c r="AX593" s="95">
        <f t="shared" si="244"/>
        <v>42716</v>
      </c>
      <c r="AY593" s="96" t="str">
        <f t="shared" si="245"/>
        <v>seg</v>
      </c>
      <c r="AZ593" s="97">
        <f>IF(OR(AY593="SÁB",AY593="DOM"),0,IFERROR(8-VLOOKUP(C593,'Dados de consulta'!$A$2:$C$38,3,0),8))</f>
        <v>8</v>
      </c>
      <c r="BA593" s="97">
        <f>IF(OR(AY593="SÁB",AY593="DOM"),0,IFERROR(8-VLOOKUP(D593,'Dados de consulta'!$A$2:$C$38,3,0),8))</f>
        <v>8</v>
      </c>
      <c r="BB593" s="97">
        <f>IF(OR(AY593="SÁB",AY593="DOM"),0,IFERROR(8-VLOOKUP(E593,'Dados de consulta'!$A$2:$C$38,3,0),8))</f>
        <v>8</v>
      </c>
      <c r="BC593" s="97">
        <f>IF(OR(AY593="SÁB",AY593="DOM"),0,IFERROR(8-VLOOKUP(F593,'Dados de consulta'!$A$2:$C$38,3,0),8))</f>
        <v>8</v>
      </c>
      <c r="BD593" s="97">
        <f>IF(OR(AY593="SÁB",AY593="DOM"),0,IFERROR(8-VLOOKUP(G593,'Dados de consulta'!$A$2:$C$38,3,0),8))</f>
        <v>8</v>
      </c>
      <c r="BE593" s="97">
        <f>IF(OR(AY593="SÁB",AY593="DOM"),0,IFERROR(8-VLOOKUP(H593,'Dados de consulta'!$A$2:$C$38,3,0),8))</f>
        <v>8</v>
      </c>
      <c r="BF593" s="97">
        <f>IF(OR(AY593="SÁB",AY593="DOM"),0,IFERROR(8-VLOOKUP(I593,'Dados de consulta'!$A$2:$C$38,3,0),8))</f>
        <v>0</v>
      </c>
      <c r="BG593" s="97">
        <f>IF(OR(AY593="SÁB",AY593="DOM"),0,IFERROR(8-VLOOKUP(J593,'Dados de consulta'!$A$2:$C$38,3,0),8))</f>
        <v>8</v>
      </c>
      <c r="BH593" s="97">
        <f>IF(OR(AY593="SÁB",AY593="DOM"),0,IFERROR(8-VLOOKUP(K593,'Dados de consulta'!$A$2:$C$38,3,0),8))</f>
        <v>8</v>
      </c>
      <c r="BI593" s="97">
        <f>IF(OR(AY593="SÁB",AY593="DOM"),0,IFERROR(8-VLOOKUP(L593,'Dados de consulta'!$A$2:$C$38,3,0),8))</f>
        <v>8</v>
      </c>
      <c r="BJ593" s="97">
        <f>IF(OR(AY593="SÁB",AY593="DOM"),0,IFERROR(8-VLOOKUP(M593,'Dados de consulta'!$A$2:$C$38,3,0),8))</f>
        <v>0</v>
      </c>
      <c r="BK593" s="97">
        <f>IF(OR(AY593="SÁB",AY593="DOM"),0,IFERROR(8-VLOOKUP(N593,'Dados de consulta'!$A$2:$C$38,3,0),8))</f>
        <v>8</v>
      </c>
      <c r="BL593" s="97">
        <f>IF(OR(AY593="SÁB",AY593="DOM"),0,IFERROR(8-VLOOKUP(O593,'Dados de consulta'!$A$2:$C$38,3,0),8))</f>
        <v>8</v>
      </c>
      <c r="BM593" s="97">
        <f>IF(OR(AY593="SÁB",AY593="DOM"),0,IFERROR(8-VLOOKUP(P593,'Dados de consulta'!$A$2:$C$38,3,0),8))</f>
        <v>8</v>
      </c>
      <c r="BN593" s="97">
        <f>IF(OR(AY593="SÁB",AY593="DOM"),0,IFERROR(8-VLOOKUP(Q593,'Dados de consulta'!$A$2:$C$38,3,0),8))</f>
        <v>8</v>
      </c>
      <c r="BO593" s="97">
        <f>IF(OR(AY593="SÁB",AY593="DOM"),0,IFERROR(8-VLOOKUP(R593,'Dados de consulta'!$A$2:$C$38,3,0),8))</f>
        <v>8</v>
      </c>
      <c r="BP593" s="97">
        <f>IF(OR(AY593="SÁB",AY593="DOM"),0,IFERROR(8-VLOOKUP(S593,'Dados de consulta'!$A$2:$C$38,3,0),8))</f>
        <v>8</v>
      </c>
      <c r="BQ593" s="113">
        <f>IFERROR(6-VLOOKUP(T593,'Dados de consulta'!$A$2:$C$38,3,0)+2,6)</f>
        <v>6</v>
      </c>
      <c r="BR593" s="114">
        <f t="shared" si="258"/>
        <v>126</v>
      </c>
      <c r="BS593">
        <f t="shared" si="234"/>
        <v>134</v>
      </c>
      <c r="BU593">
        <f>IFERROR(8-VLOOKUP(U593,'Dados de consulta'!$A:$D,3,0),8)</f>
        <v>0</v>
      </c>
      <c r="BV593">
        <f>IFERROR(8-VLOOKUP(V593,'Dados de consulta'!$A:$D,3,0),8)</f>
        <v>8</v>
      </c>
      <c r="BW593">
        <f t="shared" si="259"/>
        <v>8</v>
      </c>
    </row>
    <row r="594" spans="1:75" ht="15" hidden="1" x14ac:dyDescent="0.2">
      <c r="A594" s="98">
        <v>42717</v>
      </c>
      <c r="B594" s="129" t="str">
        <f t="shared" si="236"/>
        <v>ter</v>
      </c>
      <c r="C594" s="132"/>
      <c r="D594" s="132"/>
      <c r="E594" s="132"/>
      <c r="F594" s="132"/>
      <c r="G594" s="132"/>
      <c r="H594" s="132"/>
      <c r="I594" s="132">
        <v>18</v>
      </c>
      <c r="J594" s="132"/>
      <c r="K594" s="132"/>
      <c r="L594" s="132"/>
      <c r="M594" s="132">
        <v>101</v>
      </c>
      <c r="N594" s="132"/>
      <c r="O594" s="132"/>
      <c r="P594" s="132"/>
      <c r="Q594" s="132"/>
      <c r="R594" s="132"/>
      <c r="S594" s="132"/>
      <c r="T594" s="132"/>
      <c r="U594" s="151">
        <v>18</v>
      </c>
      <c r="V594" s="151"/>
      <c r="W594" s="307" t="s">
        <v>193</v>
      </c>
      <c r="X594" s="308"/>
      <c r="Y594" s="38">
        <f t="shared" si="237"/>
        <v>0</v>
      </c>
      <c r="Z594" s="38">
        <f t="shared" si="238"/>
        <v>8</v>
      </c>
      <c r="AA594" s="38">
        <f t="shared" si="235"/>
        <v>0</v>
      </c>
      <c r="AB594" s="38">
        <f t="shared" si="246"/>
        <v>0</v>
      </c>
      <c r="AC594" s="38">
        <f t="shared" si="247"/>
        <v>0</v>
      </c>
      <c r="AD594" s="38">
        <f t="shared" si="248"/>
        <v>0</v>
      </c>
      <c r="AE594" s="38">
        <f t="shared" si="249"/>
        <v>0</v>
      </c>
      <c r="AF594" s="38">
        <f t="shared" si="250"/>
        <v>0</v>
      </c>
      <c r="AG594" s="33">
        <f t="shared" si="251"/>
        <v>0</v>
      </c>
      <c r="AH594" s="33">
        <f t="shared" si="252"/>
        <v>8</v>
      </c>
      <c r="AI594" s="33">
        <f t="shared" si="253"/>
        <v>0</v>
      </c>
      <c r="AJ594" s="33">
        <f t="shared" si="254"/>
        <v>0</v>
      </c>
      <c r="AK594" s="34">
        <f t="shared" si="255"/>
        <v>0</v>
      </c>
      <c r="AL594" s="35">
        <f t="shared" si="256"/>
        <v>5.6338028169014086E-2</v>
      </c>
      <c r="AM594" s="34">
        <f t="shared" si="239"/>
        <v>0</v>
      </c>
      <c r="AN594" s="36">
        <f t="shared" si="257"/>
        <v>0</v>
      </c>
      <c r="AO594" s="6">
        <f t="shared" si="240"/>
        <v>0</v>
      </c>
      <c r="AP594">
        <f t="shared" si="241"/>
        <v>8</v>
      </c>
      <c r="AQ594" s="6">
        <f t="shared" si="242"/>
        <v>0</v>
      </c>
      <c r="AR594" s="6">
        <f t="shared" si="243"/>
        <v>0</v>
      </c>
      <c r="AS594" s="6"/>
      <c r="AX594" s="95">
        <f t="shared" si="244"/>
        <v>42717</v>
      </c>
      <c r="AY594" s="96" t="str">
        <f t="shared" si="245"/>
        <v>ter</v>
      </c>
      <c r="AZ594" s="97">
        <f>IF(OR(AY594="SÁB",AY594="DOM"),0,IFERROR(8-VLOOKUP(C594,'Dados de consulta'!$A$2:$C$38,3,0),8))</f>
        <v>8</v>
      </c>
      <c r="BA594" s="97">
        <f>IF(OR(AY594="SÁB",AY594="DOM"),0,IFERROR(8-VLOOKUP(D594,'Dados de consulta'!$A$2:$C$38,3,0),8))</f>
        <v>8</v>
      </c>
      <c r="BB594" s="97">
        <f>IF(OR(AY594="SÁB",AY594="DOM"),0,IFERROR(8-VLOOKUP(E594,'Dados de consulta'!$A$2:$C$38,3,0),8))</f>
        <v>8</v>
      </c>
      <c r="BC594" s="97">
        <f>IF(OR(AY594="SÁB",AY594="DOM"),0,IFERROR(8-VLOOKUP(F594,'Dados de consulta'!$A$2:$C$38,3,0),8))</f>
        <v>8</v>
      </c>
      <c r="BD594" s="97">
        <f>IF(OR(AY594="SÁB",AY594="DOM"),0,IFERROR(8-VLOOKUP(G594,'Dados de consulta'!$A$2:$C$38,3,0),8))</f>
        <v>8</v>
      </c>
      <c r="BE594" s="97">
        <f>IF(OR(AY594="SÁB",AY594="DOM"),0,IFERROR(8-VLOOKUP(H594,'Dados de consulta'!$A$2:$C$38,3,0),8))</f>
        <v>8</v>
      </c>
      <c r="BF594" s="97">
        <f>IF(OR(AY594="SÁB",AY594="DOM"),0,IFERROR(8-VLOOKUP(I594,'Dados de consulta'!$A$2:$C$38,3,0),8))</f>
        <v>0</v>
      </c>
      <c r="BG594" s="97">
        <f>IF(OR(AY594="SÁB",AY594="DOM"),0,IFERROR(8-VLOOKUP(J594,'Dados de consulta'!$A$2:$C$38,3,0),8))</f>
        <v>8</v>
      </c>
      <c r="BH594" s="97">
        <f>IF(OR(AY594="SÁB",AY594="DOM"),0,IFERROR(8-VLOOKUP(K594,'Dados de consulta'!$A$2:$C$38,3,0),8))</f>
        <v>8</v>
      </c>
      <c r="BI594" s="97">
        <f>IF(OR(AY594="SÁB",AY594="DOM"),0,IFERROR(8-VLOOKUP(L594,'Dados de consulta'!$A$2:$C$38,3,0),8))</f>
        <v>8</v>
      </c>
      <c r="BJ594" s="97">
        <f>IF(OR(AY594="SÁB",AY594="DOM"),0,IFERROR(8-VLOOKUP(M594,'Dados de consulta'!$A$2:$C$38,3,0),8))</f>
        <v>0</v>
      </c>
      <c r="BK594" s="97">
        <f>IF(OR(AY594="SÁB",AY594="DOM"),0,IFERROR(8-VLOOKUP(N594,'Dados de consulta'!$A$2:$C$38,3,0),8))</f>
        <v>8</v>
      </c>
      <c r="BL594" s="97">
        <f>IF(OR(AY594="SÁB",AY594="DOM"),0,IFERROR(8-VLOOKUP(O594,'Dados de consulta'!$A$2:$C$38,3,0),8))</f>
        <v>8</v>
      </c>
      <c r="BM594" s="97">
        <f>IF(OR(AY594="SÁB",AY594="DOM"),0,IFERROR(8-VLOOKUP(P594,'Dados de consulta'!$A$2:$C$38,3,0),8))</f>
        <v>8</v>
      </c>
      <c r="BN594" s="97">
        <f>IF(OR(AY594="SÁB",AY594="DOM"),0,IFERROR(8-VLOOKUP(Q594,'Dados de consulta'!$A$2:$C$38,3,0),8))</f>
        <v>8</v>
      </c>
      <c r="BO594" s="97">
        <f>IF(OR(AY594="SÁB",AY594="DOM"),0,IFERROR(8-VLOOKUP(R594,'Dados de consulta'!$A$2:$C$38,3,0),8))</f>
        <v>8</v>
      </c>
      <c r="BP594" s="97">
        <f>IF(OR(AY594="SÁB",AY594="DOM"),0,IFERROR(8-VLOOKUP(S594,'Dados de consulta'!$A$2:$C$38,3,0),8))</f>
        <v>8</v>
      </c>
      <c r="BQ594" s="113">
        <f>IFERROR(6-VLOOKUP(T594,'Dados de consulta'!$A$2:$C$38,3,0)+2,6)</f>
        <v>6</v>
      </c>
      <c r="BR594" s="114">
        <f t="shared" si="258"/>
        <v>126</v>
      </c>
      <c r="BS594">
        <f t="shared" si="234"/>
        <v>134</v>
      </c>
      <c r="BU594">
        <f>IFERROR(8-VLOOKUP(U594,'Dados de consulta'!$A:$D,3,0),8)</f>
        <v>0</v>
      </c>
      <c r="BV594">
        <f>IFERROR(8-VLOOKUP(V594,'Dados de consulta'!$A:$D,3,0),8)</f>
        <v>8</v>
      </c>
      <c r="BW594">
        <f t="shared" si="259"/>
        <v>8</v>
      </c>
    </row>
    <row r="595" spans="1:75" ht="15" hidden="1" x14ac:dyDescent="0.2">
      <c r="A595" s="98">
        <v>42718</v>
      </c>
      <c r="B595" s="129" t="str">
        <f t="shared" si="236"/>
        <v>qua</v>
      </c>
      <c r="C595" s="132"/>
      <c r="D595" s="132"/>
      <c r="E595" s="132"/>
      <c r="F595" s="132"/>
      <c r="G595" s="132"/>
      <c r="H595" s="132"/>
      <c r="I595" s="132">
        <v>18</v>
      </c>
      <c r="J595" s="132"/>
      <c r="K595" s="132"/>
      <c r="L595" s="132"/>
      <c r="M595" s="132">
        <v>101</v>
      </c>
      <c r="N595" s="132"/>
      <c r="O595" s="132"/>
      <c r="P595" s="132"/>
      <c r="Q595" s="132"/>
      <c r="R595" s="132"/>
      <c r="S595" s="132"/>
      <c r="T595" s="132"/>
      <c r="U595" s="151">
        <v>18</v>
      </c>
      <c r="V595" s="151"/>
      <c r="W595" s="307" t="s">
        <v>193</v>
      </c>
      <c r="X595" s="308"/>
      <c r="Y595" s="38">
        <f t="shared" si="237"/>
        <v>0</v>
      </c>
      <c r="Z595" s="38">
        <f t="shared" si="238"/>
        <v>8</v>
      </c>
      <c r="AA595" s="38">
        <f t="shared" si="235"/>
        <v>0</v>
      </c>
      <c r="AB595" s="38">
        <f t="shared" si="246"/>
        <v>0</v>
      </c>
      <c r="AC595" s="38">
        <f t="shared" si="247"/>
        <v>0</v>
      </c>
      <c r="AD595" s="38">
        <f t="shared" si="248"/>
        <v>0</v>
      </c>
      <c r="AE595" s="38">
        <f t="shared" si="249"/>
        <v>0</v>
      </c>
      <c r="AF595" s="38">
        <f t="shared" si="250"/>
        <v>0</v>
      </c>
      <c r="AG595" s="33">
        <f t="shared" si="251"/>
        <v>0</v>
      </c>
      <c r="AH595" s="33">
        <f t="shared" si="252"/>
        <v>8</v>
      </c>
      <c r="AI595" s="33">
        <f t="shared" si="253"/>
        <v>0</v>
      </c>
      <c r="AJ595" s="33">
        <f t="shared" si="254"/>
        <v>0</v>
      </c>
      <c r="AK595" s="34">
        <f t="shared" si="255"/>
        <v>0</v>
      </c>
      <c r="AL595" s="35">
        <f t="shared" si="256"/>
        <v>5.6338028169014086E-2</v>
      </c>
      <c r="AM595" s="34">
        <f t="shared" si="239"/>
        <v>0</v>
      </c>
      <c r="AN595" s="36">
        <f t="shared" si="257"/>
        <v>0</v>
      </c>
      <c r="AO595" s="6">
        <f t="shared" si="240"/>
        <v>0</v>
      </c>
      <c r="AP595">
        <f t="shared" si="241"/>
        <v>8</v>
      </c>
      <c r="AQ595" s="6">
        <f t="shared" si="242"/>
        <v>0</v>
      </c>
      <c r="AR595" s="6">
        <f t="shared" si="243"/>
        <v>0</v>
      </c>
      <c r="AS595" s="6"/>
      <c r="AX595" s="95">
        <f t="shared" si="244"/>
        <v>42718</v>
      </c>
      <c r="AY595" s="96" t="str">
        <f t="shared" si="245"/>
        <v>qua</v>
      </c>
      <c r="AZ595" s="97">
        <f>IF(OR(AY595="SÁB",AY595="DOM"),0,IFERROR(8-VLOOKUP(C595,'Dados de consulta'!$A$2:$C$38,3,0),8))</f>
        <v>8</v>
      </c>
      <c r="BA595" s="97">
        <f>IF(OR(AY595="SÁB",AY595="DOM"),0,IFERROR(8-VLOOKUP(D595,'Dados de consulta'!$A$2:$C$38,3,0),8))</f>
        <v>8</v>
      </c>
      <c r="BB595" s="97">
        <f>IF(OR(AY595="SÁB",AY595="DOM"),0,IFERROR(8-VLOOKUP(E595,'Dados de consulta'!$A$2:$C$38,3,0),8))</f>
        <v>8</v>
      </c>
      <c r="BC595" s="97">
        <f>IF(OR(AY595="SÁB",AY595="DOM"),0,IFERROR(8-VLOOKUP(F595,'Dados de consulta'!$A$2:$C$38,3,0),8))</f>
        <v>8</v>
      </c>
      <c r="BD595" s="97">
        <f>IF(OR(AY595="SÁB",AY595="DOM"),0,IFERROR(8-VLOOKUP(G595,'Dados de consulta'!$A$2:$C$38,3,0),8))</f>
        <v>8</v>
      </c>
      <c r="BE595" s="97">
        <f>IF(OR(AY595="SÁB",AY595="DOM"),0,IFERROR(8-VLOOKUP(H595,'Dados de consulta'!$A$2:$C$38,3,0),8))</f>
        <v>8</v>
      </c>
      <c r="BF595" s="97">
        <f>IF(OR(AY595="SÁB",AY595="DOM"),0,IFERROR(8-VLOOKUP(I595,'Dados de consulta'!$A$2:$C$38,3,0),8))</f>
        <v>0</v>
      </c>
      <c r="BG595" s="97">
        <f>IF(OR(AY595="SÁB",AY595="DOM"),0,IFERROR(8-VLOOKUP(J595,'Dados de consulta'!$A$2:$C$38,3,0),8))</f>
        <v>8</v>
      </c>
      <c r="BH595" s="97">
        <f>IF(OR(AY595="SÁB",AY595="DOM"),0,IFERROR(8-VLOOKUP(K595,'Dados de consulta'!$A$2:$C$38,3,0),8))</f>
        <v>8</v>
      </c>
      <c r="BI595" s="97">
        <f>IF(OR(AY595="SÁB",AY595="DOM"),0,IFERROR(8-VLOOKUP(L595,'Dados de consulta'!$A$2:$C$38,3,0),8))</f>
        <v>8</v>
      </c>
      <c r="BJ595" s="97">
        <f>IF(OR(AY595="SÁB",AY595="DOM"),0,IFERROR(8-VLOOKUP(M595,'Dados de consulta'!$A$2:$C$38,3,0),8))</f>
        <v>0</v>
      </c>
      <c r="BK595" s="97">
        <f>IF(OR(AY595="SÁB",AY595="DOM"),0,IFERROR(8-VLOOKUP(N595,'Dados de consulta'!$A$2:$C$38,3,0),8))</f>
        <v>8</v>
      </c>
      <c r="BL595" s="97">
        <f>IF(OR(AY595="SÁB",AY595="DOM"),0,IFERROR(8-VLOOKUP(O595,'Dados de consulta'!$A$2:$C$38,3,0),8))</f>
        <v>8</v>
      </c>
      <c r="BM595" s="97">
        <f>IF(OR(AY595="SÁB",AY595="DOM"),0,IFERROR(8-VLOOKUP(P595,'Dados de consulta'!$A$2:$C$38,3,0),8))</f>
        <v>8</v>
      </c>
      <c r="BN595" s="97">
        <f>IF(OR(AY595="SÁB",AY595="DOM"),0,IFERROR(8-VLOOKUP(Q595,'Dados de consulta'!$A$2:$C$38,3,0),8))</f>
        <v>8</v>
      </c>
      <c r="BO595" s="97">
        <f>IF(OR(AY595="SÁB",AY595="DOM"),0,IFERROR(8-VLOOKUP(R595,'Dados de consulta'!$A$2:$C$38,3,0),8))</f>
        <v>8</v>
      </c>
      <c r="BP595" s="97">
        <f>IF(OR(AY595="SÁB",AY595="DOM"),0,IFERROR(8-VLOOKUP(S595,'Dados de consulta'!$A$2:$C$38,3,0),8))</f>
        <v>8</v>
      </c>
      <c r="BQ595" s="113">
        <f>IFERROR(6-VLOOKUP(T595,'Dados de consulta'!$A$2:$C$38,3,0)+2,6)</f>
        <v>6</v>
      </c>
      <c r="BR595" s="114">
        <f t="shared" si="258"/>
        <v>126</v>
      </c>
      <c r="BS595">
        <f t="shared" si="234"/>
        <v>134</v>
      </c>
      <c r="BU595">
        <f>IFERROR(8-VLOOKUP(U595,'Dados de consulta'!$A:$D,3,0),8)</f>
        <v>0</v>
      </c>
      <c r="BV595">
        <f>IFERROR(8-VLOOKUP(V595,'Dados de consulta'!$A:$D,3,0),8)</f>
        <v>8</v>
      </c>
      <c r="BW595">
        <f t="shared" si="259"/>
        <v>8</v>
      </c>
    </row>
    <row r="596" spans="1:75" ht="15" hidden="1" x14ac:dyDescent="0.2">
      <c r="A596" s="98">
        <v>42719</v>
      </c>
      <c r="B596" s="129" t="str">
        <f t="shared" si="236"/>
        <v>qui</v>
      </c>
      <c r="C596" s="132"/>
      <c r="D596" s="132"/>
      <c r="E596" s="132"/>
      <c r="F596" s="132"/>
      <c r="G596" s="132"/>
      <c r="H596" s="132"/>
      <c r="I596" s="132">
        <v>18</v>
      </c>
      <c r="J596" s="132"/>
      <c r="K596" s="132"/>
      <c r="L596" s="132"/>
      <c r="M596" s="132">
        <v>101</v>
      </c>
      <c r="N596" s="132"/>
      <c r="O596" s="132"/>
      <c r="P596" s="132"/>
      <c r="Q596" s="132"/>
      <c r="R596" s="132"/>
      <c r="S596" s="132"/>
      <c r="T596" s="132"/>
      <c r="U596" s="151">
        <v>18</v>
      </c>
      <c r="V596" s="151"/>
      <c r="W596" s="307" t="s">
        <v>193</v>
      </c>
      <c r="X596" s="308"/>
      <c r="Y596" s="38">
        <f t="shared" si="237"/>
        <v>0</v>
      </c>
      <c r="Z596" s="38">
        <f t="shared" si="238"/>
        <v>8</v>
      </c>
      <c r="AA596" s="38">
        <f t="shared" si="235"/>
        <v>0</v>
      </c>
      <c r="AB596" s="38">
        <f t="shared" si="246"/>
        <v>0</v>
      </c>
      <c r="AC596" s="38">
        <f t="shared" si="247"/>
        <v>0</v>
      </c>
      <c r="AD596" s="38">
        <f t="shared" si="248"/>
        <v>0</v>
      </c>
      <c r="AE596" s="38">
        <f t="shared" si="249"/>
        <v>0</v>
      </c>
      <c r="AF596" s="38">
        <f t="shared" si="250"/>
        <v>0</v>
      </c>
      <c r="AG596" s="33">
        <f t="shared" si="251"/>
        <v>0</v>
      </c>
      <c r="AH596" s="33">
        <f t="shared" si="252"/>
        <v>8</v>
      </c>
      <c r="AI596" s="33">
        <f t="shared" si="253"/>
        <v>0</v>
      </c>
      <c r="AJ596" s="33">
        <f t="shared" si="254"/>
        <v>0</v>
      </c>
      <c r="AK596" s="34">
        <f t="shared" si="255"/>
        <v>0</v>
      </c>
      <c r="AL596" s="35">
        <f t="shared" si="256"/>
        <v>5.6338028169014086E-2</v>
      </c>
      <c r="AM596" s="34">
        <f t="shared" si="239"/>
        <v>0</v>
      </c>
      <c r="AN596" s="36">
        <f t="shared" si="257"/>
        <v>0</v>
      </c>
      <c r="AO596" s="6">
        <f t="shared" si="240"/>
        <v>0</v>
      </c>
      <c r="AP596">
        <f t="shared" si="241"/>
        <v>8</v>
      </c>
      <c r="AQ596" s="6">
        <f t="shared" si="242"/>
        <v>0</v>
      </c>
      <c r="AR596" s="6">
        <f t="shared" si="243"/>
        <v>0</v>
      </c>
      <c r="AS596" s="6"/>
      <c r="AX596" s="95">
        <f t="shared" si="244"/>
        <v>42719</v>
      </c>
      <c r="AY596" s="96" t="str">
        <f t="shared" si="245"/>
        <v>qui</v>
      </c>
      <c r="AZ596" s="97">
        <f>IF(OR(AY596="SÁB",AY596="DOM"),0,IFERROR(8-VLOOKUP(C596,'Dados de consulta'!$A$2:$C$38,3,0),8))</f>
        <v>8</v>
      </c>
      <c r="BA596" s="97">
        <f>IF(OR(AY596="SÁB",AY596="DOM"),0,IFERROR(8-VLOOKUP(D596,'Dados de consulta'!$A$2:$C$38,3,0),8))</f>
        <v>8</v>
      </c>
      <c r="BB596" s="97">
        <f>IF(OR(AY596="SÁB",AY596="DOM"),0,IFERROR(8-VLOOKUP(E596,'Dados de consulta'!$A$2:$C$38,3,0),8))</f>
        <v>8</v>
      </c>
      <c r="BC596" s="97">
        <f>IF(OR(AY596="SÁB",AY596="DOM"),0,IFERROR(8-VLOOKUP(F596,'Dados de consulta'!$A$2:$C$38,3,0),8))</f>
        <v>8</v>
      </c>
      <c r="BD596" s="97">
        <f>IF(OR(AY596="SÁB",AY596="DOM"),0,IFERROR(8-VLOOKUP(G596,'Dados de consulta'!$A$2:$C$38,3,0),8))</f>
        <v>8</v>
      </c>
      <c r="BE596" s="97">
        <f>IF(OR(AY596="SÁB",AY596="DOM"),0,IFERROR(8-VLOOKUP(H596,'Dados de consulta'!$A$2:$C$38,3,0),8))</f>
        <v>8</v>
      </c>
      <c r="BF596" s="97">
        <f>IF(OR(AY596="SÁB",AY596="DOM"),0,IFERROR(8-VLOOKUP(I596,'Dados de consulta'!$A$2:$C$38,3,0),8))</f>
        <v>0</v>
      </c>
      <c r="BG596" s="97">
        <f>IF(OR(AY596="SÁB",AY596="DOM"),0,IFERROR(8-VLOOKUP(J596,'Dados de consulta'!$A$2:$C$38,3,0),8))</f>
        <v>8</v>
      </c>
      <c r="BH596" s="97">
        <f>IF(OR(AY596="SÁB",AY596="DOM"),0,IFERROR(8-VLOOKUP(K596,'Dados de consulta'!$A$2:$C$38,3,0),8))</f>
        <v>8</v>
      </c>
      <c r="BI596" s="97">
        <f>IF(OR(AY596="SÁB",AY596="DOM"),0,IFERROR(8-VLOOKUP(L596,'Dados de consulta'!$A$2:$C$38,3,0),8))</f>
        <v>8</v>
      </c>
      <c r="BJ596" s="97">
        <f>IF(OR(AY596="SÁB",AY596="DOM"),0,IFERROR(8-VLOOKUP(M596,'Dados de consulta'!$A$2:$C$38,3,0),8))</f>
        <v>0</v>
      </c>
      <c r="BK596" s="97">
        <f>IF(OR(AY596="SÁB",AY596="DOM"),0,IFERROR(8-VLOOKUP(N596,'Dados de consulta'!$A$2:$C$38,3,0),8))</f>
        <v>8</v>
      </c>
      <c r="BL596" s="97">
        <f>IF(OR(AY596="SÁB",AY596="DOM"),0,IFERROR(8-VLOOKUP(O596,'Dados de consulta'!$A$2:$C$38,3,0),8))</f>
        <v>8</v>
      </c>
      <c r="BM596" s="97">
        <f>IF(OR(AY596="SÁB",AY596="DOM"),0,IFERROR(8-VLOOKUP(P596,'Dados de consulta'!$A$2:$C$38,3,0),8))</f>
        <v>8</v>
      </c>
      <c r="BN596" s="97">
        <f>IF(OR(AY596="SÁB",AY596="DOM"),0,IFERROR(8-VLOOKUP(Q596,'Dados de consulta'!$A$2:$C$38,3,0),8))</f>
        <v>8</v>
      </c>
      <c r="BO596" s="97">
        <f>IF(OR(AY596="SÁB",AY596="DOM"),0,IFERROR(8-VLOOKUP(R596,'Dados de consulta'!$A$2:$C$38,3,0),8))</f>
        <v>8</v>
      </c>
      <c r="BP596" s="97">
        <f>IF(OR(AY596="SÁB",AY596="DOM"),0,IFERROR(8-VLOOKUP(S596,'Dados de consulta'!$A$2:$C$38,3,0),8))</f>
        <v>8</v>
      </c>
      <c r="BQ596" s="113">
        <f>IFERROR(6-VLOOKUP(T596,'Dados de consulta'!$A$2:$C$38,3,0)+2,6)</f>
        <v>6</v>
      </c>
      <c r="BR596" s="114">
        <f t="shared" si="258"/>
        <v>126</v>
      </c>
      <c r="BS596">
        <f t="shared" si="234"/>
        <v>134</v>
      </c>
      <c r="BU596">
        <f>IFERROR(8-VLOOKUP(U596,'Dados de consulta'!$A:$D,3,0),8)</f>
        <v>0</v>
      </c>
      <c r="BV596">
        <f>IFERROR(8-VLOOKUP(V596,'Dados de consulta'!$A:$D,3,0),8)</f>
        <v>8</v>
      </c>
      <c r="BW596">
        <f t="shared" si="259"/>
        <v>8</v>
      </c>
    </row>
    <row r="597" spans="1:75" ht="15" hidden="1" x14ac:dyDescent="0.2">
      <c r="A597" s="98">
        <v>42720</v>
      </c>
      <c r="B597" s="129" t="str">
        <f t="shared" si="236"/>
        <v>sex</v>
      </c>
      <c r="C597" s="132"/>
      <c r="D597" s="132"/>
      <c r="E597" s="132"/>
      <c r="F597" s="132"/>
      <c r="G597" s="132"/>
      <c r="H597" s="132"/>
      <c r="I597" s="132">
        <v>18</v>
      </c>
      <c r="J597" s="132"/>
      <c r="K597" s="132"/>
      <c r="L597" s="132"/>
      <c r="M597" s="132">
        <v>101</v>
      </c>
      <c r="N597" s="132"/>
      <c r="O597" s="132"/>
      <c r="P597" s="132"/>
      <c r="Q597" s="132"/>
      <c r="R597" s="132"/>
      <c r="S597" s="132"/>
      <c r="T597" s="132"/>
      <c r="U597" s="151">
        <v>18</v>
      </c>
      <c r="V597" s="151"/>
      <c r="W597" s="307" t="s">
        <v>193</v>
      </c>
      <c r="X597" s="308"/>
      <c r="Y597" s="38">
        <f t="shared" si="237"/>
        <v>0</v>
      </c>
      <c r="Z597" s="38">
        <f t="shared" si="238"/>
        <v>8</v>
      </c>
      <c r="AA597" s="38">
        <f t="shared" si="235"/>
        <v>0</v>
      </c>
      <c r="AB597" s="38">
        <f t="shared" si="246"/>
        <v>0</v>
      </c>
      <c r="AC597" s="38">
        <f t="shared" si="247"/>
        <v>0</v>
      </c>
      <c r="AD597" s="38">
        <f t="shared" si="248"/>
        <v>0</v>
      </c>
      <c r="AE597" s="38">
        <f t="shared" si="249"/>
        <v>0</v>
      </c>
      <c r="AF597" s="38">
        <f t="shared" si="250"/>
        <v>0</v>
      </c>
      <c r="AG597" s="33">
        <f t="shared" si="251"/>
        <v>0</v>
      </c>
      <c r="AH597" s="33">
        <f t="shared" si="252"/>
        <v>8</v>
      </c>
      <c r="AI597" s="33">
        <f t="shared" si="253"/>
        <v>0</v>
      </c>
      <c r="AJ597" s="33">
        <f t="shared" si="254"/>
        <v>0</v>
      </c>
      <c r="AK597" s="34">
        <f t="shared" si="255"/>
        <v>0</v>
      </c>
      <c r="AL597" s="35">
        <f t="shared" si="256"/>
        <v>5.6338028169014086E-2</v>
      </c>
      <c r="AM597" s="34">
        <f t="shared" si="239"/>
        <v>0</v>
      </c>
      <c r="AN597" s="36">
        <f t="shared" si="257"/>
        <v>0</v>
      </c>
      <c r="AO597" s="6">
        <f t="shared" si="240"/>
        <v>0</v>
      </c>
      <c r="AP597">
        <f t="shared" si="241"/>
        <v>8</v>
      </c>
      <c r="AQ597" s="6">
        <f t="shared" si="242"/>
        <v>0</v>
      </c>
      <c r="AR597" s="6">
        <f t="shared" si="243"/>
        <v>0</v>
      </c>
      <c r="AS597" s="6"/>
      <c r="AX597" s="95">
        <f t="shared" si="244"/>
        <v>42720</v>
      </c>
      <c r="AY597" s="96" t="str">
        <f t="shared" si="245"/>
        <v>sex</v>
      </c>
      <c r="AZ597" s="97">
        <f>IF(OR(AY597="SÁB",AY597="DOM"),0,IFERROR(8-VLOOKUP(C597,'Dados de consulta'!$A$2:$C$38,3,0),8))</f>
        <v>8</v>
      </c>
      <c r="BA597" s="97">
        <f>IF(OR(AY597="SÁB",AY597="DOM"),0,IFERROR(8-VLOOKUP(D597,'Dados de consulta'!$A$2:$C$38,3,0),8))</f>
        <v>8</v>
      </c>
      <c r="BB597" s="97">
        <f>IF(OR(AY597="SÁB",AY597="DOM"),0,IFERROR(8-VLOOKUP(E597,'Dados de consulta'!$A$2:$C$38,3,0),8))</f>
        <v>8</v>
      </c>
      <c r="BC597" s="97">
        <f>IF(OR(AY597="SÁB",AY597="DOM"),0,IFERROR(8-VLOOKUP(F597,'Dados de consulta'!$A$2:$C$38,3,0),8))</f>
        <v>8</v>
      </c>
      <c r="BD597" s="97">
        <f>IF(OR(AY597="SÁB",AY597="DOM"),0,IFERROR(8-VLOOKUP(G597,'Dados de consulta'!$A$2:$C$38,3,0),8))</f>
        <v>8</v>
      </c>
      <c r="BE597" s="97">
        <f>IF(OR(AY597="SÁB",AY597="DOM"),0,IFERROR(8-VLOOKUP(H597,'Dados de consulta'!$A$2:$C$38,3,0),8))</f>
        <v>8</v>
      </c>
      <c r="BF597" s="97">
        <f>IF(OR(AY597="SÁB",AY597="DOM"),0,IFERROR(8-VLOOKUP(I597,'Dados de consulta'!$A$2:$C$38,3,0),8))</f>
        <v>0</v>
      </c>
      <c r="BG597" s="97">
        <f>IF(OR(AY597="SÁB",AY597="DOM"),0,IFERROR(8-VLOOKUP(J597,'Dados de consulta'!$A$2:$C$38,3,0),8))</f>
        <v>8</v>
      </c>
      <c r="BH597" s="97">
        <f>IF(OR(AY597="SÁB",AY597="DOM"),0,IFERROR(8-VLOOKUP(K597,'Dados de consulta'!$A$2:$C$38,3,0),8))</f>
        <v>8</v>
      </c>
      <c r="BI597" s="97">
        <f>IF(OR(AY597="SÁB",AY597="DOM"),0,IFERROR(8-VLOOKUP(L597,'Dados de consulta'!$A$2:$C$38,3,0),8))</f>
        <v>8</v>
      </c>
      <c r="BJ597" s="97">
        <f>IF(OR(AY597="SÁB",AY597="DOM"),0,IFERROR(8-VLOOKUP(M597,'Dados de consulta'!$A$2:$C$38,3,0),8))</f>
        <v>0</v>
      </c>
      <c r="BK597" s="97">
        <f>IF(OR(AY597="SÁB",AY597="DOM"),0,IFERROR(8-VLOOKUP(N597,'Dados de consulta'!$A$2:$C$38,3,0),8))</f>
        <v>8</v>
      </c>
      <c r="BL597" s="97">
        <f>IF(OR(AY597="SÁB",AY597="DOM"),0,IFERROR(8-VLOOKUP(O597,'Dados de consulta'!$A$2:$C$38,3,0),8))</f>
        <v>8</v>
      </c>
      <c r="BM597" s="97">
        <f>IF(OR(AY597="SÁB",AY597="DOM"),0,IFERROR(8-VLOOKUP(P597,'Dados de consulta'!$A$2:$C$38,3,0),8))</f>
        <v>8</v>
      </c>
      <c r="BN597" s="97">
        <f>IF(OR(AY597="SÁB",AY597="DOM"),0,IFERROR(8-VLOOKUP(Q597,'Dados de consulta'!$A$2:$C$38,3,0),8))</f>
        <v>8</v>
      </c>
      <c r="BO597" s="97">
        <f>IF(OR(AY597="SÁB",AY597="DOM"),0,IFERROR(8-VLOOKUP(R597,'Dados de consulta'!$A$2:$C$38,3,0),8))</f>
        <v>8</v>
      </c>
      <c r="BP597" s="97">
        <f>IF(OR(AY597="SÁB",AY597="DOM"),0,IFERROR(8-VLOOKUP(S597,'Dados de consulta'!$A$2:$C$38,3,0),8))</f>
        <v>8</v>
      </c>
      <c r="BQ597" s="113">
        <f>IFERROR(6-VLOOKUP(T597,'Dados de consulta'!$A$2:$C$38,3,0)+2,6)</f>
        <v>6</v>
      </c>
      <c r="BR597" s="114">
        <f t="shared" si="258"/>
        <v>126</v>
      </c>
      <c r="BS597">
        <f t="shared" si="234"/>
        <v>134</v>
      </c>
      <c r="BU597">
        <f>IFERROR(8-VLOOKUP(U597,'Dados de consulta'!$A:$D,3,0),8)</f>
        <v>0</v>
      </c>
      <c r="BV597">
        <f>IFERROR(8-VLOOKUP(V597,'Dados de consulta'!$A:$D,3,0),8)</f>
        <v>8</v>
      </c>
      <c r="BW597">
        <f t="shared" si="259"/>
        <v>8</v>
      </c>
    </row>
    <row r="598" spans="1:75" ht="15" hidden="1" x14ac:dyDescent="0.2">
      <c r="A598" s="98">
        <v>42721</v>
      </c>
      <c r="B598" s="129" t="str">
        <f t="shared" si="236"/>
        <v>sáb</v>
      </c>
      <c r="C598" s="132"/>
      <c r="D598" s="132"/>
      <c r="E598" s="132"/>
      <c r="F598" s="132"/>
      <c r="G598" s="132"/>
      <c r="H598" s="132"/>
      <c r="I598" s="132">
        <v>18</v>
      </c>
      <c r="J598" s="132"/>
      <c r="K598" s="132"/>
      <c r="L598" s="132"/>
      <c r="M598" s="132">
        <v>101</v>
      </c>
      <c r="N598" s="132"/>
      <c r="O598" s="132"/>
      <c r="P598" s="132"/>
      <c r="Q598" s="132"/>
      <c r="R598" s="132"/>
      <c r="S598" s="132"/>
      <c r="T598" s="132"/>
      <c r="U598" s="151"/>
      <c r="V598" s="151"/>
      <c r="W598" s="307" t="s">
        <v>193</v>
      </c>
      <c r="X598" s="308"/>
      <c r="Y598" s="38">
        <f t="shared" si="237"/>
        <v>0</v>
      </c>
      <c r="Z598" s="38">
        <f t="shared" si="238"/>
        <v>8</v>
      </c>
      <c r="AA598" s="38">
        <f t="shared" si="235"/>
        <v>0</v>
      </c>
      <c r="AB598" s="38">
        <f t="shared" si="246"/>
        <v>0</v>
      </c>
      <c r="AC598" s="38">
        <f t="shared" si="247"/>
        <v>0</v>
      </c>
      <c r="AD598" s="38">
        <f t="shared" si="248"/>
        <v>0</v>
      </c>
      <c r="AE598" s="38">
        <f t="shared" si="249"/>
        <v>0</v>
      </c>
      <c r="AF598" s="38">
        <f t="shared" si="250"/>
        <v>0</v>
      </c>
      <c r="AG598" s="33">
        <f t="shared" si="251"/>
        <v>0</v>
      </c>
      <c r="AH598" s="33">
        <f t="shared" si="252"/>
        <v>0</v>
      </c>
      <c r="AI598" s="33">
        <f t="shared" si="253"/>
        <v>0</v>
      </c>
      <c r="AJ598" s="33">
        <f t="shared" si="254"/>
        <v>0</v>
      </c>
      <c r="AK598" s="34">
        <f t="shared" si="255"/>
        <v>0</v>
      </c>
      <c r="AL598" s="35">
        <f t="shared" si="256"/>
        <v>0</v>
      </c>
      <c r="AM598" s="34">
        <f t="shared" si="239"/>
        <v>0</v>
      </c>
      <c r="AN598" s="36">
        <f t="shared" si="257"/>
        <v>0</v>
      </c>
      <c r="AO598" s="6">
        <f t="shared" si="240"/>
        <v>0</v>
      </c>
      <c r="AP598">
        <f t="shared" si="241"/>
        <v>8</v>
      </c>
      <c r="AQ598" s="6">
        <f t="shared" si="242"/>
        <v>0</v>
      </c>
      <c r="AR598" s="6">
        <f t="shared" si="243"/>
        <v>0</v>
      </c>
      <c r="AS598" s="6"/>
      <c r="AX598" s="95">
        <f t="shared" si="244"/>
        <v>42721</v>
      </c>
      <c r="AY598" s="96" t="str">
        <f t="shared" si="245"/>
        <v>sáb</v>
      </c>
      <c r="AZ598" s="97">
        <f>IF(OR(AY598="SÁB",AY598="DOM"),0,IFERROR(8-VLOOKUP(C598,'Dados de consulta'!$A$2:$C$38,3,0),8))</f>
        <v>0</v>
      </c>
      <c r="BA598" s="97">
        <f>IF(OR(AY598="SÁB",AY598="DOM"),0,IFERROR(8-VLOOKUP(D598,'Dados de consulta'!$A$2:$C$38,3,0),8))</f>
        <v>0</v>
      </c>
      <c r="BB598" s="97">
        <f>IF(OR(AY598="SÁB",AY598="DOM"),0,IFERROR(8-VLOOKUP(E598,'Dados de consulta'!$A$2:$C$38,3,0),8))</f>
        <v>0</v>
      </c>
      <c r="BC598" s="97">
        <f>IF(OR(AY598="SÁB",AY598="DOM"),0,IFERROR(8-VLOOKUP(F598,'Dados de consulta'!$A$2:$C$38,3,0),8))</f>
        <v>0</v>
      </c>
      <c r="BD598" s="97">
        <f>IF(OR(AY598="SÁB",AY598="DOM"),0,IFERROR(8-VLOOKUP(G598,'Dados de consulta'!$A$2:$C$38,3,0),8))</f>
        <v>0</v>
      </c>
      <c r="BE598" s="97">
        <f>IF(OR(AY598="SÁB",AY598="DOM"),0,IFERROR(8-VLOOKUP(H598,'Dados de consulta'!$A$2:$C$38,3,0),8))</f>
        <v>0</v>
      </c>
      <c r="BF598" s="97">
        <f>IF(OR(AY598="SÁB",AY598="DOM"),0,IFERROR(8-VLOOKUP(I598,'Dados de consulta'!$A$2:$C$38,3,0),8))</f>
        <v>0</v>
      </c>
      <c r="BG598" s="97">
        <f>IF(OR(AY598="SÁB",AY598="DOM"),0,IFERROR(8-VLOOKUP(J598,'Dados de consulta'!$A$2:$C$38,3,0),8))</f>
        <v>0</v>
      </c>
      <c r="BH598" s="97">
        <f>IF(OR(AY598="SÁB",AY598="DOM"),0,IFERROR(8-VLOOKUP(K598,'Dados de consulta'!$A$2:$C$38,3,0),8))</f>
        <v>0</v>
      </c>
      <c r="BI598" s="97">
        <f>IF(OR(AY598="SÁB",AY598="DOM"),0,IFERROR(8-VLOOKUP(L598,'Dados de consulta'!$A$2:$C$38,3,0),8))</f>
        <v>0</v>
      </c>
      <c r="BJ598" s="97">
        <f>IF(OR(AY598="SÁB",AY598="DOM"),0,IFERROR(8-VLOOKUP(M598,'Dados de consulta'!$A$2:$C$38,3,0),8))</f>
        <v>0</v>
      </c>
      <c r="BK598" s="97">
        <f>IF(OR(AY598="SÁB",AY598="DOM"),0,IFERROR(8-VLOOKUP(N598,'Dados de consulta'!$A$2:$C$38,3,0),8))</f>
        <v>0</v>
      </c>
      <c r="BL598" s="97">
        <f>IF(OR(AY598="SÁB",AY598="DOM"),0,IFERROR(8-VLOOKUP(O598,'Dados de consulta'!$A$2:$C$38,3,0),8))</f>
        <v>0</v>
      </c>
      <c r="BM598" s="97">
        <f>IF(OR(AY598="SÁB",AY598="DOM"),0,IFERROR(8-VLOOKUP(P598,'Dados de consulta'!$A$2:$C$38,3,0),8))</f>
        <v>0</v>
      </c>
      <c r="BN598" s="97">
        <f>IF(OR(AY598="SÁB",AY598="DOM"),0,IFERROR(8-VLOOKUP(Q598,'Dados de consulta'!$A$2:$C$38,3,0),8))</f>
        <v>0</v>
      </c>
      <c r="BO598" s="97">
        <f>IF(OR(AY598="SÁB",AY598="DOM"),0,IFERROR(8-VLOOKUP(R598,'Dados de consulta'!$A$2:$C$38,3,0),8))</f>
        <v>0</v>
      </c>
      <c r="BP598" s="97">
        <f>IF(OR(AY598="SÁB",AY598="DOM"),0,IFERROR(8-VLOOKUP(S598,'Dados de consulta'!$A$2:$C$38,3,0),8))</f>
        <v>0</v>
      </c>
      <c r="BQ598" s="113">
        <f>IFERROR(6-VLOOKUP(T598,'Dados de consulta'!$A$2:$C$38,3,0)+2,6)</f>
        <v>6</v>
      </c>
      <c r="BR598" s="114">
        <f t="shared" si="258"/>
        <v>0</v>
      </c>
      <c r="BS598">
        <f t="shared" si="234"/>
        <v>0</v>
      </c>
      <c r="BU598">
        <f>IFERROR(8-VLOOKUP(U598,'Dados de consulta'!$A:$D,3,0),8)</f>
        <v>8</v>
      </c>
      <c r="BV598">
        <f>IFERROR(8-VLOOKUP(V598,'Dados de consulta'!$A:$D,3,0),8)</f>
        <v>8</v>
      </c>
      <c r="BW598">
        <f t="shared" si="259"/>
        <v>16</v>
      </c>
    </row>
    <row r="599" spans="1:75" ht="15" hidden="1" x14ac:dyDescent="0.2">
      <c r="A599" s="98">
        <v>42722</v>
      </c>
      <c r="B599" s="129" t="str">
        <f t="shared" si="236"/>
        <v>dom</v>
      </c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>
        <v>101</v>
      </c>
      <c r="N599" s="132"/>
      <c r="O599" s="132"/>
      <c r="P599" s="132"/>
      <c r="Q599" s="132"/>
      <c r="R599" s="132"/>
      <c r="S599" s="132"/>
      <c r="T599" s="132"/>
      <c r="U599" s="151"/>
      <c r="V599" s="151"/>
      <c r="W599" s="307" t="s">
        <v>193</v>
      </c>
      <c r="X599" s="308"/>
      <c r="Y599" s="38">
        <f t="shared" si="237"/>
        <v>0</v>
      </c>
      <c r="Z599" s="38">
        <f t="shared" si="238"/>
        <v>0</v>
      </c>
      <c r="AA599" s="38">
        <f t="shared" si="235"/>
        <v>0</v>
      </c>
      <c r="AB599" s="38">
        <f t="shared" si="246"/>
        <v>0</v>
      </c>
      <c r="AC599" s="38">
        <f t="shared" si="247"/>
        <v>0</v>
      </c>
      <c r="AD599" s="38">
        <f t="shared" si="248"/>
        <v>0</v>
      </c>
      <c r="AE599" s="38">
        <f t="shared" si="249"/>
        <v>0</v>
      </c>
      <c r="AF599" s="38">
        <f t="shared" si="250"/>
        <v>0</v>
      </c>
      <c r="AG599" s="33">
        <f t="shared" si="251"/>
        <v>0</v>
      </c>
      <c r="AH599" s="33">
        <f t="shared" si="252"/>
        <v>0</v>
      </c>
      <c r="AI599" s="33">
        <f t="shared" si="253"/>
        <v>0</v>
      </c>
      <c r="AJ599" s="33">
        <f t="shared" si="254"/>
        <v>0</v>
      </c>
      <c r="AK599" s="34">
        <f t="shared" si="255"/>
        <v>0</v>
      </c>
      <c r="AL599" s="35">
        <f t="shared" si="256"/>
        <v>0</v>
      </c>
      <c r="AM599" s="34">
        <f t="shared" si="239"/>
        <v>0</v>
      </c>
      <c r="AN599" s="36">
        <f t="shared" si="257"/>
        <v>0</v>
      </c>
      <c r="AO599" s="6">
        <f t="shared" si="240"/>
        <v>0</v>
      </c>
      <c r="AP599">
        <f t="shared" si="241"/>
        <v>8</v>
      </c>
      <c r="AQ599" s="6">
        <f t="shared" si="242"/>
        <v>0</v>
      </c>
      <c r="AR599" s="6">
        <f t="shared" si="243"/>
        <v>0</v>
      </c>
      <c r="AS599" s="6"/>
      <c r="AX599" s="95">
        <f t="shared" si="244"/>
        <v>42722</v>
      </c>
      <c r="AY599" s="96" t="str">
        <f t="shared" si="245"/>
        <v>dom</v>
      </c>
      <c r="AZ599" s="97">
        <f>IF(OR(AY599="SÁB",AY599="DOM"),0,IFERROR(8-VLOOKUP(C599,'Dados de consulta'!$A$2:$C$38,3,0),8))</f>
        <v>0</v>
      </c>
      <c r="BA599" s="97">
        <f>IF(OR(AY599="SÁB",AY599="DOM"),0,IFERROR(8-VLOOKUP(D599,'Dados de consulta'!$A$2:$C$38,3,0),8))</f>
        <v>0</v>
      </c>
      <c r="BB599" s="97">
        <f>IF(OR(AY599="SÁB",AY599="DOM"),0,IFERROR(8-VLOOKUP(E599,'Dados de consulta'!$A$2:$C$38,3,0),8))</f>
        <v>0</v>
      </c>
      <c r="BC599" s="97">
        <f>IF(OR(AY599="SÁB",AY599="DOM"),0,IFERROR(8-VLOOKUP(F599,'Dados de consulta'!$A$2:$C$38,3,0),8))</f>
        <v>0</v>
      </c>
      <c r="BD599" s="97">
        <f>IF(OR(AY599="SÁB",AY599="DOM"),0,IFERROR(8-VLOOKUP(G599,'Dados de consulta'!$A$2:$C$38,3,0),8))</f>
        <v>0</v>
      </c>
      <c r="BE599" s="97">
        <f>IF(OR(AY599="SÁB",AY599="DOM"),0,IFERROR(8-VLOOKUP(H599,'Dados de consulta'!$A$2:$C$38,3,0),8))</f>
        <v>0</v>
      </c>
      <c r="BF599" s="97">
        <f>IF(OR(AY599="SÁB",AY599="DOM"),0,IFERROR(8-VLOOKUP(I599,'Dados de consulta'!$A$2:$C$38,3,0),8))</f>
        <v>0</v>
      </c>
      <c r="BG599" s="97">
        <f>IF(OR(AY599="SÁB",AY599="DOM"),0,IFERROR(8-VLOOKUP(J599,'Dados de consulta'!$A$2:$C$38,3,0),8))</f>
        <v>0</v>
      </c>
      <c r="BH599" s="97">
        <f>IF(OR(AY599="SÁB",AY599="DOM"),0,IFERROR(8-VLOOKUP(K599,'Dados de consulta'!$A$2:$C$38,3,0),8))</f>
        <v>0</v>
      </c>
      <c r="BI599" s="97">
        <f>IF(OR(AY599="SÁB",AY599="DOM"),0,IFERROR(8-VLOOKUP(L599,'Dados de consulta'!$A$2:$C$38,3,0),8))</f>
        <v>0</v>
      </c>
      <c r="BJ599" s="97">
        <f>IF(OR(AY599="SÁB",AY599="DOM"),0,IFERROR(8-VLOOKUP(M599,'Dados de consulta'!$A$2:$C$38,3,0),8))</f>
        <v>0</v>
      </c>
      <c r="BK599" s="97">
        <f>IF(OR(AY599="SÁB",AY599="DOM"),0,IFERROR(8-VLOOKUP(N599,'Dados de consulta'!$A$2:$C$38,3,0),8))</f>
        <v>0</v>
      </c>
      <c r="BL599" s="97">
        <f>IF(OR(AY599="SÁB",AY599="DOM"),0,IFERROR(8-VLOOKUP(O599,'Dados de consulta'!$A$2:$C$38,3,0),8))</f>
        <v>0</v>
      </c>
      <c r="BM599" s="97">
        <f>IF(OR(AY599="SÁB",AY599="DOM"),0,IFERROR(8-VLOOKUP(P599,'Dados de consulta'!$A$2:$C$38,3,0),8))</f>
        <v>0</v>
      </c>
      <c r="BN599" s="97">
        <f>IF(OR(AY599="SÁB",AY599="DOM"),0,IFERROR(8-VLOOKUP(Q599,'Dados de consulta'!$A$2:$C$38,3,0),8))</f>
        <v>0</v>
      </c>
      <c r="BO599" s="97">
        <f>IF(OR(AY599="SÁB",AY599="DOM"),0,IFERROR(8-VLOOKUP(R599,'Dados de consulta'!$A$2:$C$38,3,0),8))</f>
        <v>0</v>
      </c>
      <c r="BP599" s="97">
        <f>IF(OR(AY599="SÁB",AY599="DOM"),0,IFERROR(8-VLOOKUP(S599,'Dados de consulta'!$A$2:$C$38,3,0),8))</f>
        <v>0</v>
      </c>
      <c r="BQ599" s="113">
        <f>IFERROR(6-VLOOKUP(T599,'Dados de consulta'!$A$2:$C$38,3,0)+2,6)</f>
        <v>6</v>
      </c>
      <c r="BR599" s="114">
        <f t="shared" si="258"/>
        <v>0</v>
      </c>
      <c r="BS599">
        <f t="shared" si="234"/>
        <v>0</v>
      </c>
      <c r="BU599">
        <f>IFERROR(8-VLOOKUP(U599,'Dados de consulta'!$A:$D,3,0),8)</f>
        <v>8</v>
      </c>
      <c r="BV599">
        <f>IFERROR(8-VLOOKUP(V599,'Dados de consulta'!$A:$D,3,0),8)</f>
        <v>8</v>
      </c>
      <c r="BW599">
        <f t="shared" si="259"/>
        <v>16</v>
      </c>
    </row>
    <row r="600" spans="1:75" ht="15" hidden="1" x14ac:dyDescent="0.2">
      <c r="A600" s="98">
        <v>42723</v>
      </c>
      <c r="B600" s="129" t="str">
        <f t="shared" si="236"/>
        <v>seg</v>
      </c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>
        <v>101</v>
      </c>
      <c r="N600" s="132"/>
      <c r="O600" s="132"/>
      <c r="P600" s="132"/>
      <c r="Q600" s="132"/>
      <c r="R600" s="132"/>
      <c r="S600" s="132"/>
      <c r="T600" s="132"/>
      <c r="U600" s="151"/>
      <c r="V600" s="151"/>
      <c r="W600" s="307" t="s">
        <v>193</v>
      </c>
      <c r="X600" s="308"/>
      <c r="Y600" s="38">
        <f t="shared" si="237"/>
        <v>0</v>
      </c>
      <c r="Z600" s="38">
        <f t="shared" si="238"/>
        <v>0</v>
      </c>
      <c r="AA600" s="38">
        <f t="shared" si="235"/>
        <v>0</v>
      </c>
      <c r="AB600" s="38">
        <f t="shared" si="246"/>
        <v>0</v>
      </c>
      <c r="AC600" s="38">
        <f t="shared" si="247"/>
        <v>0</v>
      </c>
      <c r="AD600" s="38">
        <f t="shared" si="248"/>
        <v>0</v>
      </c>
      <c r="AE600" s="38">
        <f t="shared" si="249"/>
        <v>0</v>
      </c>
      <c r="AF600" s="38">
        <f t="shared" si="250"/>
        <v>0</v>
      </c>
      <c r="AG600" s="33">
        <f t="shared" si="251"/>
        <v>0</v>
      </c>
      <c r="AH600" s="33">
        <f t="shared" si="252"/>
        <v>0</v>
      </c>
      <c r="AI600" s="33">
        <f t="shared" si="253"/>
        <v>0</v>
      </c>
      <c r="AJ600" s="33">
        <f t="shared" si="254"/>
        <v>0</v>
      </c>
      <c r="AK600" s="34">
        <f t="shared" si="255"/>
        <v>0</v>
      </c>
      <c r="AL600" s="35">
        <f t="shared" si="256"/>
        <v>0</v>
      </c>
      <c r="AM600" s="34">
        <f t="shared" si="239"/>
        <v>0</v>
      </c>
      <c r="AN600" s="36">
        <f t="shared" si="257"/>
        <v>0</v>
      </c>
      <c r="AO600" s="6">
        <f t="shared" si="240"/>
        <v>0</v>
      </c>
      <c r="AP600">
        <f t="shared" si="241"/>
        <v>8</v>
      </c>
      <c r="AQ600" s="6">
        <f t="shared" si="242"/>
        <v>0</v>
      </c>
      <c r="AR600" s="6">
        <f t="shared" si="243"/>
        <v>0</v>
      </c>
      <c r="AS600" s="6"/>
      <c r="AX600" s="95">
        <f t="shared" si="244"/>
        <v>42723</v>
      </c>
      <c r="AY600" s="96" t="str">
        <f t="shared" si="245"/>
        <v>seg</v>
      </c>
      <c r="AZ600" s="97">
        <f>IF(OR(AY600="SÁB",AY600="DOM"),0,IFERROR(8-VLOOKUP(C600,'Dados de consulta'!$A$2:$C$38,3,0),8))</f>
        <v>8</v>
      </c>
      <c r="BA600" s="97">
        <f>IF(OR(AY600="SÁB",AY600="DOM"),0,IFERROR(8-VLOOKUP(D600,'Dados de consulta'!$A$2:$C$38,3,0),8))</f>
        <v>8</v>
      </c>
      <c r="BB600" s="97">
        <f>IF(OR(AY600="SÁB",AY600="DOM"),0,IFERROR(8-VLOOKUP(E600,'Dados de consulta'!$A$2:$C$38,3,0),8))</f>
        <v>8</v>
      </c>
      <c r="BC600" s="97">
        <f>IF(OR(AY600="SÁB",AY600="DOM"),0,IFERROR(8-VLOOKUP(F600,'Dados de consulta'!$A$2:$C$38,3,0),8))</f>
        <v>8</v>
      </c>
      <c r="BD600" s="97">
        <f>IF(OR(AY600="SÁB",AY600="DOM"),0,IFERROR(8-VLOOKUP(G600,'Dados de consulta'!$A$2:$C$38,3,0),8))</f>
        <v>8</v>
      </c>
      <c r="BE600" s="97">
        <f>IF(OR(AY600="SÁB",AY600="DOM"),0,IFERROR(8-VLOOKUP(H600,'Dados de consulta'!$A$2:$C$38,3,0),8))</f>
        <v>8</v>
      </c>
      <c r="BF600" s="97">
        <f>IF(OR(AY600="SÁB",AY600="DOM"),0,IFERROR(8-VLOOKUP(I600,'Dados de consulta'!$A$2:$C$38,3,0),8))</f>
        <v>8</v>
      </c>
      <c r="BG600" s="97">
        <f>IF(OR(AY600="SÁB",AY600="DOM"),0,IFERROR(8-VLOOKUP(J600,'Dados de consulta'!$A$2:$C$38,3,0),8))</f>
        <v>8</v>
      </c>
      <c r="BH600" s="97">
        <f>IF(OR(AY600="SÁB",AY600="DOM"),0,IFERROR(8-VLOOKUP(K600,'Dados de consulta'!$A$2:$C$38,3,0),8))</f>
        <v>8</v>
      </c>
      <c r="BI600" s="97">
        <f>IF(OR(AY600="SÁB",AY600="DOM"),0,IFERROR(8-VLOOKUP(L600,'Dados de consulta'!$A$2:$C$38,3,0),8))</f>
        <v>8</v>
      </c>
      <c r="BJ600" s="97">
        <f>IF(OR(AY600="SÁB",AY600="DOM"),0,IFERROR(8-VLOOKUP(M600,'Dados de consulta'!$A$2:$C$38,3,0),8))</f>
        <v>0</v>
      </c>
      <c r="BK600" s="97">
        <f>IF(OR(AY600="SÁB",AY600="DOM"),0,IFERROR(8-VLOOKUP(N600,'Dados de consulta'!$A$2:$C$38,3,0),8))</f>
        <v>8</v>
      </c>
      <c r="BL600" s="97">
        <f>IF(OR(AY600="SÁB",AY600="DOM"),0,IFERROR(8-VLOOKUP(O600,'Dados de consulta'!$A$2:$C$38,3,0),8))</f>
        <v>8</v>
      </c>
      <c r="BM600" s="97">
        <f>IF(OR(AY600="SÁB",AY600="DOM"),0,IFERROR(8-VLOOKUP(P600,'Dados de consulta'!$A$2:$C$38,3,0),8))</f>
        <v>8</v>
      </c>
      <c r="BN600" s="97">
        <f>IF(OR(AY600="SÁB",AY600="DOM"),0,IFERROR(8-VLOOKUP(Q600,'Dados de consulta'!$A$2:$C$38,3,0),8))</f>
        <v>8</v>
      </c>
      <c r="BO600" s="97">
        <f>IF(OR(AY600="SÁB",AY600="DOM"),0,IFERROR(8-VLOOKUP(R600,'Dados de consulta'!$A$2:$C$38,3,0),8))</f>
        <v>8</v>
      </c>
      <c r="BP600" s="97">
        <f>IF(OR(AY600="SÁB",AY600="DOM"),0,IFERROR(8-VLOOKUP(S600,'Dados de consulta'!$A$2:$C$38,3,0),8))</f>
        <v>8</v>
      </c>
      <c r="BQ600" s="113">
        <f>IFERROR(6-VLOOKUP(T600,'Dados de consulta'!$A$2:$C$38,3,0)+2,6)</f>
        <v>6</v>
      </c>
      <c r="BR600" s="114">
        <f t="shared" si="258"/>
        <v>134</v>
      </c>
      <c r="BS600">
        <f t="shared" si="234"/>
        <v>134</v>
      </c>
      <c r="BU600">
        <f>IFERROR(8-VLOOKUP(U600,'Dados de consulta'!$A:$D,3,0),8)</f>
        <v>8</v>
      </c>
      <c r="BV600">
        <f>IFERROR(8-VLOOKUP(V600,'Dados de consulta'!$A:$D,3,0),8)</f>
        <v>8</v>
      </c>
      <c r="BW600">
        <f t="shared" si="259"/>
        <v>16</v>
      </c>
    </row>
    <row r="601" spans="1:75" ht="15" hidden="1" x14ac:dyDescent="0.2">
      <c r="A601" s="98">
        <v>42724</v>
      </c>
      <c r="B601" s="129" t="str">
        <f t="shared" si="236"/>
        <v>ter</v>
      </c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>
        <v>101</v>
      </c>
      <c r="N601" s="132"/>
      <c r="O601" s="132"/>
      <c r="P601" s="132"/>
      <c r="Q601" s="132"/>
      <c r="R601" s="132"/>
      <c r="S601" s="132"/>
      <c r="T601" s="132"/>
      <c r="U601" s="151"/>
      <c r="V601" s="151"/>
      <c r="W601" s="307" t="s">
        <v>193</v>
      </c>
      <c r="X601" s="308"/>
      <c r="Y601" s="38">
        <f t="shared" si="237"/>
        <v>0</v>
      </c>
      <c r="Z601" s="38">
        <f t="shared" si="238"/>
        <v>0</v>
      </c>
      <c r="AA601" s="38">
        <f t="shared" si="235"/>
        <v>0</v>
      </c>
      <c r="AB601" s="38">
        <f t="shared" si="246"/>
        <v>0</v>
      </c>
      <c r="AC601" s="38">
        <f t="shared" si="247"/>
        <v>0</v>
      </c>
      <c r="AD601" s="38">
        <f t="shared" si="248"/>
        <v>0</v>
      </c>
      <c r="AE601" s="38">
        <f t="shared" si="249"/>
        <v>0</v>
      </c>
      <c r="AF601" s="38">
        <f t="shared" si="250"/>
        <v>0</v>
      </c>
      <c r="AG601" s="33">
        <f t="shared" si="251"/>
        <v>0</v>
      </c>
      <c r="AH601" s="33">
        <f t="shared" si="252"/>
        <v>0</v>
      </c>
      <c r="AI601" s="33">
        <f t="shared" si="253"/>
        <v>0</v>
      </c>
      <c r="AJ601" s="33">
        <f t="shared" si="254"/>
        <v>0</v>
      </c>
      <c r="AK601" s="34">
        <f t="shared" si="255"/>
        <v>0</v>
      </c>
      <c r="AL601" s="35">
        <f t="shared" si="256"/>
        <v>0</v>
      </c>
      <c r="AM601" s="34">
        <f t="shared" si="239"/>
        <v>0</v>
      </c>
      <c r="AN601" s="36">
        <f t="shared" si="257"/>
        <v>0</v>
      </c>
      <c r="AO601" s="6">
        <f t="shared" si="240"/>
        <v>0</v>
      </c>
      <c r="AP601">
        <f t="shared" si="241"/>
        <v>8</v>
      </c>
      <c r="AQ601" s="6">
        <f t="shared" si="242"/>
        <v>0</v>
      </c>
      <c r="AR601" s="6">
        <f t="shared" si="243"/>
        <v>0</v>
      </c>
      <c r="AS601" s="6"/>
      <c r="AX601" s="95">
        <f t="shared" si="244"/>
        <v>42724</v>
      </c>
      <c r="AY601" s="96" t="str">
        <f t="shared" si="245"/>
        <v>ter</v>
      </c>
      <c r="AZ601" s="97">
        <f>IF(OR(AY601="SÁB",AY601="DOM"),0,IFERROR(8-VLOOKUP(C601,'Dados de consulta'!$A$2:$C$38,3,0),8))</f>
        <v>8</v>
      </c>
      <c r="BA601" s="97">
        <f>IF(OR(AY601="SÁB",AY601="DOM"),0,IFERROR(8-VLOOKUP(D601,'Dados de consulta'!$A$2:$C$38,3,0),8))</f>
        <v>8</v>
      </c>
      <c r="BB601" s="97">
        <f>IF(OR(AY601="SÁB",AY601="DOM"),0,IFERROR(8-VLOOKUP(E601,'Dados de consulta'!$A$2:$C$38,3,0),8))</f>
        <v>8</v>
      </c>
      <c r="BC601" s="97">
        <f>IF(OR(AY601="SÁB",AY601="DOM"),0,IFERROR(8-VLOOKUP(F601,'Dados de consulta'!$A$2:$C$38,3,0),8))</f>
        <v>8</v>
      </c>
      <c r="BD601" s="97">
        <f>IF(OR(AY601="SÁB",AY601="DOM"),0,IFERROR(8-VLOOKUP(G601,'Dados de consulta'!$A$2:$C$38,3,0),8))</f>
        <v>8</v>
      </c>
      <c r="BE601" s="97">
        <f>IF(OR(AY601="SÁB",AY601="DOM"),0,IFERROR(8-VLOOKUP(H601,'Dados de consulta'!$A$2:$C$38,3,0),8))</f>
        <v>8</v>
      </c>
      <c r="BF601" s="97">
        <f>IF(OR(AY601="SÁB",AY601="DOM"),0,IFERROR(8-VLOOKUP(I601,'Dados de consulta'!$A$2:$C$38,3,0),8))</f>
        <v>8</v>
      </c>
      <c r="BG601" s="97">
        <f>IF(OR(AY601="SÁB",AY601="DOM"),0,IFERROR(8-VLOOKUP(J601,'Dados de consulta'!$A$2:$C$38,3,0),8))</f>
        <v>8</v>
      </c>
      <c r="BH601" s="97">
        <f>IF(OR(AY601="SÁB",AY601="DOM"),0,IFERROR(8-VLOOKUP(K601,'Dados de consulta'!$A$2:$C$38,3,0),8))</f>
        <v>8</v>
      </c>
      <c r="BI601" s="97">
        <f>IF(OR(AY601="SÁB",AY601="DOM"),0,IFERROR(8-VLOOKUP(L601,'Dados de consulta'!$A$2:$C$38,3,0),8))</f>
        <v>8</v>
      </c>
      <c r="BJ601" s="97">
        <f>IF(OR(AY601="SÁB",AY601="DOM"),0,IFERROR(8-VLOOKUP(M601,'Dados de consulta'!$A$2:$C$38,3,0),8))</f>
        <v>0</v>
      </c>
      <c r="BK601" s="97">
        <f>IF(OR(AY601="SÁB",AY601="DOM"),0,IFERROR(8-VLOOKUP(N601,'Dados de consulta'!$A$2:$C$38,3,0),8))</f>
        <v>8</v>
      </c>
      <c r="BL601" s="97">
        <f>IF(OR(AY601="SÁB",AY601="DOM"),0,IFERROR(8-VLOOKUP(O601,'Dados de consulta'!$A$2:$C$38,3,0),8))</f>
        <v>8</v>
      </c>
      <c r="BM601" s="97">
        <f>IF(OR(AY601="SÁB",AY601="DOM"),0,IFERROR(8-VLOOKUP(P601,'Dados de consulta'!$A$2:$C$38,3,0),8))</f>
        <v>8</v>
      </c>
      <c r="BN601" s="97">
        <f>IF(OR(AY601="SÁB",AY601="DOM"),0,IFERROR(8-VLOOKUP(Q601,'Dados de consulta'!$A$2:$C$38,3,0),8))</f>
        <v>8</v>
      </c>
      <c r="BO601" s="97">
        <f>IF(OR(AY601="SÁB",AY601="DOM"),0,IFERROR(8-VLOOKUP(R601,'Dados de consulta'!$A$2:$C$38,3,0),8))</f>
        <v>8</v>
      </c>
      <c r="BP601" s="97">
        <f>IF(OR(AY601="SÁB",AY601="DOM"),0,IFERROR(8-VLOOKUP(S601,'Dados de consulta'!$A$2:$C$38,3,0),8))</f>
        <v>8</v>
      </c>
      <c r="BQ601" s="113">
        <f>IFERROR(6-VLOOKUP(T601,'Dados de consulta'!$A$2:$C$38,3,0)+2,6)</f>
        <v>6</v>
      </c>
      <c r="BR601" s="114">
        <f t="shared" si="258"/>
        <v>134</v>
      </c>
      <c r="BS601">
        <f t="shared" si="234"/>
        <v>134</v>
      </c>
      <c r="BU601">
        <f>IFERROR(8-VLOOKUP(U601,'Dados de consulta'!$A:$D,3,0),8)</f>
        <v>8</v>
      </c>
      <c r="BV601">
        <f>IFERROR(8-VLOOKUP(V601,'Dados de consulta'!$A:$D,3,0),8)</f>
        <v>8</v>
      </c>
      <c r="BW601">
        <f t="shared" si="259"/>
        <v>16</v>
      </c>
    </row>
    <row r="602" spans="1:75" ht="15" hidden="1" x14ac:dyDescent="0.2">
      <c r="A602" s="98">
        <v>42725</v>
      </c>
      <c r="B602" s="129" t="str">
        <f t="shared" si="236"/>
        <v>qua</v>
      </c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>
        <v>101</v>
      </c>
      <c r="N602" s="132"/>
      <c r="O602" s="132"/>
      <c r="P602" s="132"/>
      <c r="Q602" s="132"/>
      <c r="R602" s="132"/>
      <c r="S602" s="132"/>
      <c r="T602" s="132"/>
      <c r="U602" s="151"/>
      <c r="V602" s="151"/>
      <c r="W602" s="307" t="s">
        <v>193</v>
      </c>
      <c r="X602" s="308"/>
      <c r="Y602" s="38">
        <f t="shared" si="237"/>
        <v>0</v>
      </c>
      <c r="Z602" s="38">
        <f t="shared" si="238"/>
        <v>0</v>
      </c>
      <c r="AA602" s="38">
        <f t="shared" si="235"/>
        <v>0</v>
      </c>
      <c r="AB602" s="38">
        <f t="shared" si="246"/>
        <v>0</v>
      </c>
      <c r="AC602" s="38">
        <f t="shared" si="247"/>
        <v>0</v>
      </c>
      <c r="AD602" s="38">
        <f t="shared" si="248"/>
        <v>0</v>
      </c>
      <c r="AE602" s="38">
        <f t="shared" si="249"/>
        <v>0</v>
      </c>
      <c r="AF602" s="38">
        <f t="shared" si="250"/>
        <v>0</v>
      </c>
      <c r="AG602" s="33">
        <f t="shared" si="251"/>
        <v>0</v>
      </c>
      <c r="AH602" s="33">
        <f t="shared" si="252"/>
        <v>0</v>
      </c>
      <c r="AI602" s="33">
        <f t="shared" si="253"/>
        <v>0</v>
      </c>
      <c r="AJ602" s="33">
        <f t="shared" si="254"/>
        <v>0</v>
      </c>
      <c r="AK602" s="34">
        <f t="shared" si="255"/>
        <v>0</v>
      </c>
      <c r="AL602" s="35">
        <f t="shared" si="256"/>
        <v>0</v>
      </c>
      <c r="AM602" s="34">
        <f t="shared" si="239"/>
        <v>0</v>
      </c>
      <c r="AN602" s="36">
        <f t="shared" si="257"/>
        <v>0</v>
      </c>
      <c r="AO602" s="6">
        <f t="shared" si="240"/>
        <v>0</v>
      </c>
      <c r="AP602">
        <f t="shared" si="241"/>
        <v>8</v>
      </c>
      <c r="AQ602" s="6">
        <f t="shared" si="242"/>
        <v>0</v>
      </c>
      <c r="AR602" s="6">
        <f t="shared" si="243"/>
        <v>0</v>
      </c>
      <c r="AS602" s="6"/>
      <c r="AX602" s="95">
        <f t="shared" si="244"/>
        <v>42725</v>
      </c>
      <c r="AY602" s="96" t="str">
        <f t="shared" si="245"/>
        <v>qua</v>
      </c>
      <c r="AZ602" s="97">
        <f>IF(OR(AY602="SÁB",AY602="DOM"),0,IFERROR(8-VLOOKUP(C602,'Dados de consulta'!$A$2:$C$38,3,0),8))</f>
        <v>8</v>
      </c>
      <c r="BA602" s="97">
        <f>IF(OR(AY602="SÁB",AY602="DOM"),0,IFERROR(8-VLOOKUP(D602,'Dados de consulta'!$A$2:$C$38,3,0),8))</f>
        <v>8</v>
      </c>
      <c r="BB602" s="97">
        <f>IF(OR(AY602="SÁB",AY602="DOM"),0,IFERROR(8-VLOOKUP(E602,'Dados de consulta'!$A$2:$C$38,3,0),8))</f>
        <v>8</v>
      </c>
      <c r="BC602" s="97">
        <f>IF(OR(AY602="SÁB",AY602="DOM"),0,IFERROR(8-VLOOKUP(F602,'Dados de consulta'!$A$2:$C$38,3,0),8))</f>
        <v>8</v>
      </c>
      <c r="BD602" s="97">
        <f>IF(OR(AY602="SÁB",AY602="DOM"),0,IFERROR(8-VLOOKUP(G602,'Dados de consulta'!$A$2:$C$38,3,0),8))</f>
        <v>8</v>
      </c>
      <c r="BE602" s="97">
        <f>IF(OR(AY602="SÁB",AY602="DOM"),0,IFERROR(8-VLOOKUP(H602,'Dados de consulta'!$A$2:$C$38,3,0),8))</f>
        <v>8</v>
      </c>
      <c r="BF602" s="97">
        <f>IF(OR(AY602="SÁB",AY602="DOM"),0,IFERROR(8-VLOOKUP(I602,'Dados de consulta'!$A$2:$C$38,3,0),8))</f>
        <v>8</v>
      </c>
      <c r="BG602" s="97">
        <f>IF(OR(AY602="SÁB",AY602="DOM"),0,IFERROR(8-VLOOKUP(J602,'Dados de consulta'!$A$2:$C$38,3,0),8))</f>
        <v>8</v>
      </c>
      <c r="BH602" s="97">
        <f>IF(OR(AY602="SÁB",AY602="DOM"),0,IFERROR(8-VLOOKUP(K602,'Dados de consulta'!$A$2:$C$38,3,0),8))</f>
        <v>8</v>
      </c>
      <c r="BI602" s="97">
        <f>IF(OR(AY602="SÁB",AY602="DOM"),0,IFERROR(8-VLOOKUP(L602,'Dados de consulta'!$A$2:$C$38,3,0),8))</f>
        <v>8</v>
      </c>
      <c r="BJ602" s="97">
        <f>IF(OR(AY602="SÁB",AY602="DOM"),0,IFERROR(8-VLOOKUP(M602,'Dados de consulta'!$A$2:$C$38,3,0),8))</f>
        <v>0</v>
      </c>
      <c r="BK602" s="97">
        <f>IF(OR(AY602="SÁB",AY602="DOM"),0,IFERROR(8-VLOOKUP(N602,'Dados de consulta'!$A$2:$C$38,3,0),8))</f>
        <v>8</v>
      </c>
      <c r="BL602" s="97">
        <f>IF(OR(AY602="SÁB",AY602="DOM"),0,IFERROR(8-VLOOKUP(O602,'Dados de consulta'!$A$2:$C$38,3,0),8))</f>
        <v>8</v>
      </c>
      <c r="BM602" s="97">
        <f>IF(OR(AY602="SÁB",AY602="DOM"),0,IFERROR(8-VLOOKUP(P602,'Dados de consulta'!$A$2:$C$38,3,0),8))</f>
        <v>8</v>
      </c>
      <c r="BN602" s="97">
        <f>IF(OR(AY602="SÁB",AY602="DOM"),0,IFERROR(8-VLOOKUP(Q602,'Dados de consulta'!$A$2:$C$38,3,0),8))</f>
        <v>8</v>
      </c>
      <c r="BO602" s="97">
        <f>IF(OR(AY602="SÁB",AY602="DOM"),0,IFERROR(8-VLOOKUP(R602,'Dados de consulta'!$A$2:$C$38,3,0),8))</f>
        <v>8</v>
      </c>
      <c r="BP602" s="97">
        <f>IF(OR(AY602="SÁB",AY602="DOM"),0,IFERROR(8-VLOOKUP(S602,'Dados de consulta'!$A$2:$C$38,3,0),8))</f>
        <v>8</v>
      </c>
      <c r="BQ602" s="113">
        <f>IFERROR(6-VLOOKUP(T602,'Dados de consulta'!$A$2:$C$38,3,0)+2,6)</f>
        <v>6</v>
      </c>
      <c r="BR602" s="114">
        <f t="shared" si="258"/>
        <v>134</v>
      </c>
      <c r="BS602">
        <f t="shared" si="234"/>
        <v>134</v>
      </c>
      <c r="BU602">
        <f>IFERROR(8-VLOOKUP(U602,'Dados de consulta'!$A:$D,3,0),8)</f>
        <v>8</v>
      </c>
      <c r="BV602">
        <f>IFERROR(8-VLOOKUP(V602,'Dados de consulta'!$A:$D,3,0),8)</f>
        <v>8</v>
      </c>
      <c r="BW602">
        <f t="shared" si="259"/>
        <v>16</v>
      </c>
    </row>
    <row r="603" spans="1:75" ht="15" hidden="1" x14ac:dyDescent="0.2">
      <c r="A603" s="98">
        <v>42726</v>
      </c>
      <c r="B603" s="129" t="str">
        <f t="shared" si="236"/>
        <v>qui</v>
      </c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>
        <v>101</v>
      </c>
      <c r="N603" s="132"/>
      <c r="O603" s="132"/>
      <c r="P603" s="132"/>
      <c r="Q603" s="132"/>
      <c r="R603" s="132"/>
      <c r="S603" s="132"/>
      <c r="T603" s="132"/>
      <c r="U603" s="151"/>
      <c r="V603" s="151"/>
      <c r="W603" s="307" t="s">
        <v>193</v>
      </c>
      <c r="X603" s="308"/>
      <c r="Y603" s="38">
        <f t="shared" si="237"/>
        <v>0</v>
      </c>
      <c r="Z603" s="38">
        <f t="shared" si="238"/>
        <v>0</v>
      </c>
      <c r="AA603" s="38">
        <f t="shared" si="235"/>
        <v>0</v>
      </c>
      <c r="AB603" s="38">
        <f t="shared" si="246"/>
        <v>0</v>
      </c>
      <c r="AC603" s="38">
        <f t="shared" si="247"/>
        <v>0</v>
      </c>
      <c r="AD603" s="38">
        <f t="shared" si="248"/>
        <v>0</v>
      </c>
      <c r="AE603" s="38">
        <f t="shared" si="249"/>
        <v>0</v>
      </c>
      <c r="AF603" s="38">
        <f t="shared" si="250"/>
        <v>0</v>
      </c>
      <c r="AG603" s="33">
        <f t="shared" si="251"/>
        <v>0</v>
      </c>
      <c r="AH603" s="33">
        <f t="shared" si="252"/>
        <v>0</v>
      </c>
      <c r="AI603" s="33">
        <f t="shared" si="253"/>
        <v>0</v>
      </c>
      <c r="AJ603" s="33">
        <f t="shared" si="254"/>
        <v>0</v>
      </c>
      <c r="AK603" s="34">
        <f t="shared" si="255"/>
        <v>0</v>
      </c>
      <c r="AL603" s="35">
        <f t="shared" si="256"/>
        <v>0</v>
      </c>
      <c r="AM603" s="34">
        <f t="shared" si="239"/>
        <v>0</v>
      </c>
      <c r="AN603" s="36">
        <f t="shared" si="257"/>
        <v>0</v>
      </c>
      <c r="AO603" s="6">
        <f t="shared" si="240"/>
        <v>0</v>
      </c>
      <c r="AP603">
        <f t="shared" si="241"/>
        <v>8</v>
      </c>
      <c r="AQ603" s="6">
        <f t="shared" si="242"/>
        <v>0</v>
      </c>
      <c r="AR603" s="6">
        <f t="shared" si="243"/>
        <v>0</v>
      </c>
      <c r="AS603" s="6"/>
      <c r="AX603" s="95">
        <f t="shared" si="244"/>
        <v>42726</v>
      </c>
      <c r="AY603" s="96" t="str">
        <f t="shared" si="245"/>
        <v>qui</v>
      </c>
      <c r="AZ603" s="97">
        <f>IF(OR(AY603="SÁB",AY603="DOM"),0,IFERROR(8-VLOOKUP(C603,'Dados de consulta'!$A$2:$C$38,3,0),8))</f>
        <v>8</v>
      </c>
      <c r="BA603" s="97">
        <f>IF(OR(AY603="SÁB",AY603="DOM"),0,IFERROR(8-VLOOKUP(D603,'Dados de consulta'!$A$2:$C$38,3,0),8))</f>
        <v>8</v>
      </c>
      <c r="BB603" s="97">
        <f>IF(OR(AY603="SÁB",AY603="DOM"),0,IFERROR(8-VLOOKUP(E603,'Dados de consulta'!$A$2:$C$38,3,0),8))</f>
        <v>8</v>
      </c>
      <c r="BC603" s="97">
        <f>IF(OR(AY603="SÁB",AY603="DOM"),0,IFERROR(8-VLOOKUP(F603,'Dados de consulta'!$A$2:$C$38,3,0),8))</f>
        <v>8</v>
      </c>
      <c r="BD603" s="97">
        <f>IF(OR(AY603="SÁB",AY603="DOM"),0,IFERROR(8-VLOOKUP(G603,'Dados de consulta'!$A$2:$C$38,3,0),8))</f>
        <v>8</v>
      </c>
      <c r="BE603" s="97">
        <f>IF(OR(AY603="SÁB",AY603="DOM"),0,IFERROR(8-VLOOKUP(H603,'Dados de consulta'!$A$2:$C$38,3,0),8))</f>
        <v>8</v>
      </c>
      <c r="BF603" s="97">
        <f>IF(OR(AY603="SÁB",AY603="DOM"),0,IFERROR(8-VLOOKUP(I603,'Dados de consulta'!$A$2:$C$38,3,0),8))</f>
        <v>8</v>
      </c>
      <c r="BG603" s="97">
        <f>IF(OR(AY603="SÁB",AY603="DOM"),0,IFERROR(8-VLOOKUP(J603,'Dados de consulta'!$A$2:$C$38,3,0),8))</f>
        <v>8</v>
      </c>
      <c r="BH603" s="97">
        <f>IF(OR(AY603="SÁB",AY603="DOM"),0,IFERROR(8-VLOOKUP(K603,'Dados de consulta'!$A$2:$C$38,3,0),8))</f>
        <v>8</v>
      </c>
      <c r="BI603" s="97">
        <f>IF(OR(AY603="SÁB",AY603="DOM"),0,IFERROR(8-VLOOKUP(L603,'Dados de consulta'!$A$2:$C$38,3,0),8))</f>
        <v>8</v>
      </c>
      <c r="BJ603" s="97">
        <f>IF(OR(AY603="SÁB",AY603="DOM"),0,IFERROR(8-VLOOKUP(M603,'Dados de consulta'!$A$2:$C$38,3,0),8))</f>
        <v>0</v>
      </c>
      <c r="BK603" s="97">
        <f>IF(OR(AY603="SÁB",AY603="DOM"),0,IFERROR(8-VLOOKUP(N603,'Dados de consulta'!$A$2:$C$38,3,0),8))</f>
        <v>8</v>
      </c>
      <c r="BL603" s="97">
        <f>IF(OR(AY603="SÁB",AY603="DOM"),0,IFERROR(8-VLOOKUP(O603,'Dados de consulta'!$A$2:$C$38,3,0),8))</f>
        <v>8</v>
      </c>
      <c r="BM603" s="97">
        <f>IF(OR(AY603="SÁB",AY603="DOM"),0,IFERROR(8-VLOOKUP(P603,'Dados de consulta'!$A$2:$C$38,3,0),8))</f>
        <v>8</v>
      </c>
      <c r="BN603" s="97">
        <f>IF(OR(AY603="SÁB",AY603="DOM"),0,IFERROR(8-VLOOKUP(Q603,'Dados de consulta'!$A$2:$C$38,3,0),8))</f>
        <v>8</v>
      </c>
      <c r="BO603" s="97">
        <f>IF(OR(AY603="SÁB",AY603="DOM"),0,IFERROR(8-VLOOKUP(R603,'Dados de consulta'!$A$2:$C$38,3,0),8))</f>
        <v>8</v>
      </c>
      <c r="BP603" s="97">
        <f>IF(OR(AY603="SÁB",AY603="DOM"),0,IFERROR(8-VLOOKUP(S603,'Dados de consulta'!$A$2:$C$38,3,0),8))</f>
        <v>8</v>
      </c>
      <c r="BQ603" s="113">
        <f>IFERROR(6-VLOOKUP(T603,'Dados de consulta'!$A$2:$C$38,3,0)+2,6)</f>
        <v>6</v>
      </c>
      <c r="BR603" s="114">
        <f t="shared" si="258"/>
        <v>134</v>
      </c>
      <c r="BS603">
        <f t="shared" si="234"/>
        <v>134</v>
      </c>
      <c r="BU603">
        <f>IFERROR(8-VLOOKUP(U603,'Dados de consulta'!$A:$D,3,0),8)</f>
        <v>8</v>
      </c>
      <c r="BV603">
        <f>IFERROR(8-VLOOKUP(V603,'Dados de consulta'!$A:$D,3,0),8)</f>
        <v>8</v>
      </c>
      <c r="BW603">
        <f t="shared" si="259"/>
        <v>16</v>
      </c>
    </row>
    <row r="604" spans="1:75" ht="15" hidden="1" x14ac:dyDescent="0.2">
      <c r="A604" s="98">
        <v>42727</v>
      </c>
      <c r="B604" s="129" t="str">
        <f t="shared" si="236"/>
        <v>sex</v>
      </c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>
        <v>101</v>
      </c>
      <c r="N604" s="132"/>
      <c r="O604" s="132"/>
      <c r="P604" s="132"/>
      <c r="Q604" s="132"/>
      <c r="R604" s="132"/>
      <c r="S604" s="132"/>
      <c r="T604" s="132"/>
      <c r="U604" s="151"/>
      <c r="V604" s="151"/>
      <c r="W604" s="307" t="s">
        <v>193</v>
      </c>
      <c r="X604" s="308"/>
      <c r="Y604" s="38">
        <f t="shared" si="237"/>
        <v>0</v>
      </c>
      <c r="Z604" s="38">
        <f t="shared" si="238"/>
        <v>0</v>
      </c>
      <c r="AA604" s="38">
        <f t="shared" si="235"/>
        <v>0</v>
      </c>
      <c r="AB604" s="38">
        <f t="shared" si="246"/>
        <v>0</v>
      </c>
      <c r="AC604" s="38">
        <f t="shared" si="247"/>
        <v>0</v>
      </c>
      <c r="AD604" s="38">
        <f t="shared" si="248"/>
        <v>0</v>
      </c>
      <c r="AE604" s="38">
        <f t="shared" si="249"/>
        <v>0</v>
      </c>
      <c r="AF604" s="38">
        <f t="shared" si="250"/>
        <v>0</v>
      </c>
      <c r="AG604" s="33">
        <f t="shared" si="251"/>
        <v>0</v>
      </c>
      <c r="AH604" s="33">
        <f t="shared" si="252"/>
        <v>0</v>
      </c>
      <c r="AI604" s="33">
        <f t="shared" si="253"/>
        <v>0</v>
      </c>
      <c r="AJ604" s="33">
        <f t="shared" si="254"/>
        <v>0</v>
      </c>
      <c r="AK604" s="34">
        <f t="shared" si="255"/>
        <v>0</v>
      </c>
      <c r="AL604" s="35">
        <f t="shared" si="256"/>
        <v>0</v>
      </c>
      <c r="AM604" s="34">
        <f t="shared" si="239"/>
        <v>0</v>
      </c>
      <c r="AN604" s="36">
        <f t="shared" si="257"/>
        <v>0</v>
      </c>
      <c r="AO604" s="6">
        <f t="shared" si="240"/>
        <v>0</v>
      </c>
      <c r="AP604">
        <f t="shared" si="241"/>
        <v>8</v>
      </c>
      <c r="AQ604" s="6">
        <f t="shared" si="242"/>
        <v>0</v>
      </c>
      <c r="AR604" s="6">
        <f t="shared" si="243"/>
        <v>0</v>
      </c>
      <c r="AS604" s="6"/>
      <c r="AX604" s="95">
        <f t="shared" si="244"/>
        <v>42727</v>
      </c>
      <c r="AY604" s="96" t="str">
        <f t="shared" si="245"/>
        <v>sex</v>
      </c>
      <c r="AZ604" s="97">
        <f>IF(OR(AY604="SÁB",AY604="DOM"),0,IFERROR(8-VLOOKUP(C604,'Dados de consulta'!$A$2:$C$38,3,0),8))</f>
        <v>8</v>
      </c>
      <c r="BA604" s="97">
        <f>IF(OR(AY604="SÁB",AY604="DOM"),0,IFERROR(8-VLOOKUP(D604,'Dados de consulta'!$A$2:$C$38,3,0),8))</f>
        <v>8</v>
      </c>
      <c r="BB604" s="97">
        <f>IF(OR(AY604="SÁB",AY604="DOM"),0,IFERROR(8-VLOOKUP(E604,'Dados de consulta'!$A$2:$C$38,3,0),8))</f>
        <v>8</v>
      </c>
      <c r="BC604" s="97">
        <f>IF(OR(AY604="SÁB",AY604="DOM"),0,IFERROR(8-VLOOKUP(F604,'Dados de consulta'!$A$2:$C$38,3,0),8))</f>
        <v>8</v>
      </c>
      <c r="BD604" s="97">
        <f>IF(OR(AY604="SÁB",AY604="DOM"),0,IFERROR(8-VLOOKUP(G604,'Dados de consulta'!$A$2:$C$38,3,0),8))</f>
        <v>8</v>
      </c>
      <c r="BE604" s="97">
        <f>IF(OR(AY604="SÁB",AY604="DOM"),0,IFERROR(8-VLOOKUP(H604,'Dados de consulta'!$A$2:$C$38,3,0),8))</f>
        <v>8</v>
      </c>
      <c r="BF604" s="97">
        <f>IF(OR(AY604="SÁB",AY604="DOM"),0,IFERROR(8-VLOOKUP(I604,'Dados de consulta'!$A$2:$C$38,3,0),8))</f>
        <v>8</v>
      </c>
      <c r="BG604" s="97">
        <f>IF(OR(AY604="SÁB",AY604="DOM"),0,IFERROR(8-VLOOKUP(J604,'Dados de consulta'!$A$2:$C$38,3,0),8))</f>
        <v>8</v>
      </c>
      <c r="BH604" s="97">
        <f>IF(OR(AY604="SÁB",AY604="DOM"),0,IFERROR(8-VLOOKUP(K604,'Dados de consulta'!$A$2:$C$38,3,0),8))</f>
        <v>8</v>
      </c>
      <c r="BI604" s="97">
        <f>IF(OR(AY604="SÁB",AY604="DOM"),0,IFERROR(8-VLOOKUP(L604,'Dados de consulta'!$A$2:$C$38,3,0),8))</f>
        <v>8</v>
      </c>
      <c r="BJ604" s="97">
        <f>IF(OR(AY604="SÁB",AY604="DOM"),0,IFERROR(8-VLOOKUP(M604,'Dados de consulta'!$A$2:$C$38,3,0),8))</f>
        <v>0</v>
      </c>
      <c r="BK604" s="97">
        <f>IF(OR(AY604="SÁB",AY604="DOM"),0,IFERROR(8-VLOOKUP(N604,'Dados de consulta'!$A$2:$C$38,3,0),8))</f>
        <v>8</v>
      </c>
      <c r="BL604" s="97">
        <f>IF(OR(AY604="SÁB",AY604="DOM"),0,IFERROR(8-VLOOKUP(O604,'Dados de consulta'!$A$2:$C$38,3,0),8))</f>
        <v>8</v>
      </c>
      <c r="BM604" s="97">
        <f>IF(OR(AY604="SÁB",AY604="DOM"),0,IFERROR(8-VLOOKUP(P604,'Dados de consulta'!$A$2:$C$38,3,0),8))</f>
        <v>8</v>
      </c>
      <c r="BN604" s="97">
        <f>IF(OR(AY604="SÁB",AY604="DOM"),0,IFERROR(8-VLOOKUP(Q604,'Dados de consulta'!$A$2:$C$38,3,0),8))</f>
        <v>8</v>
      </c>
      <c r="BO604" s="97">
        <f>IF(OR(AY604="SÁB",AY604="DOM"),0,IFERROR(8-VLOOKUP(R604,'Dados de consulta'!$A$2:$C$38,3,0),8))</f>
        <v>8</v>
      </c>
      <c r="BP604" s="97">
        <f>IF(OR(AY604="SÁB",AY604="DOM"),0,IFERROR(8-VLOOKUP(S604,'Dados de consulta'!$A$2:$C$38,3,0),8))</f>
        <v>8</v>
      </c>
      <c r="BQ604" s="113">
        <f>IFERROR(6-VLOOKUP(T604,'Dados de consulta'!$A$2:$C$38,3,0)+2,6)</f>
        <v>6</v>
      </c>
      <c r="BR604" s="114">
        <f t="shared" si="258"/>
        <v>134</v>
      </c>
      <c r="BS604">
        <f t="shared" si="234"/>
        <v>134</v>
      </c>
      <c r="BU604">
        <f>IFERROR(8-VLOOKUP(U604,'Dados de consulta'!$A:$D,3,0),8)</f>
        <v>8</v>
      </c>
      <c r="BV604">
        <f>IFERROR(8-VLOOKUP(V604,'Dados de consulta'!$A:$D,3,0),8)</f>
        <v>8</v>
      </c>
      <c r="BW604">
        <f t="shared" si="259"/>
        <v>16</v>
      </c>
    </row>
    <row r="605" spans="1:75" ht="15" hidden="1" x14ac:dyDescent="0.2">
      <c r="A605" s="98">
        <v>42728</v>
      </c>
      <c r="B605" s="129" t="str">
        <f t="shared" si="236"/>
        <v>sáb</v>
      </c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>
        <v>101</v>
      </c>
      <c r="N605" s="132"/>
      <c r="O605" s="132"/>
      <c r="P605" s="132"/>
      <c r="Q605" s="132"/>
      <c r="R605" s="132"/>
      <c r="S605" s="132"/>
      <c r="T605" s="132"/>
      <c r="U605" s="151"/>
      <c r="V605" s="151"/>
      <c r="W605" s="307" t="s">
        <v>193</v>
      </c>
      <c r="X605" s="308"/>
      <c r="Y605" s="38">
        <f t="shared" si="237"/>
        <v>0</v>
      </c>
      <c r="Z605" s="38">
        <f t="shared" si="238"/>
        <v>0</v>
      </c>
      <c r="AA605" s="38">
        <f t="shared" si="235"/>
        <v>0</v>
      </c>
      <c r="AB605" s="38">
        <f t="shared" si="246"/>
        <v>0</v>
      </c>
      <c r="AC605" s="38">
        <f t="shared" si="247"/>
        <v>0</v>
      </c>
      <c r="AD605" s="38">
        <f t="shared" si="248"/>
        <v>0</v>
      </c>
      <c r="AE605" s="38">
        <f t="shared" si="249"/>
        <v>0</v>
      </c>
      <c r="AF605" s="38">
        <f t="shared" si="250"/>
        <v>0</v>
      </c>
      <c r="AG605" s="33">
        <f t="shared" si="251"/>
        <v>0</v>
      </c>
      <c r="AH605" s="33">
        <f t="shared" si="252"/>
        <v>0</v>
      </c>
      <c r="AI605" s="33">
        <f t="shared" si="253"/>
        <v>0</v>
      </c>
      <c r="AJ605" s="33">
        <f t="shared" si="254"/>
        <v>0</v>
      </c>
      <c r="AK605" s="34">
        <f t="shared" si="255"/>
        <v>0</v>
      </c>
      <c r="AL605" s="35">
        <f t="shared" si="256"/>
        <v>0</v>
      </c>
      <c r="AM605" s="34">
        <f t="shared" si="239"/>
        <v>0</v>
      </c>
      <c r="AN605" s="36">
        <f t="shared" si="257"/>
        <v>0</v>
      </c>
      <c r="AO605" s="6">
        <f t="shared" si="240"/>
        <v>0</v>
      </c>
      <c r="AP605">
        <f t="shared" si="241"/>
        <v>8</v>
      </c>
      <c r="AQ605" s="6">
        <f t="shared" si="242"/>
        <v>0</v>
      </c>
      <c r="AR605" s="6">
        <f t="shared" si="243"/>
        <v>0</v>
      </c>
      <c r="AS605" s="6"/>
      <c r="AX605" s="95">
        <f t="shared" si="244"/>
        <v>42728</v>
      </c>
      <c r="AY605" s="96" t="str">
        <f t="shared" si="245"/>
        <v>sáb</v>
      </c>
      <c r="AZ605" s="97">
        <f>IF(OR(AY605="SÁB",AY605="DOM"),0,IFERROR(8-VLOOKUP(C605,'Dados de consulta'!$A$2:$C$38,3,0),8))</f>
        <v>0</v>
      </c>
      <c r="BA605" s="97">
        <f>IF(OR(AY605="SÁB",AY605="DOM"),0,IFERROR(8-VLOOKUP(D605,'Dados de consulta'!$A$2:$C$38,3,0),8))</f>
        <v>0</v>
      </c>
      <c r="BB605" s="97">
        <f>IF(OR(AY605="SÁB",AY605="DOM"),0,IFERROR(8-VLOOKUP(E605,'Dados de consulta'!$A$2:$C$38,3,0),8))</f>
        <v>0</v>
      </c>
      <c r="BC605" s="97">
        <f>IF(OR(AY605="SÁB",AY605="DOM"),0,IFERROR(8-VLOOKUP(F605,'Dados de consulta'!$A$2:$C$38,3,0),8))</f>
        <v>0</v>
      </c>
      <c r="BD605" s="97">
        <f>IF(OR(AY605="SÁB",AY605="DOM"),0,IFERROR(8-VLOOKUP(G605,'Dados de consulta'!$A$2:$C$38,3,0),8))</f>
        <v>0</v>
      </c>
      <c r="BE605" s="97">
        <f>IF(OR(AY605="SÁB",AY605="DOM"),0,IFERROR(8-VLOOKUP(H605,'Dados de consulta'!$A$2:$C$38,3,0),8))</f>
        <v>0</v>
      </c>
      <c r="BF605" s="97">
        <f>IF(OR(AY605="SÁB",AY605="DOM"),0,IFERROR(8-VLOOKUP(I605,'Dados de consulta'!$A$2:$C$38,3,0),8))</f>
        <v>0</v>
      </c>
      <c r="BG605" s="97">
        <f>IF(OR(AY605="SÁB",AY605="DOM"),0,IFERROR(8-VLOOKUP(J605,'Dados de consulta'!$A$2:$C$38,3,0),8))</f>
        <v>0</v>
      </c>
      <c r="BH605" s="97">
        <f>IF(OR(AY605="SÁB",AY605="DOM"),0,IFERROR(8-VLOOKUP(K605,'Dados de consulta'!$A$2:$C$38,3,0),8))</f>
        <v>0</v>
      </c>
      <c r="BI605" s="97">
        <f>IF(OR(AY605="SÁB",AY605="DOM"),0,IFERROR(8-VLOOKUP(L605,'Dados de consulta'!$A$2:$C$38,3,0),8))</f>
        <v>0</v>
      </c>
      <c r="BJ605" s="97">
        <f>IF(OR(AY605="SÁB",AY605="DOM"),0,IFERROR(8-VLOOKUP(M605,'Dados de consulta'!$A$2:$C$38,3,0),8))</f>
        <v>0</v>
      </c>
      <c r="BK605" s="97">
        <f>IF(OR(AY605="SÁB",AY605="DOM"),0,IFERROR(8-VLOOKUP(N605,'Dados de consulta'!$A$2:$C$38,3,0),8))</f>
        <v>0</v>
      </c>
      <c r="BL605" s="97">
        <f>IF(OR(AY605="SÁB",AY605="DOM"),0,IFERROR(8-VLOOKUP(O605,'Dados de consulta'!$A$2:$C$38,3,0),8))</f>
        <v>0</v>
      </c>
      <c r="BM605" s="97">
        <f>IF(OR(AY605="SÁB",AY605="DOM"),0,IFERROR(8-VLOOKUP(P605,'Dados de consulta'!$A$2:$C$38,3,0),8))</f>
        <v>0</v>
      </c>
      <c r="BN605" s="97">
        <f>IF(OR(AY605="SÁB",AY605="DOM"),0,IFERROR(8-VLOOKUP(Q605,'Dados de consulta'!$A$2:$C$38,3,0),8))</f>
        <v>0</v>
      </c>
      <c r="BO605" s="97">
        <f>IF(OR(AY605="SÁB",AY605="DOM"),0,IFERROR(8-VLOOKUP(R605,'Dados de consulta'!$A$2:$C$38,3,0),8))</f>
        <v>0</v>
      </c>
      <c r="BP605" s="97">
        <f>IF(OR(AY605="SÁB",AY605="DOM"),0,IFERROR(8-VLOOKUP(S605,'Dados de consulta'!$A$2:$C$38,3,0),8))</f>
        <v>0</v>
      </c>
      <c r="BQ605" s="113">
        <f>IFERROR(6-VLOOKUP(T605,'Dados de consulta'!$A$2:$C$38,3,0)+2,6)</f>
        <v>6</v>
      </c>
      <c r="BR605" s="114">
        <f t="shared" si="258"/>
        <v>0</v>
      </c>
      <c r="BS605">
        <f t="shared" si="234"/>
        <v>0</v>
      </c>
      <c r="BU605">
        <f>IFERROR(8-VLOOKUP(U605,'Dados de consulta'!$A:$D,3,0),8)</f>
        <v>8</v>
      </c>
      <c r="BV605">
        <f>IFERROR(8-VLOOKUP(V605,'Dados de consulta'!$A:$D,3,0),8)</f>
        <v>8</v>
      </c>
      <c r="BW605">
        <f t="shared" si="259"/>
        <v>16</v>
      </c>
    </row>
    <row r="606" spans="1:75" ht="15" hidden="1" x14ac:dyDescent="0.2">
      <c r="A606" s="98">
        <v>42729</v>
      </c>
      <c r="B606" s="129" t="str">
        <f t="shared" si="236"/>
        <v>dom</v>
      </c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>
        <v>101</v>
      </c>
      <c r="N606" s="132"/>
      <c r="O606" s="132"/>
      <c r="P606" s="132"/>
      <c r="Q606" s="132"/>
      <c r="R606" s="132"/>
      <c r="S606" s="132"/>
      <c r="T606" s="132"/>
      <c r="U606" s="151"/>
      <c r="V606" s="151"/>
      <c r="W606" s="307" t="s">
        <v>193</v>
      </c>
      <c r="X606" s="308"/>
      <c r="Y606" s="38">
        <f t="shared" si="237"/>
        <v>0</v>
      </c>
      <c r="Z606" s="38">
        <f t="shared" si="238"/>
        <v>0</v>
      </c>
      <c r="AA606" s="38">
        <f t="shared" si="235"/>
        <v>0</v>
      </c>
      <c r="AB606" s="38">
        <f t="shared" si="246"/>
        <v>0</v>
      </c>
      <c r="AC606" s="38">
        <f t="shared" si="247"/>
        <v>0</v>
      </c>
      <c r="AD606" s="38">
        <f t="shared" si="248"/>
        <v>0</v>
      </c>
      <c r="AE606" s="38">
        <f t="shared" si="249"/>
        <v>0</v>
      </c>
      <c r="AF606" s="38">
        <f t="shared" si="250"/>
        <v>0</v>
      </c>
      <c r="AG606" s="33">
        <f t="shared" si="251"/>
        <v>0</v>
      </c>
      <c r="AH606" s="33">
        <f t="shared" si="252"/>
        <v>0</v>
      </c>
      <c r="AI606" s="33">
        <f t="shared" si="253"/>
        <v>0</v>
      </c>
      <c r="AJ606" s="33">
        <f t="shared" si="254"/>
        <v>0</v>
      </c>
      <c r="AK606" s="34">
        <f t="shared" si="255"/>
        <v>0</v>
      </c>
      <c r="AL606" s="35">
        <f t="shared" si="256"/>
        <v>0</v>
      </c>
      <c r="AM606" s="34">
        <f t="shared" si="239"/>
        <v>0</v>
      </c>
      <c r="AN606" s="36">
        <f t="shared" si="257"/>
        <v>0</v>
      </c>
      <c r="AO606" s="6">
        <f t="shared" si="240"/>
        <v>0</v>
      </c>
      <c r="AP606">
        <f t="shared" si="241"/>
        <v>8</v>
      </c>
      <c r="AQ606" s="6">
        <f t="shared" si="242"/>
        <v>0</v>
      </c>
      <c r="AR606" s="6">
        <f t="shared" si="243"/>
        <v>0</v>
      </c>
      <c r="AS606" s="6"/>
      <c r="AX606" s="95">
        <f t="shared" si="244"/>
        <v>42729</v>
      </c>
      <c r="AY606" s="96" t="str">
        <f t="shared" si="245"/>
        <v>dom</v>
      </c>
      <c r="AZ606" s="97">
        <f>IF(OR(AY606="SÁB",AY606="DOM"),0,IFERROR(8-VLOOKUP(C606,'Dados de consulta'!$A$2:$C$38,3,0),8))</f>
        <v>0</v>
      </c>
      <c r="BA606" s="97">
        <f>IF(OR(AY606="SÁB",AY606="DOM"),0,IFERROR(8-VLOOKUP(D606,'Dados de consulta'!$A$2:$C$38,3,0),8))</f>
        <v>0</v>
      </c>
      <c r="BB606" s="97">
        <f>IF(OR(AY606="SÁB",AY606="DOM"),0,IFERROR(8-VLOOKUP(E606,'Dados de consulta'!$A$2:$C$38,3,0),8))</f>
        <v>0</v>
      </c>
      <c r="BC606" s="97">
        <f>IF(OR(AY606="SÁB",AY606="DOM"),0,IFERROR(8-VLOOKUP(F606,'Dados de consulta'!$A$2:$C$38,3,0),8))</f>
        <v>0</v>
      </c>
      <c r="BD606" s="97">
        <f>IF(OR(AY606="SÁB",AY606="DOM"),0,IFERROR(8-VLOOKUP(G606,'Dados de consulta'!$A$2:$C$38,3,0),8))</f>
        <v>0</v>
      </c>
      <c r="BE606" s="97">
        <f>IF(OR(AY606="SÁB",AY606="DOM"),0,IFERROR(8-VLOOKUP(H606,'Dados de consulta'!$A$2:$C$38,3,0),8))</f>
        <v>0</v>
      </c>
      <c r="BF606" s="97">
        <f>IF(OR(AY606="SÁB",AY606="DOM"),0,IFERROR(8-VLOOKUP(I606,'Dados de consulta'!$A$2:$C$38,3,0),8))</f>
        <v>0</v>
      </c>
      <c r="BG606" s="97">
        <f>IF(OR(AY606="SÁB",AY606="DOM"),0,IFERROR(8-VLOOKUP(J606,'Dados de consulta'!$A$2:$C$38,3,0),8))</f>
        <v>0</v>
      </c>
      <c r="BH606" s="97">
        <f>IF(OR(AY606="SÁB",AY606="DOM"),0,IFERROR(8-VLOOKUP(K606,'Dados de consulta'!$A$2:$C$38,3,0),8))</f>
        <v>0</v>
      </c>
      <c r="BI606" s="97">
        <f>IF(OR(AY606="SÁB",AY606="DOM"),0,IFERROR(8-VLOOKUP(L606,'Dados de consulta'!$A$2:$C$38,3,0),8))</f>
        <v>0</v>
      </c>
      <c r="BJ606" s="97">
        <f>IF(OR(AY606="SÁB",AY606="DOM"),0,IFERROR(8-VLOOKUP(M606,'Dados de consulta'!$A$2:$C$38,3,0),8))</f>
        <v>0</v>
      </c>
      <c r="BK606" s="97">
        <f>IF(OR(AY606="SÁB",AY606="DOM"),0,IFERROR(8-VLOOKUP(N606,'Dados de consulta'!$A$2:$C$38,3,0),8))</f>
        <v>0</v>
      </c>
      <c r="BL606" s="97">
        <f>IF(OR(AY606="SÁB",AY606="DOM"),0,IFERROR(8-VLOOKUP(O606,'Dados de consulta'!$A$2:$C$38,3,0),8))</f>
        <v>0</v>
      </c>
      <c r="BM606" s="97">
        <f>IF(OR(AY606="SÁB",AY606="DOM"),0,IFERROR(8-VLOOKUP(P606,'Dados de consulta'!$A$2:$C$38,3,0),8))</f>
        <v>0</v>
      </c>
      <c r="BN606" s="97">
        <f>IF(OR(AY606="SÁB",AY606="DOM"),0,IFERROR(8-VLOOKUP(Q606,'Dados de consulta'!$A$2:$C$38,3,0),8))</f>
        <v>0</v>
      </c>
      <c r="BO606" s="97">
        <f>IF(OR(AY606="SÁB",AY606="DOM"),0,IFERROR(8-VLOOKUP(R606,'Dados de consulta'!$A$2:$C$38,3,0),8))</f>
        <v>0</v>
      </c>
      <c r="BP606" s="97">
        <f>IF(OR(AY606="SÁB",AY606="DOM"),0,IFERROR(8-VLOOKUP(S606,'Dados de consulta'!$A$2:$C$38,3,0),8))</f>
        <v>0</v>
      </c>
      <c r="BQ606" s="113">
        <f>IFERROR(6-VLOOKUP(T606,'Dados de consulta'!$A$2:$C$38,3,0)+2,6)</f>
        <v>6</v>
      </c>
      <c r="BR606" s="114">
        <f t="shared" si="258"/>
        <v>0</v>
      </c>
      <c r="BS606">
        <f t="shared" si="234"/>
        <v>0</v>
      </c>
      <c r="BU606">
        <f>IFERROR(8-VLOOKUP(U606,'Dados de consulta'!$A:$D,3,0),8)</f>
        <v>8</v>
      </c>
      <c r="BV606">
        <f>IFERROR(8-VLOOKUP(V606,'Dados de consulta'!$A:$D,3,0),8)</f>
        <v>8</v>
      </c>
      <c r="BW606">
        <f t="shared" si="259"/>
        <v>16</v>
      </c>
    </row>
    <row r="607" spans="1:75" ht="15" hidden="1" x14ac:dyDescent="0.2">
      <c r="A607" s="98">
        <v>42730</v>
      </c>
      <c r="B607" s="129" t="str">
        <f t="shared" si="236"/>
        <v>seg</v>
      </c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>
        <v>101</v>
      </c>
      <c r="N607" s="132"/>
      <c r="O607" s="132"/>
      <c r="P607" s="132"/>
      <c r="Q607" s="132"/>
      <c r="R607" s="132"/>
      <c r="S607" s="132"/>
      <c r="T607" s="132"/>
      <c r="U607" s="151"/>
      <c r="V607" s="151"/>
      <c r="W607" s="307" t="s">
        <v>193</v>
      </c>
      <c r="X607" s="308"/>
      <c r="Y607" s="38">
        <f t="shared" si="237"/>
        <v>0</v>
      </c>
      <c r="Z607" s="38">
        <f t="shared" si="238"/>
        <v>0</v>
      </c>
      <c r="AA607" s="38">
        <f t="shared" si="235"/>
        <v>0</v>
      </c>
      <c r="AB607" s="38">
        <f t="shared" si="246"/>
        <v>0</v>
      </c>
      <c r="AC607" s="38">
        <f t="shared" si="247"/>
        <v>0</v>
      </c>
      <c r="AD607" s="38">
        <f t="shared" si="248"/>
        <v>0</v>
      </c>
      <c r="AE607" s="38">
        <f t="shared" si="249"/>
        <v>0</v>
      </c>
      <c r="AF607" s="38">
        <f t="shared" si="250"/>
        <v>0</v>
      </c>
      <c r="AG607" s="33">
        <f t="shared" si="251"/>
        <v>0</v>
      </c>
      <c r="AH607" s="33">
        <f t="shared" si="252"/>
        <v>0</v>
      </c>
      <c r="AI607" s="33">
        <f t="shared" si="253"/>
        <v>0</v>
      </c>
      <c r="AJ607" s="33">
        <f t="shared" si="254"/>
        <v>0</v>
      </c>
      <c r="AK607" s="34">
        <f t="shared" si="255"/>
        <v>0</v>
      </c>
      <c r="AL607" s="35">
        <f t="shared" si="256"/>
        <v>0</v>
      </c>
      <c r="AM607" s="34">
        <f t="shared" si="239"/>
        <v>0</v>
      </c>
      <c r="AN607" s="36">
        <f t="shared" si="257"/>
        <v>0</v>
      </c>
      <c r="AO607" s="6">
        <f t="shared" si="240"/>
        <v>0</v>
      </c>
      <c r="AP607">
        <f t="shared" si="241"/>
        <v>8</v>
      </c>
      <c r="AQ607" s="6">
        <f t="shared" si="242"/>
        <v>0</v>
      </c>
      <c r="AR607" s="6">
        <f t="shared" si="243"/>
        <v>0</v>
      </c>
      <c r="AS607" s="6"/>
      <c r="AX607" s="95">
        <f t="shared" si="244"/>
        <v>42730</v>
      </c>
      <c r="AY607" s="96" t="str">
        <f t="shared" si="245"/>
        <v>seg</v>
      </c>
      <c r="AZ607" s="97">
        <f>IF(OR(AY607="SÁB",AY607="DOM"),0,IFERROR(8-VLOOKUP(C607,'Dados de consulta'!$A$2:$C$38,3,0),8))</f>
        <v>8</v>
      </c>
      <c r="BA607" s="97">
        <f>IF(OR(AY607="SÁB",AY607="DOM"),0,IFERROR(8-VLOOKUP(D607,'Dados de consulta'!$A$2:$C$38,3,0),8))</f>
        <v>8</v>
      </c>
      <c r="BB607" s="97">
        <f>IF(OR(AY607="SÁB",AY607="DOM"),0,IFERROR(8-VLOOKUP(E607,'Dados de consulta'!$A$2:$C$38,3,0),8))</f>
        <v>8</v>
      </c>
      <c r="BC607" s="97">
        <f>IF(OR(AY607="SÁB",AY607="DOM"),0,IFERROR(8-VLOOKUP(F607,'Dados de consulta'!$A$2:$C$38,3,0),8))</f>
        <v>8</v>
      </c>
      <c r="BD607" s="97">
        <f>IF(OR(AY607="SÁB",AY607="DOM"),0,IFERROR(8-VLOOKUP(G607,'Dados de consulta'!$A$2:$C$38,3,0),8))</f>
        <v>8</v>
      </c>
      <c r="BE607" s="97">
        <f>IF(OR(AY607="SÁB",AY607="DOM"),0,IFERROR(8-VLOOKUP(H607,'Dados de consulta'!$A$2:$C$38,3,0),8))</f>
        <v>8</v>
      </c>
      <c r="BF607" s="97">
        <f>IF(OR(AY607="SÁB",AY607="DOM"),0,IFERROR(8-VLOOKUP(I607,'Dados de consulta'!$A$2:$C$38,3,0),8))</f>
        <v>8</v>
      </c>
      <c r="BG607" s="97">
        <f>IF(OR(AY607="SÁB",AY607="DOM"),0,IFERROR(8-VLOOKUP(J607,'Dados de consulta'!$A$2:$C$38,3,0),8))</f>
        <v>8</v>
      </c>
      <c r="BH607" s="97">
        <f>IF(OR(AY607="SÁB",AY607="DOM"),0,IFERROR(8-VLOOKUP(K607,'Dados de consulta'!$A$2:$C$38,3,0),8))</f>
        <v>8</v>
      </c>
      <c r="BI607" s="97">
        <f>IF(OR(AY607="SÁB",AY607="DOM"),0,IFERROR(8-VLOOKUP(L607,'Dados de consulta'!$A$2:$C$38,3,0),8))</f>
        <v>8</v>
      </c>
      <c r="BJ607" s="97">
        <f>IF(OR(AY607="SÁB",AY607="DOM"),0,IFERROR(8-VLOOKUP(M607,'Dados de consulta'!$A$2:$C$38,3,0),8))</f>
        <v>0</v>
      </c>
      <c r="BK607" s="97">
        <f>IF(OR(AY607="SÁB",AY607="DOM"),0,IFERROR(8-VLOOKUP(N607,'Dados de consulta'!$A$2:$C$38,3,0),8))</f>
        <v>8</v>
      </c>
      <c r="BL607" s="97">
        <f>IF(OR(AY607="SÁB",AY607="DOM"),0,IFERROR(8-VLOOKUP(O607,'Dados de consulta'!$A$2:$C$38,3,0),8))</f>
        <v>8</v>
      </c>
      <c r="BM607" s="97">
        <f>IF(OR(AY607="SÁB",AY607="DOM"),0,IFERROR(8-VLOOKUP(P607,'Dados de consulta'!$A$2:$C$38,3,0),8))</f>
        <v>8</v>
      </c>
      <c r="BN607" s="97">
        <f>IF(OR(AY607="SÁB",AY607="DOM"),0,IFERROR(8-VLOOKUP(Q607,'Dados de consulta'!$A$2:$C$38,3,0),8))</f>
        <v>8</v>
      </c>
      <c r="BO607" s="97">
        <f>IF(OR(AY607="SÁB",AY607="DOM"),0,IFERROR(8-VLOOKUP(R607,'Dados de consulta'!$A$2:$C$38,3,0),8))</f>
        <v>8</v>
      </c>
      <c r="BP607" s="97">
        <f>IF(OR(AY607="SÁB",AY607="DOM"),0,IFERROR(8-VLOOKUP(S607,'Dados de consulta'!$A$2:$C$38,3,0),8))</f>
        <v>8</v>
      </c>
      <c r="BQ607" s="113">
        <f>IFERROR(6-VLOOKUP(T607,'Dados de consulta'!$A$2:$C$38,3,0)+2,6)</f>
        <v>6</v>
      </c>
      <c r="BR607" s="114">
        <f t="shared" si="258"/>
        <v>134</v>
      </c>
      <c r="BS607">
        <f t="shared" si="234"/>
        <v>134</v>
      </c>
      <c r="BU607">
        <f>IFERROR(8-VLOOKUP(U607,'Dados de consulta'!$A:$D,3,0),8)</f>
        <v>8</v>
      </c>
      <c r="BV607">
        <f>IFERROR(8-VLOOKUP(V607,'Dados de consulta'!$A:$D,3,0),8)</f>
        <v>8</v>
      </c>
      <c r="BW607">
        <f t="shared" si="259"/>
        <v>16</v>
      </c>
    </row>
    <row r="608" spans="1:75" ht="15" hidden="1" x14ac:dyDescent="0.2">
      <c r="A608" s="98">
        <v>42731</v>
      </c>
      <c r="B608" s="129" t="str">
        <f t="shared" si="236"/>
        <v>ter</v>
      </c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>
        <v>101</v>
      </c>
      <c r="N608" s="132"/>
      <c r="O608" s="132"/>
      <c r="P608" s="132"/>
      <c r="Q608" s="132"/>
      <c r="R608" s="132"/>
      <c r="S608" s="132"/>
      <c r="T608" s="132"/>
      <c r="U608" s="151"/>
      <c r="V608" s="151"/>
      <c r="W608" s="307" t="s">
        <v>193</v>
      </c>
      <c r="X608" s="308"/>
      <c r="Y608" s="38">
        <f t="shared" si="237"/>
        <v>0</v>
      </c>
      <c r="Z608" s="38">
        <f t="shared" si="238"/>
        <v>0</v>
      </c>
      <c r="AA608" s="38">
        <f t="shared" si="235"/>
        <v>0</v>
      </c>
      <c r="AB608" s="38">
        <f t="shared" si="246"/>
        <v>0</v>
      </c>
      <c r="AC608" s="38">
        <f t="shared" si="247"/>
        <v>0</v>
      </c>
      <c r="AD608" s="38">
        <f t="shared" si="248"/>
        <v>0</v>
      </c>
      <c r="AE608" s="38">
        <f t="shared" si="249"/>
        <v>0</v>
      </c>
      <c r="AF608" s="38">
        <f t="shared" si="250"/>
        <v>0</v>
      </c>
      <c r="AG608" s="33">
        <f t="shared" si="251"/>
        <v>0</v>
      </c>
      <c r="AH608" s="33">
        <f t="shared" si="252"/>
        <v>0</v>
      </c>
      <c r="AI608" s="33">
        <f t="shared" si="253"/>
        <v>0</v>
      </c>
      <c r="AJ608" s="33">
        <f t="shared" si="254"/>
        <v>0</v>
      </c>
      <c r="AK608" s="34">
        <f t="shared" si="255"/>
        <v>0</v>
      </c>
      <c r="AL608" s="35">
        <f t="shared" si="256"/>
        <v>0</v>
      </c>
      <c r="AM608" s="34">
        <f t="shared" si="239"/>
        <v>0</v>
      </c>
      <c r="AN608" s="36">
        <f t="shared" si="257"/>
        <v>0</v>
      </c>
      <c r="AO608" s="6">
        <f t="shared" si="240"/>
        <v>0</v>
      </c>
      <c r="AP608">
        <f t="shared" si="241"/>
        <v>8</v>
      </c>
      <c r="AQ608" s="6">
        <f t="shared" si="242"/>
        <v>0</v>
      </c>
      <c r="AR608" s="6">
        <f t="shared" si="243"/>
        <v>0</v>
      </c>
      <c r="AS608" s="6"/>
      <c r="AX608" s="95">
        <f t="shared" si="244"/>
        <v>42731</v>
      </c>
      <c r="AY608" s="96" t="str">
        <f t="shared" si="245"/>
        <v>ter</v>
      </c>
      <c r="AZ608" s="97">
        <f>IF(OR(AY608="SÁB",AY608="DOM"),0,IFERROR(8-VLOOKUP(C608,'Dados de consulta'!$A$2:$C$38,3,0),8))</f>
        <v>8</v>
      </c>
      <c r="BA608" s="97">
        <f>IF(OR(AY608="SÁB",AY608="DOM"),0,IFERROR(8-VLOOKUP(D608,'Dados de consulta'!$A$2:$C$38,3,0),8))</f>
        <v>8</v>
      </c>
      <c r="BB608" s="97">
        <f>IF(OR(AY608="SÁB",AY608="DOM"),0,IFERROR(8-VLOOKUP(E608,'Dados de consulta'!$A$2:$C$38,3,0),8))</f>
        <v>8</v>
      </c>
      <c r="BC608" s="97">
        <f>IF(OR(AY608="SÁB",AY608="DOM"),0,IFERROR(8-VLOOKUP(F608,'Dados de consulta'!$A$2:$C$38,3,0),8))</f>
        <v>8</v>
      </c>
      <c r="BD608" s="97">
        <f>IF(OR(AY608="SÁB",AY608="DOM"),0,IFERROR(8-VLOOKUP(G608,'Dados de consulta'!$A$2:$C$38,3,0),8))</f>
        <v>8</v>
      </c>
      <c r="BE608" s="97">
        <f>IF(OR(AY608="SÁB",AY608="DOM"),0,IFERROR(8-VLOOKUP(H608,'Dados de consulta'!$A$2:$C$38,3,0),8))</f>
        <v>8</v>
      </c>
      <c r="BF608" s="97">
        <f>IF(OR(AY608="SÁB",AY608="DOM"),0,IFERROR(8-VLOOKUP(I608,'Dados de consulta'!$A$2:$C$38,3,0),8))</f>
        <v>8</v>
      </c>
      <c r="BG608" s="97">
        <f>IF(OR(AY608="SÁB",AY608="DOM"),0,IFERROR(8-VLOOKUP(J608,'Dados de consulta'!$A$2:$C$38,3,0),8))</f>
        <v>8</v>
      </c>
      <c r="BH608" s="97">
        <f>IF(OR(AY608="SÁB",AY608="DOM"),0,IFERROR(8-VLOOKUP(K608,'Dados de consulta'!$A$2:$C$38,3,0),8))</f>
        <v>8</v>
      </c>
      <c r="BI608" s="97">
        <f>IF(OR(AY608="SÁB",AY608="DOM"),0,IFERROR(8-VLOOKUP(L608,'Dados de consulta'!$A$2:$C$38,3,0),8))</f>
        <v>8</v>
      </c>
      <c r="BJ608" s="97">
        <f>IF(OR(AY608="SÁB",AY608="DOM"),0,IFERROR(8-VLOOKUP(M608,'Dados de consulta'!$A$2:$C$38,3,0),8))</f>
        <v>0</v>
      </c>
      <c r="BK608" s="97">
        <f>IF(OR(AY608="SÁB",AY608="DOM"),0,IFERROR(8-VLOOKUP(N608,'Dados de consulta'!$A$2:$C$38,3,0),8))</f>
        <v>8</v>
      </c>
      <c r="BL608" s="97">
        <f>IF(OR(AY608="SÁB",AY608="DOM"),0,IFERROR(8-VLOOKUP(O608,'Dados de consulta'!$A$2:$C$38,3,0),8))</f>
        <v>8</v>
      </c>
      <c r="BM608" s="97">
        <f>IF(OR(AY608="SÁB",AY608="DOM"),0,IFERROR(8-VLOOKUP(P608,'Dados de consulta'!$A$2:$C$38,3,0),8))</f>
        <v>8</v>
      </c>
      <c r="BN608" s="97">
        <f>IF(OR(AY608="SÁB",AY608="DOM"),0,IFERROR(8-VLOOKUP(Q608,'Dados de consulta'!$A$2:$C$38,3,0),8))</f>
        <v>8</v>
      </c>
      <c r="BO608" s="97">
        <f>IF(OR(AY608="SÁB",AY608="DOM"),0,IFERROR(8-VLOOKUP(R608,'Dados de consulta'!$A$2:$C$38,3,0),8))</f>
        <v>8</v>
      </c>
      <c r="BP608" s="97">
        <f>IF(OR(AY608="SÁB",AY608="DOM"),0,IFERROR(8-VLOOKUP(S608,'Dados de consulta'!$A$2:$C$38,3,0),8))</f>
        <v>8</v>
      </c>
      <c r="BQ608" s="113">
        <f>IFERROR(6-VLOOKUP(T608,'Dados de consulta'!$A$2:$C$38,3,0)+2,6)</f>
        <v>6</v>
      </c>
      <c r="BR608" s="114">
        <f t="shared" si="258"/>
        <v>134</v>
      </c>
      <c r="BS608">
        <f t="shared" si="234"/>
        <v>134</v>
      </c>
      <c r="BU608">
        <f>IFERROR(8-VLOOKUP(U608,'Dados de consulta'!$A:$D,3,0),8)</f>
        <v>8</v>
      </c>
      <c r="BV608">
        <f>IFERROR(8-VLOOKUP(V608,'Dados de consulta'!$A:$D,3,0),8)</f>
        <v>8</v>
      </c>
      <c r="BW608">
        <f t="shared" si="259"/>
        <v>16</v>
      </c>
    </row>
    <row r="609" spans="1:75" ht="15" hidden="1" x14ac:dyDescent="0.2">
      <c r="A609" s="98">
        <v>42732</v>
      </c>
      <c r="B609" s="129" t="str">
        <f t="shared" si="236"/>
        <v>qua</v>
      </c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>
        <v>101</v>
      </c>
      <c r="N609" s="132"/>
      <c r="O609" s="132"/>
      <c r="P609" s="132"/>
      <c r="Q609" s="132"/>
      <c r="R609" s="132"/>
      <c r="S609" s="132"/>
      <c r="T609" s="132"/>
      <c r="U609" s="151"/>
      <c r="V609" s="151"/>
      <c r="W609" s="307" t="s">
        <v>193</v>
      </c>
      <c r="X609" s="308"/>
      <c r="Y609" s="38">
        <f t="shared" si="237"/>
        <v>0</v>
      </c>
      <c r="Z609" s="38">
        <f t="shared" si="238"/>
        <v>0</v>
      </c>
      <c r="AA609" s="38">
        <f t="shared" si="235"/>
        <v>0</v>
      </c>
      <c r="AB609" s="38">
        <f t="shared" si="246"/>
        <v>0</v>
      </c>
      <c r="AC609" s="38">
        <f t="shared" si="247"/>
        <v>0</v>
      </c>
      <c r="AD609" s="38">
        <f t="shared" si="248"/>
        <v>0</v>
      </c>
      <c r="AE609" s="38">
        <f t="shared" si="249"/>
        <v>0</v>
      </c>
      <c r="AF609" s="38">
        <f t="shared" si="250"/>
        <v>0</v>
      </c>
      <c r="AG609" s="33">
        <f t="shared" si="251"/>
        <v>0</v>
      </c>
      <c r="AH609" s="33">
        <f t="shared" si="252"/>
        <v>0</v>
      </c>
      <c r="AI609" s="33">
        <f t="shared" si="253"/>
        <v>0</v>
      </c>
      <c r="AJ609" s="33">
        <f t="shared" si="254"/>
        <v>0</v>
      </c>
      <c r="AK609" s="34">
        <f t="shared" si="255"/>
        <v>0</v>
      </c>
      <c r="AL609" s="35">
        <f t="shared" si="256"/>
        <v>0</v>
      </c>
      <c r="AM609" s="34">
        <f t="shared" si="239"/>
        <v>0</v>
      </c>
      <c r="AN609" s="36">
        <f t="shared" si="257"/>
        <v>0</v>
      </c>
      <c r="AO609" s="6">
        <f t="shared" si="240"/>
        <v>0</v>
      </c>
      <c r="AP609">
        <f t="shared" si="241"/>
        <v>8</v>
      </c>
      <c r="AQ609" s="6">
        <f t="shared" si="242"/>
        <v>0</v>
      </c>
      <c r="AR609" s="6">
        <f t="shared" si="243"/>
        <v>0</v>
      </c>
      <c r="AS609" s="6"/>
      <c r="AX609" s="95">
        <f t="shared" si="244"/>
        <v>42732</v>
      </c>
      <c r="AY609" s="96" t="str">
        <f t="shared" si="245"/>
        <v>qua</v>
      </c>
      <c r="AZ609" s="97">
        <f>IF(OR(AY609="SÁB",AY609="DOM"),0,IFERROR(8-VLOOKUP(C609,'Dados de consulta'!$A$2:$C$38,3,0),8))</f>
        <v>8</v>
      </c>
      <c r="BA609" s="97">
        <f>IF(OR(AY609="SÁB",AY609="DOM"),0,IFERROR(8-VLOOKUP(D609,'Dados de consulta'!$A$2:$C$38,3,0),8))</f>
        <v>8</v>
      </c>
      <c r="BB609" s="97">
        <f>IF(OR(AY609="SÁB",AY609="DOM"),0,IFERROR(8-VLOOKUP(E609,'Dados de consulta'!$A$2:$C$38,3,0),8))</f>
        <v>8</v>
      </c>
      <c r="BC609" s="97">
        <f>IF(OR(AY609="SÁB",AY609="DOM"),0,IFERROR(8-VLOOKUP(F609,'Dados de consulta'!$A$2:$C$38,3,0),8))</f>
        <v>8</v>
      </c>
      <c r="BD609" s="97">
        <f>IF(OR(AY609="SÁB",AY609="DOM"),0,IFERROR(8-VLOOKUP(G609,'Dados de consulta'!$A$2:$C$38,3,0),8))</f>
        <v>8</v>
      </c>
      <c r="BE609" s="97">
        <f>IF(OR(AY609="SÁB",AY609="DOM"),0,IFERROR(8-VLOOKUP(H609,'Dados de consulta'!$A$2:$C$38,3,0),8))</f>
        <v>8</v>
      </c>
      <c r="BF609" s="97">
        <f>IF(OR(AY609="SÁB",AY609="DOM"),0,IFERROR(8-VLOOKUP(I609,'Dados de consulta'!$A$2:$C$38,3,0),8))</f>
        <v>8</v>
      </c>
      <c r="BG609" s="97">
        <f>IF(OR(AY609="SÁB",AY609="DOM"),0,IFERROR(8-VLOOKUP(J609,'Dados de consulta'!$A$2:$C$38,3,0),8))</f>
        <v>8</v>
      </c>
      <c r="BH609" s="97">
        <f>IF(OR(AY609="SÁB",AY609="DOM"),0,IFERROR(8-VLOOKUP(K609,'Dados de consulta'!$A$2:$C$38,3,0),8))</f>
        <v>8</v>
      </c>
      <c r="BI609" s="97">
        <f>IF(OR(AY609="SÁB",AY609="DOM"),0,IFERROR(8-VLOOKUP(L609,'Dados de consulta'!$A$2:$C$38,3,0),8))</f>
        <v>8</v>
      </c>
      <c r="BJ609" s="97">
        <f>IF(OR(AY609="SÁB",AY609="DOM"),0,IFERROR(8-VLOOKUP(M609,'Dados de consulta'!$A$2:$C$38,3,0),8))</f>
        <v>0</v>
      </c>
      <c r="BK609" s="97">
        <f>IF(OR(AY609="SÁB",AY609="DOM"),0,IFERROR(8-VLOOKUP(N609,'Dados de consulta'!$A$2:$C$38,3,0),8))</f>
        <v>8</v>
      </c>
      <c r="BL609" s="97">
        <f>IF(OR(AY609="SÁB",AY609="DOM"),0,IFERROR(8-VLOOKUP(O609,'Dados de consulta'!$A$2:$C$38,3,0),8))</f>
        <v>8</v>
      </c>
      <c r="BM609" s="97">
        <f>IF(OR(AY609="SÁB",AY609="DOM"),0,IFERROR(8-VLOOKUP(P609,'Dados de consulta'!$A$2:$C$38,3,0),8))</f>
        <v>8</v>
      </c>
      <c r="BN609" s="97">
        <f>IF(OR(AY609="SÁB",AY609="DOM"),0,IFERROR(8-VLOOKUP(Q609,'Dados de consulta'!$A$2:$C$38,3,0),8))</f>
        <v>8</v>
      </c>
      <c r="BO609" s="97">
        <f>IF(OR(AY609="SÁB",AY609="DOM"),0,IFERROR(8-VLOOKUP(R609,'Dados de consulta'!$A$2:$C$38,3,0),8))</f>
        <v>8</v>
      </c>
      <c r="BP609" s="97">
        <f>IF(OR(AY609="SÁB",AY609="DOM"),0,IFERROR(8-VLOOKUP(S609,'Dados de consulta'!$A$2:$C$38,3,0),8))</f>
        <v>8</v>
      </c>
      <c r="BQ609" s="113">
        <f>IFERROR(6-VLOOKUP(T609,'Dados de consulta'!$A$2:$C$38,3,0)+2,6)</f>
        <v>6</v>
      </c>
      <c r="BR609" s="114">
        <f t="shared" si="258"/>
        <v>134</v>
      </c>
      <c r="BS609">
        <f t="shared" si="234"/>
        <v>134</v>
      </c>
      <c r="BU609">
        <f>IFERROR(8-VLOOKUP(U609,'Dados de consulta'!$A:$D,3,0),8)</f>
        <v>8</v>
      </c>
      <c r="BV609">
        <f>IFERROR(8-VLOOKUP(V609,'Dados de consulta'!$A:$D,3,0),8)</f>
        <v>8</v>
      </c>
      <c r="BW609">
        <f t="shared" si="259"/>
        <v>16</v>
      </c>
    </row>
    <row r="610" spans="1:75" ht="15" hidden="1" x14ac:dyDescent="0.2">
      <c r="A610" s="98">
        <v>42733</v>
      </c>
      <c r="B610" s="129" t="str">
        <f t="shared" si="236"/>
        <v>qui</v>
      </c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>
        <v>101</v>
      </c>
      <c r="N610" s="132"/>
      <c r="O610" s="132"/>
      <c r="P610" s="132"/>
      <c r="Q610" s="132"/>
      <c r="R610" s="132"/>
      <c r="S610" s="132"/>
      <c r="T610" s="132"/>
      <c r="U610" s="151"/>
      <c r="V610" s="151"/>
      <c r="W610" s="307" t="s">
        <v>193</v>
      </c>
      <c r="X610" s="308"/>
      <c r="Y610" s="38">
        <f t="shared" si="237"/>
        <v>0</v>
      </c>
      <c r="Z610" s="38">
        <f t="shared" si="238"/>
        <v>0</v>
      </c>
      <c r="AA610" s="38">
        <f t="shared" si="235"/>
        <v>0</v>
      </c>
      <c r="AB610" s="38">
        <f t="shared" si="246"/>
        <v>0</v>
      </c>
      <c r="AC610" s="38">
        <f t="shared" si="247"/>
        <v>0</v>
      </c>
      <c r="AD610" s="38">
        <f t="shared" si="248"/>
        <v>0</v>
      </c>
      <c r="AE610" s="38">
        <f t="shared" si="249"/>
        <v>0</v>
      </c>
      <c r="AF610" s="38">
        <f t="shared" si="250"/>
        <v>0</v>
      </c>
      <c r="AG610" s="33">
        <f t="shared" si="251"/>
        <v>0</v>
      </c>
      <c r="AH610" s="33">
        <f t="shared" si="252"/>
        <v>0</v>
      </c>
      <c r="AI610" s="33">
        <f t="shared" si="253"/>
        <v>0</v>
      </c>
      <c r="AJ610" s="33">
        <f t="shared" si="254"/>
        <v>0</v>
      </c>
      <c r="AK610" s="34">
        <f t="shared" si="255"/>
        <v>0</v>
      </c>
      <c r="AL610" s="35">
        <f t="shared" si="256"/>
        <v>0</v>
      </c>
      <c r="AM610" s="34">
        <f t="shared" si="239"/>
        <v>0</v>
      </c>
      <c r="AN610" s="36">
        <f t="shared" si="257"/>
        <v>0</v>
      </c>
      <c r="AO610" s="6">
        <f t="shared" si="240"/>
        <v>0</v>
      </c>
      <c r="AP610">
        <f t="shared" si="241"/>
        <v>8</v>
      </c>
      <c r="AQ610" s="6">
        <f t="shared" si="242"/>
        <v>0</v>
      </c>
      <c r="AR610" s="6">
        <f t="shared" si="243"/>
        <v>0</v>
      </c>
      <c r="AS610" s="6"/>
      <c r="AX610" s="95">
        <f t="shared" si="244"/>
        <v>42733</v>
      </c>
      <c r="AY610" s="96" t="str">
        <f t="shared" si="245"/>
        <v>qui</v>
      </c>
      <c r="AZ610" s="97">
        <f>IF(OR(AY610="SÁB",AY610="DOM"),0,IFERROR(8-VLOOKUP(C610,'Dados de consulta'!$A$2:$C$38,3,0),8))</f>
        <v>8</v>
      </c>
      <c r="BA610" s="97">
        <f>IF(OR(AY610="SÁB",AY610="DOM"),0,IFERROR(8-VLOOKUP(D610,'Dados de consulta'!$A$2:$C$38,3,0),8))</f>
        <v>8</v>
      </c>
      <c r="BB610" s="97">
        <f>IF(OR(AY610="SÁB",AY610="DOM"),0,IFERROR(8-VLOOKUP(E610,'Dados de consulta'!$A$2:$C$38,3,0),8))</f>
        <v>8</v>
      </c>
      <c r="BC610" s="97">
        <f>IF(OR(AY610="SÁB",AY610="DOM"),0,IFERROR(8-VLOOKUP(F610,'Dados de consulta'!$A$2:$C$38,3,0),8))</f>
        <v>8</v>
      </c>
      <c r="BD610" s="97">
        <f>IF(OR(AY610="SÁB",AY610="DOM"),0,IFERROR(8-VLOOKUP(G610,'Dados de consulta'!$A$2:$C$38,3,0),8))</f>
        <v>8</v>
      </c>
      <c r="BE610" s="97">
        <f>IF(OR(AY610="SÁB",AY610="DOM"),0,IFERROR(8-VLOOKUP(H610,'Dados de consulta'!$A$2:$C$38,3,0),8))</f>
        <v>8</v>
      </c>
      <c r="BF610" s="97">
        <f>IF(OR(AY610="SÁB",AY610="DOM"),0,IFERROR(8-VLOOKUP(I610,'Dados de consulta'!$A$2:$C$38,3,0),8))</f>
        <v>8</v>
      </c>
      <c r="BG610" s="97">
        <f>IF(OR(AY610="SÁB",AY610="DOM"),0,IFERROR(8-VLOOKUP(J610,'Dados de consulta'!$A$2:$C$38,3,0),8))</f>
        <v>8</v>
      </c>
      <c r="BH610" s="97">
        <f>IF(OR(AY610="SÁB",AY610="DOM"),0,IFERROR(8-VLOOKUP(K610,'Dados de consulta'!$A$2:$C$38,3,0),8))</f>
        <v>8</v>
      </c>
      <c r="BI610" s="97">
        <f>IF(OR(AY610="SÁB",AY610="DOM"),0,IFERROR(8-VLOOKUP(L610,'Dados de consulta'!$A$2:$C$38,3,0),8))</f>
        <v>8</v>
      </c>
      <c r="BJ610" s="97">
        <f>IF(OR(AY610="SÁB",AY610="DOM"),0,IFERROR(8-VLOOKUP(M610,'Dados de consulta'!$A$2:$C$38,3,0),8))</f>
        <v>0</v>
      </c>
      <c r="BK610" s="97">
        <f>IF(OR(AY610="SÁB",AY610="DOM"),0,IFERROR(8-VLOOKUP(N610,'Dados de consulta'!$A$2:$C$38,3,0),8))</f>
        <v>8</v>
      </c>
      <c r="BL610" s="97">
        <f>IF(OR(AY610="SÁB",AY610="DOM"),0,IFERROR(8-VLOOKUP(O610,'Dados de consulta'!$A$2:$C$38,3,0),8))</f>
        <v>8</v>
      </c>
      <c r="BM610" s="97">
        <f>IF(OR(AY610="SÁB",AY610="DOM"),0,IFERROR(8-VLOOKUP(P610,'Dados de consulta'!$A$2:$C$38,3,0),8))</f>
        <v>8</v>
      </c>
      <c r="BN610" s="97">
        <f>IF(OR(AY610="SÁB",AY610="DOM"),0,IFERROR(8-VLOOKUP(Q610,'Dados de consulta'!$A$2:$C$38,3,0),8))</f>
        <v>8</v>
      </c>
      <c r="BO610" s="97">
        <f>IF(OR(AY610="SÁB",AY610="DOM"),0,IFERROR(8-VLOOKUP(R610,'Dados de consulta'!$A$2:$C$38,3,0),8))</f>
        <v>8</v>
      </c>
      <c r="BP610" s="97">
        <f>IF(OR(AY610="SÁB",AY610="DOM"),0,IFERROR(8-VLOOKUP(S610,'Dados de consulta'!$A$2:$C$38,3,0),8))</f>
        <v>8</v>
      </c>
      <c r="BQ610" s="113">
        <f>IFERROR(6-VLOOKUP(T610,'Dados de consulta'!$A$2:$C$38,3,0)+2,6)</f>
        <v>6</v>
      </c>
      <c r="BR610" s="114">
        <f t="shared" si="258"/>
        <v>134</v>
      </c>
      <c r="BS610">
        <f t="shared" si="234"/>
        <v>134</v>
      </c>
      <c r="BU610">
        <f>IFERROR(8-VLOOKUP(U610,'Dados de consulta'!$A:$D,3,0),8)</f>
        <v>8</v>
      </c>
      <c r="BV610">
        <f>IFERROR(8-VLOOKUP(V610,'Dados de consulta'!$A:$D,3,0),8)</f>
        <v>8</v>
      </c>
      <c r="BW610">
        <f t="shared" si="259"/>
        <v>16</v>
      </c>
    </row>
    <row r="611" spans="1:75" ht="15" hidden="1" x14ac:dyDescent="0.2">
      <c r="A611" s="98">
        <v>42734</v>
      </c>
      <c r="B611" s="129" t="str">
        <f t="shared" si="236"/>
        <v>sex</v>
      </c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>
        <v>101</v>
      </c>
      <c r="N611" s="132"/>
      <c r="O611" s="132"/>
      <c r="P611" s="132"/>
      <c r="Q611" s="132"/>
      <c r="R611" s="132"/>
      <c r="S611" s="132"/>
      <c r="T611" s="132"/>
      <c r="U611" s="151"/>
      <c r="V611" s="151"/>
      <c r="W611" s="307" t="s">
        <v>193</v>
      </c>
      <c r="X611" s="308"/>
      <c r="Y611" s="38">
        <f t="shared" si="237"/>
        <v>0</v>
      </c>
      <c r="Z611" s="38">
        <f t="shared" si="238"/>
        <v>0</v>
      </c>
      <c r="AA611" s="38">
        <f t="shared" si="235"/>
        <v>0</v>
      </c>
      <c r="AB611" s="38">
        <f t="shared" si="246"/>
        <v>0</v>
      </c>
      <c r="AC611" s="38">
        <f t="shared" si="247"/>
        <v>0</v>
      </c>
      <c r="AD611" s="38">
        <f t="shared" si="248"/>
        <v>0</v>
      </c>
      <c r="AE611" s="38">
        <f t="shared" si="249"/>
        <v>0</v>
      </c>
      <c r="AF611" s="38">
        <f t="shared" si="250"/>
        <v>0</v>
      </c>
      <c r="AG611" s="33">
        <f t="shared" si="251"/>
        <v>0</v>
      </c>
      <c r="AH611" s="33">
        <f t="shared" si="252"/>
        <v>0</v>
      </c>
      <c r="AI611" s="33">
        <f t="shared" si="253"/>
        <v>0</v>
      </c>
      <c r="AJ611" s="33">
        <f t="shared" si="254"/>
        <v>0</v>
      </c>
      <c r="AK611" s="34">
        <f t="shared" si="255"/>
        <v>0</v>
      </c>
      <c r="AL611" s="35">
        <f t="shared" si="256"/>
        <v>0</v>
      </c>
      <c r="AM611" s="34">
        <f t="shared" si="239"/>
        <v>0</v>
      </c>
      <c r="AN611" s="36">
        <f t="shared" si="257"/>
        <v>0</v>
      </c>
      <c r="AO611" s="6">
        <f t="shared" si="240"/>
        <v>0</v>
      </c>
      <c r="AP611">
        <f t="shared" si="241"/>
        <v>8</v>
      </c>
      <c r="AQ611" s="6">
        <f t="shared" si="242"/>
        <v>0</v>
      </c>
      <c r="AR611" s="6">
        <f t="shared" si="243"/>
        <v>0</v>
      </c>
      <c r="AS611" s="6"/>
      <c r="AX611" s="95">
        <f t="shared" si="244"/>
        <v>42734</v>
      </c>
      <c r="AY611" s="96" t="str">
        <f t="shared" si="245"/>
        <v>sex</v>
      </c>
      <c r="AZ611" s="97">
        <f>IF(OR(AY611="SÁB",AY611="DOM"),0,IFERROR(8-VLOOKUP(C611,'Dados de consulta'!$A$2:$C$38,3,0),8))</f>
        <v>8</v>
      </c>
      <c r="BA611" s="97">
        <f>IF(OR(AY611="SÁB",AY611="DOM"),0,IFERROR(8-VLOOKUP(D611,'Dados de consulta'!$A$2:$C$38,3,0),8))</f>
        <v>8</v>
      </c>
      <c r="BB611" s="97">
        <f>IF(OR(AY611="SÁB",AY611="DOM"),0,IFERROR(8-VLOOKUP(E611,'Dados de consulta'!$A$2:$C$38,3,0),8))</f>
        <v>8</v>
      </c>
      <c r="BC611" s="97">
        <f>IF(OR(AY611="SÁB",AY611="DOM"),0,IFERROR(8-VLOOKUP(F611,'Dados de consulta'!$A$2:$C$38,3,0),8))</f>
        <v>8</v>
      </c>
      <c r="BD611" s="97">
        <f>IF(OR(AY611="SÁB",AY611="DOM"),0,IFERROR(8-VLOOKUP(G611,'Dados de consulta'!$A$2:$C$38,3,0),8))</f>
        <v>8</v>
      </c>
      <c r="BE611" s="97">
        <f>IF(OR(AY611="SÁB",AY611="DOM"),0,IFERROR(8-VLOOKUP(H611,'Dados de consulta'!$A$2:$C$38,3,0),8))</f>
        <v>8</v>
      </c>
      <c r="BF611" s="97">
        <f>IF(OR(AY611="SÁB",AY611="DOM"),0,IFERROR(8-VLOOKUP(I611,'Dados de consulta'!$A$2:$C$38,3,0),8))</f>
        <v>8</v>
      </c>
      <c r="BG611" s="97">
        <f>IF(OR(AY611="SÁB",AY611="DOM"),0,IFERROR(8-VLOOKUP(J611,'Dados de consulta'!$A$2:$C$38,3,0),8))</f>
        <v>8</v>
      </c>
      <c r="BH611" s="97">
        <f>IF(OR(AY611="SÁB",AY611="DOM"),0,IFERROR(8-VLOOKUP(K611,'Dados de consulta'!$A$2:$C$38,3,0),8))</f>
        <v>8</v>
      </c>
      <c r="BI611" s="97">
        <f>IF(OR(AY611="SÁB",AY611="DOM"),0,IFERROR(8-VLOOKUP(L611,'Dados de consulta'!$A$2:$C$38,3,0),8))</f>
        <v>8</v>
      </c>
      <c r="BJ611" s="97">
        <f>IF(OR(AY611="SÁB",AY611="DOM"),0,IFERROR(8-VLOOKUP(M611,'Dados de consulta'!$A$2:$C$38,3,0),8))</f>
        <v>0</v>
      </c>
      <c r="BK611" s="97">
        <f>IF(OR(AY611="SÁB",AY611="DOM"),0,IFERROR(8-VLOOKUP(N611,'Dados de consulta'!$A$2:$C$38,3,0),8))</f>
        <v>8</v>
      </c>
      <c r="BL611" s="97">
        <f>IF(OR(AY611="SÁB",AY611="DOM"),0,IFERROR(8-VLOOKUP(O611,'Dados de consulta'!$A$2:$C$38,3,0),8))</f>
        <v>8</v>
      </c>
      <c r="BM611" s="97">
        <f>IF(OR(AY611="SÁB",AY611="DOM"),0,IFERROR(8-VLOOKUP(P611,'Dados de consulta'!$A$2:$C$38,3,0),8))</f>
        <v>8</v>
      </c>
      <c r="BN611" s="97">
        <f>IF(OR(AY611="SÁB",AY611="DOM"),0,IFERROR(8-VLOOKUP(Q611,'Dados de consulta'!$A$2:$C$38,3,0),8))</f>
        <v>8</v>
      </c>
      <c r="BO611" s="97">
        <f>IF(OR(AY611="SÁB",AY611="DOM"),0,IFERROR(8-VLOOKUP(R611,'Dados de consulta'!$A$2:$C$38,3,0),8))</f>
        <v>8</v>
      </c>
      <c r="BP611" s="97">
        <f>IF(OR(AY611="SÁB",AY611="DOM"),0,IFERROR(8-VLOOKUP(S611,'Dados de consulta'!$A$2:$C$38,3,0),8))</f>
        <v>8</v>
      </c>
      <c r="BQ611" s="113">
        <f>IFERROR(6-VLOOKUP(T611,'Dados de consulta'!$A$2:$C$38,3,0)+2,6)</f>
        <v>6</v>
      </c>
      <c r="BR611" s="114">
        <f t="shared" si="258"/>
        <v>134</v>
      </c>
      <c r="BS611">
        <f t="shared" si="234"/>
        <v>134</v>
      </c>
      <c r="BU611">
        <f>IFERROR(8-VLOOKUP(U611,'Dados de consulta'!$A:$D,3,0),8)</f>
        <v>8</v>
      </c>
      <c r="BV611">
        <f>IFERROR(8-VLOOKUP(V611,'Dados de consulta'!$A:$D,3,0),8)</f>
        <v>8</v>
      </c>
      <c r="BW611">
        <f t="shared" si="259"/>
        <v>16</v>
      </c>
    </row>
    <row r="612" spans="1:75" ht="15" hidden="1" x14ac:dyDescent="0.2">
      <c r="A612" s="98">
        <v>42735</v>
      </c>
      <c r="B612" s="129" t="str">
        <f t="shared" si="236"/>
        <v>sáb</v>
      </c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>
        <v>101</v>
      </c>
      <c r="N612" s="132"/>
      <c r="O612" s="132"/>
      <c r="P612" s="132"/>
      <c r="Q612" s="132"/>
      <c r="R612" s="132"/>
      <c r="S612" s="132"/>
      <c r="T612" s="132"/>
      <c r="U612" s="151"/>
      <c r="V612" s="151"/>
      <c r="W612" s="307" t="s">
        <v>193</v>
      </c>
      <c r="X612" s="308"/>
      <c r="Y612" s="38">
        <f t="shared" si="237"/>
        <v>0</v>
      </c>
      <c r="Z612" s="38">
        <f t="shared" si="238"/>
        <v>0</v>
      </c>
      <c r="AA612" s="38">
        <f t="shared" si="235"/>
        <v>0</v>
      </c>
      <c r="AB612" s="38">
        <f t="shared" si="246"/>
        <v>0</v>
      </c>
      <c r="AC612" s="38">
        <f t="shared" si="247"/>
        <v>0</v>
      </c>
      <c r="AD612" s="38">
        <f t="shared" si="248"/>
        <v>0</v>
      </c>
      <c r="AE612" s="38">
        <f t="shared" si="249"/>
        <v>0</v>
      </c>
      <c r="AF612" s="38">
        <f t="shared" si="250"/>
        <v>0</v>
      </c>
      <c r="AG612" s="33">
        <f t="shared" si="251"/>
        <v>0</v>
      </c>
      <c r="AH612" s="33">
        <f t="shared" si="252"/>
        <v>0</v>
      </c>
      <c r="AI612" s="33">
        <f t="shared" si="253"/>
        <v>0</v>
      </c>
      <c r="AJ612" s="33">
        <f t="shared" si="254"/>
        <v>0</v>
      </c>
      <c r="AK612" s="34">
        <f t="shared" si="255"/>
        <v>0</v>
      </c>
      <c r="AL612" s="35">
        <f t="shared" si="256"/>
        <v>0</v>
      </c>
      <c r="AM612" s="34">
        <f t="shared" si="239"/>
        <v>0</v>
      </c>
      <c r="AN612" s="36">
        <f t="shared" si="257"/>
        <v>0</v>
      </c>
      <c r="AO612" s="6">
        <f t="shared" si="240"/>
        <v>0</v>
      </c>
      <c r="AP612">
        <f t="shared" si="241"/>
        <v>8</v>
      </c>
      <c r="AQ612" s="6">
        <f t="shared" si="242"/>
        <v>0</v>
      </c>
      <c r="AR612" s="6">
        <f t="shared" si="243"/>
        <v>0</v>
      </c>
      <c r="AS612" s="6"/>
      <c r="AX612" s="95">
        <f t="shared" si="244"/>
        <v>42735</v>
      </c>
      <c r="AY612" s="96" t="str">
        <f t="shared" si="245"/>
        <v>sáb</v>
      </c>
      <c r="AZ612" s="97">
        <f>IF(OR(AY612="SÁB",AY612="DOM"),0,IFERROR(8-VLOOKUP(C612,'Dados de consulta'!$A$2:$C$38,3,0),8))</f>
        <v>0</v>
      </c>
      <c r="BA612" s="97">
        <f>IF(OR(AY612="SÁB",AY612="DOM"),0,IFERROR(8-VLOOKUP(D612,'Dados de consulta'!$A$2:$C$38,3,0),8))</f>
        <v>0</v>
      </c>
      <c r="BB612" s="97">
        <f>IF(OR(AY612="SÁB",AY612="DOM"),0,IFERROR(8-VLOOKUP(E612,'Dados de consulta'!$A$2:$C$38,3,0),8))</f>
        <v>0</v>
      </c>
      <c r="BC612" s="97">
        <f>IF(OR(AY612="SÁB",AY612="DOM"),0,IFERROR(8-VLOOKUP(F612,'Dados de consulta'!$A$2:$C$38,3,0),8))</f>
        <v>0</v>
      </c>
      <c r="BD612" s="97">
        <f>IF(OR(AY612="SÁB",AY612="DOM"),0,IFERROR(8-VLOOKUP(G612,'Dados de consulta'!$A$2:$C$38,3,0),8))</f>
        <v>0</v>
      </c>
      <c r="BE612" s="97">
        <f>IF(OR(AY612="SÁB",AY612="DOM"),0,IFERROR(8-VLOOKUP(H612,'Dados de consulta'!$A$2:$C$38,3,0),8))</f>
        <v>0</v>
      </c>
      <c r="BF612" s="97">
        <f>IF(OR(AY612="SÁB",AY612="DOM"),0,IFERROR(8-VLOOKUP(I612,'Dados de consulta'!$A$2:$C$38,3,0),8))</f>
        <v>0</v>
      </c>
      <c r="BG612" s="97">
        <f>IF(OR(AY612="SÁB",AY612="DOM"),0,IFERROR(8-VLOOKUP(J612,'Dados de consulta'!$A$2:$C$38,3,0),8))</f>
        <v>0</v>
      </c>
      <c r="BH612" s="97">
        <f>IF(OR(AY612="SÁB",AY612="DOM"),0,IFERROR(8-VLOOKUP(K612,'Dados de consulta'!$A$2:$C$38,3,0),8))</f>
        <v>0</v>
      </c>
      <c r="BI612" s="97">
        <f>IF(OR(AY612="SÁB",AY612="DOM"),0,IFERROR(8-VLOOKUP(L612,'Dados de consulta'!$A$2:$C$38,3,0),8))</f>
        <v>0</v>
      </c>
      <c r="BJ612" s="97">
        <f>IF(OR(AY612="SÁB",AY612="DOM"),0,IFERROR(8-VLOOKUP(M612,'Dados de consulta'!$A$2:$C$38,3,0),8))</f>
        <v>0</v>
      </c>
      <c r="BK612" s="97">
        <f>IF(OR(AY612="SÁB",AY612="DOM"),0,IFERROR(8-VLOOKUP(N612,'Dados de consulta'!$A$2:$C$38,3,0),8))</f>
        <v>0</v>
      </c>
      <c r="BL612" s="97">
        <f>IF(OR(AY612="SÁB",AY612="DOM"),0,IFERROR(8-VLOOKUP(O612,'Dados de consulta'!$A$2:$C$38,3,0),8))</f>
        <v>0</v>
      </c>
      <c r="BM612" s="97">
        <f>IF(OR(AY612="SÁB",AY612="DOM"),0,IFERROR(8-VLOOKUP(P612,'Dados de consulta'!$A$2:$C$38,3,0),8))</f>
        <v>0</v>
      </c>
      <c r="BN612" s="97">
        <f>IF(OR(AY612="SÁB",AY612="DOM"),0,IFERROR(8-VLOOKUP(Q612,'Dados de consulta'!$A$2:$C$38,3,0),8))</f>
        <v>0</v>
      </c>
      <c r="BO612" s="97">
        <f>IF(OR(AY612="SÁB",AY612="DOM"),0,IFERROR(8-VLOOKUP(R612,'Dados de consulta'!$A$2:$C$38,3,0),8))</f>
        <v>0</v>
      </c>
      <c r="BP612" s="97">
        <f>IF(OR(AY612="SÁB",AY612="DOM"),0,IFERROR(8-VLOOKUP(S612,'Dados de consulta'!$A$2:$C$38,3,0),8))</f>
        <v>0</v>
      </c>
      <c r="BQ612" s="113">
        <f>IFERROR(6-VLOOKUP(T612,'Dados de consulta'!$A$2:$C$38,3,0)+2,6)</f>
        <v>6</v>
      </c>
      <c r="BR612" s="114">
        <f t="shared" si="258"/>
        <v>0</v>
      </c>
      <c r="BS612">
        <f t="shared" si="234"/>
        <v>0</v>
      </c>
      <c r="BU612">
        <f>IFERROR(8-VLOOKUP(U612,'Dados de consulta'!$A:$D,3,0),8)</f>
        <v>8</v>
      </c>
      <c r="BV612">
        <f>IFERROR(8-VLOOKUP(V612,'Dados de consulta'!$A:$D,3,0),8)</f>
        <v>8</v>
      </c>
      <c r="BW612">
        <f t="shared" si="259"/>
        <v>16</v>
      </c>
    </row>
    <row r="613" spans="1:75" ht="15" hidden="1" customHeight="1" x14ac:dyDescent="0.2">
      <c r="A613" s="98">
        <v>42736</v>
      </c>
      <c r="B613" s="129" t="str">
        <f t="shared" si="236"/>
        <v>dom</v>
      </c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>
        <v>101</v>
      </c>
      <c r="N613" s="132"/>
      <c r="O613" s="132"/>
      <c r="P613" s="132"/>
      <c r="Q613" s="132"/>
      <c r="R613" s="132"/>
      <c r="S613" s="132"/>
      <c r="T613" s="132"/>
      <c r="U613" s="151"/>
      <c r="V613" s="151"/>
      <c r="W613" s="307" t="s">
        <v>193</v>
      </c>
      <c r="X613" s="308"/>
      <c r="Y613" s="38">
        <f t="shared" si="237"/>
        <v>0</v>
      </c>
      <c r="Z613" s="38">
        <f t="shared" si="238"/>
        <v>0</v>
      </c>
      <c r="AA613" s="38">
        <f t="shared" si="235"/>
        <v>0</v>
      </c>
      <c r="AB613" s="38">
        <f t="shared" si="246"/>
        <v>0</v>
      </c>
      <c r="AC613" s="38">
        <f t="shared" si="247"/>
        <v>0</v>
      </c>
      <c r="AD613" s="38">
        <f t="shared" si="248"/>
        <v>0</v>
      </c>
      <c r="AE613" s="38">
        <f t="shared" si="249"/>
        <v>0</v>
      </c>
      <c r="AF613" s="38">
        <f t="shared" si="250"/>
        <v>0</v>
      </c>
      <c r="AG613" s="33">
        <f t="shared" si="251"/>
        <v>0</v>
      </c>
      <c r="AH613" s="33">
        <f t="shared" si="252"/>
        <v>0</v>
      </c>
      <c r="AI613" s="33">
        <f t="shared" si="253"/>
        <v>0</v>
      </c>
      <c r="AJ613" s="33">
        <f t="shared" si="254"/>
        <v>0</v>
      </c>
      <c r="AK613" s="34">
        <f t="shared" si="255"/>
        <v>0</v>
      </c>
      <c r="AL613" s="35">
        <f t="shared" si="256"/>
        <v>0</v>
      </c>
      <c r="AM613" s="34">
        <f t="shared" si="239"/>
        <v>0</v>
      </c>
      <c r="AN613" s="36">
        <f t="shared" si="257"/>
        <v>0</v>
      </c>
      <c r="AO613" s="6">
        <f t="shared" si="240"/>
        <v>0</v>
      </c>
      <c r="AP613">
        <f t="shared" si="241"/>
        <v>8</v>
      </c>
      <c r="AQ613" s="6">
        <f t="shared" si="242"/>
        <v>0</v>
      </c>
      <c r="AR613" s="6">
        <f t="shared" si="243"/>
        <v>0</v>
      </c>
      <c r="AS613" s="6"/>
      <c r="AX613" s="95">
        <f t="shared" si="244"/>
        <v>42736</v>
      </c>
      <c r="AY613" s="96" t="str">
        <f t="shared" si="245"/>
        <v>dom</v>
      </c>
      <c r="AZ613" s="97">
        <f>IF(OR(AY613="SÁB",AY613="DOM"),0,IFERROR(8-VLOOKUP(C613,'Dados de consulta'!$A$2:$C$38,3,0),8))</f>
        <v>0</v>
      </c>
      <c r="BA613" s="97">
        <f>IF(OR(AY613="SÁB",AY613="DOM"),0,IFERROR(8-VLOOKUP(D613,'Dados de consulta'!$A$2:$C$38,3,0),8))</f>
        <v>0</v>
      </c>
      <c r="BB613" s="97">
        <f>IF(OR(AY613="SÁB",AY613="DOM"),0,IFERROR(8-VLOOKUP(E613,'Dados de consulta'!$A$2:$C$38,3,0),8))</f>
        <v>0</v>
      </c>
      <c r="BC613" s="97">
        <f>IF(OR(AY613="SÁB",AY613="DOM"),0,IFERROR(8-VLOOKUP(F613,'Dados de consulta'!$A$2:$C$38,3,0),8))</f>
        <v>0</v>
      </c>
      <c r="BD613" s="97">
        <f>IF(OR(AY613="SÁB",AY613="DOM"),0,IFERROR(8-VLOOKUP(G613,'Dados de consulta'!$A$2:$C$38,3,0),8))</f>
        <v>0</v>
      </c>
      <c r="BE613" s="97">
        <f>IF(OR(AY613="SÁB",AY613="DOM"),0,IFERROR(8-VLOOKUP(H613,'Dados de consulta'!$A$2:$C$38,3,0),8))</f>
        <v>0</v>
      </c>
      <c r="BF613" s="97">
        <f>IF(OR(AY613="SÁB",AY613="DOM"),0,IFERROR(8-VLOOKUP(I613,'Dados de consulta'!$A$2:$C$38,3,0),8))</f>
        <v>0</v>
      </c>
      <c r="BG613" s="97">
        <f>IF(OR(AY613="SÁB",AY613="DOM"),0,IFERROR(8-VLOOKUP(J613,'Dados de consulta'!$A$2:$C$38,3,0),8))</f>
        <v>0</v>
      </c>
      <c r="BH613" s="97">
        <f>IF(OR(AY613="SÁB",AY613="DOM"),0,IFERROR(8-VLOOKUP(K613,'Dados de consulta'!$A$2:$C$38,3,0),8))</f>
        <v>0</v>
      </c>
      <c r="BI613" s="97">
        <f>IF(OR(AY613="SÁB",AY613="DOM"),0,IFERROR(8-VLOOKUP(L613,'Dados de consulta'!$A$2:$C$38,3,0),8))</f>
        <v>0</v>
      </c>
      <c r="BJ613" s="97">
        <f>IF(OR(AY613="SÁB",AY613="DOM"),0,IFERROR(8-VLOOKUP(M613,'Dados de consulta'!$A$2:$C$38,3,0),8))</f>
        <v>0</v>
      </c>
      <c r="BK613" s="97">
        <f>IF(OR(AY613="SÁB",AY613="DOM"),0,IFERROR(8-VLOOKUP(N613,'Dados de consulta'!$A$2:$C$38,3,0),8))</f>
        <v>0</v>
      </c>
      <c r="BL613" s="97">
        <f>IF(OR(AY613="SÁB",AY613="DOM"),0,IFERROR(8-VLOOKUP(O613,'Dados de consulta'!$A$2:$C$38,3,0),8))</f>
        <v>0</v>
      </c>
      <c r="BM613" s="97">
        <f>IF(OR(AY613="SÁB",AY613="DOM"),0,IFERROR(8-VLOOKUP(P613,'Dados de consulta'!$A$2:$C$38,3,0),8))</f>
        <v>0</v>
      </c>
      <c r="BN613" s="97">
        <f>IF(OR(AY613="SÁB",AY613="DOM"),0,IFERROR(8-VLOOKUP(Q613,'Dados de consulta'!$A$2:$C$38,3,0),8))</f>
        <v>0</v>
      </c>
      <c r="BO613" s="97">
        <f>IF(OR(AY613="SÁB",AY613="DOM"),0,IFERROR(8-VLOOKUP(R613,'Dados de consulta'!$A$2:$C$38,3,0),8))</f>
        <v>0</v>
      </c>
      <c r="BP613" s="97">
        <f>IF(OR(AY613="SÁB",AY613="DOM"),0,IFERROR(8-VLOOKUP(S613,'Dados de consulta'!$A$2:$C$38,3,0),8))</f>
        <v>0</v>
      </c>
      <c r="BQ613" s="113">
        <f>IFERROR(6-VLOOKUP(T613,'Dados de consulta'!$A$2:$C$38,3,0)+2,6)</f>
        <v>6</v>
      </c>
      <c r="BR613" s="114">
        <f t="shared" si="258"/>
        <v>0</v>
      </c>
      <c r="BS613">
        <f t="shared" si="234"/>
        <v>0</v>
      </c>
      <c r="BU613">
        <f>IFERROR(8-VLOOKUP(U613,'Dados de consulta'!$A:$D,3,0),8)</f>
        <v>8</v>
      </c>
      <c r="BV613">
        <f>IFERROR(8-VLOOKUP(V613,'Dados de consulta'!$A:$D,3,0),8)</f>
        <v>8</v>
      </c>
      <c r="BW613">
        <f t="shared" si="259"/>
        <v>16</v>
      </c>
    </row>
    <row r="614" spans="1:75" ht="15" hidden="1" x14ac:dyDescent="0.2">
      <c r="A614" s="98">
        <v>42737</v>
      </c>
      <c r="B614" s="129" t="str">
        <f t="shared" si="236"/>
        <v>seg</v>
      </c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>
        <v>101</v>
      </c>
      <c r="N614" s="132"/>
      <c r="O614" s="132"/>
      <c r="P614" s="132"/>
      <c r="Q614" s="132"/>
      <c r="R614" s="132"/>
      <c r="S614" s="132"/>
      <c r="T614" s="132"/>
      <c r="U614" s="151"/>
      <c r="V614" s="151"/>
      <c r="W614" s="307" t="s">
        <v>193</v>
      </c>
      <c r="X614" s="308"/>
      <c r="Y614" s="38">
        <f t="shared" si="237"/>
        <v>0</v>
      </c>
      <c r="Z614" s="38">
        <f t="shared" si="238"/>
        <v>0</v>
      </c>
      <c r="AA614" s="38">
        <f t="shared" si="235"/>
        <v>0</v>
      </c>
      <c r="AB614" s="38">
        <f t="shared" si="246"/>
        <v>0</v>
      </c>
      <c r="AC614" s="38">
        <f t="shared" si="247"/>
        <v>0</v>
      </c>
      <c r="AD614" s="38">
        <f t="shared" si="248"/>
        <v>0</v>
      </c>
      <c r="AE614" s="38">
        <f t="shared" si="249"/>
        <v>0</v>
      </c>
      <c r="AF614" s="38">
        <f t="shared" si="250"/>
        <v>0</v>
      </c>
      <c r="AG614" s="33">
        <f t="shared" si="251"/>
        <v>0</v>
      </c>
      <c r="AH614" s="33">
        <f t="shared" si="252"/>
        <v>0</v>
      </c>
      <c r="AI614" s="33">
        <f t="shared" si="253"/>
        <v>0</v>
      </c>
      <c r="AJ614" s="33">
        <f t="shared" si="254"/>
        <v>0</v>
      </c>
      <c r="AK614" s="34">
        <f t="shared" si="255"/>
        <v>0</v>
      </c>
      <c r="AL614" s="35">
        <f t="shared" si="256"/>
        <v>0</v>
      </c>
      <c r="AM614" s="34">
        <f t="shared" si="239"/>
        <v>0</v>
      </c>
      <c r="AN614" s="36">
        <f t="shared" si="257"/>
        <v>0</v>
      </c>
      <c r="AO614" s="6">
        <f t="shared" si="240"/>
        <v>0</v>
      </c>
      <c r="AP614">
        <f t="shared" si="241"/>
        <v>8</v>
      </c>
      <c r="AQ614" s="6">
        <f t="shared" si="242"/>
        <v>0</v>
      </c>
      <c r="AR614" s="6">
        <f t="shared" si="243"/>
        <v>0</v>
      </c>
      <c r="AS614" s="6"/>
      <c r="AX614" s="95">
        <f t="shared" si="244"/>
        <v>42737</v>
      </c>
      <c r="AY614" s="96" t="str">
        <f t="shared" si="245"/>
        <v>seg</v>
      </c>
      <c r="AZ614" s="97">
        <f>IF(OR(AY614="SÁB",AY614="DOM"),0,IFERROR(8-VLOOKUP(C614,'Dados de consulta'!$A$2:$C$38,3,0),8))</f>
        <v>8</v>
      </c>
      <c r="BA614" s="97">
        <f>IF(OR(AY614="SÁB",AY614="DOM"),0,IFERROR(8-VLOOKUP(D614,'Dados de consulta'!$A$2:$C$38,3,0),8))</f>
        <v>8</v>
      </c>
      <c r="BB614" s="97">
        <f>IF(OR(AY614="SÁB",AY614="DOM"),0,IFERROR(8-VLOOKUP(E614,'Dados de consulta'!$A$2:$C$38,3,0),8))</f>
        <v>8</v>
      </c>
      <c r="BC614" s="97">
        <f>IF(OR(AY614="SÁB",AY614="DOM"),0,IFERROR(8-VLOOKUP(F614,'Dados de consulta'!$A$2:$C$38,3,0),8))</f>
        <v>8</v>
      </c>
      <c r="BD614" s="97">
        <f>IF(OR(AY614="SÁB",AY614="DOM"),0,IFERROR(8-VLOOKUP(G614,'Dados de consulta'!$A$2:$C$38,3,0),8))</f>
        <v>8</v>
      </c>
      <c r="BE614" s="97">
        <f>IF(OR(AY614="SÁB",AY614="DOM"),0,IFERROR(8-VLOOKUP(H614,'Dados de consulta'!$A$2:$C$38,3,0),8))</f>
        <v>8</v>
      </c>
      <c r="BF614" s="97">
        <f>IF(OR(AY614="SÁB",AY614="DOM"),0,IFERROR(8-VLOOKUP(I614,'Dados de consulta'!$A$2:$C$38,3,0),8))</f>
        <v>8</v>
      </c>
      <c r="BG614" s="97">
        <f>IF(OR(AY614="SÁB",AY614="DOM"),0,IFERROR(8-VLOOKUP(J614,'Dados de consulta'!$A$2:$C$38,3,0),8))</f>
        <v>8</v>
      </c>
      <c r="BH614" s="97">
        <f>IF(OR(AY614="SÁB",AY614="DOM"),0,IFERROR(8-VLOOKUP(K614,'Dados de consulta'!$A$2:$C$38,3,0),8))</f>
        <v>8</v>
      </c>
      <c r="BI614" s="97">
        <f>IF(OR(AY614="SÁB",AY614="DOM"),0,IFERROR(8-VLOOKUP(L614,'Dados de consulta'!$A$2:$C$38,3,0),8))</f>
        <v>8</v>
      </c>
      <c r="BJ614" s="97">
        <f>IF(OR(AY614="SÁB",AY614="DOM"),0,IFERROR(8-VLOOKUP(M614,'Dados de consulta'!$A$2:$C$38,3,0),8))</f>
        <v>0</v>
      </c>
      <c r="BK614" s="97">
        <f>IF(OR(AY614="SÁB",AY614="DOM"),0,IFERROR(8-VLOOKUP(N614,'Dados de consulta'!$A$2:$C$38,3,0),8))</f>
        <v>8</v>
      </c>
      <c r="BL614" s="97">
        <f>IF(OR(AY614="SÁB",AY614="DOM"),0,IFERROR(8-VLOOKUP(O614,'Dados de consulta'!$A$2:$C$38,3,0),8))</f>
        <v>8</v>
      </c>
      <c r="BM614" s="97">
        <f>IF(OR(AY614="SÁB",AY614="DOM"),0,IFERROR(8-VLOOKUP(P614,'Dados de consulta'!$A$2:$C$38,3,0),8))</f>
        <v>8</v>
      </c>
      <c r="BN614" s="97">
        <f>IF(OR(AY614="SÁB",AY614="DOM"),0,IFERROR(8-VLOOKUP(Q614,'Dados de consulta'!$A$2:$C$38,3,0),8))</f>
        <v>8</v>
      </c>
      <c r="BO614" s="97">
        <f>IF(OR(AY614="SÁB",AY614="DOM"),0,IFERROR(8-VLOOKUP(R614,'Dados de consulta'!$A$2:$C$38,3,0),8))</f>
        <v>8</v>
      </c>
      <c r="BP614" s="97">
        <f>IF(OR(AY614="SÁB",AY614="DOM"),0,IFERROR(8-VLOOKUP(S614,'Dados de consulta'!$A$2:$C$38,3,0),8))</f>
        <v>8</v>
      </c>
      <c r="BQ614" s="113">
        <f>IFERROR(6-VLOOKUP(T614,'Dados de consulta'!$A$2:$C$38,3,0)+2,6)</f>
        <v>6</v>
      </c>
      <c r="BR614" s="114">
        <f t="shared" si="258"/>
        <v>134</v>
      </c>
      <c r="BS614">
        <f t="shared" si="234"/>
        <v>134</v>
      </c>
      <c r="BU614">
        <f>IFERROR(8-VLOOKUP(U614,'Dados de consulta'!$A:$D,3,0),8)</f>
        <v>8</v>
      </c>
      <c r="BV614">
        <f>IFERROR(8-VLOOKUP(V614,'Dados de consulta'!$A:$D,3,0),8)</f>
        <v>8</v>
      </c>
      <c r="BW614">
        <f t="shared" si="259"/>
        <v>16</v>
      </c>
    </row>
    <row r="615" spans="1:75" ht="15" hidden="1" x14ac:dyDescent="0.2">
      <c r="A615" s="98">
        <v>42738</v>
      </c>
      <c r="B615" s="129" t="str">
        <f t="shared" si="236"/>
        <v>ter</v>
      </c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>
        <v>101</v>
      </c>
      <c r="N615" s="132"/>
      <c r="O615" s="132"/>
      <c r="P615" s="132"/>
      <c r="Q615" s="132"/>
      <c r="R615" s="132"/>
      <c r="S615" s="132"/>
      <c r="T615" s="132"/>
      <c r="U615" s="151"/>
      <c r="V615" s="151"/>
      <c r="W615" s="307" t="s">
        <v>193</v>
      </c>
      <c r="X615" s="308"/>
      <c r="Y615" s="38">
        <f t="shared" si="237"/>
        <v>0</v>
      </c>
      <c r="Z615" s="38">
        <f t="shared" si="238"/>
        <v>0</v>
      </c>
      <c r="AA615" s="38">
        <f t="shared" si="235"/>
        <v>0</v>
      </c>
      <c r="AB615" s="38">
        <f t="shared" si="246"/>
        <v>0</v>
      </c>
      <c r="AC615" s="38">
        <f t="shared" si="247"/>
        <v>0</v>
      </c>
      <c r="AD615" s="38">
        <f t="shared" si="248"/>
        <v>0</v>
      </c>
      <c r="AE615" s="38">
        <f t="shared" si="249"/>
        <v>0</v>
      </c>
      <c r="AF615" s="38">
        <f t="shared" si="250"/>
        <v>0</v>
      </c>
      <c r="AG615" s="33">
        <f t="shared" si="251"/>
        <v>0</v>
      </c>
      <c r="AH615" s="33">
        <f t="shared" si="252"/>
        <v>0</v>
      </c>
      <c r="AI615" s="33">
        <f t="shared" si="253"/>
        <v>0</v>
      </c>
      <c r="AJ615" s="33">
        <f t="shared" si="254"/>
        <v>0</v>
      </c>
      <c r="AK615" s="34">
        <f t="shared" si="255"/>
        <v>0</v>
      </c>
      <c r="AL615" s="35">
        <f t="shared" si="256"/>
        <v>0</v>
      </c>
      <c r="AM615" s="34">
        <f t="shared" si="239"/>
        <v>0</v>
      </c>
      <c r="AN615" s="36">
        <f t="shared" si="257"/>
        <v>0</v>
      </c>
      <c r="AO615" s="6">
        <f t="shared" si="240"/>
        <v>0</v>
      </c>
      <c r="AP615">
        <f t="shared" si="241"/>
        <v>8</v>
      </c>
      <c r="AQ615" s="6">
        <f t="shared" si="242"/>
        <v>0</v>
      </c>
      <c r="AR615" s="6">
        <f t="shared" si="243"/>
        <v>0</v>
      </c>
      <c r="AS615" s="6"/>
      <c r="AX615" s="95">
        <f t="shared" si="244"/>
        <v>42738</v>
      </c>
      <c r="AY615" s="96" t="str">
        <f t="shared" si="245"/>
        <v>ter</v>
      </c>
      <c r="AZ615" s="97">
        <f>IF(OR(AY615="SÁB",AY615="DOM"),0,IFERROR(8-VLOOKUP(C615,'Dados de consulta'!$A$2:$C$38,3,0),8))</f>
        <v>8</v>
      </c>
      <c r="BA615" s="97">
        <f>IF(OR(AY615="SÁB",AY615="DOM"),0,IFERROR(8-VLOOKUP(D615,'Dados de consulta'!$A$2:$C$38,3,0),8))</f>
        <v>8</v>
      </c>
      <c r="BB615" s="97">
        <f>IF(OR(AY615="SÁB",AY615="DOM"),0,IFERROR(8-VLOOKUP(E615,'Dados de consulta'!$A$2:$C$38,3,0),8))</f>
        <v>8</v>
      </c>
      <c r="BC615" s="97">
        <f>IF(OR(AY615="SÁB",AY615="DOM"),0,IFERROR(8-VLOOKUP(F615,'Dados de consulta'!$A$2:$C$38,3,0),8))</f>
        <v>8</v>
      </c>
      <c r="BD615" s="97">
        <f>IF(OR(AY615="SÁB",AY615="DOM"),0,IFERROR(8-VLOOKUP(G615,'Dados de consulta'!$A$2:$C$38,3,0),8))</f>
        <v>8</v>
      </c>
      <c r="BE615" s="97">
        <f>IF(OR(AY615="SÁB",AY615="DOM"),0,IFERROR(8-VLOOKUP(H615,'Dados de consulta'!$A$2:$C$38,3,0),8))</f>
        <v>8</v>
      </c>
      <c r="BF615" s="97">
        <f>IF(OR(AY615="SÁB",AY615="DOM"),0,IFERROR(8-VLOOKUP(I615,'Dados de consulta'!$A$2:$C$38,3,0),8))</f>
        <v>8</v>
      </c>
      <c r="BG615" s="97">
        <f>IF(OR(AY615="SÁB",AY615="DOM"),0,IFERROR(8-VLOOKUP(J615,'Dados de consulta'!$A$2:$C$38,3,0),8))</f>
        <v>8</v>
      </c>
      <c r="BH615" s="97">
        <f>IF(OR(AY615="SÁB",AY615="DOM"),0,IFERROR(8-VLOOKUP(K615,'Dados de consulta'!$A$2:$C$38,3,0),8))</f>
        <v>8</v>
      </c>
      <c r="BI615" s="97">
        <f>IF(OR(AY615="SÁB",AY615="DOM"),0,IFERROR(8-VLOOKUP(L615,'Dados de consulta'!$A$2:$C$38,3,0),8))</f>
        <v>8</v>
      </c>
      <c r="BJ615" s="97">
        <f>IF(OR(AY615="SÁB",AY615="DOM"),0,IFERROR(8-VLOOKUP(M615,'Dados de consulta'!$A$2:$C$38,3,0),8))</f>
        <v>0</v>
      </c>
      <c r="BK615" s="97">
        <f>IF(OR(AY615="SÁB",AY615="DOM"),0,IFERROR(8-VLOOKUP(N615,'Dados de consulta'!$A$2:$C$38,3,0),8))</f>
        <v>8</v>
      </c>
      <c r="BL615" s="97">
        <f>IF(OR(AY615="SÁB",AY615="DOM"),0,IFERROR(8-VLOOKUP(O615,'Dados de consulta'!$A$2:$C$38,3,0),8))</f>
        <v>8</v>
      </c>
      <c r="BM615" s="97">
        <f>IF(OR(AY615="SÁB",AY615="DOM"),0,IFERROR(8-VLOOKUP(P615,'Dados de consulta'!$A$2:$C$38,3,0),8))</f>
        <v>8</v>
      </c>
      <c r="BN615" s="97">
        <f>IF(OR(AY615="SÁB",AY615="DOM"),0,IFERROR(8-VLOOKUP(Q615,'Dados de consulta'!$A$2:$C$38,3,0),8))</f>
        <v>8</v>
      </c>
      <c r="BO615" s="97">
        <f>IF(OR(AY615="SÁB",AY615="DOM"),0,IFERROR(8-VLOOKUP(R615,'Dados de consulta'!$A$2:$C$38,3,0),8))</f>
        <v>8</v>
      </c>
      <c r="BP615" s="97">
        <f>IF(OR(AY615="SÁB",AY615="DOM"),0,IFERROR(8-VLOOKUP(S615,'Dados de consulta'!$A$2:$C$38,3,0),8))</f>
        <v>8</v>
      </c>
      <c r="BQ615" s="113">
        <f>IFERROR(6-VLOOKUP(T615,'Dados de consulta'!$A$2:$C$38,3,0)+2,6)</f>
        <v>6</v>
      </c>
      <c r="BR615" s="114">
        <f t="shared" si="258"/>
        <v>134</v>
      </c>
      <c r="BS615">
        <f t="shared" si="234"/>
        <v>134</v>
      </c>
      <c r="BU615">
        <f>IFERROR(8-VLOOKUP(U615,'Dados de consulta'!$A:$D,3,0),8)</f>
        <v>8</v>
      </c>
      <c r="BV615">
        <f>IFERROR(8-VLOOKUP(V615,'Dados de consulta'!$A:$D,3,0),8)</f>
        <v>8</v>
      </c>
      <c r="BW615">
        <f t="shared" si="259"/>
        <v>16</v>
      </c>
    </row>
    <row r="616" spans="1:75" ht="15" hidden="1" x14ac:dyDescent="0.2">
      <c r="A616" s="98">
        <v>42739</v>
      </c>
      <c r="B616" s="129" t="str">
        <f t="shared" si="236"/>
        <v>qua</v>
      </c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>
        <v>101</v>
      </c>
      <c r="N616" s="132"/>
      <c r="O616" s="132"/>
      <c r="P616" s="132"/>
      <c r="Q616" s="132"/>
      <c r="R616" s="132"/>
      <c r="S616" s="132"/>
      <c r="T616" s="132"/>
      <c r="U616" s="151"/>
      <c r="V616" s="151"/>
      <c r="W616" s="307" t="s">
        <v>193</v>
      </c>
      <c r="X616" s="308"/>
      <c r="Y616" s="38">
        <f t="shared" si="237"/>
        <v>0</v>
      </c>
      <c r="Z616" s="38">
        <f t="shared" si="238"/>
        <v>0</v>
      </c>
      <c r="AA616" s="38">
        <f t="shared" si="235"/>
        <v>0</v>
      </c>
      <c r="AB616" s="38">
        <f t="shared" si="246"/>
        <v>0</v>
      </c>
      <c r="AC616" s="38">
        <f t="shared" si="247"/>
        <v>0</v>
      </c>
      <c r="AD616" s="38">
        <f t="shared" si="248"/>
        <v>0</v>
      </c>
      <c r="AE616" s="38">
        <f t="shared" si="249"/>
        <v>0</v>
      </c>
      <c r="AF616" s="38">
        <f t="shared" si="250"/>
        <v>0</v>
      </c>
      <c r="AG616" s="33">
        <f t="shared" si="251"/>
        <v>0</v>
      </c>
      <c r="AH616" s="33">
        <f t="shared" si="252"/>
        <v>0</v>
      </c>
      <c r="AI616" s="33">
        <f t="shared" si="253"/>
        <v>0</v>
      </c>
      <c r="AJ616" s="33">
        <f t="shared" si="254"/>
        <v>0</v>
      </c>
      <c r="AK616" s="34">
        <f t="shared" si="255"/>
        <v>0</v>
      </c>
      <c r="AL616" s="35">
        <f t="shared" si="256"/>
        <v>0</v>
      </c>
      <c r="AM616" s="34">
        <f t="shared" si="239"/>
        <v>0</v>
      </c>
      <c r="AN616" s="36">
        <f t="shared" si="257"/>
        <v>0</v>
      </c>
      <c r="AO616" s="6">
        <f t="shared" si="240"/>
        <v>0</v>
      </c>
      <c r="AP616">
        <f t="shared" si="241"/>
        <v>8</v>
      </c>
      <c r="AQ616" s="6">
        <f t="shared" si="242"/>
        <v>0</v>
      </c>
      <c r="AR616" s="6">
        <f t="shared" si="243"/>
        <v>0</v>
      </c>
      <c r="AS616" s="6"/>
      <c r="AX616" s="95">
        <f t="shared" si="244"/>
        <v>42739</v>
      </c>
      <c r="AY616" s="96" t="str">
        <f t="shared" si="245"/>
        <v>qua</v>
      </c>
      <c r="AZ616" s="97">
        <f>IF(OR(AY616="SÁB",AY616="DOM"),0,IFERROR(8-VLOOKUP(C616,'Dados de consulta'!$A$2:$C$38,3,0),8))</f>
        <v>8</v>
      </c>
      <c r="BA616" s="97">
        <f>IF(OR(AY616="SÁB",AY616="DOM"),0,IFERROR(8-VLOOKUP(D616,'Dados de consulta'!$A$2:$C$38,3,0),8))</f>
        <v>8</v>
      </c>
      <c r="BB616" s="97">
        <f>IF(OR(AY616="SÁB",AY616="DOM"),0,IFERROR(8-VLOOKUP(E616,'Dados de consulta'!$A$2:$C$38,3,0),8))</f>
        <v>8</v>
      </c>
      <c r="BC616" s="97">
        <f>IF(OR(AY616="SÁB",AY616="DOM"),0,IFERROR(8-VLOOKUP(F616,'Dados de consulta'!$A$2:$C$38,3,0),8))</f>
        <v>8</v>
      </c>
      <c r="BD616" s="97">
        <f>IF(OR(AY616="SÁB",AY616="DOM"),0,IFERROR(8-VLOOKUP(G616,'Dados de consulta'!$A$2:$C$38,3,0),8))</f>
        <v>8</v>
      </c>
      <c r="BE616" s="97">
        <f>IF(OR(AY616="SÁB",AY616="DOM"),0,IFERROR(8-VLOOKUP(H616,'Dados de consulta'!$A$2:$C$38,3,0),8))</f>
        <v>8</v>
      </c>
      <c r="BF616" s="97">
        <f>IF(OR(AY616="SÁB",AY616="DOM"),0,IFERROR(8-VLOOKUP(I616,'Dados de consulta'!$A$2:$C$38,3,0),8))</f>
        <v>8</v>
      </c>
      <c r="BG616" s="97">
        <f>IF(OR(AY616="SÁB",AY616="DOM"),0,IFERROR(8-VLOOKUP(J616,'Dados de consulta'!$A$2:$C$38,3,0),8))</f>
        <v>8</v>
      </c>
      <c r="BH616" s="97">
        <f>IF(OR(AY616="SÁB",AY616="DOM"),0,IFERROR(8-VLOOKUP(K616,'Dados de consulta'!$A$2:$C$38,3,0),8))</f>
        <v>8</v>
      </c>
      <c r="BI616" s="97">
        <f>IF(OR(AY616="SÁB",AY616="DOM"),0,IFERROR(8-VLOOKUP(L616,'Dados de consulta'!$A$2:$C$38,3,0),8))</f>
        <v>8</v>
      </c>
      <c r="BJ616" s="97">
        <f>IF(OR(AY616="SÁB",AY616="DOM"),0,IFERROR(8-VLOOKUP(M616,'Dados de consulta'!$A$2:$C$38,3,0),8))</f>
        <v>0</v>
      </c>
      <c r="BK616" s="97">
        <f>IF(OR(AY616="SÁB",AY616="DOM"),0,IFERROR(8-VLOOKUP(N616,'Dados de consulta'!$A$2:$C$38,3,0),8))</f>
        <v>8</v>
      </c>
      <c r="BL616" s="97">
        <f>IF(OR(AY616="SÁB",AY616="DOM"),0,IFERROR(8-VLOOKUP(O616,'Dados de consulta'!$A$2:$C$38,3,0),8))</f>
        <v>8</v>
      </c>
      <c r="BM616" s="97">
        <f>IF(OR(AY616="SÁB",AY616="DOM"),0,IFERROR(8-VLOOKUP(P616,'Dados de consulta'!$A$2:$C$38,3,0),8))</f>
        <v>8</v>
      </c>
      <c r="BN616" s="97">
        <f>IF(OR(AY616="SÁB",AY616="DOM"),0,IFERROR(8-VLOOKUP(Q616,'Dados de consulta'!$A$2:$C$38,3,0),8))</f>
        <v>8</v>
      </c>
      <c r="BO616" s="97">
        <f>IF(OR(AY616="SÁB",AY616="DOM"),0,IFERROR(8-VLOOKUP(R616,'Dados de consulta'!$A$2:$C$38,3,0),8))</f>
        <v>8</v>
      </c>
      <c r="BP616" s="97">
        <f>IF(OR(AY616="SÁB",AY616="DOM"),0,IFERROR(8-VLOOKUP(S616,'Dados de consulta'!$A$2:$C$38,3,0),8))</f>
        <v>8</v>
      </c>
      <c r="BQ616" s="113">
        <f>IFERROR(6-VLOOKUP(T616,'Dados de consulta'!$A$2:$C$38,3,0)+2,6)</f>
        <v>6</v>
      </c>
      <c r="BR616" s="114">
        <f t="shared" si="258"/>
        <v>134</v>
      </c>
      <c r="BS616">
        <f t="shared" si="234"/>
        <v>134</v>
      </c>
      <c r="BU616">
        <f>IFERROR(8-VLOOKUP(U616,'Dados de consulta'!$A:$D,3,0),8)</f>
        <v>8</v>
      </c>
      <c r="BV616">
        <f>IFERROR(8-VLOOKUP(V616,'Dados de consulta'!$A:$D,3,0),8)</f>
        <v>8</v>
      </c>
      <c r="BW616">
        <f t="shared" si="259"/>
        <v>16</v>
      </c>
    </row>
    <row r="617" spans="1:75" ht="15" hidden="1" x14ac:dyDescent="0.2">
      <c r="A617" s="98">
        <v>42740</v>
      </c>
      <c r="B617" s="129" t="str">
        <f t="shared" si="236"/>
        <v>qui</v>
      </c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>
        <v>101</v>
      </c>
      <c r="N617" s="132"/>
      <c r="O617" s="132"/>
      <c r="P617" s="132"/>
      <c r="Q617" s="132"/>
      <c r="R617" s="132"/>
      <c r="S617" s="132"/>
      <c r="T617" s="132"/>
      <c r="U617" s="151"/>
      <c r="V617" s="151"/>
      <c r="W617" s="307" t="s">
        <v>193</v>
      </c>
      <c r="X617" s="308"/>
      <c r="Y617" s="38">
        <f t="shared" si="237"/>
        <v>0</v>
      </c>
      <c r="Z617" s="38">
        <f t="shared" si="238"/>
        <v>0</v>
      </c>
      <c r="AA617" s="38">
        <f t="shared" si="235"/>
        <v>0</v>
      </c>
      <c r="AB617" s="38">
        <f t="shared" si="246"/>
        <v>0</v>
      </c>
      <c r="AC617" s="38">
        <f t="shared" si="247"/>
        <v>0</v>
      </c>
      <c r="AD617" s="38">
        <f t="shared" si="248"/>
        <v>0</v>
      </c>
      <c r="AE617" s="38">
        <f t="shared" si="249"/>
        <v>0</v>
      </c>
      <c r="AF617" s="38">
        <f t="shared" si="250"/>
        <v>0</v>
      </c>
      <c r="AG617" s="33">
        <f t="shared" si="251"/>
        <v>0</v>
      </c>
      <c r="AH617" s="33">
        <f t="shared" si="252"/>
        <v>0</v>
      </c>
      <c r="AI617" s="33">
        <f t="shared" si="253"/>
        <v>0</v>
      </c>
      <c r="AJ617" s="33">
        <f t="shared" si="254"/>
        <v>0</v>
      </c>
      <c r="AK617" s="34">
        <f t="shared" si="255"/>
        <v>0</v>
      </c>
      <c r="AL617" s="35">
        <f t="shared" si="256"/>
        <v>0</v>
      </c>
      <c r="AM617" s="34">
        <f t="shared" si="239"/>
        <v>0</v>
      </c>
      <c r="AN617" s="36">
        <f t="shared" si="257"/>
        <v>0</v>
      </c>
      <c r="AO617" s="6">
        <f t="shared" si="240"/>
        <v>0</v>
      </c>
      <c r="AP617">
        <f t="shared" si="241"/>
        <v>8</v>
      </c>
      <c r="AQ617" s="6">
        <f t="shared" si="242"/>
        <v>0</v>
      </c>
      <c r="AR617" s="6">
        <f t="shared" si="243"/>
        <v>0</v>
      </c>
      <c r="AS617" s="6"/>
      <c r="AX617" s="95">
        <f t="shared" si="244"/>
        <v>42740</v>
      </c>
      <c r="AY617" s="96" t="str">
        <f t="shared" si="245"/>
        <v>qui</v>
      </c>
      <c r="AZ617" s="97">
        <f>IF(OR(AY617="SÁB",AY617="DOM"),0,IFERROR(8-VLOOKUP(C617,'Dados de consulta'!$A$2:$C$38,3,0),8))</f>
        <v>8</v>
      </c>
      <c r="BA617" s="97">
        <f>IF(OR(AY617="SÁB",AY617="DOM"),0,IFERROR(8-VLOOKUP(D617,'Dados de consulta'!$A$2:$C$38,3,0),8))</f>
        <v>8</v>
      </c>
      <c r="BB617" s="97">
        <f>IF(OR(AY617="SÁB",AY617="DOM"),0,IFERROR(8-VLOOKUP(E617,'Dados de consulta'!$A$2:$C$38,3,0),8))</f>
        <v>8</v>
      </c>
      <c r="BC617" s="97">
        <f>IF(OR(AY617="SÁB",AY617="DOM"),0,IFERROR(8-VLOOKUP(F617,'Dados de consulta'!$A$2:$C$38,3,0),8))</f>
        <v>8</v>
      </c>
      <c r="BD617" s="97">
        <f>IF(OR(AY617="SÁB",AY617="DOM"),0,IFERROR(8-VLOOKUP(G617,'Dados de consulta'!$A$2:$C$38,3,0),8))</f>
        <v>8</v>
      </c>
      <c r="BE617" s="97">
        <f>IF(OR(AY617="SÁB",AY617="DOM"),0,IFERROR(8-VLOOKUP(H617,'Dados de consulta'!$A$2:$C$38,3,0),8))</f>
        <v>8</v>
      </c>
      <c r="BF617" s="97">
        <f>IF(OR(AY617="SÁB",AY617="DOM"),0,IFERROR(8-VLOOKUP(I617,'Dados de consulta'!$A$2:$C$38,3,0),8))</f>
        <v>8</v>
      </c>
      <c r="BG617" s="97">
        <f>IF(OR(AY617="SÁB",AY617="DOM"),0,IFERROR(8-VLOOKUP(J617,'Dados de consulta'!$A$2:$C$38,3,0),8))</f>
        <v>8</v>
      </c>
      <c r="BH617" s="97">
        <f>IF(OR(AY617="SÁB",AY617="DOM"),0,IFERROR(8-VLOOKUP(K617,'Dados de consulta'!$A$2:$C$38,3,0),8))</f>
        <v>8</v>
      </c>
      <c r="BI617" s="97">
        <f>IF(OR(AY617="SÁB",AY617="DOM"),0,IFERROR(8-VLOOKUP(L617,'Dados de consulta'!$A$2:$C$38,3,0),8))</f>
        <v>8</v>
      </c>
      <c r="BJ617" s="97">
        <f>IF(OR(AY617="SÁB",AY617="DOM"),0,IFERROR(8-VLOOKUP(M617,'Dados de consulta'!$A$2:$C$38,3,0),8))</f>
        <v>0</v>
      </c>
      <c r="BK617" s="97">
        <f>IF(OR(AY617="SÁB",AY617="DOM"),0,IFERROR(8-VLOOKUP(N617,'Dados de consulta'!$A$2:$C$38,3,0),8))</f>
        <v>8</v>
      </c>
      <c r="BL617" s="97">
        <f>IF(OR(AY617="SÁB",AY617="DOM"),0,IFERROR(8-VLOOKUP(O617,'Dados de consulta'!$A$2:$C$38,3,0),8))</f>
        <v>8</v>
      </c>
      <c r="BM617" s="97">
        <f>IF(OR(AY617="SÁB",AY617="DOM"),0,IFERROR(8-VLOOKUP(P617,'Dados de consulta'!$A$2:$C$38,3,0),8))</f>
        <v>8</v>
      </c>
      <c r="BN617" s="97">
        <f>IF(OR(AY617="SÁB",AY617="DOM"),0,IFERROR(8-VLOOKUP(Q617,'Dados de consulta'!$A$2:$C$38,3,0),8))</f>
        <v>8</v>
      </c>
      <c r="BO617" s="97">
        <f>IF(OR(AY617="SÁB",AY617="DOM"),0,IFERROR(8-VLOOKUP(R617,'Dados de consulta'!$A$2:$C$38,3,0),8))</f>
        <v>8</v>
      </c>
      <c r="BP617" s="97">
        <f>IF(OR(AY617="SÁB",AY617="DOM"),0,IFERROR(8-VLOOKUP(S617,'Dados de consulta'!$A$2:$C$38,3,0),8))</f>
        <v>8</v>
      </c>
      <c r="BQ617" s="113">
        <f>IFERROR(6-VLOOKUP(T617,'Dados de consulta'!$A$2:$C$38,3,0)+2,6)</f>
        <v>6</v>
      </c>
      <c r="BR617" s="114">
        <f t="shared" si="258"/>
        <v>134</v>
      </c>
      <c r="BS617">
        <f t="shared" si="234"/>
        <v>134</v>
      </c>
      <c r="BU617">
        <f>IFERROR(8-VLOOKUP(U617,'Dados de consulta'!$A:$D,3,0),8)</f>
        <v>8</v>
      </c>
      <c r="BV617">
        <f>IFERROR(8-VLOOKUP(V617,'Dados de consulta'!$A:$D,3,0),8)</f>
        <v>8</v>
      </c>
      <c r="BW617">
        <f t="shared" si="259"/>
        <v>16</v>
      </c>
    </row>
    <row r="618" spans="1:75" ht="15" hidden="1" x14ac:dyDescent="0.2">
      <c r="A618" s="98">
        <v>42741</v>
      </c>
      <c r="B618" s="129" t="str">
        <f t="shared" si="236"/>
        <v>sex</v>
      </c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>
        <v>101</v>
      </c>
      <c r="N618" s="132"/>
      <c r="O618" s="132"/>
      <c r="P618" s="132"/>
      <c r="Q618" s="132"/>
      <c r="R618" s="132"/>
      <c r="S618" s="132"/>
      <c r="T618" s="132"/>
      <c r="U618" s="151"/>
      <c r="V618" s="151"/>
      <c r="W618" s="307" t="s">
        <v>193</v>
      </c>
      <c r="X618" s="308"/>
      <c r="Y618" s="38">
        <f t="shared" si="237"/>
        <v>0</v>
      </c>
      <c r="Z618" s="38">
        <f t="shared" si="238"/>
        <v>0</v>
      </c>
      <c r="AA618" s="38">
        <f t="shared" si="235"/>
        <v>0</v>
      </c>
      <c r="AB618" s="38">
        <f t="shared" si="246"/>
        <v>0</v>
      </c>
      <c r="AC618" s="38">
        <f t="shared" si="247"/>
        <v>0</v>
      </c>
      <c r="AD618" s="38">
        <f t="shared" si="248"/>
        <v>0</v>
      </c>
      <c r="AE618" s="38">
        <f t="shared" si="249"/>
        <v>0</v>
      </c>
      <c r="AF618" s="38">
        <f t="shared" si="250"/>
        <v>0</v>
      </c>
      <c r="AG618" s="33">
        <f t="shared" si="251"/>
        <v>0</v>
      </c>
      <c r="AH618" s="33">
        <f t="shared" si="252"/>
        <v>0</v>
      </c>
      <c r="AI618" s="33">
        <f t="shared" si="253"/>
        <v>0</v>
      </c>
      <c r="AJ618" s="33">
        <f t="shared" si="254"/>
        <v>0</v>
      </c>
      <c r="AK618" s="34">
        <f t="shared" si="255"/>
        <v>0</v>
      </c>
      <c r="AL618" s="35">
        <f t="shared" si="256"/>
        <v>0</v>
      </c>
      <c r="AM618" s="34">
        <f t="shared" si="239"/>
        <v>0</v>
      </c>
      <c r="AN618" s="36">
        <f t="shared" si="257"/>
        <v>0</v>
      </c>
      <c r="AO618" s="6">
        <f t="shared" si="240"/>
        <v>0</v>
      </c>
      <c r="AP618">
        <f t="shared" si="241"/>
        <v>8</v>
      </c>
      <c r="AQ618" s="6">
        <f t="shared" si="242"/>
        <v>0</v>
      </c>
      <c r="AR618" s="6">
        <f t="shared" si="243"/>
        <v>0</v>
      </c>
      <c r="AS618" s="6"/>
      <c r="AX618" s="95">
        <f t="shared" si="244"/>
        <v>42741</v>
      </c>
      <c r="AY618" s="96" t="str">
        <f t="shared" si="245"/>
        <v>sex</v>
      </c>
      <c r="AZ618" s="97">
        <f>IF(OR(AY618="SÁB",AY618="DOM"),0,IFERROR(8-VLOOKUP(C618,'Dados de consulta'!$A$2:$C$38,3,0),8))</f>
        <v>8</v>
      </c>
      <c r="BA618" s="97">
        <f>IF(OR(AY618="SÁB",AY618="DOM"),0,IFERROR(8-VLOOKUP(D618,'Dados de consulta'!$A$2:$C$38,3,0),8))</f>
        <v>8</v>
      </c>
      <c r="BB618" s="97">
        <f>IF(OR(AY618="SÁB",AY618="DOM"),0,IFERROR(8-VLOOKUP(E618,'Dados de consulta'!$A$2:$C$38,3,0),8))</f>
        <v>8</v>
      </c>
      <c r="BC618" s="97">
        <f>IF(OR(AY618="SÁB",AY618="DOM"),0,IFERROR(8-VLOOKUP(F618,'Dados de consulta'!$A$2:$C$38,3,0),8))</f>
        <v>8</v>
      </c>
      <c r="BD618" s="97">
        <f>IF(OR(AY618="SÁB",AY618="DOM"),0,IFERROR(8-VLOOKUP(G618,'Dados de consulta'!$A$2:$C$38,3,0),8))</f>
        <v>8</v>
      </c>
      <c r="BE618" s="97">
        <f>IF(OR(AY618="SÁB",AY618="DOM"),0,IFERROR(8-VLOOKUP(H618,'Dados de consulta'!$A$2:$C$38,3,0),8))</f>
        <v>8</v>
      </c>
      <c r="BF618" s="97">
        <f>IF(OR(AY618="SÁB",AY618="DOM"),0,IFERROR(8-VLOOKUP(I618,'Dados de consulta'!$A$2:$C$38,3,0),8))</f>
        <v>8</v>
      </c>
      <c r="BG618" s="97">
        <f>IF(OR(AY618="SÁB",AY618="DOM"),0,IFERROR(8-VLOOKUP(J618,'Dados de consulta'!$A$2:$C$38,3,0),8))</f>
        <v>8</v>
      </c>
      <c r="BH618" s="97">
        <f>IF(OR(AY618="SÁB",AY618="DOM"),0,IFERROR(8-VLOOKUP(K618,'Dados de consulta'!$A$2:$C$38,3,0),8))</f>
        <v>8</v>
      </c>
      <c r="BI618" s="97">
        <f>IF(OR(AY618="SÁB",AY618="DOM"),0,IFERROR(8-VLOOKUP(L618,'Dados de consulta'!$A$2:$C$38,3,0),8))</f>
        <v>8</v>
      </c>
      <c r="BJ618" s="97">
        <f>IF(OR(AY618="SÁB",AY618="DOM"),0,IFERROR(8-VLOOKUP(M618,'Dados de consulta'!$A$2:$C$38,3,0),8))</f>
        <v>0</v>
      </c>
      <c r="BK618" s="97">
        <f>IF(OR(AY618="SÁB",AY618="DOM"),0,IFERROR(8-VLOOKUP(N618,'Dados de consulta'!$A$2:$C$38,3,0),8))</f>
        <v>8</v>
      </c>
      <c r="BL618" s="97">
        <f>IF(OR(AY618="SÁB",AY618="DOM"),0,IFERROR(8-VLOOKUP(O618,'Dados de consulta'!$A$2:$C$38,3,0),8))</f>
        <v>8</v>
      </c>
      <c r="BM618" s="97">
        <f>IF(OR(AY618="SÁB",AY618="DOM"),0,IFERROR(8-VLOOKUP(P618,'Dados de consulta'!$A$2:$C$38,3,0),8))</f>
        <v>8</v>
      </c>
      <c r="BN618" s="97">
        <f>IF(OR(AY618="SÁB",AY618="DOM"),0,IFERROR(8-VLOOKUP(Q618,'Dados de consulta'!$A$2:$C$38,3,0),8))</f>
        <v>8</v>
      </c>
      <c r="BO618" s="97">
        <f>IF(OR(AY618="SÁB",AY618="DOM"),0,IFERROR(8-VLOOKUP(R618,'Dados de consulta'!$A$2:$C$38,3,0),8))</f>
        <v>8</v>
      </c>
      <c r="BP618" s="97">
        <f>IF(OR(AY618="SÁB",AY618="DOM"),0,IFERROR(8-VLOOKUP(S618,'Dados de consulta'!$A$2:$C$38,3,0),8))</f>
        <v>8</v>
      </c>
      <c r="BQ618" s="113">
        <f>IFERROR(6-VLOOKUP(T618,'Dados de consulta'!$A$2:$C$38,3,0)+2,6)</f>
        <v>6</v>
      </c>
      <c r="BR618" s="114">
        <f t="shared" si="258"/>
        <v>134</v>
      </c>
      <c r="BS618">
        <f t="shared" si="234"/>
        <v>134</v>
      </c>
      <c r="BU618">
        <f>IFERROR(8-VLOOKUP(U618,'Dados de consulta'!$A:$D,3,0),8)</f>
        <v>8</v>
      </c>
      <c r="BV618">
        <f>IFERROR(8-VLOOKUP(V618,'Dados de consulta'!$A:$D,3,0),8)</f>
        <v>8</v>
      </c>
      <c r="BW618">
        <f t="shared" si="259"/>
        <v>16</v>
      </c>
    </row>
    <row r="619" spans="1:75" ht="15" hidden="1" x14ac:dyDescent="0.2">
      <c r="A619" s="98">
        <v>42742</v>
      </c>
      <c r="B619" s="129" t="str">
        <f t="shared" si="236"/>
        <v>sáb</v>
      </c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>
        <v>101</v>
      </c>
      <c r="N619" s="132"/>
      <c r="O619" s="132"/>
      <c r="P619" s="132"/>
      <c r="Q619" s="132"/>
      <c r="R619" s="132"/>
      <c r="S619" s="132"/>
      <c r="T619" s="132"/>
      <c r="U619" s="151"/>
      <c r="V619" s="151"/>
      <c r="W619" s="307" t="s">
        <v>193</v>
      </c>
      <c r="X619" s="308"/>
      <c r="Y619" s="38">
        <f t="shared" si="237"/>
        <v>0</v>
      </c>
      <c r="Z619" s="38">
        <f t="shared" si="238"/>
        <v>0</v>
      </c>
      <c r="AA619" s="38">
        <f t="shared" si="235"/>
        <v>0</v>
      </c>
      <c r="AB619" s="38">
        <f t="shared" si="246"/>
        <v>0</v>
      </c>
      <c r="AC619" s="38">
        <f t="shared" si="247"/>
        <v>0</v>
      </c>
      <c r="AD619" s="38">
        <f t="shared" si="248"/>
        <v>0</v>
      </c>
      <c r="AE619" s="38">
        <f t="shared" si="249"/>
        <v>0</v>
      </c>
      <c r="AF619" s="38">
        <f t="shared" si="250"/>
        <v>0</v>
      </c>
      <c r="AG619" s="33">
        <f t="shared" si="251"/>
        <v>0</v>
      </c>
      <c r="AH619" s="33">
        <f t="shared" si="252"/>
        <v>0</v>
      </c>
      <c r="AI619" s="33">
        <f t="shared" si="253"/>
        <v>0</v>
      </c>
      <c r="AJ619" s="33">
        <f t="shared" si="254"/>
        <v>0</v>
      </c>
      <c r="AK619" s="34">
        <f t="shared" si="255"/>
        <v>0</v>
      </c>
      <c r="AL619" s="35">
        <f t="shared" si="256"/>
        <v>0</v>
      </c>
      <c r="AM619" s="34">
        <f t="shared" si="239"/>
        <v>0</v>
      </c>
      <c r="AN619" s="36">
        <f t="shared" si="257"/>
        <v>0</v>
      </c>
      <c r="AO619" s="6">
        <f t="shared" si="240"/>
        <v>0</v>
      </c>
      <c r="AP619">
        <f t="shared" si="241"/>
        <v>8</v>
      </c>
      <c r="AQ619" s="6">
        <f t="shared" si="242"/>
        <v>0</v>
      </c>
      <c r="AR619" s="6">
        <f t="shared" si="243"/>
        <v>0</v>
      </c>
      <c r="AS619" s="6"/>
      <c r="AX619" s="95">
        <f t="shared" si="244"/>
        <v>42742</v>
      </c>
      <c r="AY619" s="96" t="str">
        <f t="shared" si="245"/>
        <v>sáb</v>
      </c>
      <c r="AZ619" s="97">
        <f>IF(OR(AY619="SÁB",AY619="DOM"),0,IFERROR(8-VLOOKUP(C619,'Dados de consulta'!$A$2:$C$38,3,0),8))</f>
        <v>0</v>
      </c>
      <c r="BA619" s="97">
        <f>IF(OR(AY619="SÁB",AY619="DOM"),0,IFERROR(8-VLOOKUP(D619,'Dados de consulta'!$A$2:$C$38,3,0),8))</f>
        <v>0</v>
      </c>
      <c r="BB619" s="97">
        <f>IF(OR(AY619="SÁB",AY619="DOM"),0,IFERROR(8-VLOOKUP(E619,'Dados de consulta'!$A$2:$C$38,3,0),8))</f>
        <v>0</v>
      </c>
      <c r="BC619" s="97">
        <f>IF(OR(AY619="SÁB",AY619="DOM"),0,IFERROR(8-VLOOKUP(F619,'Dados de consulta'!$A$2:$C$38,3,0),8))</f>
        <v>0</v>
      </c>
      <c r="BD619" s="97">
        <f>IF(OR(AY619="SÁB",AY619="DOM"),0,IFERROR(8-VLOOKUP(G619,'Dados de consulta'!$A$2:$C$38,3,0),8))</f>
        <v>0</v>
      </c>
      <c r="BE619" s="97">
        <f>IF(OR(AY619="SÁB",AY619="DOM"),0,IFERROR(8-VLOOKUP(H619,'Dados de consulta'!$A$2:$C$38,3,0),8))</f>
        <v>0</v>
      </c>
      <c r="BF619" s="97">
        <f>IF(OR(AY619="SÁB",AY619="DOM"),0,IFERROR(8-VLOOKUP(I619,'Dados de consulta'!$A$2:$C$38,3,0),8))</f>
        <v>0</v>
      </c>
      <c r="BG619" s="97">
        <f>IF(OR(AY619="SÁB",AY619="DOM"),0,IFERROR(8-VLOOKUP(J619,'Dados de consulta'!$A$2:$C$38,3,0),8))</f>
        <v>0</v>
      </c>
      <c r="BH619" s="97">
        <f>IF(OR(AY619="SÁB",AY619="DOM"),0,IFERROR(8-VLOOKUP(K619,'Dados de consulta'!$A$2:$C$38,3,0),8))</f>
        <v>0</v>
      </c>
      <c r="BI619" s="97">
        <f>IF(OR(AY619="SÁB",AY619="DOM"),0,IFERROR(8-VLOOKUP(L619,'Dados de consulta'!$A$2:$C$38,3,0),8))</f>
        <v>0</v>
      </c>
      <c r="BJ619" s="97">
        <f>IF(OR(AY619="SÁB",AY619="DOM"),0,IFERROR(8-VLOOKUP(M619,'Dados de consulta'!$A$2:$C$38,3,0),8))</f>
        <v>0</v>
      </c>
      <c r="BK619" s="97">
        <f>IF(OR(AY619="SÁB",AY619="DOM"),0,IFERROR(8-VLOOKUP(N619,'Dados de consulta'!$A$2:$C$38,3,0),8))</f>
        <v>0</v>
      </c>
      <c r="BL619" s="97">
        <f>IF(OR(AY619="SÁB",AY619="DOM"),0,IFERROR(8-VLOOKUP(O619,'Dados de consulta'!$A$2:$C$38,3,0),8))</f>
        <v>0</v>
      </c>
      <c r="BM619" s="97">
        <f>IF(OR(AY619="SÁB",AY619="DOM"),0,IFERROR(8-VLOOKUP(P619,'Dados de consulta'!$A$2:$C$38,3,0),8))</f>
        <v>0</v>
      </c>
      <c r="BN619" s="97">
        <f>IF(OR(AY619="SÁB",AY619="DOM"),0,IFERROR(8-VLOOKUP(Q619,'Dados de consulta'!$A$2:$C$38,3,0),8))</f>
        <v>0</v>
      </c>
      <c r="BO619" s="97">
        <f>IF(OR(AY619="SÁB",AY619="DOM"),0,IFERROR(8-VLOOKUP(R619,'Dados de consulta'!$A$2:$C$38,3,0),8))</f>
        <v>0</v>
      </c>
      <c r="BP619" s="97">
        <f>IF(OR(AY619="SÁB",AY619="DOM"),0,IFERROR(8-VLOOKUP(S619,'Dados de consulta'!$A$2:$C$38,3,0),8))</f>
        <v>0</v>
      </c>
      <c r="BQ619" s="113">
        <f>IFERROR(6-VLOOKUP(T619,'Dados de consulta'!$A$2:$C$38,3,0)+2,6)</f>
        <v>6</v>
      </c>
      <c r="BR619" s="114">
        <f t="shared" si="258"/>
        <v>0</v>
      </c>
      <c r="BS619">
        <f t="shared" si="234"/>
        <v>0</v>
      </c>
      <c r="BU619">
        <f>IFERROR(8-VLOOKUP(U619,'Dados de consulta'!$A:$D,3,0),8)</f>
        <v>8</v>
      </c>
      <c r="BV619">
        <f>IFERROR(8-VLOOKUP(V619,'Dados de consulta'!$A:$D,3,0),8)</f>
        <v>8</v>
      </c>
      <c r="BW619">
        <f t="shared" si="259"/>
        <v>16</v>
      </c>
    </row>
    <row r="620" spans="1:75" ht="15" hidden="1" x14ac:dyDescent="0.2">
      <c r="A620" s="98">
        <v>42743</v>
      </c>
      <c r="B620" s="129" t="str">
        <f t="shared" si="236"/>
        <v>dom</v>
      </c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>
        <v>101</v>
      </c>
      <c r="N620" s="132"/>
      <c r="O620" s="132"/>
      <c r="P620" s="132"/>
      <c r="Q620" s="132"/>
      <c r="R620" s="132"/>
      <c r="S620" s="132"/>
      <c r="T620" s="132"/>
      <c r="U620" s="151"/>
      <c r="V620" s="151"/>
      <c r="W620" s="307" t="s">
        <v>193</v>
      </c>
      <c r="X620" s="308"/>
      <c r="Y620" s="38">
        <f t="shared" si="237"/>
        <v>0</v>
      </c>
      <c r="Z620" s="38">
        <f t="shared" si="238"/>
        <v>0</v>
      </c>
      <c r="AA620" s="38">
        <f t="shared" si="235"/>
        <v>0</v>
      </c>
      <c r="AB620" s="38">
        <f t="shared" si="246"/>
        <v>0</v>
      </c>
      <c r="AC620" s="38">
        <f t="shared" si="247"/>
        <v>0</v>
      </c>
      <c r="AD620" s="38">
        <f t="shared" si="248"/>
        <v>0</v>
      </c>
      <c r="AE620" s="38">
        <f t="shared" si="249"/>
        <v>0</v>
      </c>
      <c r="AF620" s="38">
        <f t="shared" si="250"/>
        <v>0</v>
      </c>
      <c r="AG620" s="33">
        <f t="shared" si="251"/>
        <v>0</v>
      </c>
      <c r="AH620" s="33">
        <f t="shared" si="252"/>
        <v>0</v>
      </c>
      <c r="AI620" s="33">
        <f t="shared" si="253"/>
        <v>0</v>
      </c>
      <c r="AJ620" s="33">
        <f t="shared" si="254"/>
        <v>0</v>
      </c>
      <c r="AK620" s="34">
        <f t="shared" si="255"/>
        <v>0</v>
      </c>
      <c r="AL620" s="35">
        <f t="shared" si="256"/>
        <v>0</v>
      </c>
      <c r="AM620" s="34">
        <f t="shared" si="239"/>
        <v>0</v>
      </c>
      <c r="AN620" s="36">
        <f t="shared" si="257"/>
        <v>0</v>
      </c>
      <c r="AO620" s="6">
        <f t="shared" si="240"/>
        <v>0</v>
      </c>
      <c r="AP620">
        <f t="shared" si="241"/>
        <v>8</v>
      </c>
      <c r="AQ620" s="6">
        <f t="shared" si="242"/>
        <v>0</v>
      </c>
      <c r="AR620" s="6">
        <f t="shared" si="243"/>
        <v>0</v>
      </c>
      <c r="AS620" s="6"/>
      <c r="AX620" s="95">
        <f t="shared" si="244"/>
        <v>42743</v>
      </c>
      <c r="AY620" s="96" t="str">
        <f t="shared" si="245"/>
        <v>dom</v>
      </c>
      <c r="AZ620" s="97">
        <f>IF(OR(AY620="SÁB",AY620="DOM"),0,IFERROR(8-VLOOKUP(C620,'Dados de consulta'!$A$2:$C$38,3,0),8))</f>
        <v>0</v>
      </c>
      <c r="BA620" s="97">
        <f>IF(OR(AY620="SÁB",AY620="DOM"),0,IFERROR(8-VLOOKUP(D620,'Dados de consulta'!$A$2:$C$38,3,0),8))</f>
        <v>0</v>
      </c>
      <c r="BB620" s="97">
        <f>IF(OR(AY620="SÁB",AY620="DOM"),0,IFERROR(8-VLOOKUP(E620,'Dados de consulta'!$A$2:$C$38,3,0),8))</f>
        <v>0</v>
      </c>
      <c r="BC620" s="97">
        <f>IF(OR(AY620="SÁB",AY620="DOM"),0,IFERROR(8-VLOOKUP(F620,'Dados de consulta'!$A$2:$C$38,3,0),8))</f>
        <v>0</v>
      </c>
      <c r="BD620" s="97">
        <f>IF(OR(AY620="SÁB",AY620="DOM"),0,IFERROR(8-VLOOKUP(G620,'Dados de consulta'!$A$2:$C$38,3,0),8))</f>
        <v>0</v>
      </c>
      <c r="BE620" s="97">
        <f>IF(OR(AY620="SÁB",AY620="DOM"),0,IFERROR(8-VLOOKUP(H620,'Dados de consulta'!$A$2:$C$38,3,0),8))</f>
        <v>0</v>
      </c>
      <c r="BF620" s="97">
        <f>IF(OR(AY620="SÁB",AY620="DOM"),0,IFERROR(8-VLOOKUP(I620,'Dados de consulta'!$A$2:$C$38,3,0),8))</f>
        <v>0</v>
      </c>
      <c r="BG620" s="97">
        <f>IF(OR(AY620="SÁB",AY620="DOM"),0,IFERROR(8-VLOOKUP(J620,'Dados de consulta'!$A$2:$C$38,3,0),8))</f>
        <v>0</v>
      </c>
      <c r="BH620" s="97">
        <f>IF(OR(AY620="SÁB",AY620="DOM"),0,IFERROR(8-VLOOKUP(K620,'Dados de consulta'!$A$2:$C$38,3,0),8))</f>
        <v>0</v>
      </c>
      <c r="BI620" s="97">
        <f>IF(OR(AY620="SÁB",AY620="DOM"),0,IFERROR(8-VLOOKUP(L620,'Dados de consulta'!$A$2:$C$38,3,0),8))</f>
        <v>0</v>
      </c>
      <c r="BJ620" s="97">
        <f>IF(OR(AY620="SÁB",AY620="DOM"),0,IFERROR(8-VLOOKUP(M620,'Dados de consulta'!$A$2:$C$38,3,0),8))</f>
        <v>0</v>
      </c>
      <c r="BK620" s="97">
        <f>IF(OR(AY620="SÁB",AY620="DOM"),0,IFERROR(8-VLOOKUP(N620,'Dados de consulta'!$A$2:$C$38,3,0),8))</f>
        <v>0</v>
      </c>
      <c r="BL620" s="97">
        <f>IF(OR(AY620="SÁB",AY620="DOM"),0,IFERROR(8-VLOOKUP(O620,'Dados de consulta'!$A$2:$C$38,3,0),8))</f>
        <v>0</v>
      </c>
      <c r="BM620" s="97">
        <f>IF(OR(AY620="SÁB",AY620="DOM"),0,IFERROR(8-VLOOKUP(P620,'Dados de consulta'!$A$2:$C$38,3,0),8))</f>
        <v>0</v>
      </c>
      <c r="BN620" s="97">
        <f>IF(OR(AY620="SÁB",AY620="DOM"),0,IFERROR(8-VLOOKUP(Q620,'Dados de consulta'!$A$2:$C$38,3,0),8))</f>
        <v>0</v>
      </c>
      <c r="BO620" s="97">
        <f>IF(OR(AY620="SÁB",AY620="DOM"),0,IFERROR(8-VLOOKUP(R620,'Dados de consulta'!$A$2:$C$38,3,0),8))</f>
        <v>0</v>
      </c>
      <c r="BP620" s="97">
        <f>IF(OR(AY620="SÁB",AY620="DOM"),0,IFERROR(8-VLOOKUP(S620,'Dados de consulta'!$A$2:$C$38,3,0),8))</f>
        <v>0</v>
      </c>
      <c r="BQ620" s="113">
        <f>IFERROR(6-VLOOKUP(T620,'Dados de consulta'!$A$2:$C$38,3,0)+2,6)</f>
        <v>6</v>
      </c>
      <c r="BR620" s="114">
        <f t="shared" si="258"/>
        <v>0</v>
      </c>
      <c r="BS620">
        <f t="shared" si="234"/>
        <v>0</v>
      </c>
      <c r="BU620">
        <f>IFERROR(8-VLOOKUP(U620,'Dados de consulta'!$A:$D,3,0),8)</f>
        <v>8</v>
      </c>
      <c r="BV620">
        <f>IFERROR(8-VLOOKUP(V620,'Dados de consulta'!$A:$D,3,0),8)</f>
        <v>8</v>
      </c>
      <c r="BW620">
        <f t="shared" si="259"/>
        <v>16</v>
      </c>
    </row>
    <row r="621" spans="1:75" ht="15" hidden="1" x14ac:dyDescent="0.2">
      <c r="A621" s="98">
        <v>42744</v>
      </c>
      <c r="B621" s="129" t="str">
        <f t="shared" si="236"/>
        <v>seg</v>
      </c>
      <c r="C621" s="132"/>
      <c r="D621" s="132"/>
      <c r="E621" s="132"/>
      <c r="F621" s="132"/>
      <c r="G621" s="132"/>
      <c r="H621" s="132"/>
      <c r="I621" s="132"/>
      <c r="J621" s="132"/>
      <c r="K621" s="132">
        <v>18</v>
      </c>
      <c r="L621" s="132"/>
      <c r="M621" s="132">
        <v>101</v>
      </c>
      <c r="N621" s="132"/>
      <c r="O621" s="132"/>
      <c r="P621" s="132"/>
      <c r="Q621" s="132"/>
      <c r="R621" s="132"/>
      <c r="S621" s="132"/>
      <c r="T621" s="132"/>
      <c r="U621" s="151"/>
      <c r="V621" s="151"/>
      <c r="W621" s="307" t="s">
        <v>193</v>
      </c>
      <c r="X621" s="308"/>
      <c r="Y621" s="38">
        <f t="shared" si="237"/>
        <v>0</v>
      </c>
      <c r="Z621" s="38">
        <f t="shared" si="238"/>
        <v>8</v>
      </c>
      <c r="AA621" s="38">
        <f t="shared" si="235"/>
        <v>0</v>
      </c>
      <c r="AB621" s="38">
        <f t="shared" si="246"/>
        <v>0</v>
      </c>
      <c r="AC621" s="38">
        <f t="shared" si="247"/>
        <v>0</v>
      </c>
      <c r="AD621" s="38">
        <f t="shared" si="248"/>
        <v>0</v>
      </c>
      <c r="AE621" s="38">
        <f t="shared" si="249"/>
        <v>0</v>
      </c>
      <c r="AF621" s="38">
        <f t="shared" si="250"/>
        <v>0</v>
      </c>
      <c r="AG621" s="33">
        <f t="shared" si="251"/>
        <v>0</v>
      </c>
      <c r="AH621" s="33">
        <f t="shared" si="252"/>
        <v>8</v>
      </c>
      <c r="AI621" s="33">
        <f t="shared" si="253"/>
        <v>0</v>
      </c>
      <c r="AJ621" s="33">
        <f t="shared" si="254"/>
        <v>0</v>
      </c>
      <c r="AK621" s="34">
        <f t="shared" si="255"/>
        <v>0</v>
      </c>
      <c r="AL621" s="35">
        <f t="shared" si="256"/>
        <v>5.6338028169014086E-2</v>
      </c>
      <c r="AM621" s="34">
        <f t="shared" si="239"/>
        <v>0</v>
      </c>
      <c r="AN621" s="36">
        <f t="shared" si="257"/>
        <v>0</v>
      </c>
      <c r="AO621" s="6">
        <f t="shared" si="240"/>
        <v>0</v>
      </c>
      <c r="AP621">
        <f t="shared" si="241"/>
        <v>8</v>
      </c>
      <c r="AQ621" s="6">
        <f t="shared" si="242"/>
        <v>0</v>
      </c>
      <c r="AR621" s="6">
        <f t="shared" si="243"/>
        <v>0</v>
      </c>
      <c r="AS621" s="6"/>
      <c r="AX621" s="95">
        <f t="shared" si="244"/>
        <v>42744</v>
      </c>
      <c r="AY621" s="96" t="str">
        <f t="shared" si="245"/>
        <v>seg</v>
      </c>
      <c r="AZ621" s="97">
        <f>IF(OR(AY621="SÁB",AY621="DOM"),0,IFERROR(8-VLOOKUP(C621,'Dados de consulta'!$A$2:$C$38,3,0),8))</f>
        <v>8</v>
      </c>
      <c r="BA621" s="97">
        <f>IF(OR(AY621="SÁB",AY621="DOM"),0,IFERROR(8-VLOOKUP(D621,'Dados de consulta'!$A$2:$C$38,3,0),8))</f>
        <v>8</v>
      </c>
      <c r="BB621" s="97">
        <f>IF(OR(AY621="SÁB",AY621="DOM"),0,IFERROR(8-VLOOKUP(E621,'Dados de consulta'!$A$2:$C$38,3,0),8))</f>
        <v>8</v>
      </c>
      <c r="BC621" s="97">
        <f>IF(OR(AY621="SÁB",AY621="DOM"),0,IFERROR(8-VLOOKUP(F621,'Dados de consulta'!$A$2:$C$38,3,0),8))</f>
        <v>8</v>
      </c>
      <c r="BD621" s="97">
        <f>IF(OR(AY621="SÁB",AY621="DOM"),0,IFERROR(8-VLOOKUP(G621,'Dados de consulta'!$A$2:$C$38,3,0),8))</f>
        <v>8</v>
      </c>
      <c r="BE621" s="97">
        <f>IF(OR(AY621="SÁB",AY621="DOM"),0,IFERROR(8-VLOOKUP(H621,'Dados de consulta'!$A$2:$C$38,3,0),8))</f>
        <v>8</v>
      </c>
      <c r="BF621" s="97">
        <f>IF(OR(AY621="SÁB",AY621="DOM"),0,IFERROR(8-VLOOKUP(I621,'Dados de consulta'!$A$2:$C$38,3,0),8))</f>
        <v>8</v>
      </c>
      <c r="BG621" s="97">
        <f>IF(OR(AY621="SÁB",AY621="DOM"),0,IFERROR(8-VLOOKUP(J621,'Dados de consulta'!$A$2:$C$38,3,0),8))</f>
        <v>8</v>
      </c>
      <c r="BH621" s="97">
        <f>IF(OR(AY621="SÁB",AY621="DOM"),0,IFERROR(8-VLOOKUP(K621,'Dados de consulta'!$A$2:$C$38,3,0),8))</f>
        <v>0</v>
      </c>
      <c r="BI621" s="97">
        <f>IF(OR(AY621="SÁB",AY621="DOM"),0,IFERROR(8-VLOOKUP(L621,'Dados de consulta'!$A$2:$C$38,3,0),8))</f>
        <v>8</v>
      </c>
      <c r="BJ621" s="97">
        <f>IF(OR(AY621="SÁB",AY621="DOM"),0,IFERROR(8-VLOOKUP(M621,'Dados de consulta'!$A$2:$C$38,3,0),8))</f>
        <v>0</v>
      </c>
      <c r="BK621" s="97">
        <f>IF(OR(AY621="SÁB",AY621="DOM"),0,IFERROR(8-VLOOKUP(N621,'Dados de consulta'!$A$2:$C$38,3,0),8))</f>
        <v>8</v>
      </c>
      <c r="BL621" s="97">
        <f>IF(OR(AY621="SÁB",AY621="DOM"),0,IFERROR(8-VLOOKUP(O621,'Dados de consulta'!$A$2:$C$38,3,0),8))</f>
        <v>8</v>
      </c>
      <c r="BM621" s="97">
        <f>IF(OR(AY621="SÁB",AY621="DOM"),0,IFERROR(8-VLOOKUP(P621,'Dados de consulta'!$A$2:$C$38,3,0),8))</f>
        <v>8</v>
      </c>
      <c r="BN621" s="97">
        <f>IF(OR(AY621="SÁB",AY621="DOM"),0,IFERROR(8-VLOOKUP(Q621,'Dados de consulta'!$A$2:$C$38,3,0),8))</f>
        <v>8</v>
      </c>
      <c r="BO621" s="97">
        <f>IF(OR(AY621="SÁB",AY621="DOM"),0,IFERROR(8-VLOOKUP(R621,'Dados de consulta'!$A$2:$C$38,3,0),8))</f>
        <v>8</v>
      </c>
      <c r="BP621" s="97">
        <f>IF(OR(AY621="SÁB",AY621="DOM"),0,IFERROR(8-VLOOKUP(S621,'Dados de consulta'!$A$2:$C$38,3,0),8))</f>
        <v>8</v>
      </c>
      <c r="BQ621" s="113">
        <f>IFERROR(6-VLOOKUP(T621,'Dados de consulta'!$A$2:$C$38,3,0)+2,6)</f>
        <v>6</v>
      </c>
      <c r="BR621" s="114">
        <f t="shared" si="258"/>
        <v>126</v>
      </c>
      <c r="BS621">
        <f t="shared" si="234"/>
        <v>134</v>
      </c>
      <c r="BU621">
        <f>IFERROR(8-VLOOKUP(U621,'Dados de consulta'!$A:$D,3,0),8)</f>
        <v>8</v>
      </c>
      <c r="BV621">
        <f>IFERROR(8-VLOOKUP(V621,'Dados de consulta'!$A:$D,3,0),8)</f>
        <v>8</v>
      </c>
      <c r="BW621">
        <f t="shared" si="259"/>
        <v>16</v>
      </c>
    </row>
    <row r="622" spans="1:75" ht="15" hidden="1" x14ac:dyDescent="0.2">
      <c r="A622" s="98">
        <v>42745</v>
      </c>
      <c r="B622" s="129" t="str">
        <f t="shared" si="236"/>
        <v>ter</v>
      </c>
      <c r="C622" s="132"/>
      <c r="D622" s="132"/>
      <c r="E622" s="132"/>
      <c r="F622" s="132"/>
      <c r="G622" s="132"/>
      <c r="H622" s="132"/>
      <c r="I622" s="132"/>
      <c r="J622" s="132"/>
      <c r="K622" s="132">
        <v>18</v>
      </c>
      <c r="L622" s="132"/>
      <c r="M622" s="132">
        <v>101</v>
      </c>
      <c r="N622" s="132"/>
      <c r="O622" s="132"/>
      <c r="P622" s="132"/>
      <c r="Q622" s="132"/>
      <c r="R622" s="132"/>
      <c r="S622" s="132"/>
      <c r="T622" s="132"/>
      <c r="U622" s="151"/>
      <c r="V622" s="151"/>
      <c r="W622" s="307" t="s">
        <v>193</v>
      </c>
      <c r="X622" s="308"/>
      <c r="Y622" s="38">
        <f t="shared" si="237"/>
        <v>0</v>
      </c>
      <c r="Z622" s="38">
        <f t="shared" si="238"/>
        <v>8</v>
      </c>
      <c r="AA622" s="38">
        <f t="shared" si="235"/>
        <v>0</v>
      </c>
      <c r="AB622" s="38">
        <f t="shared" si="246"/>
        <v>0</v>
      </c>
      <c r="AC622" s="38">
        <f t="shared" si="247"/>
        <v>0</v>
      </c>
      <c r="AD622" s="38">
        <f t="shared" si="248"/>
        <v>0</v>
      </c>
      <c r="AE622" s="38">
        <f t="shared" si="249"/>
        <v>0</v>
      </c>
      <c r="AF622" s="38">
        <f t="shared" si="250"/>
        <v>0</v>
      </c>
      <c r="AG622" s="33">
        <f t="shared" si="251"/>
        <v>0</v>
      </c>
      <c r="AH622" s="33">
        <f t="shared" si="252"/>
        <v>8</v>
      </c>
      <c r="AI622" s="33">
        <f t="shared" si="253"/>
        <v>0</v>
      </c>
      <c r="AJ622" s="33">
        <f t="shared" si="254"/>
        <v>0</v>
      </c>
      <c r="AK622" s="34">
        <f t="shared" si="255"/>
        <v>0</v>
      </c>
      <c r="AL622" s="35">
        <f t="shared" si="256"/>
        <v>5.6338028169014086E-2</v>
      </c>
      <c r="AM622" s="34">
        <f t="shared" si="239"/>
        <v>0</v>
      </c>
      <c r="AN622" s="36">
        <f t="shared" si="257"/>
        <v>0</v>
      </c>
      <c r="AO622" s="6">
        <f t="shared" si="240"/>
        <v>0</v>
      </c>
      <c r="AP622">
        <f t="shared" si="241"/>
        <v>8</v>
      </c>
      <c r="AQ622" s="6">
        <f t="shared" si="242"/>
        <v>0</v>
      </c>
      <c r="AR622" s="6">
        <f t="shared" si="243"/>
        <v>0</v>
      </c>
      <c r="AS622" s="6"/>
      <c r="AX622" s="95">
        <f t="shared" si="244"/>
        <v>42745</v>
      </c>
      <c r="AY622" s="96" t="str">
        <f t="shared" si="245"/>
        <v>ter</v>
      </c>
      <c r="AZ622" s="97">
        <f>IF(OR(AY622="SÁB",AY622="DOM"),0,IFERROR(8-VLOOKUP(C622,'Dados de consulta'!$A$2:$C$38,3,0),8))</f>
        <v>8</v>
      </c>
      <c r="BA622" s="97">
        <f>IF(OR(AY622="SÁB",AY622="DOM"),0,IFERROR(8-VLOOKUP(D622,'Dados de consulta'!$A$2:$C$38,3,0),8))</f>
        <v>8</v>
      </c>
      <c r="BB622" s="97">
        <f>IF(OR(AY622="SÁB",AY622="DOM"),0,IFERROR(8-VLOOKUP(E622,'Dados de consulta'!$A$2:$C$38,3,0),8))</f>
        <v>8</v>
      </c>
      <c r="BC622" s="97">
        <f>IF(OR(AY622="SÁB",AY622="DOM"),0,IFERROR(8-VLOOKUP(F622,'Dados de consulta'!$A$2:$C$38,3,0),8))</f>
        <v>8</v>
      </c>
      <c r="BD622" s="97">
        <f>IF(OR(AY622="SÁB",AY622="DOM"),0,IFERROR(8-VLOOKUP(G622,'Dados de consulta'!$A$2:$C$38,3,0),8))</f>
        <v>8</v>
      </c>
      <c r="BE622" s="97">
        <f>IF(OR(AY622="SÁB",AY622="DOM"),0,IFERROR(8-VLOOKUP(H622,'Dados de consulta'!$A$2:$C$38,3,0),8))</f>
        <v>8</v>
      </c>
      <c r="BF622" s="97">
        <f>IF(OR(AY622="SÁB",AY622="DOM"),0,IFERROR(8-VLOOKUP(I622,'Dados de consulta'!$A$2:$C$38,3,0),8))</f>
        <v>8</v>
      </c>
      <c r="BG622" s="97">
        <f>IF(OR(AY622="SÁB",AY622="DOM"),0,IFERROR(8-VLOOKUP(J622,'Dados de consulta'!$A$2:$C$38,3,0),8))</f>
        <v>8</v>
      </c>
      <c r="BH622" s="97">
        <f>IF(OR(AY622="SÁB",AY622="DOM"),0,IFERROR(8-VLOOKUP(K622,'Dados de consulta'!$A$2:$C$38,3,0),8))</f>
        <v>0</v>
      </c>
      <c r="BI622" s="97">
        <f>IF(OR(AY622="SÁB",AY622="DOM"),0,IFERROR(8-VLOOKUP(L622,'Dados de consulta'!$A$2:$C$38,3,0),8))</f>
        <v>8</v>
      </c>
      <c r="BJ622" s="97">
        <f>IF(OR(AY622="SÁB",AY622="DOM"),0,IFERROR(8-VLOOKUP(M622,'Dados de consulta'!$A$2:$C$38,3,0),8))</f>
        <v>0</v>
      </c>
      <c r="BK622" s="97">
        <f>IF(OR(AY622="SÁB",AY622="DOM"),0,IFERROR(8-VLOOKUP(N622,'Dados de consulta'!$A$2:$C$38,3,0),8))</f>
        <v>8</v>
      </c>
      <c r="BL622" s="97">
        <f>IF(OR(AY622="SÁB",AY622="DOM"),0,IFERROR(8-VLOOKUP(O622,'Dados de consulta'!$A$2:$C$38,3,0),8))</f>
        <v>8</v>
      </c>
      <c r="BM622" s="97">
        <f>IF(OR(AY622="SÁB",AY622="DOM"),0,IFERROR(8-VLOOKUP(P622,'Dados de consulta'!$A$2:$C$38,3,0),8))</f>
        <v>8</v>
      </c>
      <c r="BN622" s="97">
        <f>IF(OR(AY622="SÁB",AY622="DOM"),0,IFERROR(8-VLOOKUP(Q622,'Dados de consulta'!$A$2:$C$38,3,0),8))</f>
        <v>8</v>
      </c>
      <c r="BO622" s="97">
        <f>IF(OR(AY622="SÁB",AY622="DOM"),0,IFERROR(8-VLOOKUP(R622,'Dados de consulta'!$A$2:$C$38,3,0),8))</f>
        <v>8</v>
      </c>
      <c r="BP622" s="97">
        <f>IF(OR(AY622="SÁB",AY622="DOM"),0,IFERROR(8-VLOOKUP(S622,'Dados de consulta'!$A$2:$C$38,3,0),8))</f>
        <v>8</v>
      </c>
      <c r="BQ622" s="113">
        <f>IFERROR(6-VLOOKUP(T622,'Dados de consulta'!$A$2:$C$38,3,0)+2,6)</f>
        <v>6</v>
      </c>
      <c r="BR622" s="114">
        <f t="shared" si="258"/>
        <v>126</v>
      </c>
      <c r="BS622">
        <f t="shared" si="234"/>
        <v>134</v>
      </c>
      <c r="BU622">
        <f>IFERROR(8-VLOOKUP(U622,'Dados de consulta'!$A:$D,3,0),8)</f>
        <v>8</v>
      </c>
      <c r="BV622">
        <f>IFERROR(8-VLOOKUP(V622,'Dados de consulta'!$A:$D,3,0),8)</f>
        <v>8</v>
      </c>
      <c r="BW622">
        <f t="shared" si="259"/>
        <v>16</v>
      </c>
    </row>
    <row r="623" spans="1:75" ht="15" hidden="1" x14ac:dyDescent="0.2">
      <c r="A623" s="98">
        <v>42746</v>
      </c>
      <c r="B623" s="129" t="str">
        <f t="shared" si="236"/>
        <v>qua</v>
      </c>
      <c r="C623" s="132"/>
      <c r="D623" s="132"/>
      <c r="E623" s="132"/>
      <c r="F623" s="132"/>
      <c r="G623" s="132"/>
      <c r="H623" s="132"/>
      <c r="I623" s="132"/>
      <c r="J623" s="132"/>
      <c r="K623" s="132">
        <v>18</v>
      </c>
      <c r="L623" s="132"/>
      <c r="M623" s="132">
        <v>101</v>
      </c>
      <c r="N623" s="132"/>
      <c r="O623" s="132"/>
      <c r="P623" s="132"/>
      <c r="Q623" s="132"/>
      <c r="R623" s="132"/>
      <c r="S623" s="132"/>
      <c r="T623" s="132"/>
      <c r="U623" s="151"/>
      <c r="V623" s="151"/>
      <c r="W623" s="307" t="s">
        <v>193</v>
      </c>
      <c r="X623" s="308"/>
      <c r="Y623" s="38">
        <f t="shared" si="237"/>
        <v>0</v>
      </c>
      <c r="Z623" s="38">
        <f t="shared" si="238"/>
        <v>8</v>
      </c>
      <c r="AA623" s="38">
        <f t="shared" si="235"/>
        <v>0</v>
      </c>
      <c r="AB623" s="38">
        <f t="shared" si="246"/>
        <v>0</v>
      </c>
      <c r="AC623" s="38">
        <f t="shared" si="247"/>
        <v>0</v>
      </c>
      <c r="AD623" s="38">
        <f t="shared" si="248"/>
        <v>0</v>
      </c>
      <c r="AE623" s="38">
        <f t="shared" si="249"/>
        <v>0</v>
      </c>
      <c r="AF623" s="38">
        <f t="shared" si="250"/>
        <v>0</v>
      </c>
      <c r="AG623" s="33">
        <f t="shared" si="251"/>
        <v>0</v>
      </c>
      <c r="AH623" s="33">
        <f t="shared" si="252"/>
        <v>8</v>
      </c>
      <c r="AI623" s="33">
        <f t="shared" si="253"/>
        <v>0</v>
      </c>
      <c r="AJ623" s="33">
        <f t="shared" si="254"/>
        <v>0</v>
      </c>
      <c r="AK623" s="34">
        <f t="shared" si="255"/>
        <v>0</v>
      </c>
      <c r="AL623" s="35">
        <f t="shared" si="256"/>
        <v>5.6338028169014086E-2</v>
      </c>
      <c r="AM623" s="34">
        <f t="shared" si="239"/>
        <v>0</v>
      </c>
      <c r="AN623" s="36">
        <f t="shared" si="257"/>
        <v>0</v>
      </c>
      <c r="AO623" s="6">
        <f t="shared" si="240"/>
        <v>0</v>
      </c>
      <c r="AP623">
        <f t="shared" si="241"/>
        <v>8</v>
      </c>
      <c r="AQ623" s="6">
        <f t="shared" si="242"/>
        <v>0</v>
      </c>
      <c r="AR623" s="6">
        <f t="shared" si="243"/>
        <v>0</v>
      </c>
      <c r="AS623" s="6"/>
      <c r="AX623" s="95">
        <f t="shared" si="244"/>
        <v>42746</v>
      </c>
      <c r="AY623" s="96" t="str">
        <f t="shared" si="245"/>
        <v>qua</v>
      </c>
      <c r="AZ623" s="97">
        <f>IF(OR(AY623="SÁB",AY623="DOM"),0,IFERROR(8-VLOOKUP(C623,'Dados de consulta'!$A$2:$C$38,3,0),8))</f>
        <v>8</v>
      </c>
      <c r="BA623" s="97">
        <f>IF(OR(AY623="SÁB",AY623="DOM"),0,IFERROR(8-VLOOKUP(D623,'Dados de consulta'!$A$2:$C$38,3,0),8))</f>
        <v>8</v>
      </c>
      <c r="BB623" s="97">
        <f>IF(OR(AY623="SÁB",AY623="DOM"),0,IFERROR(8-VLOOKUP(E623,'Dados de consulta'!$A$2:$C$38,3,0),8))</f>
        <v>8</v>
      </c>
      <c r="BC623" s="97">
        <f>IF(OR(AY623="SÁB",AY623="DOM"),0,IFERROR(8-VLOOKUP(F623,'Dados de consulta'!$A$2:$C$38,3,0),8))</f>
        <v>8</v>
      </c>
      <c r="BD623" s="97">
        <f>IF(OR(AY623="SÁB",AY623="DOM"),0,IFERROR(8-VLOOKUP(G623,'Dados de consulta'!$A$2:$C$38,3,0),8))</f>
        <v>8</v>
      </c>
      <c r="BE623" s="97">
        <f>IF(OR(AY623="SÁB",AY623="DOM"),0,IFERROR(8-VLOOKUP(H623,'Dados de consulta'!$A$2:$C$38,3,0),8))</f>
        <v>8</v>
      </c>
      <c r="BF623" s="97">
        <f>IF(OR(AY623="SÁB",AY623="DOM"),0,IFERROR(8-VLOOKUP(I623,'Dados de consulta'!$A$2:$C$38,3,0),8))</f>
        <v>8</v>
      </c>
      <c r="BG623" s="97">
        <f>IF(OR(AY623="SÁB",AY623="DOM"),0,IFERROR(8-VLOOKUP(J623,'Dados de consulta'!$A$2:$C$38,3,0),8))</f>
        <v>8</v>
      </c>
      <c r="BH623" s="97">
        <f>IF(OR(AY623="SÁB",AY623="DOM"),0,IFERROR(8-VLOOKUP(K623,'Dados de consulta'!$A$2:$C$38,3,0),8))</f>
        <v>0</v>
      </c>
      <c r="BI623" s="97">
        <f>IF(OR(AY623="SÁB",AY623="DOM"),0,IFERROR(8-VLOOKUP(L623,'Dados de consulta'!$A$2:$C$38,3,0),8))</f>
        <v>8</v>
      </c>
      <c r="BJ623" s="97">
        <f>IF(OR(AY623="SÁB",AY623="DOM"),0,IFERROR(8-VLOOKUP(M623,'Dados de consulta'!$A$2:$C$38,3,0),8))</f>
        <v>0</v>
      </c>
      <c r="BK623" s="97">
        <f>IF(OR(AY623="SÁB",AY623="DOM"),0,IFERROR(8-VLOOKUP(N623,'Dados de consulta'!$A$2:$C$38,3,0),8))</f>
        <v>8</v>
      </c>
      <c r="BL623" s="97">
        <f>IF(OR(AY623="SÁB",AY623="DOM"),0,IFERROR(8-VLOOKUP(O623,'Dados de consulta'!$A$2:$C$38,3,0),8))</f>
        <v>8</v>
      </c>
      <c r="BM623" s="97">
        <f>IF(OR(AY623="SÁB",AY623="DOM"),0,IFERROR(8-VLOOKUP(P623,'Dados de consulta'!$A$2:$C$38,3,0),8))</f>
        <v>8</v>
      </c>
      <c r="BN623" s="97">
        <f>IF(OR(AY623="SÁB",AY623="DOM"),0,IFERROR(8-VLOOKUP(Q623,'Dados de consulta'!$A$2:$C$38,3,0),8))</f>
        <v>8</v>
      </c>
      <c r="BO623" s="97">
        <f>IF(OR(AY623="SÁB",AY623="DOM"),0,IFERROR(8-VLOOKUP(R623,'Dados de consulta'!$A$2:$C$38,3,0),8))</f>
        <v>8</v>
      </c>
      <c r="BP623" s="97">
        <f>IF(OR(AY623="SÁB",AY623="DOM"),0,IFERROR(8-VLOOKUP(S623,'Dados de consulta'!$A$2:$C$38,3,0),8))</f>
        <v>8</v>
      </c>
      <c r="BQ623" s="113">
        <f>IFERROR(6-VLOOKUP(T623,'Dados de consulta'!$A$2:$C$38,3,0)+2,6)</f>
        <v>6</v>
      </c>
      <c r="BR623" s="114">
        <f t="shared" si="258"/>
        <v>126</v>
      </c>
      <c r="BS623">
        <f t="shared" si="234"/>
        <v>134</v>
      </c>
      <c r="BU623">
        <f>IFERROR(8-VLOOKUP(U623,'Dados de consulta'!$A:$D,3,0),8)</f>
        <v>8</v>
      </c>
      <c r="BV623">
        <f>IFERROR(8-VLOOKUP(V623,'Dados de consulta'!$A:$D,3,0),8)</f>
        <v>8</v>
      </c>
      <c r="BW623">
        <f t="shared" si="259"/>
        <v>16</v>
      </c>
    </row>
    <row r="624" spans="1:75" ht="15" hidden="1" x14ac:dyDescent="0.2">
      <c r="A624" s="98">
        <v>42747</v>
      </c>
      <c r="B624" s="129" t="str">
        <f t="shared" si="236"/>
        <v>qui</v>
      </c>
      <c r="C624" s="132"/>
      <c r="D624" s="132"/>
      <c r="E624" s="132"/>
      <c r="F624" s="132"/>
      <c r="G624" s="132"/>
      <c r="H624" s="132"/>
      <c r="I624" s="132"/>
      <c r="J624" s="132"/>
      <c r="K624" s="132">
        <v>18</v>
      </c>
      <c r="L624" s="132"/>
      <c r="M624" s="132">
        <v>101</v>
      </c>
      <c r="N624" s="132"/>
      <c r="O624" s="132"/>
      <c r="P624" s="132"/>
      <c r="Q624" s="132"/>
      <c r="R624" s="132"/>
      <c r="S624" s="132"/>
      <c r="T624" s="132"/>
      <c r="U624" s="151"/>
      <c r="V624" s="151"/>
      <c r="W624" s="307" t="s">
        <v>193</v>
      </c>
      <c r="X624" s="308"/>
      <c r="Y624" s="38">
        <f t="shared" si="237"/>
        <v>0</v>
      </c>
      <c r="Z624" s="38">
        <f t="shared" si="238"/>
        <v>8</v>
      </c>
      <c r="AA624" s="38">
        <f t="shared" si="235"/>
        <v>0</v>
      </c>
      <c r="AB624" s="38">
        <f t="shared" si="246"/>
        <v>0</v>
      </c>
      <c r="AC624" s="38">
        <f t="shared" si="247"/>
        <v>0</v>
      </c>
      <c r="AD624" s="38">
        <f t="shared" si="248"/>
        <v>0</v>
      </c>
      <c r="AE624" s="38">
        <f t="shared" si="249"/>
        <v>0</v>
      </c>
      <c r="AF624" s="38">
        <f t="shared" si="250"/>
        <v>0</v>
      </c>
      <c r="AG624" s="33">
        <f t="shared" si="251"/>
        <v>0</v>
      </c>
      <c r="AH624" s="33">
        <f t="shared" si="252"/>
        <v>8</v>
      </c>
      <c r="AI624" s="33">
        <f t="shared" si="253"/>
        <v>0</v>
      </c>
      <c r="AJ624" s="33">
        <f t="shared" si="254"/>
        <v>0</v>
      </c>
      <c r="AK624" s="34">
        <f t="shared" si="255"/>
        <v>0</v>
      </c>
      <c r="AL624" s="35">
        <f t="shared" si="256"/>
        <v>5.6338028169014086E-2</v>
      </c>
      <c r="AM624" s="34">
        <f t="shared" si="239"/>
        <v>0</v>
      </c>
      <c r="AN624" s="36">
        <f t="shared" si="257"/>
        <v>0</v>
      </c>
      <c r="AO624" s="6">
        <f t="shared" si="240"/>
        <v>0</v>
      </c>
      <c r="AP624">
        <f t="shared" si="241"/>
        <v>8</v>
      </c>
      <c r="AQ624" s="6">
        <f t="shared" si="242"/>
        <v>0</v>
      </c>
      <c r="AR624" s="6">
        <f t="shared" si="243"/>
        <v>0</v>
      </c>
      <c r="AS624" s="6"/>
      <c r="AX624" s="95">
        <f t="shared" si="244"/>
        <v>42747</v>
      </c>
      <c r="AY624" s="96" t="str">
        <f t="shared" si="245"/>
        <v>qui</v>
      </c>
      <c r="AZ624" s="97">
        <f>IF(OR(AY624="SÁB",AY624="DOM"),0,IFERROR(8-VLOOKUP(C624,'Dados de consulta'!$A$2:$C$38,3,0),8))</f>
        <v>8</v>
      </c>
      <c r="BA624" s="97">
        <f>IF(OR(AY624="SÁB",AY624="DOM"),0,IFERROR(8-VLOOKUP(D624,'Dados de consulta'!$A$2:$C$38,3,0),8))</f>
        <v>8</v>
      </c>
      <c r="BB624" s="97">
        <f>IF(OR(AY624="SÁB",AY624="DOM"),0,IFERROR(8-VLOOKUP(E624,'Dados de consulta'!$A$2:$C$38,3,0),8))</f>
        <v>8</v>
      </c>
      <c r="BC624" s="97">
        <f>IF(OR(AY624="SÁB",AY624="DOM"),0,IFERROR(8-VLOOKUP(F624,'Dados de consulta'!$A$2:$C$38,3,0),8))</f>
        <v>8</v>
      </c>
      <c r="BD624" s="97">
        <f>IF(OR(AY624="SÁB",AY624="DOM"),0,IFERROR(8-VLOOKUP(G624,'Dados de consulta'!$A$2:$C$38,3,0),8))</f>
        <v>8</v>
      </c>
      <c r="BE624" s="97">
        <f>IF(OR(AY624="SÁB",AY624="DOM"),0,IFERROR(8-VLOOKUP(H624,'Dados de consulta'!$A$2:$C$38,3,0),8))</f>
        <v>8</v>
      </c>
      <c r="BF624" s="97">
        <f>IF(OR(AY624="SÁB",AY624="DOM"),0,IFERROR(8-VLOOKUP(I624,'Dados de consulta'!$A$2:$C$38,3,0),8))</f>
        <v>8</v>
      </c>
      <c r="BG624" s="97">
        <f>IF(OR(AY624="SÁB",AY624="DOM"),0,IFERROR(8-VLOOKUP(J624,'Dados de consulta'!$A$2:$C$38,3,0),8))</f>
        <v>8</v>
      </c>
      <c r="BH624" s="97">
        <f>IF(OR(AY624="SÁB",AY624="DOM"),0,IFERROR(8-VLOOKUP(K624,'Dados de consulta'!$A$2:$C$38,3,0),8))</f>
        <v>0</v>
      </c>
      <c r="BI624" s="97">
        <f>IF(OR(AY624="SÁB",AY624="DOM"),0,IFERROR(8-VLOOKUP(L624,'Dados de consulta'!$A$2:$C$38,3,0),8))</f>
        <v>8</v>
      </c>
      <c r="BJ624" s="97">
        <f>IF(OR(AY624="SÁB",AY624="DOM"),0,IFERROR(8-VLOOKUP(M624,'Dados de consulta'!$A$2:$C$38,3,0),8))</f>
        <v>0</v>
      </c>
      <c r="BK624" s="97">
        <f>IF(OR(AY624="SÁB",AY624="DOM"),0,IFERROR(8-VLOOKUP(N624,'Dados de consulta'!$A$2:$C$38,3,0),8))</f>
        <v>8</v>
      </c>
      <c r="BL624" s="97">
        <f>IF(OR(AY624="SÁB",AY624="DOM"),0,IFERROR(8-VLOOKUP(O624,'Dados de consulta'!$A$2:$C$38,3,0),8))</f>
        <v>8</v>
      </c>
      <c r="BM624" s="97">
        <f>IF(OR(AY624="SÁB",AY624="DOM"),0,IFERROR(8-VLOOKUP(P624,'Dados de consulta'!$A$2:$C$38,3,0),8))</f>
        <v>8</v>
      </c>
      <c r="BN624" s="97">
        <f>IF(OR(AY624="SÁB",AY624="DOM"),0,IFERROR(8-VLOOKUP(Q624,'Dados de consulta'!$A$2:$C$38,3,0),8))</f>
        <v>8</v>
      </c>
      <c r="BO624" s="97">
        <f>IF(OR(AY624="SÁB",AY624="DOM"),0,IFERROR(8-VLOOKUP(R624,'Dados de consulta'!$A$2:$C$38,3,0),8))</f>
        <v>8</v>
      </c>
      <c r="BP624" s="97">
        <f>IF(OR(AY624="SÁB",AY624="DOM"),0,IFERROR(8-VLOOKUP(S624,'Dados de consulta'!$A$2:$C$38,3,0),8))</f>
        <v>8</v>
      </c>
      <c r="BQ624" s="113">
        <f>IFERROR(6-VLOOKUP(T624,'Dados de consulta'!$A$2:$C$38,3,0)+2,6)</f>
        <v>6</v>
      </c>
      <c r="BR624" s="114">
        <f t="shared" si="258"/>
        <v>126</v>
      </c>
      <c r="BS624">
        <f t="shared" si="234"/>
        <v>134</v>
      </c>
      <c r="BU624">
        <f>IFERROR(8-VLOOKUP(U624,'Dados de consulta'!$A:$D,3,0),8)</f>
        <v>8</v>
      </c>
      <c r="BV624">
        <f>IFERROR(8-VLOOKUP(V624,'Dados de consulta'!$A:$D,3,0),8)</f>
        <v>8</v>
      </c>
      <c r="BW624">
        <f t="shared" si="259"/>
        <v>16</v>
      </c>
    </row>
    <row r="625" spans="1:75" ht="15" hidden="1" x14ac:dyDescent="0.2">
      <c r="A625" s="98">
        <v>42748</v>
      </c>
      <c r="B625" s="129" t="str">
        <f t="shared" si="236"/>
        <v>sex</v>
      </c>
      <c r="C625" s="132"/>
      <c r="D625" s="132"/>
      <c r="E625" s="132"/>
      <c r="F625" s="132"/>
      <c r="G625" s="132"/>
      <c r="H625" s="132"/>
      <c r="I625" s="132"/>
      <c r="J625" s="132"/>
      <c r="K625" s="132">
        <v>18</v>
      </c>
      <c r="L625" s="132"/>
      <c r="M625" s="132">
        <v>101</v>
      </c>
      <c r="N625" s="132"/>
      <c r="O625" s="132"/>
      <c r="P625" s="132"/>
      <c r="Q625" s="132"/>
      <c r="R625" s="132"/>
      <c r="S625" s="132"/>
      <c r="T625" s="132"/>
      <c r="U625" s="151"/>
      <c r="V625" s="151"/>
      <c r="W625" s="307" t="s">
        <v>193</v>
      </c>
      <c r="X625" s="308"/>
      <c r="Y625" s="38">
        <f t="shared" si="237"/>
        <v>0</v>
      </c>
      <c r="Z625" s="38">
        <f t="shared" si="238"/>
        <v>8</v>
      </c>
      <c r="AA625" s="38">
        <f t="shared" si="235"/>
        <v>0</v>
      </c>
      <c r="AB625" s="38">
        <f t="shared" si="246"/>
        <v>0</v>
      </c>
      <c r="AC625" s="38">
        <f t="shared" si="247"/>
        <v>0</v>
      </c>
      <c r="AD625" s="38">
        <f t="shared" si="248"/>
        <v>0</v>
      </c>
      <c r="AE625" s="38">
        <f t="shared" si="249"/>
        <v>0</v>
      </c>
      <c r="AF625" s="38">
        <f t="shared" si="250"/>
        <v>0</v>
      </c>
      <c r="AG625" s="33">
        <f t="shared" si="251"/>
        <v>0</v>
      </c>
      <c r="AH625" s="33">
        <f t="shared" si="252"/>
        <v>8</v>
      </c>
      <c r="AI625" s="33">
        <f t="shared" si="253"/>
        <v>0</v>
      </c>
      <c r="AJ625" s="33">
        <f t="shared" si="254"/>
        <v>0</v>
      </c>
      <c r="AK625" s="34">
        <f t="shared" si="255"/>
        <v>0</v>
      </c>
      <c r="AL625" s="35">
        <f t="shared" si="256"/>
        <v>5.6338028169014086E-2</v>
      </c>
      <c r="AM625" s="34">
        <f t="shared" si="239"/>
        <v>0</v>
      </c>
      <c r="AN625" s="36">
        <f t="shared" si="257"/>
        <v>0</v>
      </c>
      <c r="AO625" s="6">
        <f t="shared" si="240"/>
        <v>0</v>
      </c>
      <c r="AP625">
        <f t="shared" si="241"/>
        <v>8</v>
      </c>
      <c r="AQ625" s="6">
        <f t="shared" si="242"/>
        <v>0</v>
      </c>
      <c r="AR625" s="6">
        <f t="shared" si="243"/>
        <v>0</v>
      </c>
      <c r="AS625" s="6"/>
      <c r="AX625" s="95">
        <f t="shared" si="244"/>
        <v>42748</v>
      </c>
      <c r="AY625" s="96" t="str">
        <f t="shared" si="245"/>
        <v>sex</v>
      </c>
      <c r="AZ625" s="97">
        <f>IF(OR(AY625="SÁB",AY625="DOM"),0,IFERROR(8-VLOOKUP(C625,'Dados de consulta'!$A$2:$C$38,3,0),8))</f>
        <v>8</v>
      </c>
      <c r="BA625" s="97">
        <f>IF(OR(AY625="SÁB",AY625="DOM"),0,IFERROR(8-VLOOKUP(D625,'Dados de consulta'!$A$2:$C$38,3,0),8))</f>
        <v>8</v>
      </c>
      <c r="BB625" s="97">
        <f>IF(OR(AY625="SÁB",AY625="DOM"),0,IFERROR(8-VLOOKUP(E625,'Dados de consulta'!$A$2:$C$38,3,0),8))</f>
        <v>8</v>
      </c>
      <c r="BC625" s="97">
        <f>IF(OR(AY625="SÁB",AY625="DOM"),0,IFERROR(8-VLOOKUP(F625,'Dados de consulta'!$A$2:$C$38,3,0),8))</f>
        <v>8</v>
      </c>
      <c r="BD625" s="97">
        <f>IF(OR(AY625="SÁB",AY625="DOM"),0,IFERROR(8-VLOOKUP(G625,'Dados de consulta'!$A$2:$C$38,3,0),8))</f>
        <v>8</v>
      </c>
      <c r="BE625" s="97">
        <f>IF(OR(AY625="SÁB",AY625="DOM"),0,IFERROR(8-VLOOKUP(H625,'Dados de consulta'!$A$2:$C$38,3,0),8))</f>
        <v>8</v>
      </c>
      <c r="BF625" s="97">
        <f>IF(OR(AY625="SÁB",AY625="DOM"),0,IFERROR(8-VLOOKUP(I625,'Dados de consulta'!$A$2:$C$38,3,0),8))</f>
        <v>8</v>
      </c>
      <c r="BG625" s="97">
        <f>IF(OR(AY625="SÁB",AY625="DOM"),0,IFERROR(8-VLOOKUP(J625,'Dados de consulta'!$A$2:$C$38,3,0),8))</f>
        <v>8</v>
      </c>
      <c r="BH625" s="97">
        <f>IF(OR(AY625="SÁB",AY625="DOM"),0,IFERROR(8-VLOOKUP(K625,'Dados de consulta'!$A$2:$C$38,3,0),8))</f>
        <v>0</v>
      </c>
      <c r="BI625" s="97">
        <f>IF(OR(AY625="SÁB",AY625="DOM"),0,IFERROR(8-VLOOKUP(L625,'Dados de consulta'!$A$2:$C$38,3,0),8))</f>
        <v>8</v>
      </c>
      <c r="BJ625" s="97">
        <f>IF(OR(AY625="SÁB",AY625="DOM"),0,IFERROR(8-VLOOKUP(M625,'Dados de consulta'!$A$2:$C$38,3,0),8))</f>
        <v>0</v>
      </c>
      <c r="BK625" s="97">
        <f>IF(OR(AY625="SÁB",AY625="DOM"),0,IFERROR(8-VLOOKUP(N625,'Dados de consulta'!$A$2:$C$38,3,0),8))</f>
        <v>8</v>
      </c>
      <c r="BL625" s="97">
        <f>IF(OR(AY625="SÁB",AY625="DOM"),0,IFERROR(8-VLOOKUP(O625,'Dados de consulta'!$A$2:$C$38,3,0),8))</f>
        <v>8</v>
      </c>
      <c r="BM625" s="97">
        <f>IF(OR(AY625="SÁB",AY625="DOM"),0,IFERROR(8-VLOOKUP(P625,'Dados de consulta'!$A$2:$C$38,3,0),8))</f>
        <v>8</v>
      </c>
      <c r="BN625" s="97">
        <f>IF(OR(AY625="SÁB",AY625="DOM"),0,IFERROR(8-VLOOKUP(Q625,'Dados de consulta'!$A$2:$C$38,3,0),8))</f>
        <v>8</v>
      </c>
      <c r="BO625" s="97">
        <f>IF(OR(AY625="SÁB",AY625="DOM"),0,IFERROR(8-VLOOKUP(R625,'Dados de consulta'!$A$2:$C$38,3,0),8))</f>
        <v>8</v>
      </c>
      <c r="BP625" s="97">
        <f>IF(OR(AY625="SÁB",AY625="DOM"),0,IFERROR(8-VLOOKUP(S625,'Dados de consulta'!$A$2:$C$38,3,0),8))</f>
        <v>8</v>
      </c>
      <c r="BQ625" s="113">
        <f>IFERROR(6-VLOOKUP(T625,'Dados de consulta'!$A$2:$C$38,3,0)+2,6)</f>
        <v>6</v>
      </c>
      <c r="BR625" s="114">
        <f t="shared" si="258"/>
        <v>126</v>
      </c>
      <c r="BS625">
        <f t="shared" si="234"/>
        <v>134</v>
      </c>
      <c r="BU625">
        <f>IFERROR(8-VLOOKUP(U625,'Dados de consulta'!$A:$D,3,0),8)</f>
        <v>8</v>
      </c>
      <c r="BV625">
        <f>IFERROR(8-VLOOKUP(V625,'Dados de consulta'!$A:$D,3,0),8)</f>
        <v>8</v>
      </c>
      <c r="BW625">
        <f t="shared" si="259"/>
        <v>16</v>
      </c>
    </row>
    <row r="626" spans="1:75" ht="15" hidden="1" x14ac:dyDescent="0.2">
      <c r="A626" s="98">
        <v>42749</v>
      </c>
      <c r="B626" s="129" t="str">
        <f t="shared" si="236"/>
        <v>sáb</v>
      </c>
      <c r="C626" s="132"/>
      <c r="D626" s="132"/>
      <c r="E626" s="132"/>
      <c r="F626" s="132"/>
      <c r="G626" s="132"/>
      <c r="H626" s="132"/>
      <c r="I626" s="132"/>
      <c r="J626" s="132"/>
      <c r="K626" s="132">
        <v>18</v>
      </c>
      <c r="L626" s="132"/>
      <c r="M626" s="132">
        <v>101</v>
      </c>
      <c r="N626" s="132"/>
      <c r="O626" s="132"/>
      <c r="P626" s="132"/>
      <c r="Q626" s="132"/>
      <c r="R626" s="132"/>
      <c r="S626" s="132"/>
      <c r="T626" s="132"/>
      <c r="U626" s="151"/>
      <c r="V626" s="151"/>
      <c r="W626" s="307" t="s">
        <v>193</v>
      </c>
      <c r="X626" s="308"/>
      <c r="Y626" s="38">
        <f t="shared" si="237"/>
        <v>0</v>
      </c>
      <c r="Z626" s="38">
        <f t="shared" si="238"/>
        <v>8</v>
      </c>
      <c r="AA626" s="38">
        <f t="shared" si="235"/>
        <v>0</v>
      </c>
      <c r="AB626" s="38">
        <f t="shared" si="246"/>
        <v>0</v>
      </c>
      <c r="AC626" s="38">
        <f t="shared" si="247"/>
        <v>0</v>
      </c>
      <c r="AD626" s="38">
        <f t="shared" si="248"/>
        <v>0</v>
      </c>
      <c r="AE626" s="38">
        <f t="shared" si="249"/>
        <v>0</v>
      </c>
      <c r="AF626" s="38">
        <f t="shared" si="250"/>
        <v>0</v>
      </c>
      <c r="AG626" s="33">
        <f t="shared" si="251"/>
        <v>0</v>
      </c>
      <c r="AH626" s="33">
        <f t="shared" si="252"/>
        <v>0</v>
      </c>
      <c r="AI626" s="33">
        <f t="shared" si="253"/>
        <v>0</v>
      </c>
      <c r="AJ626" s="33">
        <f t="shared" si="254"/>
        <v>0</v>
      </c>
      <c r="AK626" s="34">
        <f t="shared" si="255"/>
        <v>0</v>
      </c>
      <c r="AL626" s="35">
        <f t="shared" si="256"/>
        <v>0</v>
      </c>
      <c r="AM626" s="34">
        <f t="shared" si="239"/>
        <v>0</v>
      </c>
      <c r="AN626" s="36">
        <f t="shared" si="257"/>
        <v>0</v>
      </c>
      <c r="AO626" s="6">
        <f t="shared" si="240"/>
        <v>0</v>
      </c>
      <c r="AP626">
        <f t="shared" si="241"/>
        <v>8</v>
      </c>
      <c r="AQ626" s="6">
        <f t="shared" si="242"/>
        <v>0</v>
      </c>
      <c r="AR626" s="6">
        <f t="shared" si="243"/>
        <v>0</v>
      </c>
      <c r="AS626" s="6"/>
      <c r="AX626" s="95">
        <f t="shared" si="244"/>
        <v>42749</v>
      </c>
      <c r="AY626" s="96" t="str">
        <f t="shared" si="245"/>
        <v>sáb</v>
      </c>
      <c r="AZ626" s="97">
        <f>IF(OR(AY626="SÁB",AY626="DOM"),0,IFERROR(8-VLOOKUP(C626,'Dados de consulta'!$A$2:$C$38,3,0),8))</f>
        <v>0</v>
      </c>
      <c r="BA626" s="97">
        <f>IF(OR(AY626="SÁB",AY626="DOM"),0,IFERROR(8-VLOOKUP(D626,'Dados de consulta'!$A$2:$C$38,3,0),8))</f>
        <v>0</v>
      </c>
      <c r="BB626" s="97">
        <f>IF(OR(AY626="SÁB",AY626="DOM"),0,IFERROR(8-VLOOKUP(E626,'Dados de consulta'!$A$2:$C$38,3,0),8))</f>
        <v>0</v>
      </c>
      <c r="BC626" s="97">
        <f>IF(OR(AY626="SÁB",AY626="DOM"),0,IFERROR(8-VLOOKUP(F626,'Dados de consulta'!$A$2:$C$38,3,0),8))</f>
        <v>0</v>
      </c>
      <c r="BD626" s="97">
        <f>IF(OR(AY626="SÁB",AY626="DOM"),0,IFERROR(8-VLOOKUP(G626,'Dados de consulta'!$A$2:$C$38,3,0),8))</f>
        <v>0</v>
      </c>
      <c r="BE626" s="97">
        <f>IF(OR(AY626="SÁB",AY626="DOM"),0,IFERROR(8-VLOOKUP(H626,'Dados de consulta'!$A$2:$C$38,3,0),8))</f>
        <v>0</v>
      </c>
      <c r="BF626" s="97">
        <f>IF(OR(AY626="SÁB",AY626="DOM"),0,IFERROR(8-VLOOKUP(I626,'Dados de consulta'!$A$2:$C$38,3,0),8))</f>
        <v>0</v>
      </c>
      <c r="BG626" s="97">
        <f>IF(OR(AY626="SÁB",AY626="DOM"),0,IFERROR(8-VLOOKUP(J626,'Dados de consulta'!$A$2:$C$38,3,0),8))</f>
        <v>0</v>
      </c>
      <c r="BH626" s="97">
        <f>IF(OR(AY626="SÁB",AY626="DOM"),0,IFERROR(8-VLOOKUP(K626,'Dados de consulta'!$A$2:$C$38,3,0),8))</f>
        <v>0</v>
      </c>
      <c r="BI626" s="97">
        <f>IF(OR(AY626="SÁB",AY626="DOM"),0,IFERROR(8-VLOOKUP(L626,'Dados de consulta'!$A$2:$C$38,3,0),8))</f>
        <v>0</v>
      </c>
      <c r="BJ626" s="97">
        <f>IF(OR(AY626="SÁB",AY626="DOM"),0,IFERROR(8-VLOOKUP(M626,'Dados de consulta'!$A$2:$C$38,3,0),8))</f>
        <v>0</v>
      </c>
      <c r="BK626" s="97">
        <f>IF(OR(AY626="SÁB",AY626="DOM"),0,IFERROR(8-VLOOKUP(N626,'Dados de consulta'!$A$2:$C$38,3,0),8))</f>
        <v>0</v>
      </c>
      <c r="BL626" s="97">
        <f>IF(OR(AY626="SÁB",AY626="DOM"),0,IFERROR(8-VLOOKUP(O626,'Dados de consulta'!$A$2:$C$38,3,0),8))</f>
        <v>0</v>
      </c>
      <c r="BM626" s="97">
        <f>IF(OR(AY626="SÁB",AY626="DOM"),0,IFERROR(8-VLOOKUP(P626,'Dados de consulta'!$A$2:$C$38,3,0),8))</f>
        <v>0</v>
      </c>
      <c r="BN626" s="97">
        <f>IF(OR(AY626="SÁB",AY626="DOM"),0,IFERROR(8-VLOOKUP(Q626,'Dados de consulta'!$A$2:$C$38,3,0),8))</f>
        <v>0</v>
      </c>
      <c r="BO626" s="97">
        <f>IF(OR(AY626="SÁB",AY626="DOM"),0,IFERROR(8-VLOOKUP(R626,'Dados de consulta'!$A$2:$C$38,3,0),8))</f>
        <v>0</v>
      </c>
      <c r="BP626" s="97">
        <f>IF(OR(AY626="SÁB",AY626="DOM"),0,IFERROR(8-VLOOKUP(S626,'Dados de consulta'!$A$2:$C$38,3,0),8))</f>
        <v>0</v>
      </c>
      <c r="BQ626" s="113">
        <f>IFERROR(6-VLOOKUP(T626,'Dados de consulta'!$A$2:$C$38,3,0)+2,6)</f>
        <v>6</v>
      </c>
      <c r="BR626" s="114">
        <f t="shared" si="258"/>
        <v>0</v>
      </c>
      <c r="BS626">
        <f t="shared" si="234"/>
        <v>0</v>
      </c>
      <c r="BU626">
        <f>IFERROR(8-VLOOKUP(U626,'Dados de consulta'!$A:$D,3,0),8)</f>
        <v>8</v>
      </c>
      <c r="BV626">
        <f>IFERROR(8-VLOOKUP(V626,'Dados de consulta'!$A:$D,3,0),8)</f>
        <v>8</v>
      </c>
      <c r="BW626">
        <f t="shared" si="259"/>
        <v>16</v>
      </c>
    </row>
    <row r="627" spans="1:75" ht="15" hidden="1" x14ac:dyDescent="0.2">
      <c r="A627" s="98">
        <v>42750</v>
      </c>
      <c r="B627" s="129" t="str">
        <f t="shared" si="236"/>
        <v>dom</v>
      </c>
      <c r="C627" s="132"/>
      <c r="D627" s="132"/>
      <c r="E627" s="132"/>
      <c r="F627" s="132"/>
      <c r="G627" s="132"/>
      <c r="H627" s="132"/>
      <c r="I627" s="132"/>
      <c r="J627" s="132"/>
      <c r="K627" s="132">
        <v>18</v>
      </c>
      <c r="L627" s="132"/>
      <c r="M627" s="132">
        <v>101</v>
      </c>
      <c r="N627" s="132"/>
      <c r="O627" s="132"/>
      <c r="P627" s="132"/>
      <c r="Q627" s="132"/>
      <c r="R627" s="132"/>
      <c r="S627" s="132"/>
      <c r="T627" s="132"/>
      <c r="U627" s="151"/>
      <c r="V627" s="151"/>
      <c r="W627" s="307" t="s">
        <v>193</v>
      </c>
      <c r="X627" s="308"/>
      <c r="Y627" s="38">
        <f t="shared" si="237"/>
        <v>0</v>
      </c>
      <c r="Z627" s="38">
        <f t="shared" si="238"/>
        <v>8</v>
      </c>
      <c r="AA627" s="38">
        <f t="shared" si="235"/>
        <v>0</v>
      </c>
      <c r="AB627" s="38">
        <f t="shared" si="246"/>
        <v>0</v>
      </c>
      <c r="AC627" s="38">
        <f t="shared" si="247"/>
        <v>0</v>
      </c>
      <c r="AD627" s="38">
        <f t="shared" si="248"/>
        <v>0</v>
      </c>
      <c r="AE627" s="38">
        <f t="shared" si="249"/>
        <v>0</v>
      </c>
      <c r="AF627" s="38">
        <f t="shared" si="250"/>
        <v>0</v>
      </c>
      <c r="AG627" s="33">
        <f t="shared" si="251"/>
        <v>0</v>
      </c>
      <c r="AH627" s="33">
        <f t="shared" si="252"/>
        <v>0</v>
      </c>
      <c r="AI627" s="33">
        <f t="shared" si="253"/>
        <v>0</v>
      </c>
      <c r="AJ627" s="33">
        <f t="shared" si="254"/>
        <v>0</v>
      </c>
      <c r="AK627" s="34">
        <f t="shared" si="255"/>
        <v>0</v>
      </c>
      <c r="AL627" s="35">
        <f t="shared" si="256"/>
        <v>0</v>
      </c>
      <c r="AM627" s="34">
        <f t="shared" si="239"/>
        <v>0</v>
      </c>
      <c r="AN627" s="36">
        <f t="shared" si="257"/>
        <v>0</v>
      </c>
      <c r="AO627" s="6">
        <f t="shared" si="240"/>
        <v>0</v>
      </c>
      <c r="AP627">
        <f t="shared" si="241"/>
        <v>8</v>
      </c>
      <c r="AQ627" s="6">
        <f t="shared" si="242"/>
        <v>0</v>
      </c>
      <c r="AR627" s="6">
        <f t="shared" si="243"/>
        <v>0</v>
      </c>
      <c r="AS627" s="6"/>
      <c r="AX627" s="95">
        <f t="shared" si="244"/>
        <v>42750</v>
      </c>
      <c r="AY627" s="96" t="str">
        <f t="shared" si="245"/>
        <v>dom</v>
      </c>
      <c r="AZ627" s="97">
        <f>IF(OR(AY627="SÁB",AY627="DOM"),0,IFERROR(8-VLOOKUP(C627,'Dados de consulta'!$A$2:$C$38,3,0),8))</f>
        <v>0</v>
      </c>
      <c r="BA627" s="97">
        <f>IF(OR(AY627="SÁB",AY627="DOM"),0,IFERROR(8-VLOOKUP(D627,'Dados de consulta'!$A$2:$C$38,3,0),8))</f>
        <v>0</v>
      </c>
      <c r="BB627" s="97">
        <f>IF(OR(AY627="SÁB",AY627="DOM"),0,IFERROR(8-VLOOKUP(E627,'Dados de consulta'!$A$2:$C$38,3,0),8))</f>
        <v>0</v>
      </c>
      <c r="BC627" s="97">
        <f>IF(OR(AY627="SÁB",AY627="DOM"),0,IFERROR(8-VLOOKUP(F627,'Dados de consulta'!$A$2:$C$38,3,0),8))</f>
        <v>0</v>
      </c>
      <c r="BD627" s="97">
        <f>IF(OR(AY627="SÁB",AY627="DOM"),0,IFERROR(8-VLOOKUP(G627,'Dados de consulta'!$A$2:$C$38,3,0),8))</f>
        <v>0</v>
      </c>
      <c r="BE627" s="97">
        <f>IF(OR(AY627="SÁB",AY627="DOM"),0,IFERROR(8-VLOOKUP(H627,'Dados de consulta'!$A$2:$C$38,3,0),8))</f>
        <v>0</v>
      </c>
      <c r="BF627" s="97">
        <f>IF(OR(AY627="SÁB",AY627="DOM"),0,IFERROR(8-VLOOKUP(I627,'Dados de consulta'!$A$2:$C$38,3,0),8))</f>
        <v>0</v>
      </c>
      <c r="BG627" s="97">
        <f>IF(OR(AY627="SÁB",AY627="DOM"),0,IFERROR(8-VLOOKUP(J627,'Dados de consulta'!$A$2:$C$38,3,0),8))</f>
        <v>0</v>
      </c>
      <c r="BH627" s="97">
        <f>IF(OR(AY627="SÁB",AY627="DOM"),0,IFERROR(8-VLOOKUP(K627,'Dados de consulta'!$A$2:$C$38,3,0),8))</f>
        <v>0</v>
      </c>
      <c r="BI627" s="97">
        <f>IF(OR(AY627="SÁB",AY627="DOM"),0,IFERROR(8-VLOOKUP(L627,'Dados de consulta'!$A$2:$C$38,3,0),8))</f>
        <v>0</v>
      </c>
      <c r="BJ627" s="97">
        <f>IF(OR(AY627="SÁB",AY627="DOM"),0,IFERROR(8-VLOOKUP(M627,'Dados de consulta'!$A$2:$C$38,3,0),8))</f>
        <v>0</v>
      </c>
      <c r="BK627" s="97">
        <f>IF(OR(AY627="SÁB",AY627="DOM"),0,IFERROR(8-VLOOKUP(N627,'Dados de consulta'!$A$2:$C$38,3,0),8))</f>
        <v>0</v>
      </c>
      <c r="BL627" s="97">
        <f>IF(OR(AY627="SÁB",AY627="DOM"),0,IFERROR(8-VLOOKUP(O627,'Dados de consulta'!$A$2:$C$38,3,0),8))</f>
        <v>0</v>
      </c>
      <c r="BM627" s="97">
        <f>IF(OR(AY627="SÁB",AY627="DOM"),0,IFERROR(8-VLOOKUP(P627,'Dados de consulta'!$A$2:$C$38,3,0),8))</f>
        <v>0</v>
      </c>
      <c r="BN627" s="97">
        <f>IF(OR(AY627="SÁB",AY627="DOM"),0,IFERROR(8-VLOOKUP(Q627,'Dados de consulta'!$A$2:$C$38,3,0),8))</f>
        <v>0</v>
      </c>
      <c r="BO627" s="97">
        <f>IF(OR(AY627="SÁB",AY627="DOM"),0,IFERROR(8-VLOOKUP(R627,'Dados de consulta'!$A$2:$C$38,3,0),8))</f>
        <v>0</v>
      </c>
      <c r="BP627" s="97">
        <f>IF(OR(AY627="SÁB",AY627="DOM"),0,IFERROR(8-VLOOKUP(S627,'Dados de consulta'!$A$2:$C$38,3,0),8))</f>
        <v>0</v>
      </c>
      <c r="BQ627" s="113">
        <f>IFERROR(6-VLOOKUP(T627,'Dados de consulta'!$A$2:$C$38,3,0)+2,6)</f>
        <v>6</v>
      </c>
      <c r="BR627" s="114">
        <f t="shared" si="258"/>
        <v>0</v>
      </c>
      <c r="BS627">
        <f t="shared" si="234"/>
        <v>0</v>
      </c>
      <c r="BU627">
        <f>IFERROR(8-VLOOKUP(U627,'Dados de consulta'!$A:$D,3,0),8)</f>
        <v>8</v>
      </c>
      <c r="BV627">
        <f>IFERROR(8-VLOOKUP(V627,'Dados de consulta'!$A:$D,3,0),8)</f>
        <v>8</v>
      </c>
      <c r="BW627">
        <f t="shared" si="259"/>
        <v>16</v>
      </c>
    </row>
    <row r="628" spans="1:75" ht="15" hidden="1" x14ac:dyDescent="0.2">
      <c r="A628" s="98">
        <v>42751</v>
      </c>
      <c r="B628" s="129" t="str">
        <f t="shared" si="236"/>
        <v>seg</v>
      </c>
      <c r="C628" s="132"/>
      <c r="D628" s="132"/>
      <c r="E628" s="132"/>
      <c r="F628" s="132"/>
      <c r="G628" s="132"/>
      <c r="H628" s="132"/>
      <c r="I628" s="132"/>
      <c r="J628" s="132"/>
      <c r="K628" s="132">
        <v>18</v>
      </c>
      <c r="L628" s="132"/>
      <c r="M628" s="132">
        <v>101</v>
      </c>
      <c r="N628" s="132"/>
      <c r="O628" s="132"/>
      <c r="P628" s="132"/>
      <c r="Q628" s="132"/>
      <c r="R628" s="132"/>
      <c r="S628" s="132"/>
      <c r="T628" s="132"/>
      <c r="U628" s="151"/>
      <c r="V628" s="151"/>
      <c r="W628" s="307" t="s">
        <v>193</v>
      </c>
      <c r="X628" s="308"/>
      <c r="Y628" s="38">
        <f t="shared" si="237"/>
        <v>0</v>
      </c>
      <c r="Z628" s="38">
        <f t="shared" si="238"/>
        <v>8</v>
      </c>
      <c r="AA628" s="38">
        <f t="shared" si="235"/>
        <v>0</v>
      </c>
      <c r="AB628" s="38">
        <f t="shared" si="246"/>
        <v>0</v>
      </c>
      <c r="AC628" s="38">
        <f t="shared" si="247"/>
        <v>0</v>
      </c>
      <c r="AD628" s="38">
        <f t="shared" si="248"/>
        <v>0</v>
      </c>
      <c r="AE628" s="38">
        <f t="shared" si="249"/>
        <v>0</v>
      </c>
      <c r="AF628" s="38">
        <f t="shared" si="250"/>
        <v>0</v>
      </c>
      <c r="AG628" s="33">
        <f t="shared" si="251"/>
        <v>0</v>
      </c>
      <c r="AH628" s="33">
        <f t="shared" si="252"/>
        <v>8</v>
      </c>
      <c r="AI628" s="33">
        <f t="shared" si="253"/>
        <v>0</v>
      </c>
      <c r="AJ628" s="33">
        <f t="shared" si="254"/>
        <v>0</v>
      </c>
      <c r="AK628" s="34">
        <f t="shared" si="255"/>
        <v>0</v>
      </c>
      <c r="AL628" s="35">
        <f t="shared" si="256"/>
        <v>5.6338028169014086E-2</v>
      </c>
      <c r="AM628" s="34">
        <f t="shared" si="239"/>
        <v>0</v>
      </c>
      <c r="AN628" s="36">
        <f t="shared" si="257"/>
        <v>0</v>
      </c>
      <c r="AO628" s="6">
        <f t="shared" si="240"/>
        <v>0</v>
      </c>
      <c r="AP628">
        <f t="shared" si="241"/>
        <v>8</v>
      </c>
      <c r="AQ628" s="6">
        <f t="shared" si="242"/>
        <v>0</v>
      </c>
      <c r="AR628" s="6">
        <f t="shared" si="243"/>
        <v>0</v>
      </c>
      <c r="AS628" s="6"/>
      <c r="AX628" s="95">
        <f t="shared" si="244"/>
        <v>42751</v>
      </c>
      <c r="AY628" s="96" t="str">
        <f t="shared" si="245"/>
        <v>seg</v>
      </c>
      <c r="AZ628" s="97">
        <f>IF(OR(AY628="SÁB",AY628="DOM"),0,IFERROR(8-VLOOKUP(C628,'Dados de consulta'!$A$2:$C$38,3,0),8))</f>
        <v>8</v>
      </c>
      <c r="BA628" s="97">
        <f>IF(OR(AY628="SÁB",AY628="DOM"),0,IFERROR(8-VLOOKUP(D628,'Dados de consulta'!$A$2:$C$38,3,0),8))</f>
        <v>8</v>
      </c>
      <c r="BB628" s="97">
        <f>IF(OR(AY628="SÁB",AY628="DOM"),0,IFERROR(8-VLOOKUP(E628,'Dados de consulta'!$A$2:$C$38,3,0),8))</f>
        <v>8</v>
      </c>
      <c r="BC628" s="97">
        <f>IF(OR(AY628="SÁB",AY628="DOM"),0,IFERROR(8-VLOOKUP(F628,'Dados de consulta'!$A$2:$C$38,3,0),8))</f>
        <v>8</v>
      </c>
      <c r="BD628" s="97">
        <f>IF(OR(AY628="SÁB",AY628="DOM"),0,IFERROR(8-VLOOKUP(G628,'Dados de consulta'!$A$2:$C$38,3,0),8))</f>
        <v>8</v>
      </c>
      <c r="BE628" s="97">
        <f>IF(OR(AY628="SÁB",AY628="DOM"),0,IFERROR(8-VLOOKUP(H628,'Dados de consulta'!$A$2:$C$38,3,0),8))</f>
        <v>8</v>
      </c>
      <c r="BF628" s="97">
        <f>IF(OR(AY628="SÁB",AY628="DOM"),0,IFERROR(8-VLOOKUP(I628,'Dados de consulta'!$A$2:$C$38,3,0),8))</f>
        <v>8</v>
      </c>
      <c r="BG628" s="97">
        <f>IF(OR(AY628="SÁB",AY628="DOM"),0,IFERROR(8-VLOOKUP(J628,'Dados de consulta'!$A$2:$C$38,3,0),8))</f>
        <v>8</v>
      </c>
      <c r="BH628" s="97">
        <f>IF(OR(AY628="SÁB",AY628="DOM"),0,IFERROR(8-VLOOKUP(K628,'Dados de consulta'!$A$2:$C$38,3,0),8))</f>
        <v>0</v>
      </c>
      <c r="BI628" s="97">
        <f>IF(OR(AY628="SÁB",AY628="DOM"),0,IFERROR(8-VLOOKUP(L628,'Dados de consulta'!$A$2:$C$38,3,0),8))</f>
        <v>8</v>
      </c>
      <c r="BJ628" s="97">
        <f>IF(OR(AY628="SÁB",AY628="DOM"),0,IFERROR(8-VLOOKUP(M628,'Dados de consulta'!$A$2:$C$38,3,0),8))</f>
        <v>0</v>
      </c>
      <c r="BK628" s="97">
        <f>IF(OR(AY628="SÁB",AY628="DOM"),0,IFERROR(8-VLOOKUP(N628,'Dados de consulta'!$A$2:$C$38,3,0),8))</f>
        <v>8</v>
      </c>
      <c r="BL628" s="97">
        <f>IF(OR(AY628="SÁB",AY628="DOM"),0,IFERROR(8-VLOOKUP(O628,'Dados de consulta'!$A$2:$C$38,3,0),8))</f>
        <v>8</v>
      </c>
      <c r="BM628" s="97">
        <f>IF(OR(AY628="SÁB",AY628="DOM"),0,IFERROR(8-VLOOKUP(P628,'Dados de consulta'!$A$2:$C$38,3,0),8))</f>
        <v>8</v>
      </c>
      <c r="BN628" s="97">
        <f>IF(OR(AY628="SÁB",AY628="DOM"),0,IFERROR(8-VLOOKUP(Q628,'Dados de consulta'!$A$2:$C$38,3,0),8))</f>
        <v>8</v>
      </c>
      <c r="BO628" s="97">
        <f>IF(OR(AY628="SÁB",AY628="DOM"),0,IFERROR(8-VLOOKUP(R628,'Dados de consulta'!$A$2:$C$38,3,0),8))</f>
        <v>8</v>
      </c>
      <c r="BP628" s="97">
        <f>IF(OR(AY628="SÁB",AY628="DOM"),0,IFERROR(8-VLOOKUP(S628,'Dados de consulta'!$A$2:$C$38,3,0),8))</f>
        <v>8</v>
      </c>
      <c r="BQ628" s="113">
        <f>IFERROR(6-VLOOKUP(T628,'Dados de consulta'!$A$2:$C$38,3,0)+2,6)</f>
        <v>6</v>
      </c>
      <c r="BR628" s="114">
        <f t="shared" si="258"/>
        <v>126</v>
      </c>
      <c r="BS628">
        <f t="shared" si="234"/>
        <v>134</v>
      </c>
      <c r="BU628">
        <f>IFERROR(8-VLOOKUP(U628,'Dados de consulta'!$A:$D,3,0),8)</f>
        <v>8</v>
      </c>
      <c r="BV628">
        <f>IFERROR(8-VLOOKUP(V628,'Dados de consulta'!$A:$D,3,0),8)</f>
        <v>8</v>
      </c>
      <c r="BW628">
        <f t="shared" si="259"/>
        <v>16</v>
      </c>
    </row>
    <row r="629" spans="1:75" ht="15" hidden="1" x14ac:dyDescent="0.2">
      <c r="A629" s="98">
        <v>42752</v>
      </c>
      <c r="B629" s="129" t="str">
        <f t="shared" si="236"/>
        <v>ter</v>
      </c>
      <c r="C629" s="132"/>
      <c r="D629" s="132"/>
      <c r="E629" s="132"/>
      <c r="F629" s="132"/>
      <c r="G629" s="132"/>
      <c r="H629" s="132"/>
      <c r="I629" s="132"/>
      <c r="J629" s="132"/>
      <c r="K629" s="132">
        <v>18</v>
      </c>
      <c r="L629" s="132"/>
      <c r="M629" s="132">
        <v>101</v>
      </c>
      <c r="N629" s="132"/>
      <c r="O629" s="132"/>
      <c r="P629" s="132"/>
      <c r="Q629" s="132"/>
      <c r="R629" s="132"/>
      <c r="S629" s="132"/>
      <c r="T629" s="132"/>
      <c r="U629" s="151"/>
      <c r="V629" s="151"/>
      <c r="W629" s="307" t="s">
        <v>193</v>
      </c>
      <c r="X629" s="308"/>
      <c r="Y629" s="38">
        <f t="shared" si="237"/>
        <v>0</v>
      </c>
      <c r="Z629" s="38">
        <f t="shared" si="238"/>
        <v>8</v>
      </c>
      <c r="AA629" s="38">
        <f t="shared" si="235"/>
        <v>0</v>
      </c>
      <c r="AB629" s="38">
        <f t="shared" si="246"/>
        <v>0</v>
      </c>
      <c r="AC629" s="38">
        <f t="shared" si="247"/>
        <v>0</v>
      </c>
      <c r="AD629" s="38">
        <f t="shared" si="248"/>
        <v>0</v>
      </c>
      <c r="AE629" s="38">
        <f t="shared" si="249"/>
        <v>0</v>
      </c>
      <c r="AF629" s="38">
        <f t="shared" si="250"/>
        <v>0</v>
      </c>
      <c r="AG629" s="33">
        <f t="shared" si="251"/>
        <v>0</v>
      </c>
      <c r="AH629" s="33">
        <f t="shared" si="252"/>
        <v>8</v>
      </c>
      <c r="AI629" s="33">
        <f t="shared" si="253"/>
        <v>0</v>
      </c>
      <c r="AJ629" s="33">
        <f t="shared" si="254"/>
        <v>0</v>
      </c>
      <c r="AK629" s="34">
        <f t="shared" si="255"/>
        <v>0</v>
      </c>
      <c r="AL629" s="35">
        <f t="shared" si="256"/>
        <v>5.6338028169014086E-2</v>
      </c>
      <c r="AM629" s="34">
        <f t="shared" si="239"/>
        <v>0</v>
      </c>
      <c r="AN629" s="36">
        <f t="shared" si="257"/>
        <v>0</v>
      </c>
      <c r="AO629" s="6">
        <f t="shared" si="240"/>
        <v>0</v>
      </c>
      <c r="AP629">
        <f t="shared" si="241"/>
        <v>8</v>
      </c>
      <c r="AQ629" s="6">
        <f t="shared" si="242"/>
        <v>0</v>
      </c>
      <c r="AR629" s="6">
        <f t="shared" si="243"/>
        <v>0</v>
      </c>
      <c r="AS629" s="6"/>
      <c r="AX629" s="95">
        <f t="shared" si="244"/>
        <v>42752</v>
      </c>
      <c r="AY629" s="96" t="str">
        <f t="shared" si="245"/>
        <v>ter</v>
      </c>
      <c r="AZ629" s="97">
        <f>IF(OR(AY629="SÁB",AY629="DOM"),0,IFERROR(8-VLOOKUP(C629,'Dados de consulta'!$A$2:$C$38,3,0),8))</f>
        <v>8</v>
      </c>
      <c r="BA629" s="97">
        <f>IF(OR(AY629="SÁB",AY629="DOM"),0,IFERROR(8-VLOOKUP(D629,'Dados de consulta'!$A$2:$C$38,3,0),8))</f>
        <v>8</v>
      </c>
      <c r="BB629" s="97">
        <f>IF(OR(AY629="SÁB",AY629="DOM"),0,IFERROR(8-VLOOKUP(E629,'Dados de consulta'!$A$2:$C$38,3,0),8))</f>
        <v>8</v>
      </c>
      <c r="BC629" s="97">
        <f>IF(OR(AY629="SÁB",AY629="DOM"),0,IFERROR(8-VLOOKUP(F629,'Dados de consulta'!$A$2:$C$38,3,0),8))</f>
        <v>8</v>
      </c>
      <c r="BD629" s="97">
        <f>IF(OR(AY629="SÁB",AY629="DOM"),0,IFERROR(8-VLOOKUP(G629,'Dados de consulta'!$A$2:$C$38,3,0),8))</f>
        <v>8</v>
      </c>
      <c r="BE629" s="97">
        <f>IF(OR(AY629="SÁB",AY629="DOM"),0,IFERROR(8-VLOOKUP(H629,'Dados de consulta'!$A$2:$C$38,3,0),8))</f>
        <v>8</v>
      </c>
      <c r="BF629" s="97">
        <f>IF(OR(AY629="SÁB",AY629="DOM"),0,IFERROR(8-VLOOKUP(I629,'Dados de consulta'!$A$2:$C$38,3,0),8))</f>
        <v>8</v>
      </c>
      <c r="BG629" s="97">
        <f>IF(OR(AY629="SÁB",AY629="DOM"),0,IFERROR(8-VLOOKUP(J629,'Dados de consulta'!$A$2:$C$38,3,0),8))</f>
        <v>8</v>
      </c>
      <c r="BH629" s="97">
        <f>IF(OR(AY629="SÁB",AY629="DOM"),0,IFERROR(8-VLOOKUP(K629,'Dados de consulta'!$A$2:$C$38,3,0),8))</f>
        <v>0</v>
      </c>
      <c r="BI629" s="97">
        <f>IF(OR(AY629="SÁB",AY629="DOM"),0,IFERROR(8-VLOOKUP(L629,'Dados de consulta'!$A$2:$C$38,3,0),8))</f>
        <v>8</v>
      </c>
      <c r="BJ629" s="97">
        <f>IF(OR(AY629="SÁB",AY629="DOM"),0,IFERROR(8-VLOOKUP(M629,'Dados de consulta'!$A$2:$C$38,3,0),8))</f>
        <v>0</v>
      </c>
      <c r="BK629" s="97">
        <f>IF(OR(AY629="SÁB",AY629="DOM"),0,IFERROR(8-VLOOKUP(N629,'Dados de consulta'!$A$2:$C$38,3,0),8))</f>
        <v>8</v>
      </c>
      <c r="BL629" s="97">
        <f>IF(OR(AY629="SÁB",AY629="DOM"),0,IFERROR(8-VLOOKUP(O629,'Dados de consulta'!$A$2:$C$38,3,0),8))</f>
        <v>8</v>
      </c>
      <c r="BM629" s="97">
        <f>IF(OR(AY629="SÁB",AY629="DOM"),0,IFERROR(8-VLOOKUP(P629,'Dados de consulta'!$A$2:$C$38,3,0),8))</f>
        <v>8</v>
      </c>
      <c r="BN629" s="97">
        <f>IF(OR(AY629="SÁB",AY629="DOM"),0,IFERROR(8-VLOOKUP(Q629,'Dados de consulta'!$A$2:$C$38,3,0),8))</f>
        <v>8</v>
      </c>
      <c r="BO629" s="97">
        <f>IF(OR(AY629="SÁB",AY629="DOM"),0,IFERROR(8-VLOOKUP(R629,'Dados de consulta'!$A$2:$C$38,3,0),8))</f>
        <v>8</v>
      </c>
      <c r="BP629" s="97">
        <f>IF(OR(AY629="SÁB",AY629="DOM"),0,IFERROR(8-VLOOKUP(S629,'Dados de consulta'!$A$2:$C$38,3,0),8))</f>
        <v>8</v>
      </c>
      <c r="BQ629" s="113">
        <f>IFERROR(6-VLOOKUP(T629,'Dados de consulta'!$A$2:$C$38,3,0)+2,6)</f>
        <v>6</v>
      </c>
      <c r="BR629" s="114">
        <f t="shared" si="258"/>
        <v>126</v>
      </c>
      <c r="BS629">
        <f t="shared" si="234"/>
        <v>134</v>
      </c>
      <c r="BU629">
        <f>IFERROR(8-VLOOKUP(U629,'Dados de consulta'!$A:$D,3,0),8)</f>
        <v>8</v>
      </c>
      <c r="BV629">
        <f>IFERROR(8-VLOOKUP(V629,'Dados de consulta'!$A:$D,3,0),8)</f>
        <v>8</v>
      </c>
      <c r="BW629">
        <f t="shared" si="259"/>
        <v>16</v>
      </c>
    </row>
    <row r="630" spans="1:75" ht="15" hidden="1" x14ac:dyDescent="0.2">
      <c r="A630" s="98">
        <v>42753</v>
      </c>
      <c r="B630" s="129" t="str">
        <f t="shared" si="236"/>
        <v>qua</v>
      </c>
      <c r="C630" s="132"/>
      <c r="D630" s="132"/>
      <c r="E630" s="132"/>
      <c r="F630" s="132"/>
      <c r="G630" s="132"/>
      <c r="H630" s="132"/>
      <c r="I630" s="132"/>
      <c r="J630" s="132"/>
      <c r="K630" s="132">
        <v>18</v>
      </c>
      <c r="L630" s="132"/>
      <c r="M630" s="132">
        <v>101</v>
      </c>
      <c r="N630" s="132"/>
      <c r="O630" s="132"/>
      <c r="P630" s="132"/>
      <c r="Q630" s="132"/>
      <c r="R630" s="132"/>
      <c r="S630" s="132"/>
      <c r="T630" s="132"/>
      <c r="U630" s="151"/>
      <c r="V630" s="151"/>
      <c r="W630" s="307" t="s">
        <v>193</v>
      </c>
      <c r="X630" s="308"/>
      <c r="Y630" s="38">
        <f t="shared" si="237"/>
        <v>0</v>
      </c>
      <c r="Z630" s="38">
        <f t="shared" si="238"/>
        <v>8</v>
      </c>
      <c r="AA630" s="38">
        <f t="shared" si="235"/>
        <v>0</v>
      </c>
      <c r="AB630" s="38">
        <f t="shared" si="246"/>
        <v>0</v>
      </c>
      <c r="AC630" s="38">
        <f t="shared" si="247"/>
        <v>0</v>
      </c>
      <c r="AD630" s="38">
        <f t="shared" si="248"/>
        <v>0</v>
      </c>
      <c r="AE630" s="38">
        <f t="shared" si="249"/>
        <v>0</v>
      </c>
      <c r="AF630" s="38">
        <f t="shared" si="250"/>
        <v>0</v>
      </c>
      <c r="AG630" s="33">
        <f t="shared" si="251"/>
        <v>0</v>
      </c>
      <c r="AH630" s="33">
        <f t="shared" si="252"/>
        <v>8</v>
      </c>
      <c r="AI630" s="33">
        <f t="shared" si="253"/>
        <v>0</v>
      </c>
      <c r="AJ630" s="33">
        <f t="shared" si="254"/>
        <v>0</v>
      </c>
      <c r="AK630" s="34">
        <f t="shared" si="255"/>
        <v>0</v>
      </c>
      <c r="AL630" s="35">
        <f t="shared" si="256"/>
        <v>5.6338028169014086E-2</v>
      </c>
      <c r="AM630" s="34">
        <f t="shared" si="239"/>
        <v>0</v>
      </c>
      <c r="AN630" s="36">
        <f t="shared" si="257"/>
        <v>0</v>
      </c>
      <c r="AO630" s="6">
        <f t="shared" si="240"/>
        <v>0</v>
      </c>
      <c r="AP630">
        <f t="shared" si="241"/>
        <v>8</v>
      </c>
      <c r="AQ630" s="6">
        <f t="shared" si="242"/>
        <v>0</v>
      </c>
      <c r="AR630" s="6">
        <f t="shared" si="243"/>
        <v>0</v>
      </c>
      <c r="AS630" s="6"/>
      <c r="AX630" s="95">
        <f t="shared" si="244"/>
        <v>42753</v>
      </c>
      <c r="AY630" s="96" t="str">
        <f t="shared" si="245"/>
        <v>qua</v>
      </c>
      <c r="AZ630" s="97">
        <f>IF(OR(AY630="SÁB",AY630="DOM"),0,IFERROR(8-VLOOKUP(C630,'Dados de consulta'!$A$2:$C$38,3,0),8))</f>
        <v>8</v>
      </c>
      <c r="BA630" s="97">
        <f>IF(OR(AY630="SÁB",AY630="DOM"),0,IFERROR(8-VLOOKUP(D630,'Dados de consulta'!$A$2:$C$38,3,0),8))</f>
        <v>8</v>
      </c>
      <c r="BB630" s="97">
        <f>IF(OR(AY630="SÁB",AY630="DOM"),0,IFERROR(8-VLOOKUP(E630,'Dados de consulta'!$A$2:$C$38,3,0),8))</f>
        <v>8</v>
      </c>
      <c r="BC630" s="97">
        <f>IF(OR(AY630="SÁB",AY630="DOM"),0,IFERROR(8-VLOOKUP(F630,'Dados de consulta'!$A$2:$C$38,3,0),8))</f>
        <v>8</v>
      </c>
      <c r="BD630" s="97">
        <f>IF(OR(AY630="SÁB",AY630="DOM"),0,IFERROR(8-VLOOKUP(G630,'Dados de consulta'!$A$2:$C$38,3,0),8))</f>
        <v>8</v>
      </c>
      <c r="BE630" s="97">
        <f>IF(OR(AY630="SÁB",AY630="DOM"),0,IFERROR(8-VLOOKUP(H630,'Dados de consulta'!$A$2:$C$38,3,0),8))</f>
        <v>8</v>
      </c>
      <c r="BF630" s="97">
        <f>IF(OR(AY630="SÁB",AY630="DOM"),0,IFERROR(8-VLOOKUP(I630,'Dados de consulta'!$A$2:$C$38,3,0),8))</f>
        <v>8</v>
      </c>
      <c r="BG630" s="97">
        <f>IF(OR(AY630="SÁB",AY630="DOM"),0,IFERROR(8-VLOOKUP(J630,'Dados de consulta'!$A$2:$C$38,3,0),8))</f>
        <v>8</v>
      </c>
      <c r="BH630" s="97">
        <f>IF(OR(AY630="SÁB",AY630="DOM"),0,IFERROR(8-VLOOKUP(K630,'Dados de consulta'!$A$2:$C$38,3,0),8))</f>
        <v>0</v>
      </c>
      <c r="BI630" s="97">
        <f>IF(OR(AY630="SÁB",AY630="DOM"),0,IFERROR(8-VLOOKUP(L630,'Dados de consulta'!$A$2:$C$38,3,0),8))</f>
        <v>8</v>
      </c>
      <c r="BJ630" s="97">
        <f>IF(OR(AY630="SÁB",AY630="DOM"),0,IFERROR(8-VLOOKUP(M630,'Dados de consulta'!$A$2:$C$38,3,0),8))</f>
        <v>0</v>
      </c>
      <c r="BK630" s="97">
        <f>IF(OR(AY630="SÁB",AY630="DOM"),0,IFERROR(8-VLOOKUP(N630,'Dados de consulta'!$A$2:$C$38,3,0),8))</f>
        <v>8</v>
      </c>
      <c r="BL630" s="97">
        <f>IF(OR(AY630="SÁB",AY630="DOM"),0,IFERROR(8-VLOOKUP(O630,'Dados de consulta'!$A$2:$C$38,3,0),8))</f>
        <v>8</v>
      </c>
      <c r="BM630" s="97">
        <f>IF(OR(AY630="SÁB",AY630="DOM"),0,IFERROR(8-VLOOKUP(P630,'Dados de consulta'!$A$2:$C$38,3,0),8))</f>
        <v>8</v>
      </c>
      <c r="BN630" s="97">
        <f>IF(OR(AY630="SÁB",AY630="DOM"),0,IFERROR(8-VLOOKUP(Q630,'Dados de consulta'!$A$2:$C$38,3,0),8))</f>
        <v>8</v>
      </c>
      <c r="BO630" s="97">
        <f>IF(OR(AY630="SÁB",AY630="DOM"),0,IFERROR(8-VLOOKUP(R630,'Dados de consulta'!$A$2:$C$38,3,0),8))</f>
        <v>8</v>
      </c>
      <c r="BP630" s="97">
        <f>IF(OR(AY630="SÁB",AY630="DOM"),0,IFERROR(8-VLOOKUP(S630,'Dados de consulta'!$A$2:$C$38,3,0),8))</f>
        <v>8</v>
      </c>
      <c r="BQ630" s="113">
        <f>IFERROR(6-VLOOKUP(T630,'Dados de consulta'!$A$2:$C$38,3,0)+2,6)</f>
        <v>6</v>
      </c>
      <c r="BR630" s="114">
        <f t="shared" si="258"/>
        <v>126</v>
      </c>
      <c r="BS630">
        <f t="shared" si="234"/>
        <v>134</v>
      </c>
      <c r="BU630">
        <f>IFERROR(8-VLOOKUP(U630,'Dados de consulta'!$A:$D,3,0),8)</f>
        <v>8</v>
      </c>
      <c r="BV630">
        <f>IFERROR(8-VLOOKUP(V630,'Dados de consulta'!$A:$D,3,0),8)</f>
        <v>8</v>
      </c>
      <c r="BW630">
        <f t="shared" si="259"/>
        <v>16</v>
      </c>
    </row>
    <row r="631" spans="1:75" ht="15" hidden="1" x14ac:dyDescent="0.2">
      <c r="A631" s="98">
        <v>42754</v>
      </c>
      <c r="B631" s="129" t="str">
        <f t="shared" si="236"/>
        <v>qui</v>
      </c>
      <c r="C631" s="132"/>
      <c r="D631" s="132"/>
      <c r="E631" s="132"/>
      <c r="F631" s="132"/>
      <c r="G631" s="132"/>
      <c r="H631" s="132"/>
      <c r="I631" s="132"/>
      <c r="J631" s="132"/>
      <c r="K631" s="132">
        <v>18</v>
      </c>
      <c r="L631" s="132"/>
      <c r="M631" s="132">
        <v>101</v>
      </c>
      <c r="N631" s="132"/>
      <c r="O631" s="132"/>
      <c r="P631" s="132"/>
      <c r="Q631" s="132"/>
      <c r="R631" s="132"/>
      <c r="S631" s="132"/>
      <c r="T631" s="132"/>
      <c r="U631" s="151"/>
      <c r="V631" s="151"/>
      <c r="W631" s="307" t="s">
        <v>193</v>
      </c>
      <c r="X631" s="308"/>
      <c r="Y631" s="38">
        <f t="shared" si="237"/>
        <v>0</v>
      </c>
      <c r="Z631" s="38">
        <f t="shared" si="238"/>
        <v>8</v>
      </c>
      <c r="AA631" s="38">
        <f t="shared" si="235"/>
        <v>0</v>
      </c>
      <c r="AB631" s="38">
        <f t="shared" si="246"/>
        <v>0</v>
      </c>
      <c r="AC631" s="38">
        <f t="shared" si="247"/>
        <v>0</v>
      </c>
      <c r="AD631" s="38">
        <f t="shared" si="248"/>
        <v>0</v>
      </c>
      <c r="AE631" s="38">
        <f t="shared" si="249"/>
        <v>0</v>
      </c>
      <c r="AF631" s="38">
        <f t="shared" si="250"/>
        <v>0</v>
      </c>
      <c r="AG631" s="33">
        <f t="shared" si="251"/>
        <v>0</v>
      </c>
      <c r="AH631" s="33">
        <f t="shared" si="252"/>
        <v>8</v>
      </c>
      <c r="AI631" s="33">
        <f t="shared" si="253"/>
        <v>0</v>
      </c>
      <c r="AJ631" s="33">
        <f t="shared" si="254"/>
        <v>0</v>
      </c>
      <c r="AK631" s="34">
        <f t="shared" si="255"/>
        <v>0</v>
      </c>
      <c r="AL631" s="35">
        <f t="shared" si="256"/>
        <v>5.6338028169014086E-2</v>
      </c>
      <c r="AM631" s="34">
        <f t="shared" si="239"/>
        <v>0</v>
      </c>
      <c r="AN631" s="36">
        <f t="shared" si="257"/>
        <v>0</v>
      </c>
      <c r="AO631" s="6">
        <f t="shared" si="240"/>
        <v>0</v>
      </c>
      <c r="AP631">
        <f t="shared" si="241"/>
        <v>8</v>
      </c>
      <c r="AQ631" s="6">
        <f t="shared" si="242"/>
        <v>0</v>
      </c>
      <c r="AR631" s="6">
        <f t="shared" si="243"/>
        <v>0</v>
      </c>
      <c r="AS631" s="6"/>
      <c r="AX631" s="95">
        <f t="shared" si="244"/>
        <v>42754</v>
      </c>
      <c r="AY631" s="96" t="str">
        <f t="shared" si="245"/>
        <v>qui</v>
      </c>
      <c r="AZ631" s="97">
        <f>IF(OR(AY631="SÁB",AY631="DOM"),0,IFERROR(8-VLOOKUP(C631,'Dados de consulta'!$A$2:$C$38,3,0),8))</f>
        <v>8</v>
      </c>
      <c r="BA631" s="97">
        <f>IF(OR(AY631="SÁB",AY631="DOM"),0,IFERROR(8-VLOOKUP(D631,'Dados de consulta'!$A$2:$C$38,3,0),8))</f>
        <v>8</v>
      </c>
      <c r="BB631" s="97">
        <f>IF(OR(AY631="SÁB",AY631="DOM"),0,IFERROR(8-VLOOKUP(E631,'Dados de consulta'!$A$2:$C$38,3,0),8))</f>
        <v>8</v>
      </c>
      <c r="BC631" s="97">
        <f>IF(OR(AY631="SÁB",AY631="DOM"),0,IFERROR(8-VLOOKUP(F631,'Dados de consulta'!$A$2:$C$38,3,0),8))</f>
        <v>8</v>
      </c>
      <c r="BD631" s="97">
        <f>IF(OR(AY631="SÁB",AY631="DOM"),0,IFERROR(8-VLOOKUP(G631,'Dados de consulta'!$A$2:$C$38,3,0),8))</f>
        <v>8</v>
      </c>
      <c r="BE631" s="97">
        <f>IF(OR(AY631="SÁB",AY631="DOM"),0,IFERROR(8-VLOOKUP(H631,'Dados de consulta'!$A$2:$C$38,3,0),8))</f>
        <v>8</v>
      </c>
      <c r="BF631" s="97">
        <f>IF(OR(AY631="SÁB",AY631="DOM"),0,IFERROR(8-VLOOKUP(I631,'Dados de consulta'!$A$2:$C$38,3,0),8))</f>
        <v>8</v>
      </c>
      <c r="BG631" s="97">
        <f>IF(OR(AY631="SÁB",AY631="DOM"),0,IFERROR(8-VLOOKUP(J631,'Dados de consulta'!$A$2:$C$38,3,0),8))</f>
        <v>8</v>
      </c>
      <c r="BH631" s="97">
        <f>IF(OR(AY631="SÁB",AY631="DOM"),0,IFERROR(8-VLOOKUP(K631,'Dados de consulta'!$A$2:$C$38,3,0),8))</f>
        <v>0</v>
      </c>
      <c r="BI631" s="97">
        <f>IF(OR(AY631="SÁB",AY631="DOM"),0,IFERROR(8-VLOOKUP(L631,'Dados de consulta'!$A$2:$C$38,3,0),8))</f>
        <v>8</v>
      </c>
      <c r="BJ631" s="97">
        <f>IF(OR(AY631="SÁB",AY631="DOM"),0,IFERROR(8-VLOOKUP(M631,'Dados de consulta'!$A$2:$C$38,3,0),8))</f>
        <v>0</v>
      </c>
      <c r="BK631" s="97">
        <f>IF(OR(AY631="SÁB",AY631="DOM"),0,IFERROR(8-VLOOKUP(N631,'Dados de consulta'!$A$2:$C$38,3,0),8))</f>
        <v>8</v>
      </c>
      <c r="BL631" s="97">
        <f>IF(OR(AY631="SÁB",AY631="DOM"),0,IFERROR(8-VLOOKUP(O631,'Dados de consulta'!$A$2:$C$38,3,0),8))</f>
        <v>8</v>
      </c>
      <c r="BM631" s="97">
        <f>IF(OR(AY631="SÁB",AY631="DOM"),0,IFERROR(8-VLOOKUP(P631,'Dados de consulta'!$A$2:$C$38,3,0),8))</f>
        <v>8</v>
      </c>
      <c r="BN631" s="97">
        <f>IF(OR(AY631="SÁB",AY631="DOM"),0,IFERROR(8-VLOOKUP(Q631,'Dados de consulta'!$A$2:$C$38,3,0),8))</f>
        <v>8</v>
      </c>
      <c r="BO631" s="97">
        <f>IF(OR(AY631="SÁB",AY631="DOM"),0,IFERROR(8-VLOOKUP(R631,'Dados de consulta'!$A$2:$C$38,3,0),8))</f>
        <v>8</v>
      </c>
      <c r="BP631" s="97">
        <f>IF(OR(AY631="SÁB",AY631="DOM"),0,IFERROR(8-VLOOKUP(S631,'Dados de consulta'!$A$2:$C$38,3,0),8))</f>
        <v>8</v>
      </c>
      <c r="BQ631" s="113">
        <f>IFERROR(6-VLOOKUP(T631,'Dados de consulta'!$A$2:$C$38,3,0)+2,6)</f>
        <v>6</v>
      </c>
      <c r="BR631" s="114">
        <f t="shared" si="258"/>
        <v>126</v>
      </c>
      <c r="BS631">
        <f t="shared" si="234"/>
        <v>134</v>
      </c>
      <c r="BU631">
        <f>IFERROR(8-VLOOKUP(U631,'Dados de consulta'!$A:$D,3,0),8)</f>
        <v>8</v>
      </c>
      <c r="BV631">
        <f>IFERROR(8-VLOOKUP(V631,'Dados de consulta'!$A:$D,3,0),8)</f>
        <v>8</v>
      </c>
      <c r="BW631">
        <f t="shared" si="259"/>
        <v>16</v>
      </c>
    </row>
    <row r="632" spans="1:75" ht="15" hidden="1" x14ac:dyDescent="0.2">
      <c r="A632" s="98">
        <v>42755</v>
      </c>
      <c r="B632" s="129" t="str">
        <f t="shared" si="236"/>
        <v>sex</v>
      </c>
      <c r="C632" s="132"/>
      <c r="D632" s="132"/>
      <c r="E632" s="132"/>
      <c r="F632" s="132"/>
      <c r="G632" s="132"/>
      <c r="H632" s="132"/>
      <c r="I632" s="132"/>
      <c r="J632" s="132"/>
      <c r="K632" s="132">
        <v>18</v>
      </c>
      <c r="L632" s="132"/>
      <c r="M632" s="132">
        <v>101</v>
      </c>
      <c r="N632" s="132"/>
      <c r="O632" s="132"/>
      <c r="P632" s="132"/>
      <c r="Q632" s="132"/>
      <c r="R632" s="132"/>
      <c r="S632" s="132"/>
      <c r="T632" s="132"/>
      <c r="U632" s="151"/>
      <c r="V632" s="151"/>
      <c r="W632" s="307" t="s">
        <v>193</v>
      </c>
      <c r="X632" s="308"/>
      <c r="Y632" s="38">
        <f t="shared" si="237"/>
        <v>0</v>
      </c>
      <c r="Z632" s="38">
        <f t="shared" si="238"/>
        <v>8</v>
      </c>
      <c r="AA632" s="38">
        <f t="shared" si="235"/>
        <v>0</v>
      </c>
      <c r="AB632" s="38">
        <f t="shared" si="246"/>
        <v>0</v>
      </c>
      <c r="AC632" s="38">
        <f t="shared" si="247"/>
        <v>0</v>
      </c>
      <c r="AD632" s="38">
        <f t="shared" si="248"/>
        <v>0</v>
      </c>
      <c r="AE632" s="38">
        <f t="shared" si="249"/>
        <v>0</v>
      </c>
      <c r="AF632" s="38">
        <f t="shared" si="250"/>
        <v>0</v>
      </c>
      <c r="AG632" s="33">
        <f t="shared" si="251"/>
        <v>0</v>
      </c>
      <c r="AH632" s="33">
        <f t="shared" si="252"/>
        <v>8</v>
      </c>
      <c r="AI632" s="33">
        <f t="shared" si="253"/>
        <v>0</v>
      </c>
      <c r="AJ632" s="33">
        <f t="shared" si="254"/>
        <v>0</v>
      </c>
      <c r="AK632" s="34">
        <f t="shared" si="255"/>
        <v>0</v>
      </c>
      <c r="AL632" s="35">
        <f t="shared" si="256"/>
        <v>5.6338028169014086E-2</v>
      </c>
      <c r="AM632" s="34">
        <f t="shared" si="239"/>
        <v>0</v>
      </c>
      <c r="AN632" s="36">
        <f t="shared" si="257"/>
        <v>0</v>
      </c>
      <c r="AO632" s="6">
        <f t="shared" si="240"/>
        <v>0</v>
      </c>
      <c r="AP632">
        <f t="shared" si="241"/>
        <v>8</v>
      </c>
      <c r="AQ632" s="6">
        <f t="shared" si="242"/>
        <v>0</v>
      </c>
      <c r="AR632" s="6">
        <f t="shared" si="243"/>
        <v>0</v>
      </c>
      <c r="AS632" s="6"/>
      <c r="AX632" s="95">
        <f t="shared" si="244"/>
        <v>42755</v>
      </c>
      <c r="AY632" s="96" t="str">
        <f t="shared" si="245"/>
        <v>sex</v>
      </c>
      <c r="AZ632" s="97">
        <f>IF(OR(AY632="SÁB",AY632="DOM"),0,IFERROR(8-VLOOKUP(C632,'Dados de consulta'!$A$2:$C$38,3,0),8))</f>
        <v>8</v>
      </c>
      <c r="BA632" s="97">
        <f>IF(OR(AY632="SÁB",AY632="DOM"),0,IFERROR(8-VLOOKUP(D632,'Dados de consulta'!$A$2:$C$38,3,0),8))</f>
        <v>8</v>
      </c>
      <c r="BB632" s="97">
        <f>IF(OR(AY632="SÁB",AY632="DOM"),0,IFERROR(8-VLOOKUP(E632,'Dados de consulta'!$A$2:$C$38,3,0),8))</f>
        <v>8</v>
      </c>
      <c r="BC632" s="97">
        <f>IF(OR(AY632="SÁB",AY632="DOM"),0,IFERROR(8-VLOOKUP(F632,'Dados de consulta'!$A$2:$C$38,3,0),8))</f>
        <v>8</v>
      </c>
      <c r="BD632" s="97">
        <f>IF(OR(AY632="SÁB",AY632="DOM"),0,IFERROR(8-VLOOKUP(G632,'Dados de consulta'!$A$2:$C$38,3,0),8))</f>
        <v>8</v>
      </c>
      <c r="BE632" s="97">
        <f>IF(OR(AY632="SÁB",AY632="DOM"),0,IFERROR(8-VLOOKUP(H632,'Dados de consulta'!$A$2:$C$38,3,0),8))</f>
        <v>8</v>
      </c>
      <c r="BF632" s="97">
        <f>IF(OR(AY632="SÁB",AY632="DOM"),0,IFERROR(8-VLOOKUP(I632,'Dados de consulta'!$A$2:$C$38,3,0),8))</f>
        <v>8</v>
      </c>
      <c r="BG632" s="97">
        <f>IF(OR(AY632="SÁB",AY632="DOM"),0,IFERROR(8-VLOOKUP(J632,'Dados de consulta'!$A$2:$C$38,3,0),8))</f>
        <v>8</v>
      </c>
      <c r="BH632" s="97">
        <f>IF(OR(AY632="SÁB",AY632="DOM"),0,IFERROR(8-VLOOKUP(K632,'Dados de consulta'!$A$2:$C$38,3,0),8))</f>
        <v>0</v>
      </c>
      <c r="BI632" s="97">
        <f>IF(OR(AY632="SÁB",AY632="DOM"),0,IFERROR(8-VLOOKUP(L632,'Dados de consulta'!$A$2:$C$38,3,0),8))</f>
        <v>8</v>
      </c>
      <c r="BJ632" s="97">
        <f>IF(OR(AY632="SÁB",AY632="DOM"),0,IFERROR(8-VLOOKUP(M632,'Dados de consulta'!$A$2:$C$38,3,0),8))</f>
        <v>0</v>
      </c>
      <c r="BK632" s="97">
        <f>IF(OR(AY632="SÁB",AY632="DOM"),0,IFERROR(8-VLOOKUP(N632,'Dados de consulta'!$A$2:$C$38,3,0),8))</f>
        <v>8</v>
      </c>
      <c r="BL632" s="97">
        <f>IF(OR(AY632="SÁB",AY632="DOM"),0,IFERROR(8-VLOOKUP(O632,'Dados de consulta'!$A$2:$C$38,3,0),8))</f>
        <v>8</v>
      </c>
      <c r="BM632" s="97">
        <f>IF(OR(AY632="SÁB",AY632="DOM"),0,IFERROR(8-VLOOKUP(P632,'Dados de consulta'!$A$2:$C$38,3,0),8))</f>
        <v>8</v>
      </c>
      <c r="BN632" s="97">
        <f>IF(OR(AY632="SÁB",AY632="DOM"),0,IFERROR(8-VLOOKUP(Q632,'Dados de consulta'!$A$2:$C$38,3,0),8))</f>
        <v>8</v>
      </c>
      <c r="BO632" s="97">
        <f>IF(OR(AY632="SÁB",AY632="DOM"),0,IFERROR(8-VLOOKUP(R632,'Dados de consulta'!$A$2:$C$38,3,0),8))</f>
        <v>8</v>
      </c>
      <c r="BP632" s="97">
        <f>IF(OR(AY632="SÁB",AY632="DOM"),0,IFERROR(8-VLOOKUP(S632,'Dados de consulta'!$A$2:$C$38,3,0),8))</f>
        <v>8</v>
      </c>
      <c r="BQ632" s="113">
        <f>IFERROR(6-VLOOKUP(T632,'Dados de consulta'!$A$2:$C$38,3,0)+2,6)</f>
        <v>6</v>
      </c>
      <c r="BR632" s="114">
        <f t="shared" si="258"/>
        <v>126</v>
      </c>
      <c r="BS632">
        <f t="shared" si="234"/>
        <v>134</v>
      </c>
      <c r="BU632">
        <f>IFERROR(8-VLOOKUP(U632,'Dados de consulta'!$A:$D,3,0),8)</f>
        <v>8</v>
      </c>
      <c r="BV632">
        <f>IFERROR(8-VLOOKUP(V632,'Dados de consulta'!$A:$D,3,0),8)</f>
        <v>8</v>
      </c>
      <c r="BW632">
        <f t="shared" si="259"/>
        <v>16</v>
      </c>
    </row>
    <row r="633" spans="1:75" ht="15" hidden="1" x14ac:dyDescent="0.2">
      <c r="A633" s="98">
        <v>42756</v>
      </c>
      <c r="B633" s="129" t="str">
        <f t="shared" si="236"/>
        <v>sáb</v>
      </c>
      <c r="C633" s="132"/>
      <c r="D633" s="132"/>
      <c r="E633" s="132"/>
      <c r="F633" s="132"/>
      <c r="G633" s="132"/>
      <c r="H633" s="132"/>
      <c r="I633" s="132"/>
      <c r="J633" s="132"/>
      <c r="K633" s="132">
        <v>18</v>
      </c>
      <c r="L633" s="132"/>
      <c r="M633" s="132">
        <v>101</v>
      </c>
      <c r="N633" s="132"/>
      <c r="O633" s="132"/>
      <c r="P633" s="132"/>
      <c r="Q633" s="132"/>
      <c r="R633" s="132"/>
      <c r="S633" s="132"/>
      <c r="T633" s="132"/>
      <c r="U633" s="151"/>
      <c r="V633" s="151"/>
      <c r="W633" s="307" t="s">
        <v>193</v>
      </c>
      <c r="X633" s="308"/>
      <c r="Y633" s="38">
        <f t="shared" si="237"/>
        <v>0</v>
      </c>
      <c r="Z633" s="38">
        <f t="shared" si="238"/>
        <v>8</v>
      </c>
      <c r="AA633" s="38">
        <f t="shared" si="235"/>
        <v>0</v>
      </c>
      <c r="AB633" s="38">
        <f t="shared" si="246"/>
        <v>0</v>
      </c>
      <c r="AC633" s="38">
        <f t="shared" si="247"/>
        <v>0</v>
      </c>
      <c r="AD633" s="38">
        <f t="shared" si="248"/>
        <v>0</v>
      </c>
      <c r="AE633" s="38">
        <f t="shared" si="249"/>
        <v>0</v>
      </c>
      <c r="AF633" s="38">
        <f t="shared" si="250"/>
        <v>0</v>
      </c>
      <c r="AG633" s="33">
        <f t="shared" si="251"/>
        <v>0</v>
      </c>
      <c r="AH633" s="33">
        <f t="shared" si="252"/>
        <v>0</v>
      </c>
      <c r="AI633" s="33">
        <f t="shared" si="253"/>
        <v>0</v>
      </c>
      <c r="AJ633" s="33">
        <f t="shared" si="254"/>
        <v>0</v>
      </c>
      <c r="AK633" s="34">
        <f t="shared" si="255"/>
        <v>0</v>
      </c>
      <c r="AL633" s="35">
        <f t="shared" si="256"/>
        <v>0</v>
      </c>
      <c r="AM633" s="34">
        <f t="shared" si="239"/>
        <v>0</v>
      </c>
      <c r="AN633" s="36">
        <f t="shared" si="257"/>
        <v>0</v>
      </c>
      <c r="AO633" s="6">
        <f t="shared" si="240"/>
        <v>0</v>
      </c>
      <c r="AP633">
        <f t="shared" si="241"/>
        <v>8</v>
      </c>
      <c r="AQ633" s="6">
        <f t="shared" si="242"/>
        <v>0</v>
      </c>
      <c r="AR633" s="6">
        <f t="shared" si="243"/>
        <v>0</v>
      </c>
      <c r="AS633" s="6"/>
      <c r="AX633" s="95">
        <f t="shared" si="244"/>
        <v>42756</v>
      </c>
      <c r="AY633" s="96" t="str">
        <f t="shared" si="245"/>
        <v>sáb</v>
      </c>
      <c r="AZ633" s="97">
        <f>IF(OR(AY633="SÁB",AY633="DOM"),0,IFERROR(8-VLOOKUP(C633,'Dados de consulta'!$A$2:$C$38,3,0),8))</f>
        <v>0</v>
      </c>
      <c r="BA633" s="97">
        <f>IF(OR(AY633="SÁB",AY633="DOM"),0,IFERROR(8-VLOOKUP(D633,'Dados de consulta'!$A$2:$C$38,3,0),8))</f>
        <v>0</v>
      </c>
      <c r="BB633" s="97">
        <f>IF(OR(AY633="SÁB",AY633="DOM"),0,IFERROR(8-VLOOKUP(E633,'Dados de consulta'!$A$2:$C$38,3,0),8))</f>
        <v>0</v>
      </c>
      <c r="BC633" s="97">
        <f>IF(OR(AY633="SÁB",AY633="DOM"),0,IFERROR(8-VLOOKUP(F633,'Dados de consulta'!$A$2:$C$38,3,0),8))</f>
        <v>0</v>
      </c>
      <c r="BD633" s="97">
        <f>IF(OR(AY633="SÁB",AY633="DOM"),0,IFERROR(8-VLOOKUP(G633,'Dados de consulta'!$A$2:$C$38,3,0),8))</f>
        <v>0</v>
      </c>
      <c r="BE633" s="97">
        <f>IF(OR(AY633="SÁB",AY633="DOM"),0,IFERROR(8-VLOOKUP(H633,'Dados de consulta'!$A$2:$C$38,3,0),8))</f>
        <v>0</v>
      </c>
      <c r="BF633" s="97">
        <f>IF(OR(AY633="SÁB",AY633="DOM"),0,IFERROR(8-VLOOKUP(I633,'Dados de consulta'!$A$2:$C$38,3,0),8))</f>
        <v>0</v>
      </c>
      <c r="BG633" s="97">
        <f>IF(OR(AY633="SÁB",AY633="DOM"),0,IFERROR(8-VLOOKUP(J633,'Dados de consulta'!$A$2:$C$38,3,0),8))</f>
        <v>0</v>
      </c>
      <c r="BH633" s="97">
        <f>IF(OR(AY633="SÁB",AY633="DOM"),0,IFERROR(8-VLOOKUP(K633,'Dados de consulta'!$A$2:$C$38,3,0),8))</f>
        <v>0</v>
      </c>
      <c r="BI633" s="97">
        <f>IF(OR(AY633="SÁB",AY633="DOM"),0,IFERROR(8-VLOOKUP(L633,'Dados de consulta'!$A$2:$C$38,3,0),8))</f>
        <v>0</v>
      </c>
      <c r="BJ633" s="97">
        <f>IF(OR(AY633="SÁB",AY633="DOM"),0,IFERROR(8-VLOOKUP(M633,'Dados de consulta'!$A$2:$C$38,3,0),8))</f>
        <v>0</v>
      </c>
      <c r="BK633" s="97">
        <f>IF(OR(AY633="SÁB",AY633="DOM"),0,IFERROR(8-VLOOKUP(N633,'Dados de consulta'!$A$2:$C$38,3,0),8))</f>
        <v>0</v>
      </c>
      <c r="BL633" s="97">
        <f>IF(OR(AY633="SÁB",AY633="DOM"),0,IFERROR(8-VLOOKUP(O633,'Dados de consulta'!$A$2:$C$38,3,0),8))</f>
        <v>0</v>
      </c>
      <c r="BM633" s="97">
        <f>IF(OR(AY633="SÁB",AY633="DOM"),0,IFERROR(8-VLOOKUP(P633,'Dados de consulta'!$A$2:$C$38,3,0),8))</f>
        <v>0</v>
      </c>
      <c r="BN633" s="97">
        <f>IF(OR(AY633="SÁB",AY633="DOM"),0,IFERROR(8-VLOOKUP(Q633,'Dados de consulta'!$A$2:$C$38,3,0),8))</f>
        <v>0</v>
      </c>
      <c r="BO633" s="97">
        <f>IF(OR(AY633="SÁB",AY633="DOM"),0,IFERROR(8-VLOOKUP(R633,'Dados de consulta'!$A$2:$C$38,3,0),8))</f>
        <v>0</v>
      </c>
      <c r="BP633" s="97">
        <f>IF(OR(AY633="SÁB",AY633="DOM"),0,IFERROR(8-VLOOKUP(S633,'Dados de consulta'!$A$2:$C$38,3,0),8))</f>
        <v>0</v>
      </c>
      <c r="BQ633" s="113">
        <f>IFERROR(6-VLOOKUP(T633,'Dados de consulta'!$A$2:$C$38,3,0)+2,6)</f>
        <v>6</v>
      </c>
      <c r="BR633" s="114">
        <f t="shared" si="258"/>
        <v>0</v>
      </c>
      <c r="BS633">
        <f t="shared" si="234"/>
        <v>0</v>
      </c>
      <c r="BU633">
        <f>IFERROR(8-VLOOKUP(U633,'Dados de consulta'!$A:$D,3,0),8)</f>
        <v>8</v>
      </c>
      <c r="BV633">
        <f>IFERROR(8-VLOOKUP(V633,'Dados de consulta'!$A:$D,3,0),8)</f>
        <v>8</v>
      </c>
      <c r="BW633">
        <f t="shared" si="259"/>
        <v>16</v>
      </c>
    </row>
    <row r="634" spans="1:75" ht="15" hidden="1" x14ac:dyDescent="0.2">
      <c r="A634" s="98">
        <v>42757</v>
      </c>
      <c r="B634" s="129" t="str">
        <f t="shared" si="236"/>
        <v>dom</v>
      </c>
      <c r="C634" s="132"/>
      <c r="D634" s="132"/>
      <c r="E634" s="132"/>
      <c r="F634" s="132"/>
      <c r="G634" s="132"/>
      <c r="H634" s="132"/>
      <c r="I634" s="132"/>
      <c r="J634" s="132"/>
      <c r="K634" s="132">
        <v>18</v>
      </c>
      <c r="L634" s="132"/>
      <c r="M634" s="132">
        <v>101</v>
      </c>
      <c r="N634" s="132"/>
      <c r="O634" s="132"/>
      <c r="P634" s="132"/>
      <c r="Q634" s="132"/>
      <c r="R634" s="132"/>
      <c r="S634" s="132"/>
      <c r="T634" s="132"/>
      <c r="U634" s="151"/>
      <c r="V634" s="151"/>
      <c r="W634" s="307" t="s">
        <v>193</v>
      </c>
      <c r="X634" s="308"/>
      <c r="Y634" s="38">
        <f t="shared" si="237"/>
        <v>0</v>
      </c>
      <c r="Z634" s="38">
        <f t="shared" si="238"/>
        <v>8</v>
      </c>
      <c r="AA634" s="38">
        <f t="shared" si="235"/>
        <v>0</v>
      </c>
      <c r="AB634" s="38">
        <f t="shared" si="246"/>
        <v>0</v>
      </c>
      <c r="AC634" s="38">
        <f t="shared" si="247"/>
        <v>0</v>
      </c>
      <c r="AD634" s="38">
        <f t="shared" si="248"/>
        <v>0</v>
      </c>
      <c r="AE634" s="38">
        <f t="shared" si="249"/>
        <v>0</v>
      </c>
      <c r="AF634" s="38">
        <f t="shared" si="250"/>
        <v>0</v>
      </c>
      <c r="AG634" s="33">
        <f t="shared" si="251"/>
        <v>0</v>
      </c>
      <c r="AH634" s="33">
        <f t="shared" si="252"/>
        <v>0</v>
      </c>
      <c r="AI634" s="33">
        <f t="shared" si="253"/>
        <v>0</v>
      </c>
      <c r="AJ634" s="33">
        <f t="shared" si="254"/>
        <v>0</v>
      </c>
      <c r="AK634" s="34">
        <f t="shared" si="255"/>
        <v>0</v>
      </c>
      <c r="AL634" s="35">
        <f t="shared" si="256"/>
        <v>0</v>
      </c>
      <c r="AM634" s="34">
        <f t="shared" si="239"/>
        <v>0</v>
      </c>
      <c r="AN634" s="36">
        <f t="shared" si="257"/>
        <v>0</v>
      </c>
      <c r="AO634" s="6">
        <f t="shared" si="240"/>
        <v>0</v>
      </c>
      <c r="AP634">
        <f t="shared" si="241"/>
        <v>8</v>
      </c>
      <c r="AQ634" s="6">
        <f t="shared" si="242"/>
        <v>0</v>
      </c>
      <c r="AR634" s="6">
        <f t="shared" si="243"/>
        <v>0</v>
      </c>
      <c r="AS634" s="6"/>
      <c r="AX634" s="95">
        <f t="shared" si="244"/>
        <v>42757</v>
      </c>
      <c r="AY634" s="96" t="str">
        <f t="shared" si="245"/>
        <v>dom</v>
      </c>
      <c r="AZ634" s="97">
        <f>IF(OR(AY634="SÁB",AY634="DOM"),0,IFERROR(8-VLOOKUP(C634,'Dados de consulta'!$A$2:$C$38,3,0),8))</f>
        <v>0</v>
      </c>
      <c r="BA634" s="97">
        <f>IF(OR(AY634="SÁB",AY634="DOM"),0,IFERROR(8-VLOOKUP(D634,'Dados de consulta'!$A$2:$C$38,3,0),8))</f>
        <v>0</v>
      </c>
      <c r="BB634" s="97">
        <f>IF(OR(AY634="SÁB",AY634="DOM"),0,IFERROR(8-VLOOKUP(E634,'Dados de consulta'!$A$2:$C$38,3,0),8))</f>
        <v>0</v>
      </c>
      <c r="BC634" s="97">
        <f>IF(OR(AY634="SÁB",AY634="DOM"),0,IFERROR(8-VLOOKUP(F634,'Dados de consulta'!$A$2:$C$38,3,0),8))</f>
        <v>0</v>
      </c>
      <c r="BD634" s="97">
        <f>IF(OR(AY634="SÁB",AY634="DOM"),0,IFERROR(8-VLOOKUP(G634,'Dados de consulta'!$A$2:$C$38,3,0),8))</f>
        <v>0</v>
      </c>
      <c r="BE634" s="97">
        <f>IF(OR(AY634="SÁB",AY634="DOM"),0,IFERROR(8-VLOOKUP(H634,'Dados de consulta'!$A$2:$C$38,3,0),8))</f>
        <v>0</v>
      </c>
      <c r="BF634" s="97">
        <f>IF(OR(AY634="SÁB",AY634="DOM"),0,IFERROR(8-VLOOKUP(I634,'Dados de consulta'!$A$2:$C$38,3,0),8))</f>
        <v>0</v>
      </c>
      <c r="BG634" s="97">
        <f>IF(OR(AY634="SÁB",AY634="DOM"),0,IFERROR(8-VLOOKUP(J634,'Dados de consulta'!$A$2:$C$38,3,0),8))</f>
        <v>0</v>
      </c>
      <c r="BH634" s="97">
        <f>IF(OR(AY634="SÁB",AY634="DOM"),0,IFERROR(8-VLOOKUP(K634,'Dados de consulta'!$A$2:$C$38,3,0),8))</f>
        <v>0</v>
      </c>
      <c r="BI634" s="97">
        <f>IF(OR(AY634="SÁB",AY634="DOM"),0,IFERROR(8-VLOOKUP(L634,'Dados de consulta'!$A$2:$C$38,3,0),8))</f>
        <v>0</v>
      </c>
      <c r="BJ634" s="97">
        <f>IF(OR(AY634="SÁB",AY634="DOM"),0,IFERROR(8-VLOOKUP(M634,'Dados de consulta'!$A$2:$C$38,3,0),8))</f>
        <v>0</v>
      </c>
      <c r="BK634" s="97">
        <f>IF(OR(AY634="SÁB",AY634="DOM"),0,IFERROR(8-VLOOKUP(N634,'Dados de consulta'!$A$2:$C$38,3,0),8))</f>
        <v>0</v>
      </c>
      <c r="BL634" s="97">
        <f>IF(OR(AY634="SÁB",AY634="DOM"),0,IFERROR(8-VLOOKUP(O634,'Dados de consulta'!$A$2:$C$38,3,0),8))</f>
        <v>0</v>
      </c>
      <c r="BM634" s="97">
        <f>IF(OR(AY634="SÁB",AY634="DOM"),0,IFERROR(8-VLOOKUP(P634,'Dados de consulta'!$A$2:$C$38,3,0),8))</f>
        <v>0</v>
      </c>
      <c r="BN634" s="97">
        <f>IF(OR(AY634="SÁB",AY634="DOM"),0,IFERROR(8-VLOOKUP(Q634,'Dados de consulta'!$A$2:$C$38,3,0),8))</f>
        <v>0</v>
      </c>
      <c r="BO634" s="97">
        <f>IF(OR(AY634="SÁB",AY634="DOM"),0,IFERROR(8-VLOOKUP(R634,'Dados de consulta'!$A$2:$C$38,3,0),8))</f>
        <v>0</v>
      </c>
      <c r="BP634" s="97">
        <f>IF(OR(AY634="SÁB",AY634="DOM"),0,IFERROR(8-VLOOKUP(S634,'Dados de consulta'!$A$2:$C$38,3,0),8))</f>
        <v>0</v>
      </c>
      <c r="BQ634" s="113">
        <f>IFERROR(6-VLOOKUP(T634,'Dados de consulta'!$A$2:$C$38,3,0)+2,6)</f>
        <v>6</v>
      </c>
      <c r="BR634" s="114">
        <f t="shared" si="258"/>
        <v>0</v>
      </c>
      <c r="BS634">
        <f t="shared" si="234"/>
        <v>0</v>
      </c>
      <c r="BU634">
        <f>IFERROR(8-VLOOKUP(U634,'Dados de consulta'!$A:$D,3,0),8)</f>
        <v>8</v>
      </c>
      <c r="BV634">
        <f>IFERROR(8-VLOOKUP(V634,'Dados de consulta'!$A:$D,3,0),8)</f>
        <v>8</v>
      </c>
      <c r="BW634">
        <f t="shared" si="259"/>
        <v>16</v>
      </c>
    </row>
    <row r="635" spans="1:75" ht="15" hidden="1" x14ac:dyDescent="0.2">
      <c r="A635" s="98">
        <v>42758</v>
      </c>
      <c r="B635" s="129" t="str">
        <f t="shared" si="236"/>
        <v>seg</v>
      </c>
      <c r="C635" s="132"/>
      <c r="D635" s="132"/>
      <c r="E635" s="132"/>
      <c r="F635" s="132"/>
      <c r="G635" s="132"/>
      <c r="H635" s="132"/>
      <c r="I635" s="132"/>
      <c r="J635" s="132"/>
      <c r="K635" s="132">
        <v>18</v>
      </c>
      <c r="L635" s="132"/>
      <c r="M635" s="132">
        <v>101</v>
      </c>
      <c r="N635" s="132"/>
      <c r="O635" s="132"/>
      <c r="P635" s="132"/>
      <c r="Q635" s="132"/>
      <c r="R635" s="132"/>
      <c r="S635" s="132"/>
      <c r="T635" s="132"/>
      <c r="U635" s="151"/>
      <c r="V635" s="151"/>
      <c r="W635" s="307" t="s">
        <v>193</v>
      </c>
      <c r="X635" s="308"/>
      <c r="Y635" s="38">
        <f t="shared" si="237"/>
        <v>0</v>
      </c>
      <c r="Z635" s="38">
        <f t="shared" si="238"/>
        <v>8</v>
      </c>
      <c r="AA635" s="38">
        <f t="shared" si="235"/>
        <v>0</v>
      </c>
      <c r="AB635" s="38">
        <f t="shared" si="246"/>
        <v>0</v>
      </c>
      <c r="AC635" s="38">
        <f t="shared" si="247"/>
        <v>0</v>
      </c>
      <c r="AD635" s="38">
        <f t="shared" si="248"/>
        <v>0</v>
      </c>
      <c r="AE635" s="38">
        <f t="shared" si="249"/>
        <v>0</v>
      </c>
      <c r="AF635" s="38">
        <f t="shared" si="250"/>
        <v>0</v>
      </c>
      <c r="AG635" s="33">
        <f t="shared" si="251"/>
        <v>0</v>
      </c>
      <c r="AH635" s="33">
        <f t="shared" si="252"/>
        <v>8</v>
      </c>
      <c r="AI635" s="33">
        <f t="shared" si="253"/>
        <v>0</v>
      </c>
      <c r="AJ635" s="33">
        <f t="shared" si="254"/>
        <v>0</v>
      </c>
      <c r="AK635" s="34">
        <f t="shared" si="255"/>
        <v>0</v>
      </c>
      <c r="AL635" s="35">
        <f t="shared" si="256"/>
        <v>5.6338028169014086E-2</v>
      </c>
      <c r="AM635" s="34">
        <f t="shared" si="239"/>
        <v>0</v>
      </c>
      <c r="AN635" s="36">
        <f t="shared" si="257"/>
        <v>0</v>
      </c>
      <c r="AO635" s="6">
        <f t="shared" si="240"/>
        <v>0</v>
      </c>
      <c r="AP635">
        <f t="shared" si="241"/>
        <v>8</v>
      </c>
      <c r="AQ635" s="6">
        <f t="shared" si="242"/>
        <v>0</v>
      </c>
      <c r="AR635" s="6">
        <f t="shared" si="243"/>
        <v>0</v>
      </c>
      <c r="AS635" s="6"/>
      <c r="AX635" s="95">
        <f t="shared" si="244"/>
        <v>42758</v>
      </c>
      <c r="AY635" s="96" t="str">
        <f t="shared" si="245"/>
        <v>seg</v>
      </c>
      <c r="AZ635" s="97">
        <f>IF(OR(AY635="SÁB",AY635="DOM"),0,IFERROR(8-VLOOKUP(C635,'Dados de consulta'!$A$2:$C$38,3,0),8))</f>
        <v>8</v>
      </c>
      <c r="BA635" s="97">
        <f>IF(OR(AY635="SÁB",AY635="DOM"),0,IFERROR(8-VLOOKUP(D635,'Dados de consulta'!$A$2:$C$38,3,0),8))</f>
        <v>8</v>
      </c>
      <c r="BB635" s="97">
        <f>IF(OR(AY635="SÁB",AY635="DOM"),0,IFERROR(8-VLOOKUP(E635,'Dados de consulta'!$A$2:$C$38,3,0),8))</f>
        <v>8</v>
      </c>
      <c r="BC635" s="97">
        <f>IF(OR(AY635="SÁB",AY635="DOM"),0,IFERROR(8-VLOOKUP(F635,'Dados de consulta'!$A$2:$C$38,3,0),8))</f>
        <v>8</v>
      </c>
      <c r="BD635" s="97">
        <f>IF(OR(AY635="SÁB",AY635="DOM"),0,IFERROR(8-VLOOKUP(G635,'Dados de consulta'!$A$2:$C$38,3,0),8))</f>
        <v>8</v>
      </c>
      <c r="BE635" s="97">
        <f>IF(OR(AY635="SÁB",AY635="DOM"),0,IFERROR(8-VLOOKUP(H635,'Dados de consulta'!$A$2:$C$38,3,0),8))</f>
        <v>8</v>
      </c>
      <c r="BF635" s="97">
        <f>IF(OR(AY635="SÁB",AY635="DOM"),0,IFERROR(8-VLOOKUP(I635,'Dados de consulta'!$A$2:$C$38,3,0),8))</f>
        <v>8</v>
      </c>
      <c r="BG635" s="97">
        <f>IF(OR(AY635="SÁB",AY635="DOM"),0,IFERROR(8-VLOOKUP(J635,'Dados de consulta'!$A$2:$C$38,3,0),8))</f>
        <v>8</v>
      </c>
      <c r="BH635" s="97">
        <f>IF(OR(AY635="SÁB",AY635="DOM"),0,IFERROR(8-VLOOKUP(K635,'Dados de consulta'!$A$2:$C$38,3,0),8))</f>
        <v>0</v>
      </c>
      <c r="BI635" s="97">
        <f>IF(OR(AY635="SÁB",AY635="DOM"),0,IFERROR(8-VLOOKUP(L635,'Dados de consulta'!$A$2:$C$38,3,0),8))</f>
        <v>8</v>
      </c>
      <c r="BJ635" s="97">
        <f>IF(OR(AY635="SÁB",AY635="DOM"),0,IFERROR(8-VLOOKUP(M635,'Dados de consulta'!$A$2:$C$38,3,0),8))</f>
        <v>0</v>
      </c>
      <c r="BK635" s="97">
        <f>IF(OR(AY635="SÁB",AY635="DOM"),0,IFERROR(8-VLOOKUP(N635,'Dados de consulta'!$A$2:$C$38,3,0),8))</f>
        <v>8</v>
      </c>
      <c r="BL635" s="97">
        <f>IF(OR(AY635="SÁB",AY635="DOM"),0,IFERROR(8-VLOOKUP(O635,'Dados de consulta'!$A$2:$C$38,3,0),8))</f>
        <v>8</v>
      </c>
      <c r="BM635" s="97">
        <f>IF(OR(AY635="SÁB",AY635="DOM"),0,IFERROR(8-VLOOKUP(P635,'Dados de consulta'!$A$2:$C$38,3,0),8))</f>
        <v>8</v>
      </c>
      <c r="BN635" s="97">
        <f>IF(OR(AY635="SÁB",AY635="DOM"),0,IFERROR(8-VLOOKUP(Q635,'Dados de consulta'!$A$2:$C$38,3,0),8))</f>
        <v>8</v>
      </c>
      <c r="BO635" s="97">
        <f>IF(OR(AY635="SÁB",AY635="DOM"),0,IFERROR(8-VLOOKUP(R635,'Dados de consulta'!$A$2:$C$38,3,0),8))</f>
        <v>8</v>
      </c>
      <c r="BP635" s="97">
        <f>IF(OR(AY635="SÁB",AY635="DOM"),0,IFERROR(8-VLOOKUP(S635,'Dados de consulta'!$A$2:$C$38,3,0),8))</f>
        <v>8</v>
      </c>
      <c r="BQ635" s="113">
        <f>IFERROR(6-VLOOKUP(T635,'Dados de consulta'!$A$2:$C$38,3,0)+2,6)</f>
        <v>6</v>
      </c>
      <c r="BR635" s="114">
        <f t="shared" si="258"/>
        <v>126</v>
      </c>
      <c r="BS635">
        <f t="shared" si="234"/>
        <v>134</v>
      </c>
      <c r="BU635">
        <f>IFERROR(8-VLOOKUP(U635,'Dados de consulta'!$A:$D,3,0),8)</f>
        <v>8</v>
      </c>
      <c r="BV635">
        <f>IFERROR(8-VLOOKUP(V635,'Dados de consulta'!$A:$D,3,0),8)</f>
        <v>8</v>
      </c>
      <c r="BW635">
        <f t="shared" si="259"/>
        <v>16</v>
      </c>
    </row>
    <row r="636" spans="1:75" ht="15" hidden="1" x14ac:dyDescent="0.2">
      <c r="A636" s="98">
        <v>42759</v>
      </c>
      <c r="B636" s="129" t="str">
        <f t="shared" si="236"/>
        <v>ter</v>
      </c>
      <c r="C636" s="132"/>
      <c r="D636" s="132"/>
      <c r="E636" s="132"/>
      <c r="F636" s="132"/>
      <c r="G636" s="132"/>
      <c r="H636" s="132"/>
      <c r="I636" s="132"/>
      <c r="J636" s="132"/>
      <c r="K636" s="132">
        <v>18</v>
      </c>
      <c r="L636" s="132"/>
      <c r="M636" s="132">
        <v>101</v>
      </c>
      <c r="N636" s="132"/>
      <c r="O636" s="132"/>
      <c r="P636" s="132"/>
      <c r="Q636" s="132"/>
      <c r="R636" s="132"/>
      <c r="S636" s="132"/>
      <c r="T636" s="132"/>
      <c r="U636" s="151"/>
      <c r="V636" s="151"/>
      <c r="W636" s="307" t="s">
        <v>193</v>
      </c>
      <c r="X636" s="308"/>
      <c r="Y636" s="38">
        <f t="shared" si="237"/>
        <v>0</v>
      </c>
      <c r="Z636" s="38">
        <f t="shared" si="238"/>
        <v>8</v>
      </c>
      <c r="AA636" s="38">
        <f t="shared" si="235"/>
        <v>0</v>
      </c>
      <c r="AB636" s="38">
        <f t="shared" si="246"/>
        <v>0</v>
      </c>
      <c r="AC636" s="38">
        <f t="shared" si="247"/>
        <v>0</v>
      </c>
      <c r="AD636" s="38">
        <f t="shared" si="248"/>
        <v>0</v>
      </c>
      <c r="AE636" s="38">
        <f t="shared" si="249"/>
        <v>0</v>
      </c>
      <c r="AF636" s="38">
        <f t="shared" si="250"/>
        <v>0</v>
      </c>
      <c r="AG636" s="33">
        <f t="shared" si="251"/>
        <v>0</v>
      </c>
      <c r="AH636" s="33">
        <f t="shared" si="252"/>
        <v>8</v>
      </c>
      <c r="AI636" s="33">
        <f t="shared" si="253"/>
        <v>0</v>
      </c>
      <c r="AJ636" s="33">
        <f t="shared" si="254"/>
        <v>0</v>
      </c>
      <c r="AK636" s="34">
        <f t="shared" si="255"/>
        <v>0</v>
      </c>
      <c r="AL636" s="35">
        <f t="shared" si="256"/>
        <v>5.6338028169014086E-2</v>
      </c>
      <c r="AM636" s="34">
        <f t="shared" si="239"/>
        <v>0</v>
      </c>
      <c r="AN636" s="36">
        <f t="shared" si="257"/>
        <v>0</v>
      </c>
      <c r="AO636" s="6">
        <f t="shared" si="240"/>
        <v>0</v>
      </c>
      <c r="AP636">
        <f t="shared" si="241"/>
        <v>8</v>
      </c>
      <c r="AQ636" s="6">
        <f t="shared" si="242"/>
        <v>0</v>
      </c>
      <c r="AR636" s="6">
        <f t="shared" si="243"/>
        <v>0</v>
      </c>
      <c r="AS636" s="6"/>
      <c r="AX636" s="95">
        <f t="shared" si="244"/>
        <v>42759</v>
      </c>
      <c r="AY636" s="96" t="str">
        <f t="shared" si="245"/>
        <v>ter</v>
      </c>
      <c r="AZ636" s="97">
        <f>IF(OR(AY636="SÁB",AY636="DOM"),0,IFERROR(8-VLOOKUP(C636,'Dados de consulta'!$A$2:$C$38,3,0),8))</f>
        <v>8</v>
      </c>
      <c r="BA636" s="97">
        <f>IF(OR(AY636="SÁB",AY636="DOM"),0,IFERROR(8-VLOOKUP(D636,'Dados de consulta'!$A$2:$C$38,3,0),8))</f>
        <v>8</v>
      </c>
      <c r="BB636" s="97">
        <f>IF(OR(AY636="SÁB",AY636="DOM"),0,IFERROR(8-VLOOKUP(E636,'Dados de consulta'!$A$2:$C$38,3,0),8))</f>
        <v>8</v>
      </c>
      <c r="BC636" s="97">
        <f>IF(OR(AY636="SÁB",AY636="DOM"),0,IFERROR(8-VLOOKUP(F636,'Dados de consulta'!$A$2:$C$38,3,0),8))</f>
        <v>8</v>
      </c>
      <c r="BD636" s="97">
        <f>IF(OR(AY636="SÁB",AY636="DOM"),0,IFERROR(8-VLOOKUP(G636,'Dados de consulta'!$A$2:$C$38,3,0),8))</f>
        <v>8</v>
      </c>
      <c r="BE636" s="97">
        <f>IF(OR(AY636="SÁB",AY636="DOM"),0,IFERROR(8-VLOOKUP(H636,'Dados de consulta'!$A$2:$C$38,3,0),8))</f>
        <v>8</v>
      </c>
      <c r="BF636" s="97">
        <f>IF(OR(AY636="SÁB",AY636="DOM"),0,IFERROR(8-VLOOKUP(I636,'Dados de consulta'!$A$2:$C$38,3,0),8))</f>
        <v>8</v>
      </c>
      <c r="BG636" s="97">
        <f>IF(OR(AY636="SÁB",AY636="DOM"),0,IFERROR(8-VLOOKUP(J636,'Dados de consulta'!$A$2:$C$38,3,0),8))</f>
        <v>8</v>
      </c>
      <c r="BH636" s="97">
        <f>IF(OR(AY636="SÁB",AY636="DOM"),0,IFERROR(8-VLOOKUP(K636,'Dados de consulta'!$A$2:$C$38,3,0),8))</f>
        <v>0</v>
      </c>
      <c r="BI636" s="97">
        <f>IF(OR(AY636="SÁB",AY636="DOM"),0,IFERROR(8-VLOOKUP(L636,'Dados de consulta'!$A$2:$C$38,3,0),8))</f>
        <v>8</v>
      </c>
      <c r="BJ636" s="97">
        <f>IF(OR(AY636="SÁB",AY636="DOM"),0,IFERROR(8-VLOOKUP(M636,'Dados de consulta'!$A$2:$C$38,3,0),8))</f>
        <v>0</v>
      </c>
      <c r="BK636" s="97">
        <f>IF(OR(AY636="SÁB",AY636="DOM"),0,IFERROR(8-VLOOKUP(N636,'Dados de consulta'!$A$2:$C$38,3,0),8))</f>
        <v>8</v>
      </c>
      <c r="BL636" s="97">
        <f>IF(OR(AY636="SÁB",AY636="DOM"),0,IFERROR(8-VLOOKUP(O636,'Dados de consulta'!$A$2:$C$38,3,0),8))</f>
        <v>8</v>
      </c>
      <c r="BM636" s="97">
        <f>IF(OR(AY636="SÁB",AY636="DOM"),0,IFERROR(8-VLOOKUP(P636,'Dados de consulta'!$A$2:$C$38,3,0),8))</f>
        <v>8</v>
      </c>
      <c r="BN636" s="97">
        <f>IF(OR(AY636="SÁB",AY636="DOM"),0,IFERROR(8-VLOOKUP(Q636,'Dados de consulta'!$A$2:$C$38,3,0),8))</f>
        <v>8</v>
      </c>
      <c r="BO636" s="97">
        <f>IF(OR(AY636="SÁB",AY636="DOM"),0,IFERROR(8-VLOOKUP(R636,'Dados de consulta'!$A$2:$C$38,3,0),8))</f>
        <v>8</v>
      </c>
      <c r="BP636" s="97">
        <f>IF(OR(AY636="SÁB",AY636="DOM"),0,IFERROR(8-VLOOKUP(S636,'Dados de consulta'!$A$2:$C$38,3,0),8))</f>
        <v>8</v>
      </c>
      <c r="BQ636" s="113">
        <f>IFERROR(6-VLOOKUP(T636,'Dados de consulta'!$A$2:$C$38,3,0)+2,6)</f>
        <v>6</v>
      </c>
      <c r="BR636" s="114">
        <f t="shared" si="258"/>
        <v>126</v>
      </c>
      <c r="BS636">
        <f t="shared" si="234"/>
        <v>134</v>
      </c>
      <c r="BU636">
        <f>IFERROR(8-VLOOKUP(U636,'Dados de consulta'!$A:$D,3,0),8)</f>
        <v>8</v>
      </c>
      <c r="BV636">
        <f>IFERROR(8-VLOOKUP(V636,'Dados de consulta'!$A:$D,3,0),8)</f>
        <v>8</v>
      </c>
      <c r="BW636">
        <f t="shared" si="259"/>
        <v>16</v>
      </c>
    </row>
    <row r="637" spans="1:75" ht="15" hidden="1" x14ac:dyDescent="0.2">
      <c r="A637" s="98">
        <v>42760</v>
      </c>
      <c r="B637" s="129" t="str">
        <f t="shared" si="236"/>
        <v>qua</v>
      </c>
      <c r="C637" s="132"/>
      <c r="D637" s="132"/>
      <c r="E637" s="132"/>
      <c r="F637" s="132"/>
      <c r="G637" s="132"/>
      <c r="H637" s="132"/>
      <c r="I637" s="132"/>
      <c r="J637" s="132"/>
      <c r="K637" s="132">
        <v>18</v>
      </c>
      <c r="L637" s="132"/>
      <c r="M637" s="132">
        <v>101</v>
      </c>
      <c r="N637" s="132"/>
      <c r="O637" s="132"/>
      <c r="P637" s="132"/>
      <c r="Q637" s="132"/>
      <c r="R637" s="132"/>
      <c r="S637" s="132"/>
      <c r="T637" s="132"/>
      <c r="U637" s="151"/>
      <c r="V637" s="151"/>
      <c r="W637" s="307" t="s">
        <v>193</v>
      </c>
      <c r="X637" s="308"/>
      <c r="Y637" s="38">
        <f t="shared" si="237"/>
        <v>0</v>
      </c>
      <c r="Z637" s="38">
        <f t="shared" si="238"/>
        <v>8</v>
      </c>
      <c r="AA637" s="38">
        <f t="shared" si="235"/>
        <v>0</v>
      </c>
      <c r="AB637" s="38">
        <f t="shared" si="246"/>
        <v>0</v>
      </c>
      <c r="AC637" s="38">
        <f t="shared" si="247"/>
        <v>0</v>
      </c>
      <c r="AD637" s="38">
        <f t="shared" si="248"/>
        <v>0</v>
      </c>
      <c r="AE637" s="38">
        <f t="shared" si="249"/>
        <v>0</v>
      </c>
      <c r="AF637" s="38">
        <f t="shared" si="250"/>
        <v>0</v>
      </c>
      <c r="AG637" s="33">
        <f t="shared" si="251"/>
        <v>0</v>
      </c>
      <c r="AH637" s="33">
        <f t="shared" si="252"/>
        <v>8</v>
      </c>
      <c r="AI637" s="33">
        <f t="shared" si="253"/>
        <v>0</v>
      </c>
      <c r="AJ637" s="33">
        <f t="shared" si="254"/>
        <v>0</v>
      </c>
      <c r="AK637" s="34">
        <f t="shared" si="255"/>
        <v>0</v>
      </c>
      <c r="AL637" s="35">
        <f t="shared" si="256"/>
        <v>5.6338028169014086E-2</v>
      </c>
      <c r="AM637" s="34">
        <f t="shared" si="239"/>
        <v>0</v>
      </c>
      <c r="AN637" s="36">
        <f t="shared" si="257"/>
        <v>0</v>
      </c>
      <c r="AO637" s="6">
        <f t="shared" si="240"/>
        <v>0</v>
      </c>
      <c r="AP637">
        <f t="shared" si="241"/>
        <v>8</v>
      </c>
      <c r="AQ637" s="6">
        <f t="shared" si="242"/>
        <v>0</v>
      </c>
      <c r="AR637" s="6">
        <f t="shared" si="243"/>
        <v>0</v>
      </c>
      <c r="AS637" s="6"/>
      <c r="AX637" s="95">
        <f t="shared" si="244"/>
        <v>42760</v>
      </c>
      <c r="AY637" s="96" t="str">
        <f t="shared" si="245"/>
        <v>qua</v>
      </c>
      <c r="AZ637" s="97">
        <f>IF(OR(AY637="SÁB",AY637="DOM"),0,IFERROR(8-VLOOKUP(C637,'Dados de consulta'!$A$2:$C$38,3,0),8))</f>
        <v>8</v>
      </c>
      <c r="BA637" s="97">
        <f>IF(OR(AY637="SÁB",AY637="DOM"),0,IFERROR(8-VLOOKUP(D637,'Dados de consulta'!$A$2:$C$38,3,0),8))</f>
        <v>8</v>
      </c>
      <c r="BB637" s="97">
        <f>IF(OR(AY637="SÁB",AY637="DOM"),0,IFERROR(8-VLOOKUP(E637,'Dados de consulta'!$A$2:$C$38,3,0),8))</f>
        <v>8</v>
      </c>
      <c r="BC637" s="97">
        <f>IF(OR(AY637="SÁB",AY637="DOM"),0,IFERROR(8-VLOOKUP(F637,'Dados de consulta'!$A$2:$C$38,3,0),8))</f>
        <v>8</v>
      </c>
      <c r="BD637" s="97">
        <f>IF(OR(AY637="SÁB",AY637="DOM"),0,IFERROR(8-VLOOKUP(G637,'Dados de consulta'!$A$2:$C$38,3,0),8))</f>
        <v>8</v>
      </c>
      <c r="BE637" s="97">
        <f>IF(OR(AY637="SÁB",AY637="DOM"),0,IFERROR(8-VLOOKUP(H637,'Dados de consulta'!$A$2:$C$38,3,0),8))</f>
        <v>8</v>
      </c>
      <c r="BF637" s="97">
        <f>IF(OR(AY637="SÁB",AY637="DOM"),0,IFERROR(8-VLOOKUP(I637,'Dados de consulta'!$A$2:$C$38,3,0),8))</f>
        <v>8</v>
      </c>
      <c r="BG637" s="97">
        <f>IF(OR(AY637="SÁB",AY637="DOM"),0,IFERROR(8-VLOOKUP(J637,'Dados de consulta'!$A$2:$C$38,3,0),8))</f>
        <v>8</v>
      </c>
      <c r="BH637" s="97">
        <f>IF(OR(AY637="SÁB",AY637="DOM"),0,IFERROR(8-VLOOKUP(K637,'Dados de consulta'!$A$2:$C$38,3,0),8))</f>
        <v>0</v>
      </c>
      <c r="BI637" s="97">
        <f>IF(OR(AY637="SÁB",AY637="DOM"),0,IFERROR(8-VLOOKUP(L637,'Dados de consulta'!$A$2:$C$38,3,0),8))</f>
        <v>8</v>
      </c>
      <c r="BJ637" s="97">
        <f>IF(OR(AY637="SÁB",AY637="DOM"),0,IFERROR(8-VLOOKUP(M637,'Dados de consulta'!$A$2:$C$38,3,0),8))</f>
        <v>0</v>
      </c>
      <c r="BK637" s="97">
        <f>IF(OR(AY637="SÁB",AY637="DOM"),0,IFERROR(8-VLOOKUP(N637,'Dados de consulta'!$A$2:$C$38,3,0),8))</f>
        <v>8</v>
      </c>
      <c r="BL637" s="97">
        <f>IF(OR(AY637="SÁB",AY637="DOM"),0,IFERROR(8-VLOOKUP(O637,'Dados de consulta'!$A$2:$C$38,3,0),8))</f>
        <v>8</v>
      </c>
      <c r="BM637" s="97">
        <f>IF(OR(AY637="SÁB",AY637="DOM"),0,IFERROR(8-VLOOKUP(P637,'Dados de consulta'!$A$2:$C$38,3,0),8))</f>
        <v>8</v>
      </c>
      <c r="BN637" s="97">
        <f>IF(OR(AY637="SÁB",AY637="DOM"),0,IFERROR(8-VLOOKUP(Q637,'Dados de consulta'!$A$2:$C$38,3,0),8))</f>
        <v>8</v>
      </c>
      <c r="BO637" s="97">
        <f>IF(OR(AY637="SÁB",AY637="DOM"),0,IFERROR(8-VLOOKUP(R637,'Dados de consulta'!$A$2:$C$38,3,0),8))</f>
        <v>8</v>
      </c>
      <c r="BP637" s="97">
        <f>IF(OR(AY637="SÁB",AY637="DOM"),0,IFERROR(8-VLOOKUP(S637,'Dados de consulta'!$A$2:$C$38,3,0),8))</f>
        <v>8</v>
      </c>
      <c r="BQ637" s="113">
        <f>IFERROR(6-VLOOKUP(T637,'Dados de consulta'!$A$2:$C$38,3,0)+2,6)</f>
        <v>6</v>
      </c>
      <c r="BR637" s="114">
        <f t="shared" si="258"/>
        <v>126</v>
      </c>
      <c r="BS637">
        <f t="shared" si="234"/>
        <v>134</v>
      </c>
      <c r="BU637">
        <f>IFERROR(8-VLOOKUP(U637,'Dados de consulta'!$A:$D,3,0),8)</f>
        <v>8</v>
      </c>
      <c r="BV637">
        <f>IFERROR(8-VLOOKUP(V637,'Dados de consulta'!$A:$D,3,0),8)</f>
        <v>8</v>
      </c>
      <c r="BW637">
        <f t="shared" si="259"/>
        <v>16</v>
      </c>
    </row>
    <row r="638" spans="1:75" ht="15" hidden="1" x14ac:dyDescent="0.2">
      <c r="A638" s="98">
        <v>42761</v>
      </c>
      <c r="B638" s="129" t="str">
        <f t="shared" si="236"/>
        <v>qui</v>
      </c>
      <c r="C638" s="132"/>
      <c r="D638" s="132"/>
      <c r="E638" s="132"/>
      <c r="F638" s="132"/>
      <c r="G638" s="132"/>
      <c r="H638" s="132"/>
      <c r="I638" s="132"/>
      <c r="J638" s="132"/>
      <c r="K638" s="132">
        <v>18</v>
      </c>
      <c r="L638" s="132"/>
      <c r="M638" s="132">
        <v>101</v>
      </c>
      <c r="N638" s="132"/>
      <c r="O638" s="132"/>
      <c r="P638" s="132"/>
      <c r="Q638" s="132"/>
      <c r="R638" s="132"/>
      <c r="S638" s="132"/>
      <c r="T638" s="132"/>
      <c r="U638" s="151"/>
      <c r="V638" s="151"/>
      <c r="W638" s="307" t="s">
        <v>193</v>
      </c>
      <c r="X638" s="308"/>
      <c r="Y638" s="38">
        <f t="shared" si="237"/>
        <v>0</v>
      </c>
      <c r="Z638" s="38">
        <f t="shared" si="238"/>
        <v>8</v>
      </c>
      <c r="AA638" s="38">
        <f t="shared" si="235"/>
        <v>0</v>
      </c>
      <c r="AB638" s="38">
        <f t="shared" si="246"/>
        <v>0</v>
      </c>
      <c r="AC638" s="38">
        <f t="shared" si="247"/>
        <v>0</v>
      </c>
      <c r="AD638" s="38">
        <f t="shared" si="248"/>
        <v>0</v>
      </c>
      <c r="AE638" s="38">
        <f t="shared" si="249"/>
        <v>0</v>
      </c>
      <c r="AF638" s="38">
        <f t="shared" si="250"/>
        <v>0</v>
      </c>
      <c r="AG638" s="33">
        <f t="shared" si="251"/>
        <v>0</v>
      </c>
      <c r="AH638" s="33">
        <f t="shared" si="252"/>
        <v>8</v>
      </c>
      <c r="AI638" s="33">
        <f t="shared" si="253"/>
        <v>0</v>
      </c>
      <c r="AJ638" s="33">
        <f t="shared" si="254"/>
        <v>0</v>
      </c>
      <c r="AK638" s="34">
        <f t="shared" si="255"/>
        <v>0</v>
      </c>
      <c r="AL638" s="35">
        <f t="shared" si="256"/>
        <v>5.6338028169014086E-2</v>
      </c>
      <c r="AM638" s="34">
        <f t="shared" si="239"/>
        <v>0</v>
      </c>
      <c r="AN638" s="36">
        <f t="shared" si="257"/>
        <v>0</v>
      </c>
      <c r="AO638" s="6">
        <f t="shared" si="240"/>
        <v>0</v>
      </c>
      <c r="AP638">
        <f t="shared" si="241"/>
        <v>8</v>
      </c>
      <c r="AQ638" s="6">
        <f t="shared" si="242"/>
        <v>0</v>
      </c>
      <c r="AR638" s="6">
        <f t="shared" si="243"/>
        <v>0</v>
      </c>
      <c r="AS638" s="6"/>
      <c r="AX638" s="95">
        <f t="shared" si="244"/>
        <v>42761</v>
      </c>
      <c r="AY638" s="96" t="str">
        <f t="shared" si="245"/>
        <v>qui</v>
      </c>
      <c r="AZ638" s="97">
        <f>IF(OR(AY638="SÁB",AY638="DOM"),0,IFERROR(8-VLOOKUP(C638,'Dados de consulta'!$A$2:$C$38,3,0),8))</f>
        <v>8</v>
      </c>
      <c r="BA638" s="97">
        <f>IF(OR(AY638="SÁB",AY638="DOM"),0,IFERROR(8-VLOOKUP(D638,'Dados de consulta'!$A$2:$C$38,3,0),8))</f>
        <v>8</v>
      </c>
      <c r="BB638" s="97">
        <f>IF(OR(AY638="SÁB",AY638="DOM"),0,IFERROR(8-VLOOKUP(E638,'Dados de consulta'!$A$2:$C$38,3,0),8))</f>
        <v>8</v>
      </c>
      <c r="BC638" s="97">
        <f>IF(OR(AY638="SÁB",AY638="DOM"),0,IFERROR(8-VLOOKUP(F638,'Dados de consulta'!$A$2:$C$38,3,0),8))</f>
        <v>8</v>
      </c>
      <c r="BD638" s="97">
        <f>IF(OR(AY638="SÁB",AY638="DOM"),0,IFERROR(8-VLOOKUP(G638,'Dados de consulta'!$A$2:$C$38,3,0),8))</f>
        <v>8</v>
      </c>
      <c r="BE638" s="97">
        <f>IF(OR(AY638="SÁB",AY638="DOM"),0,IFERROR(8-VLOOKUP(H638,'Dados de consulta'!$A$2:$C$38,3,0),8))</f>
        <v>8</v>
      </c>
      <c r="BF638" s="97">
        <f>IF(OR(AY638="SÁB",AY638="DOM"),0,IFERROR(8-VLOOKUP(I638,'Dados de consulta'!$A$2:$C$38,3,0),8))</f>
        <v>8</v>
      </c>
      <c r="BG638" s="97">
        <f>IF(OR(AY638="SÁB",AY638="DOM"),0,IFERROR(8-VLOOKUP(J638,'Dados de consulta'!$A$2:$C$38,3,0),8))</f>
        <v>8</v>
      </c>
      <c r="BH638" s="97">
        <f>IF(OR(AY638="SÁB",AY638="DOM"),0,IFERROR(8-VLOOKUP(K638,'Dados de consulta'!$A$2:$C$38,3,0),8))</f>
        <v>0</v>
      </c>
      <c r="BI638" s="97">
        <f>IF(OR(AY638="SÁB",AY638="DOM"),0,IFERROR(8-VLOOKUP(L638,'Dados de consulta'!$A$2:$C$38,3,0),8))</f>
        <v>8</v>
      </c>
      <c r="BJ638" s="97">
        <f>IF(OR(AY638="SÁB",AY638="DOM"),0,IFERROR(8-VLOOKUP(M638,'Dados de consulta'!$A$2:$C$38,3,0),8))</f>
        <v>0</v>
      </c>
      <c r="BK638" s="97">
        <f>IF(OR(AY638="SÁB",AY638="DOM"),0,IFERROR(8-VLOOKUP(N638,'Dados de consulta'!$A$2:$C$38,3,0),8))</f>
        <v>8</v>
      </c>
      <c r="BL638" s="97">
        <f>IF(OR(AY638="SÁB",AY638="DOM"),0,IFERROR(8-VLOOKUP(O638,'Dados de consulta'!$A$2:$C$38,3,0),8))</f>
        <v>8</v>
      </c>
      <c r="BM638" s="97">
        <f>IF(OR(AY638="SÁB",AY638="DOM"),0,IFERROR(8-VLOOKUP(P638,'Dados de consulta'!$A$2:$C$38,3,0),8))</f>
        <v>8</v>
      </c>
      <c r="BN638" s="97">
        <f>IF(OR(AY638="SÁB",AY638="DOM"),0,IFERROR(8-VLOOKUP(Q638,'Dados de consulta'!$A$2:$C$38,3,0),8))</f>
        <v>8</v>
      </c>
      <c r="BO638" s="97">
        <f>IF(OR(AY638="SÁB",AY638="DOM"),0,IFERROR(8-VLOOKUP(R638,'Dados de consulta'!$A$2:$C$38,3,0),8))</f>
        <v>8</v>
      </c>
      <c r="BP638" s="97">
        <f>IF(OR(AY638="SÁB",AY638="DOM"),0,IFERROR(8-VLOOKUP(S638,'Dados de consulta'!$A$2:$C$38,3,0),8))</f>
        <v>8</v>
      </c>
      <c r="BQ638" s="113">
        <f>IFERROR(6-VLOOKUP(T638,'Dados de consulta'!$A$2:$C$38,3,0)+2,6)</f>
        <v>6</v>
      </c>
      <c r="BR638" s="114">
        <f t="shared" si="258"/>
        <v>126</v>
      </c>
      <c r="BS638">
        <f t="shared" ref="BS638:BS701" si="260">IF(R639=17,0,IF(OR(AY638="SÁB",AY638="DOM"),0,((COUNT(AZ638:BQ638)-1)*8+6)-SUM(AO638:AR638)))</f>
        <v>134</v>
      </c>
      <c r="BU638">
        <f>IFERROR(8-VLOOKUP(U638,'Dados de consulta'!$A:$D,3,0),8)</f>
        <v>8</v>
      </c>
      <c r="BV638">
        <f>IFERROR(8-VLOOKUP(V638,'Dados de consulta'!$A:$D,3,0),8)</f>
        <v>8</v>
      </c>
      <c r="BW638">
        <f t="shared" si="259"/>
        <v>16</v>
      </c>
    </row>
    <row r="639" spans="1:75" ht="15" hidden="1" x14ac:dyDescent="0.2">
      <c r="A639" s="98">
        <v>42762</v>
      </c>
      <c r="B639" s="129" t="str">
        <f t="shared" si="236"/>
        <v>sex</v>
      </c>
      <c r="C639" s="132"/>
      <c r="D639" s="132"/>
      <c r="E639" s="132"/>
      <c r="F639" s="132"/>
      <c r="G639" s="132"/>
      <c r="H639" s="132"/>
      <c r="I639" s="132"/>
      <c r="J639" s="132"/>
      <c r="K639" s="132">
        <v>18</v>
      </c>
      <c r="L639" s="132"/>
      <c r="M639" s="132">
        <v>101</v>
      </c>
      <c r="N639" s="132"/>
      <c r="O639" s="132"/>
      <c r="P639" s="132"/>
      <c r="Q639" s="132"/>
      <c r="R639" s="132"/>
      <c r="S639" s="132"/>
      <c r="T639" s="132"/>
      <c r="U639" s="151"/>
      <c r="V639" s="151"/>
      <c r="W639" s="307" t="s">
        <v>193</v>
      </c>
      <c r="X639" s="308"/>
      <c r="Y639" s="38">
        <f t="shared" si="237"/>
        <v>0</v>
      </c>
      <c r="Z639" s="38">
        <f t="shared" si="238"/>
        <v>8</v>
      </c>
      <c r="AA639" s="38">
        <f t="shared" si="235"/>
        <v>0</v>
      </c>
      <c r="AB639" s="38">
        <f t="shared" si="246"/>
        <v>0</v>
      </c>
      <c r="AC639" s="38">
        <f t="shared" si="247"/>
        <v>0</v>
      </c>
      <c r="AD639" s="38">
        <f t="shared" si="248"/>
        <v>0</v>
      </c>
      <c r="AE639" s="38">
        <f t="shared" si="249"/>
        <v>0</v>
      </c>
      <c r="AF639" s="38">
        <f t="shared" si="250"/>
        <v>0</v>
      </c>
      <c r="AG639" s="33">
        <f t="shared" si="251"/>
        <v>0</v>
      </c>
      <c r="AH639" s="33">
        <f t="shared" si="252"/>
        <v>8</v>
      </c>
      <c r="AI639" s="33">
        <f t="shared" si="253"/>
        <v>0</v>
      </c>
      <c r="AJ639" s="33">
        <f t="shared" si="254"/>
        <v>0</v>
      </c>
      <c r="AK639" s="34">
        <f t="shared" si="255"/>
        <v>0</v>
      </c>
      <c r="AL639" s="35">
        <f t="shared" si="256"/>
        <v>5.6338028169014086E-2</v>
      </c>
      <c r="AM639" s="34">
        <f t="shared" si="239"/>
        <v>0</v>
      </c>
      <c r="AN639" s="36">
        <f t="shared" si="257"/>
        <v>0</v>
      </c>
      <c r="AO639" s="6">
        <f t="shared" si="240"/>
        <v>0</v>
      </c>
      <c r="AP639">
        <f t="shared" si="241"/>
        <v>8</v>
      </c>
      <c r="AQ639" s="6">
        <f t="shared" si="242"/>
        <v>0</v>
      </c>
      <c r="AR639" s="6">
        <f t="shared" si="243"/>
        <v>0</v>
      </c>
      <c r="AS639" s="6"/>
      <c r="AX639" s="95">
        <f t="shared" si="244"/>
        <v>42762</v>
      </c>
      <c r="AY639" s="96" t="str">
        <f t="shared" si="245"/>
        <v>sex</v>
      </c>
      <c r="AZ639" s="97">
        <f>IF(OR(AY639="SÁB",AY639="DOM"),0,IFERROR(8-VLOOKUP(C639,'Dados de consulta'!$A$2:$C$38,3,0),8))</f>
        <v>8</v>
      </c>
      <c r="BA639" s="97">
        <f>IF(OR(AY639="SÁB",AY639="DOM"),0,IFERROR(8-VLOOKUP(D639,'Dados de consulta'!$A$2:$C$38,3,0),8))</f>
        <v>8</v>
      </c>
      <c r="BB639" s="97">
        <f>IF(OR(AY639="SÁB",AY639="DOM"),0,IFERROR(8-VLOOKUP(E639,'Dados de consulta'!$A$2:$C$38,3,0),8))</f>
        <v>8</v>
      </c>
      <c r="BC639" s="97">
        <f>IF(OR(AY639="SÁB",AY639="DOM"),0,IFERROR(8-VLOOKUP(F639,'Dados de consulta'!$A$2:$C$38,3,0),8))</f>
        <v>8</v>
      </c>
      <c r="BD639" s="97">
        <f>IF(OR(AY639="SÁB",AY639="DOM"),0,IFERROR(8-VLOOKUP(G639,'Dados de consulta'!$A$2:$C$38,3,0),8))</f>
        <v>8</v>
      </c>
      <c r="BE639" s="97">
        <f>IF(OR(AY639="SÁB",AY639="DOM"),0,IFERROR(8-VLOOKUP(H639,'Dados de consulta'!$A$2:$C$38,3,0),8))</f>
        <v>8</v>
      </c>
      <c r="BF639" s="97">
        <f>IF(OR(AY639="SÁB",AY639="DOM"),0,IFERROR(8-VLOOKUP(I639,'Dados de consulta'!$A$2:$C$38,3,0),8))</f>
        <v>8</v>
      </c>
      <c r="BG639" s="97">
        <f>IF(OR(AY639="SÁB",AY639="DOM"),0,IFERROR(8-VLOOKUP(J639,'Dados de consulta'!$A$2:$C$38,3,0),8))</f>
        <v>8</v>
      </c>
      <c r="BH639" s="97">
        <f>IF(OR(AY639="SÁB",AY639="DOM"),0,IFERROR(8-VLOOKUP(K639,'Dados de consulta'!$A$2:$C$38,3,0),8))</f>
        <v>0</v>
      </c>
      <c r="BI639" s="97">
        <f>IF(OR(AY639="SÁB",AY639="DOM"),0,IFERROR(8-VLOOKUP(L639,'Dados de consulta'!$A$2:$C$38,3,0),8))</f>
        <v>8</v>
      </c>
      <c r="BJ639" s="97">
        <f>IF(OR(AY639="SÁB",AY639="DOM"),0,IFERROR(8-VLOOKUP(M639,'Dados de consulta'!$A$2:$C$38,3,0),8))</f>
        <v>0</v>
      </c>
      <c r="BK639" s="97">
        <f>IF(OR(AY639="SÁB",AY639="DOM"),0,IFERROR(8-VLOOKUP(N639,'Dados de consulta'!$A$2:$C$38,3,0),8))</f>
        <v>8</v>
      </c>
      <c r="BL639" s="97">
        <f>IF(OR(AY639="SÁB",AY639="DOM"),0,IFERROR(8-VLOOKUP(O639,'Dados de consulta'!$A$2:$C$38,3,0),8))</f>
        <v>8</v>
      </c>
      <c r="BM639" s="97">
        <f>IF(OR(AY639="SÁB",AY639="DOM"),0,IFERROR(8-VLOOKUP(P639,'Dados de consulta'!$A$2:$C$38,3,0),8))</f>
        <v>8</v>
      </c>
      <c r="BN639" s="97">
        <f>IF(OR(AY639="SÁB",AY639="DOM"),0,IFERROR(8-VLOOKUP(Q639,'Dados de consulta'!$A$2:$C$38,3,0),8))</f>
        <v>8</v>
      </c>
      <c r="BO639" s="97">
        <f>IF(OR(AY639="SÁB",AY639="DOM"),0,IFERROR(8-VLOOKUP(R639,'Dados de consulta'!$A$2:$C$38,3,0),8))</f>
        <v>8</v>
      </c>
      <c r="BP639" s="97">
        <f>IF(OR(AY639="SÁB",AY639="DOM"),0,IFERROR(8-VLOOKUP(S639,'Dados de consulta'!$A$2:$C$38,3,0),8))</f>
        <v>8</v>
      </c>
      <c r="BQ639" s="113">
        <f>IFERROR(6-VLOOKUP(T639,'Dados de consulta'!$A$2:$C$38,3,0)+2,6)</f>
        <v>6</v>
      </c>
      <c r="BR639" s="114">
        <f t="shared" si="258"/>
        <v>126</v>
      </c>
      <c r="BS639">
        <f t="shared" si="260"/>
        <v>134</v>
      </c>
      <c r="BU639">
        <f>IFERROR(8-VLOOKUP(U639,'Dados de consulta'!$A:$D,3,0),8)</f>
        <v>8</v>
      </c>
      <c r="BV639">
        <f>IFERROR(8-VLOOKUP(V639,'Dados de consulta'!$A:$D,3,0),8)</f>
        <v>8</v>
      </c>
      <c r="BW639">
        <f t="shared" si="259"/>
        <v>16</v>
      </c>
    </row>
    <row r="640" spans="1:75" ht="15" hidden="1" x14ac:dyDescent="0.2">
      <c r="A640" s="98">
        <v>42763</v>
      </c>
      <c r="B640" s="129" t="str">
        <f t="shared" si="236"/>
        <v>sáb</v>
      </c>
      <c r="C640" s="132"/>
      <c r="D640" s="132"/>
      <c r="E640" s="132"/>
      <c r="F640" s="132"/>
      <c r="G640" s="132"/>
      <c r="H640" s="132"/>
      <c r="I640" s="132"/>
      <c r="J640" s="132"/>
      <c r="K640" s="132">
        <v>18</v>
      </c>
      <c r="L640" s="132"/>
      <c r="M640" s="132">
        <v>101</v>
      </c>
      <c r="N640" s="132"/>
      <c r="O640" s="132"/>
      <c r="P640" s="132"/>
      <c r="Q640" s="132"/>
      <c r="R640" s="132"/>
      <c r="S640" s="132"/>
      <c r="T640" s="132"/>
      <c r="U640" s="151"/>
      <c r="V640" s="151"/>
      <c r="W640" s="307" t="s">
        <v>193</v>
      </c>
      <c r="X640" s="308"/>
      <c r="Y640" s="38">
        <f t="shared" si="237"/>
        <v>0</v>
      </c>
      <c r="Z640" s="38">
        <f t="shared" si="238"/>
        <v>8</v>
      </c>
      <c r="AA640" s="38">
        <f t="shared" si="235"/>
        <v>0</v>
      </c>
      <c r="AB640" s="38">
        <f t="shared" si="246"/>
        <v>0</v>
      </c>
      <c r="AC640" s="38">
        <f t="shared" si="247"/>
        <v>0</v>
      </c>
      <c r="AD640" s="38">
        <f t="shared" si="248"/>
        <v>0</v>
      </c>
      <c r="AE640" s="38">
        <f t="shared" si="249"/>
        <v>0</v>
      </c>
      <c r="AF640" s="38">
        <f t="shared" si="250"/>
        <v>0</v>
      </c>
      <c r="AG640" s="33">
        <f t="shared" si="251"/>
        <v>0</v>
      </c>
      <c r="AH640" s="33">
        <f t="shared" si="252"/>
        <v>0</v>
      </c>
      <c r="AI640" s="33">
        <f t="shared" si="253"/>
        <v>0</v>
      </c>
      <c r="AJ640" s="33">
        <f t="shared" si="254"/>
        <v>0</v>
      </c>
      <c r="AK640" s="34">
        <f t="shared" si="255"/>
        <v>0</v>
      </c>
      <c r="AL640" s="35">
        <f t="shared" si="256"/>
        <v>0</v>
      </c>
      <c r="AM640" s="34">
        <f t="shared" si="239"/>
        <v>0</v>
      </c>
      <c r="AN640" s="36">
        <f t="shared" si="257"/>
        <v>0</v>
      </c>
      <c r="AO640" s="6">
        <f t="shared" si="240"/>
        <v>0</v>
      </c>
      <c r="AP640">
        <f t="shared" si="241"/>
        <v>8</v>
      </c>
      <c r="AQ640" s="6">
        <f t="shared" si="242"/>
        <v>0</v>
      </c>
      <c r="AR640" s="6">
        <f t="shared" si="243"/>
        <v>0</v>
      </c>
      <c r="AS640" s="6"/>
      <c r="AX640" s="95">
        <f t="shared" si="244"/>
        <v>42763</v>
      </c>
      <c r="AY640" s="96" t="str">
        <f t="shared" si="245"/>
        <v>sáb</v>
      </c>
      <c r="AZ640" s="97">
        <f>IF(OR(AY640="SÁB",AY640="DOM"),0,IFERROR(8-VLOOKUP(C640,'Dados de consulta'!$A$2:$C$38,3,0),8))</f>
        <v>0</v>
      </c>
      <c r="BA640" s="97">
        <f>IF(OR(AY640="SÁB",AY640="DOM"),0,IFERROR(8-VLOOKUP(D640,'Dados de consulta'!$A$2:$C$38,3,0),8))</f>
        <v>0</v>
      </c>
      <c r="BB640" s="97">
        <f>IF(OR(AY640="SÁB",AY640="DOM"),0,IFERROR(8-VLOOKUP(E640,'Dados de consulta'!$A$2:$C$38,3,0),8))</f>
        <v>0</v>
      </c>
      <c r="BC640" s="97">
        <f>IF(OR(AY640="SÁB",AY640="DOM"),0,IFERROR(8-VLOOKUP(F640,'Dados de consulta'!$A$2:$C$38,3,0),8))</f>
        <v>0</v>
      </c>
      <c r="BD640" s="97">
        <f>IF(OR(AY640="SÁB",AY640="DOM"),0,IFERROR(8-VLOOKUP(G640,'Dados de consulta'!$A$2:$C$38,3,0),8))</f>
        <v>0</v>
      </c>
      <c r="BE640" s="97">
        <f>IF(OR(AY640="SÁB",AY640="DOM"),0,IFERROR(8-VLOOKUP(H640,'Dados de consulta'!$A$2:$C$38,3,0),8))</f>
        <v>0</v>
      </c>
      <c r="BF640" s="97">
        <f>IF(OR(AY640="SÁB",AY640="DOM"),0,IFERROR(8-VLOOKUP(I640,'Dados de consulta'!$A$2:$C$38,3,0),8))</f>
        <v>0</v>
      </c>
      <c r="BG640" s="97">
        <f>IF(OR(AY640="SÁB",AY640="DOM"),0,IFERROR(8-VLOOKUP(J640,'Dados de consulta'!$A$2:$C$38,3,0),8))</f>
        <v>0</v>
      </c>
      <c r="BH640" s="97">
        <f>IF(OR(AY640="SÁB",AY640="DOM"),0,IFERROR(8-VLOOKUP(K640,'Dados de consulta'!$A$2:$C$38,3,0),8))</f>
        <v>0</v>
      </c>
      <c r="BI640" s="97">
        <f>IF(OR(AY640="SÁB",AY640="DOM"),0,IFERROR(8-VLOOKUP(L640,'Dados de consulta'!$A$2:$C$38,3,0),8))</f>
        <v>0</v>
      </c>
      <c r="BJ640" s="97">
        <f>IF(OR(AY640="SÁB",AY640="DOM"),0,IFERROR(8-VLOOKUP(M640,'Dados de consulta'!$A$2:$C$38,3,0),8))</f>
        <v>0</v>
      </c>
      <c r="BK640" s="97">
        <f>IF(OR(AY640="SÁB",AY640="DOM"),0,IFERROR(8-VLOOKUP(N640,'Dados de consulta'!$A$2:$C$38,3,0),8))</f>
        <v>0</v>
      </c>
      <c r="BL640" s="97">
        <f>IF(OR(AY640="SÁB",AY640="DOM"),0,IFERROR(8-VLOOKUP(O640,'Dados de consulta'!$A$2:$C$38,3,0),8))</f>
        <v>0</v>
      </c>
      <c r="BM640" s="97">
        <f>IF(OR(AY640="SÁB",AY640="DOM"),0,IFERROR(8-VLOOKUP(P640,'Dados de consulta'!$A$2:$C$38,3,0),8))</f>
        <v>0</v>
      </c>
      <c r="BN640" s="97">
        <f>IF(OR(AY640="SÁB",AY640="DOM"),0,IFERROR(8-VLOOKUP(Q640,'Dados de consulta'!$A$2:$C$38,3,0),8))</f>
        <v>0</v>
      </c>
      <c r="BO640" s="97">
        <f>IF(OR(AY640="SÁB",AY640="DOM"),0,IFERROR(8-VLOOKUP(R640,'Dados de consulta'!$A$2:$C$38,3,0),8))</f>
        <v>0</v>
      </c>
      <c r="BP640" s="97">
        <f>IF(OR(AY640="SÁB",AY640="DOM"),0,IFERROR(8-VLOOKUP(S640,'Dados de consulta'!$A$2:$C$38,3,0),8))</f>
        <v>0</v>
      </c>
      <c r="BQ640" s="113">
        <f>IFERROR(6-VLOOKUP(T640,'Dados de consulta'!$A$2:$C$38,3,0)+2,6)</f>
        <v>6</v>
      </c>
      <c r="BR640" s="114">
        <f t="shared" si="258"/>
        <v>0</v>
      </c>
      <c r="BS640">
        <f t="shared" si="260"/>
        <v>0</v>
      </c>
      <c r="BU640">
        <f>IFERROR(8-VLOOKUP(U640,'Dados de consulta'!$A:$D,3,0),8)</f>
        <v>8</v>
      </c>
      <c r="BV640">
        <f>IFERROR(8-VLOOKUP(V640,'Dados de consulta'!$A:$D,3,0),8)</f>
        <v>8</v>
      </c>
      <c r="BW640">
        <f t="shared" si="259"/>
        <v>16</v>
      </c>
    </row>
    <row r="641" spans="1:75" ht="15" hidden="1" x14ac:dyDescent="0.2">
      <c r="A641" s="98">
        <v>42764</v>
      </c>
      <c r="B641" s="129" t="str">
        <f t="shared" si="236"/>
        <v>dom</v>
      </c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>
        <v>101</v>
      </c>
      <c r="N641" s="132"/>
      <c r="O641" s="132"/>
      <c r="P641" s="132"/>
      <c r="Q641" s="132"/>
      <c r="R641" s="132"/>
      <c r="S641" s="132"/>
      <c r="T641" s="132"/>
      <c r="U641" s="151"/>
      <c r="V641" s="151"/>
      <c r="W641" s="307" t="s">
        <v>193</v>
      </c>
      <c r="X641" s="308"/>
      <c r="Y641" s="38">
        <f t="shared" si="237"/>
        <v>0</v>
      </c>
      <c r="Z641" s="38">
        <f t="shared" si="238"/>
        <v>0</v>
      </c>
      <c r="AA641" s="38">
        <f t="shared" ref="AA641:AA701" si="261">(COUNTIF(C641:S641,28)+COUNTIF(C641:S641,"28P")/2+COUNTIF(C641:S641,29))*8</f>
        <v>0</v>
      </c>
      <c r="AB641" s="38">
        <f t="shared" si="246"/>
        <v>0</v>
      </c>
      <c r="AC641" s="38">
        <f t="shared" si="247"/>
        <v>0</v>
      </c>
      <c r="AD641" s="38">
        <f t="shared" si="248"/>
        <v>0</v>
      </c>
      <c r="AE641" s="38">
        <f t="shared" si="249"/>
        <v>0</v>
      </c>
      <c r="AF641" s="38">
        <f t="shared" si="250"/>
        <v>0</v>
      </c>
      <c r="AG641" s="33">
        <f t="shared" si="251"/>
        <v>0</v>
      </c>
      <c r="AH641" s="33">
        <f t="shared" si="252"/>
        <v>0</v>
      </c>
      <c r="AI641" s="33">
        <f t="shared" si="253"/>
        <v>0</v>
      </c>
      <c r="AJ641" s="33">
        <f t="shared" si="254"/>
        <v>0</v>
      </c>
      <c r="AK641" s="34">
        <f t="shared" si="255"/>
        <v>0</v>
      </c>
      <c r="AL641" s="35">
        <f t="shared" si="256"/>
        <v>0</v>
      </c>
      <c r="AM641" s="34">
        <f t="shared" si="239"/>
        <v>0</v>
      </c>
      <c r="AN641" s="36">
        <f t="shared" si="257"/>
        <v>0</v>
      </c>
      <c r="AO641" s="6">
        <f t="shared" si="240"/>
        <v>0</v>
      </c>
      <c r="AP641">
        <f t="shared" si="241"/>
        <v>8</v>
      </c>
      <c r="AQ641" s="6">
        <f t="shared" si="242"/>
        <v>0</v>
      </c>
      <c r="AR641" s="6">
        <f t="shared" si="243"/>
        <v>0</v>
      </c>
      <c r="AS641" s="6"/>
      <c r="AX641" s="95">
        <f t="shared" si="244"/>
        <v>42764</v>
      </c>
      <c r="AY641" s="96" t="str">
        <f t="shared" si="245"/>
        <v>dom</v>
      </c>
      <c r="AZ641" s="97">
        <f>IF(OR(AY641="SÁB",AY641="DOM"),0,IFERROR(8-VLOOKUP(C641,'Dados de consulta'!$A$2:$C$38,3,0),8))</f>
        <v>0</v>
      </c>
      <c r="BA641" s="97">
        <f>IF(OR(AY641="SÁB",AY641="DOM"),0,IFERROR(8-VLOOKUP(D641,'Dados de consulta'!$A$2:$C$38,3,0),8))</f>
        <v>0</v>
      </c>
      <c r="BB641" s="97">
        <f>IF(OR(AY641="SÁB",AY641="DOM"),0,IFERROR(8-VLOOKUP(E641,'Dados de consulta'!$A$2:$C$38,3,0),8))</f>
        <v>0</v>
      </c>
      <c r="BC641" s="97">
        <f>IF(OR(AY641="SÁB",AY641="DOM"),0,IFERROR(8-VLOOKUP(F641,'Dados de consulta'!$A$2:$C$38,3,0),8))</f>
        <v>0</v>
      </c>
      <c r="BD641" s="97">
        <f>IF(OR(AY641="SÁB",AY641="DOM"),0,IFERROR(8-VLOOKUP(G641,'Dados de consulta'!$A$2:$C$38,3,0),8))</f>
        <v>0</v>
      </c>
      <c r="BE641" s="97">
        <f>IF(OR(AY641="SÁB",AY641="DOM"),0,IFERROR(8-VLOOKUP(H641,'Dados de consulta'!$A$2:$C$38,3,0),8))</f>
        <v>0</v>
      </c>
      <c r="BF641" s="97">
        <f>IF(OR(AY641="SÁB",AY641="DOM"),0,IFERROR(8-VLOOKUP(I641,'Dados de consulta'!$A$2:$C$38,3,0),8))</f>
        <v>0</v>
      </c>
      <c r="BG641" s="97">
        <f>IF(OR(AY641="SÁB",AY641="DOM"),0,IFERROR(8-VLOOKUP(J641,'Dados de consulta'!$A$2:$C$38,3,0),8))</f>
        <v>0</v>
      </c>
      <c r="BH641" s="97">
        <f>IF(OR(AY641="SÁB",AY641="DOM"),0,IFERROR(8-VLOOKUP(K641,'Dados de consulta'!$A$2:$C$38,3,0),8))</f>
        <v>0</v>
      </c>
      <c r="BI641" s="97">
        <f>IF(OR(AY641="SÁB",AY641="DOM"),0,IFERROR(8-VLOOKUP(L641,'Dados de consulta'!$A$2:$C$38,3,0),8))</f>
        <v>0</v>
      </c>
      <c r="BJ641" s="97">
        <f>IF(OR(AY641="SÁB",AY641="DOM"),0,IFERROR(8-VLOOKUP(M641,'Dados de consulta'!$A$2:$C$38,3,0),8))</f>
        <v>0</v>
      </c>
      <c r="BK641" s="97">
        <f>IF(OR(AY641="SÁB",AY641="DOM"),0,IFERROR(8-VLOOKUP(N641,'Dados de consulta'!$A$2:$C$38,3,0),8))</f>
        <v>0</v>
      </c>
      <c r="BL641" s="97">
        <f>IF(OR(AY641="SÁB",AY641="DOM"),0,IFERROR(8-VLOOKUP(O641,'Dados de consulta'!$A$2:$C$38,3,0),8))</f>
        <v>0</v>
      </c>
      <c r="BM641" s="97">
        <f>IF(OR(AY641="SÁB",AY641="DOM"),0,IFERROR(8-VLOOKUP(P641,'Dados de consulta'!$A$2:$C$38,3,0),8))</f>
        <v>0</v>
      </c>
      <c r="BN641" s="97">
        <f>IF(OR(AY641="SÁB",AY641="DOM"),0,IFERROR(8-VLOOKUP(Q641,'Dados de consulta'!$A$2:$C$38,3,0),8))</f>
        <v>0</v>
      </c>
      <c r="BO641" s="97">
        <f>IF(OR(AY641="SÁB",AY641="DOM"),0,IFERROR(8-VLOOKUP(R641,'Dados de consulta'!$A$2:$C$38,3,0),8))</f>
        <v>0</v>
      </c>
      <c r="BP641" s="97">
        <f>IF(OR(AY641="SÁB",AY641="DOM"),0,IFERROR(8-VLOOKUP(S641,'Dados de consulta'!$A$2:$C$38,3,0),8))</f>
        <v>0</v>
      </c>
      <c r="BQ641" s="113">
        <f>IFERROR(6-VLOOKUP(T641,'Dados de consulta'!$A$2:$C$38,3,0)+2,6)</f>
        <v>6</v>
      </c>
      <c r="BR641" s="114">
        <f t="shared" si="258"/>
        <v>0</v>
      </c>
      <c r="BS641">
        <f t="shared" si="260"/>
        <v>0</v>
      </c>
      <c r="BU641">
        <f>IFERROR(8-VLOOKUP(U641,'Dados de consulta'!$A:$D,3,0),8)</f>
        <v>8</v>
      </c>
      <c r="BV641">
        <f>IFERROR(8-VLOOKUP(V641,'Dados de consulta'!$A:$D,3,0),8)</f>
        <v>8</v>
      </c>
      <c r="BW641">
        <f t="shared" si="259"/>
        <v>16</v>
      </c>
    </row>
    <row r="642" spans="1:75" ht="15" hidden="1" x14ac:dyDescent="0.2">
      <c r="A642" s="98">
        <v>42765</v>
      </c>
      <c r="B642" s="129" t="str">
        <f t="shared" ref="B642:B701" si="262">TEXT(A642,"ddd")</f>
        <v>seg</v>
      </c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>
        <v>101</v>
      </c>
      <c r="N642" s="132"/>
      <c r="O642" s="132"/>
      <c r="P642" s="132"/>
      <c r="Q642" s="132"/>
      <c r="R642" s="132"/>
      <c r="S642" s="132"/>
      <c r="T642" s="132"/>
      <c r="U642" s="151"/>
      <c r="V642" s="151"/>
      <c r="W642" s="307" t="s">
        <v>193</v>
      </c>
      <c r="X642" s="308"/>
      <c r="Y642" s="38">
        <f t="shared" ref="Y642:Y701" si="263">(COUNTIF(C642:S642,4)+COUNTIF(C642:S642,8)+COUNTIF(C642:S642,"8P")/2+COUNTIF(C642:S642,9)+COUNTIF(C642:S642,"9P")/2+COUNTIF(C642:S642,14))*8</f>
        <v>0</v>
      </c>
      <c r="Z642" s="38">
        <f t="shared" ref="Z642:Z701" si="264">(COUNTIF(C642:S642,1)+COUNTIF(C642:S642,2)+COUNTIF(C642:S642,3)+COUNTIF(C642:S642,5)+COUNTIF(C642:S642,10)+COUNTIF(C642:S642,13)+COUNTIF(C642:S642,"13P")/2+COUNTIF(C642:S642,15)+COUNTIF(C642:S642,18)+COUNTIF(C642:S642,20)+COUNTIF(C642:S642,22)+COUNTIF(C642:S642,23)+COUNTIF(C642:S642,24)+COUNTIF(C642:S642,25)+COUNTIF(C642:S642,26)+COUNTIF(C642:S642,99))*8</f>
        <v>0</v>
      </c>
      <c r="AA642" s="38">
        <f t="shared" si="261"/>
        <v>0</v>
      </c>
      <c r="AB642" s="38">
        <f t="shared" si="246"/>
        <v>0</v>
      </c>
      <c r="AC642" s="38">
        <f t="shared" si="247"/>
        <v>0</v>
      </c>
      <c r="AD642" s="38">
        <f t="shared" si="248"/>
        <v>0</v>
      </c>
      <c r="AE642" s="38">
        <f t="shared" si="249"/>
        <v>0</v>
      </c>
      <c r="AF642" s="38">
        <f t="shared" si="250"/>
        <v>0</v>
      </c>
      <c r="AG642" s="33">
        <f t="shared" si="251"/>
        <v>0</v>
      </c>
      <c r="AH642" s="33">
        <f t="shared" si="252"/>
        <v>0</v>
      </c>
      <c r="AI642" s="33">
        <f t="shared" si="253"/>
        <v>0</v>
      </c>
      <c r="AJ642" s="33">
        <f t="shared" si="254"/>
        <v>0</v>
      </c>
      <c r="AK642" s="34">
        <f t="shared" si="255"/>
        <v>0</v>
      </c>
      <c r="AL642" s="35">
        <f t="shared" si="256"/>
        <v>0</v>
      </c>
      <c r="AM642" s="34">
        <f t="shared" ref="AM642:AM701" si="265">(AA642+AE642)/(COUNTA($C$1:$S$1)*8+COUNTA($T$1:$T$1)*6)</f>
        <v>0</v>
      </c>
      <c r="AN642" s="36">
        <f t="shared" si="257"/>
        <v>0</v>
      </c>
      <c r="AO642" s="6">
        <f t="shared" ref="AO642:AO701" si="266">COUNTIF(C642:S642,100)*8</f>
        <v>0</v>
      </c>
      <c r="AP642">
        <f t="shared" ref="AP642:AP701" si="267">COUNTIF(C642:S642,101)*8</f>
        <v>8</v>
      </c>
      <c r="AQ642" s="6">
        <f t="shared" ref="AQ642:AQ701" si="268">COUNTIF(T642:T642,101)*6</f>
        <v>0</v>
      </c>
      <c r="AR642" s="6">
        <f t="shared" ref="AR642:AR701" si="269">COUNTIF(T642:T642,100)*6</f>
        <v>0</v>
      </c>
      <c r="AS642" s="6"/>
      <c r="AX642" s="95">
        <f t="shared" ref="AX642:AX701" si="270">A642</f>
        <v>42765</v>
      </c>
      <c r="AY642" s="96" t="str">
        <f t="shared" ref="AY642:AY701" si="271">B642</f>
        <v>seg</v>
      </c>
      <c r="AZ642" s="97">
        <f>IF(OR(AY642="SÁB",AY642="DOM"),0,IFERROR(8-VLOOKUP(C642,'Dados de consulta'!$A$2:$C$38,3,0),8))</f>
        <v>8</v>
      </c>
      <c r="BA642" s="97">
        <f>IF(OR(AY642="SÁB",AY642="DOM"),0,IFERROR(8-VLOOKUP(D642,'Dados de consulta'!$A$2:$C$38,3,0),8))</f>
        <v>8</v>
      </c>
      <c r="BB642" s="97">
        <f>IF(OR(AY642="SÁB",AY642="DOM"),0,IFERROR(8-VLOOKUP(E642,'Dados de consulta'!$A$2:$C$38,3,0),8))</f>
        <v>8</v>
      </c>
      <c r="BC642" s="97">
        <f>IF(OR(AY642="SÁB",AY642="DOM"),0,IFERROR(8-VLOOKUP(F642,'Dados de consulta'!$A$2:$C$38,3,0),8))</f>
        <v>8</v>
      </c>
      <c r="BD642" s="97">
        <f>IF(OR(AY642="SÁB",AY642="DOM"),0,IFERROR(8-VLOOKUP(G642,'Dados de consulta'!$A$2:$C$38,3,0),8))</f>
        <v>8</v>
      </c>
      <c r="BE642" s="97">
        <f>IF(OR(AY642="SÁB",AY642="DOM"),0,IFERROR(8-VLOOKUP(H642,'Dados de consulta'!$A$2:$C$38,3,0),8))</f>
        <v>8</v>
      </c>
      <c r="BF642" s="97">
        <f>IF(OR(AY642="SÁB",AY642="DOM"),0,IFERROR(8-VLOOKUP(I642,'Dados de consulta'!$A$2:$C$38,3,0),8))</f>
        <v>8</v>
      </c>
      <c r="BG642" s="97">
        <f>IF(OR(AY642="SÁB",AY642="DOM"),0,IFERROR(8-VLOOKUP(J642,'Dados de consulta'!$A$2:$C$38,3,0),8))</f>
        <v>8</v>
      </c>
      <c r="BH642" s="97">
        <f>IF(OR(AY642="SÁB",AY642="DOM"),0,IFERROR(8-VLOOKUP(K642,'Dados de consulta'!$A$2:$C$38,3,0),8))</f>
        <v>8</v>
      </c>
      <c r="BI642" s="97">
        <f>IF(OR(AY642="SÁB",AY642="DOM"),0,IFERROR(8-VLOOKUP(L642,'Dados de consulta'!$A$2:$C$38,3,0),8))</f>
        <v>8</v>
      </c>
      <c r="BJ642" s="97">
        <f>IF(OR(AY642="SÁB",AY642="DOM"),0,IFERROR(8-VLOOKUP(M642,'Dados de consulta'!$A$2:$C$38,3,0),8))</f>
        <v>0</v>
      </c>
      <c r="BK642" s="97">
        <f>IF(OR(AY642="SÁB",AY642="DOM"),0,IFERROR(8-VLOOKUP(N642,'Dados de consulta'!$A$2:$C$38,3,0),8))</f>
        <v>8</v>
      </c>
      <c r="BL642" s="97">
        <f>IF(OR(AY642="SÁB",AY642="DOM"),0,IFERROR(8-VLOOKUP(O642,'Dados de consulta'!$A$2:$C$38,3,0),8))</f>
        <v>8</v>
      </c>
      <c r="BM642" s="97">
        <f>IF(OR(AY642="SÁB",AY642="DOM"),0,IFERROR(8-VLOOKUP(P642,'Dados de consulta'!$A$2:$C$38,3,0),8))</f>
        <v>8</v>
      </c>
      <c r="BN642" s="97">
        <f>IF(OR(AY642="SÁB",AY642="DOM"),0,IFERROR(8-VLOOKUP(Q642,'Dados de consulta'!$A$2:$C$38,3,0),8))</f>
        <v>8</v>
      </c>
      <c r="BO642" s="97">
        <f>IF(OR(AY642="SÁB",AY642="DOM"),0,IFERROR(8-VLOOKUP(R642,'Dados de consulta'!$A$2:$C$38,3,0),8))</f>
        <v>8</v>
      </c>
      <c r="BP642" s="97">
        <f>IF(OR(AY642="SÁB",AY642="DOM"),0,IFERROR(8-VLOOKUP(S642,'Dados de consulta'!$A$2:$C$38,3,0),8))</f>
        <v>8</v>
      </c>
      <c r="BQ642" s="113">
        <f>IFERROR(6-VLOOKUP(T642,'Dados de consulta'!$A$2:$C$38,3,0)+2,6)</f>
        <v>6</v>
      </c>
      <c r="BR642" s="114">
        <f t="shared" si="258"/>
        <v>134</v>
      </c>
      <c r="BS642">
        <f t="shared" si="260"/>
        <v>134</v>
      </c>
      <c r="BU642">
        <f>IFERROR(8-VLOOKUP(U642,'Dados de consulta'!$A:$D,3,0),8)</f>
        <v>8</v>
      </c>
      <c r="BV642">
        <f>IFERROR(8-VLOOKUP(V642,'Dados de consulta'!$A:$D,3,0),8)</f>
        <v>8</v>
      </c>
      <c r="BW642">
        <f t="shared" si="259"/>
        <v>16</v>
      </c>
    </row>
    <row r="643" spans="1:75" ht="15" hidden="1" x14ac:dyDescent="0.2">
      <c r="A643" s="98">
        <v>42766</v>
      </c>
      <c r="B643" s="129" t="str">
        <f t="shared" si="262"/>
        <v>ter</v>
      </c>
      <c r="C643" s="132"/>
      <c r="D643" s="132"/>
      <c r="E643" s="132"/>
      <c r="F643" s="132"/>
      <c r="G643" s="132"/>
      <c r="H643" s="132"/>
      <c r="I643" s="132"/>
      <c r="J643" s="132"/>
      <c r="K643" s="132">
        <v>18</v>
      </c>
      <c r="L643" s="132"/>
      <c r="M643" s="132">
        <v>101</v>
      </c>
      <c r="N643" s="132"/>
      <c r="O643" s="132"/>
      <c r="P643" s="132"/>
      <c r="Q643" s="132"/>
      <c r="R643" s="132"/>
      <c r="S643" s="132"/>
      <c r="T643" s="132"/>
      <c r="U643" s="151"/>
      <c r="V643" s="151"/>
      <c r="W643" s="307" t="s">
        <v>193</v>
      </c>
      <c r="X643" s="308"/>
      <c r="Y643" s="38">
        <f t="shared" si="263"/>
        <v>0</v>
      </c>
      <c r="Z643" s="38">
        <f t="shared" si="264"/>
        <v>8</v>
      </c>
      <c r="AA643" s="38">
        <f t="shared" si="261"/>
        <v>0</v>
      </c>
      <c r="AB643" s="38">
        <f t="shared" ref="AB643:AB701" si="272">(COUNTIF(C643:S643,6)+COUNTIF(C643:S643,"6P")/2+COUNTIF(C643:S643,7)+COUNTIF(C643:S643,11)+COUNTIF(C643:S643,12)+COUNTIF(C643:S643,19))*8</f>
        <v>0</v>
      </c>
      <c r="AC643" s="38">
        <f t="shared" ref="AC643:AC701" si="273">(COUNTIF(T643,4)+COUNTIF(T643,8)+COUNTIF(T643,"8P")+COUNTIF(T643,9)+COUNTIF(T643,"9P")+COUNTIF(T643,14))*6</f>
        <v>0</v>
      </c>
      <c r="AD643" s="38">
        <f t="shared" ref="AD643:AD701" si="274">(COUNTIF(T643,1)+COUNTIF(T643,2)+COUNTIF(T643,3)+COUNTIF(T643,5)+COUNTIF(T643,10)+COUNTIF(T643,13)+COUNTIF(T643,"13P")+COUNTIF(T643,15)+COUNTIF(T643,16)+COUNTIF(T643,18)+COUNTIF(T643,20)+COUNTIF(T643,21)+COUNTIF(T643,22)+COUNTIF(T643,23)+COUNTIF(T643,24)+COUNTIF(T643,25)+COUNTIF(T643,26)+COUNTIF(T643,99))*6</f>
        <v>0</v>
      </c>
      <c r="AE643" s="38">
        <f t="shared" ref="AE643:AE701" si="275">(COUNTIF(T643,28)+COUNTIF(T643,"28P")+COUNTIF(T643,29))*6</f>
        <v>0</v>
      </c>
      <c r="AF643" s="38">
        <f t="shared" ref="AF643:AF701" si="276">(COUNTIF(T643,6)+COUNTIF(T643,"6P")+COUNTIF(T643,7)+COUNTIF(T643,11)+COUNTIF(T643,12))*6</f>
        <v>0</v>
      </c>
      <c r="AG643" s="33">
        <f t="shared" ref="AG643:AG701" si="277">IF(OR(B643="SÁB",B643="DOM"),0,Y643+AC643)</f>
        <v>0</v>
      </c>
      <c r="AH643" s="33">
        <f t="shared" ref="AH643:AH701" si="278">IF(OR(B643="SÁB",B643="DOM"),0,Z643+AD643)</f>
        <v>8</v>
      </c>
      <c r="AI643" s="33">
        <f t="shared" ref="AI643:AI701" si="279">IF(OR(B643="SÁB",B643="DOM"),0,AA643+AE643)</f>
        <v>0</v>
      </c>
      <c r="AJ643" s="33">
        <f t="shared" ref="AJ643:AJ701" si="280">IF(OR(B643="SÁB",B643="DOM"),0,AB643+AF643)</f>
        <v>0</v>
      </c>
      <c r="AK643" s="34">
        <f t="shared" ref="AK643:AK701" si="281">AG643/(COUNTA($C$1:$S$1)*8+6)</f>
        <v>0</v>
      </c>
      <c r="AL643" s="35">
        <f t="shared" ref="AL643:AL701" si="282">AH643/(COUNTA($C$1:$S$1)*8+6)</f>
        <v>5.6338028169014086E-2</v>
      </c>
      <c r="AM643" s="34">
        <f t="shared" si="265"/>
        <v>0</v>
      </c>
      <c r="AN643" s="36">
        <f t="shared" ref="AN643:AN701" si="283">AJ643/(COUNTA($C$1:$S$1)*8+6)</f>
        <v>0</v>
      </c>
      <c r="AO643" s="6">
        <f t="shared" si="266"/>
        <v>0</v>
      </c>
      <c r="AP643">
        <f t="shared" si="267"/>
        <v>8</v>
      </c>
      <c r="AQ643" s="6">
        <f t="shared" si="268"/>
        <v>0</v>
      </c>
      <c r="AR643" s="6">
        <f t="shared" si="269"/>
        <v>0</v>
      </c>
      <c r="AS643" s="6"/>
      <c r="AX643" s="95">
        <f t="shared" si="270"/>
        <v>42766</v>
      </c>
      <c r="AY643" s="96" t="str">
        <f t="shared" si="271"/>
        <v>ter</v>
      </c>
      <c r="AZ643" s="97">
        <f>IF(OR(AY643="SÁB",AY643="DOM"),0,IFERROR(8-VLOOKUP(C643,'Dados de consulta'!$A$2:$C$38,3,0),8))</f>
        <v>8</v>
      </c>
      <c r="BA643" s="97">
        <f>IF(OR(AY643="SÁB",AY643="DOM"),0,IFERROR(8-VLOOKUP(D643,'Dados de consulta'!$A$2:$C$38,3,0),8))</f>
        <v>8</v>
      </c>
      <c r="BB643" s="97">
        <f>IF(OR(AY643="SÁB",AY643="DOM"),0,IFERROR(8-VLOOKUP(E643,'Dados de consulta'!$A$2:$C$38,3,0),8))</f>
        <v>8</v>
      </c>
      <c r="BC643" s="97">
        <f>IF(OR(AY643="SÁB",AY643="DOM"),0,IFERROR(8-VLOOKUP(F643,'Dados de consulta'!$A$2:$C$38,3,0),8))</f>
        <v>8</v>
      </c>
      <c r="BD643" s="97">
        <f>IF(OR(AY643="SÁB",AY643="DOM"),0,IFERROR(8-VLOOKUP(G643,'Dados de consulta'!$A$2:$C$38,3,0),8))</f>
        <v>8</v>
      </c>
      <c r="BE643" s="97">
        <f>IF(OR(AY643="SÁB",AY643="DOM"),0,IFERROR(8-VLOOKUP(H643,'Dados de consulta'!$A$2:$C$38,3,0),8))</f>
        <v>8</v>
      </c>
      <c r="BF643" s="97">
        <f>IF(OR(AY643="SÁB",AY643="DOM"),0,IFERROR(8-VLOOKUP(I643,'Dados de consulta'!$A$2:$C$38,3,0),8))</f>
        <v>8</v>
      </c>
      <c r="BG643" s="97">
        <f>IF(OR(AY643="SÁB",AY643="DOM"),0,IFERROR(8-VLOOKUP(J643,'Dados de consulta'!$A$2:$C$38,3,0),8))</f>
        <v>8</v>
      </c>
      <c r="BH643" s="97">
        <f>IF(OR(AY643="SÁB",AY643="DOM"),0,IFERROR(8-VLOOKUP(K643,'Dados de consulta'!$A$2:$C$38,3,0),8))</f>
        <v>0</v>
      </c>
      <c r="BI643" s="97">
        <f>IF(OR(AY643="SÁB",AY643="DOM"),0,IFERROR(8-VLOOKUP(L643,'Dados de consulta'!$A$2:$C$38,3,0),8))</f>
        <v>8</v>
      </c>
      <c r="BJ643" s="97">
        <f>IF(OR(AY643="SÁB",AY643="DOM"),0,IFERROR(8-VLOOKUP(M643,'Dados de consulta'!$A$2:$C$38,3,0),8))</f>
        <v>0</v>
      </c>
      <c r="BK643" s="97">
        <f>IF(OR(AY643="SÁB",AY643="DOM"),0,IFERROR(8-VLOOKUP(N643,'Dados de consulta'!$A$2:$C$38,3,0),8))</f>
        <v>8</v>
      </c>
      <c r="BL643" s="97">
        <f>IF(OR(AY643="SÁB",AY643="DOM"),0,IFERROR(8-VLOOKUP(O643,'Dados de consulta'!$A$2:$C$38,3,0),8))</f>
        <v>8</v>
      </c>
      <c r="BM643" s="97">
        <f>IF(OR(AY643="SÁB",AY643="DOM"),0,IFERROR(8-VLOOKUP(P643,'Dados de consulta'!$A$2:$C$38,3,0),8))</f>
        <v>8</v>
      </c>
      <c r="BN643" s="97">
        <f>IF(OR(AY643="SÁB",AY643="DOM"),0,IFERROR(8-VLOOKUP(Q643,'Dados de consulta'!$A$2:$C$38,3,0),8))</f>
        <v>8</v>
      </c>
      <c r="BO643" s="97">
        <f>IF(OR(AY643="SÁB",AY643="DOM"),0,IFERROR(8-VLOOKUP(R643,'Dados de consulta'!$A$2:$C$38,3,0),8))</f>
        <v>8</v>
      </c>
      <c r="BP643" s="97">
        <f>IF(OR(AY643="SÁB",AY643="DOM"),0,IFERROR(8-VLOOKUP(S643,'Dados de consulta'!$A$2:$C$38,3,0),8))</f>
        <v>8</v>
      </c>
      <c r="BQ643" s="113">
        <f>IFERROR(6-VLOOKUP(T643,'Dados de consulta'!$A$2:$C$38,3,0)+2,6)</f>
        <v>6</v>
      </c>
      <c r="BR643" s="114">
        <f t="shared" ref="BR643:BR701" si="284">IF(OR(AY643="SÁB",AY643="DOM"),0,SUM(AZ643:BQ643))</f>
        <v>126</v>
      </c>
      <c r="BS643">
        <f t="shared" si="260"/>
        <v>134</v>
      </c>
      <c r="BU643">
        <f>IFERROR(8-VLOOKUP(U643,'Dados de consulta'!$A:$D,3,0),8)</f>
        <v>8</v>
      </c>
      <c r="BV643">
        <f>IFERROR(8-VLOOKUP(V643,'Dados de consulta'!$A:$D,3,0),8)</f>
        <v>8</v>
      </c>
      <c r="BW643">
        <f t="shared" ref="BW643:BW701" si="285">BU643+BV643</f>
        <v>16</v>
      </c>
    </row>
    <row r="644" spans="1:75" ht="15" hidden="1" x14ac:dyDescent="0.2">
      <c r="A644" s="98">
        <v>42767</v>
      </c>
      <c r="B644" s="129" t="str">
        <f t="shared" si="262"/>
        <v>qua</v>
      </c>
      <c r="C644" s="132"/>
      <c r="D644" s="132"/>
      <c r="E644" s="132"/>
      <c r="F644" s="132"/>
      <c r="G644" s="132"/>
      <c r="H644" s="132"/>
      <c r="I644" s="132"/>
      <c r="J644" s="132"/>
      <c r="K644" s="132">
        <v>18</v>
      </c>
      <c r="L644" s="132"/>
      <c r="M644" s="132">
        <v>101</v>
      </c>
      <c r="N644" s="132"/>
      <c r="O644" s="132"/>
      <c r="P644" s="132"/>
      <c r="Q644" s="132"/>
      <c r="R644" s="132"/>
      <c r="S644" s="132"/>
      <c r="T644" s="132"/>
      <c r="U644" s="151"/>
      <c r="V644" s="151"/>
      <c r="W644" s="307" t="s">
        <v>193</v>
      </c>
      <c r="X644" s="308"/>
      <c r="Y644" s="38">
        <f t="shared" si="263"/>
        <v>0</v>
      </c>
      <c r="Z644" s="38">
        <f t="shared" si="264"/>
        <v>8</v>
      </c>
      <c r="AA644" s="38">
        <f t="shared" si="261"/>
        <v>0</v>
      </c>
      <c r="AB644" s="38">
        <f t="shared" si="272"/>
        <v>0</v>
      </c>
      <c r="AC644" s="38">
        <f t="shared" si="273"/>
        <v>0</v>
      </c>
      <c r="AD644" s="38">
        <f t="shared" si="274"/>
        <v>0</v>
      </c>
      <c r="AE644" s="38">
        <f t="shared" si="275"/>
        <v>0</v>
      </c>
      <c r="AF644" s="38">
        <f t="shared" si="276"/>
        <v>0</v>
      </c>
      <c r="AG644" s="33">
        <f t="shared" si="277"/>
        <v>0</v>
      </c>
      <c r="AH644" s="33">
        <f t="shared" si="278"/>
        <v>8</v>
      </c>
      <c r="AI644" s="33">
        <f t="shared" si="279"/>
        <v>0</v>
      </c>
      <c r="AJ644" s="33">
        <f t="shared" si="280"/>
        <v>0</v>
      </c>
      <c r="AK644" s="34">
        <f t="shared" si="281"/>
        <v>0</v>
      </c>
      <c r="AL644" s="35">
        <f t="shared" si="282"/>
        <v>5.6338028169014086E-2</v>
      </c>
      <c r="AM644" s="34">
        <f t="shared" si="265"/>
        <v>0</v>
      </c>
      <c r="AN644" s="36">
        <f t="shared" si="283"/>
        <v>0</v>
      </c>
      <c r="AO644" s="6">
        <f t="shared" si="266"/>
        <v>0</v>
      </c>
      <c r="AP644">
        <f t="shared" si="267"/>
        <v>8</v>
      </c>
      <c r="AQ644" s="6">
        <f t="shared" si="268"/>
        <v>0</v>
      </c>
      <c r="AR644" s="6">
        <f t="shared" si="269"/>
        <v>0</v>
      </c>
      <c r="AS644" s="6"/>
      <c r="AX644" s="95">
        <f t="shared" si="270"/>
        <v>42767</v>
      </c>
      <c r="AY644" s="96" t="str">
        <f t="shared" si="271"/>
        <v>qua</v>
      </c>
      <c r="AZ644" s="97">
        <f>IF(OR(AY644="SÁB",AY644="DOM"),0,IFERROR(8-VLOOKUP(C644,'Dados de consulta'!$A$2:$C$38,3,0),8))</f>
        <v>8</v>
      </c>
      <c r="BA644" s="97">
        <f>IF(OR(AY644="SÁB",AY644="DOM"),0,IFERROR(8-VLOOKUP(D644,'Dados de consulta'!$A$2:$C$38,3,0),8))</f>
        <v>8</v>
      </c>
      <c r="BB644" s="97">
        <f>IF(OR(AY644="SÁB",AY644="DOM"),0,IFERROR(8-VLOOKUP(E644,'Dados de consulta'!$A$2:$C$38,3,0),8))</f>
        <v>8</v>
      </c>
      <c r="BC644" s="97">
        <f>IF(OR(AY644="SÁB",AY644="DOM"),0,IFERROR(8-VLOOKUP(F644,'Dados de consulta'!$A$2:$C$38,3,0),8))</f>
        <v>8</v>
      </c>
      <c r="BD644" s="97">
        <f>IF(OR(AY644="SÁB",AY644="DOM"),0,IFERROR(8-VLOOKUP(G644,'Dados de consulta'!$A$2:$C$38,3,0),8))</f>
        <v>8</v>
      </c>
      <c r="BE644" s="97">
        <f>IF(OR(AY644="SÁB",AY644="DOM"),0,IFERROR(8-VLOOKUP(H644,'Dados de consulta'!$A$2:$C$38,3,0),8))</f>
        <v>8</v>
      </c>
      <c r="BF644" s="97">
        <f>IF(OR(AY644="SÁB",AY644="DOM"),0,IFERROR(8-VLOOKUP(I644,'Dados de consulta'!$A$2:$C$38,3,0),8))</f>
        <v>8</v>
      </c>
      <c r="BG644" s="97">
        <f>IF(OR(AY644="SÁB",AY644="DOM"),0,IFERROR(8-VLOOKUP(J644,'Dados de consulta'!$A$2:$C$38,3,0),8))</f>
        <v>8</v>
      </c>
      <c r="BH644" s="97">
        <f>IF(OR(AY644="SÁB",AY644="DOM"),0,IFERROR(8-VLOOKUP(K644,'Dados de consulta'!$A$2:$C$38,3,0),8))</f>
        <v>0</v>
      </c>
      <c r="BI644" s="97">
        <f>IF(OR(AY644="SÁB",AY644="DOM"),0,IFERROR(8-VLOOKUP(L644,'Dados de consulta'!$A$2:$C$38,3,0),8))</f>
        <v>8</v>
      </c>
      <c r="BJ644" s="97">
        <f>IF(OR(AY644="SÁB",AY644="DOM"),0,IFERROR(8-VLOOKUP(M644,'Dados de consulta'!$A$2:$C$38,3,0),8))</f>
        <v>0</v>
      </c>
      <c r="BK644" s="97">
        <f>IF(OR(AY644="SÁB",AY644="DOM"),0,IFERROR(8-VLOOKUP(N644,'Dados de consulta'!$A$2:$C$38,3,0),8))</f>
        <v>8</v>
      </c>
      <c r="BL644" s="97">
        <f>IF(OR(AY644="SÁB",AY644="DOM"),0,IFERROR(8-VLOOKUP(O644,'Dados de consulta'!$A$2:$C$38,3,0),8))</f>
        <v>8</v>
      </c>
      <c r="BM644" s="97">
        <f>IF(OR(AY644="SÁB",AY644="DOM"),0,IFERROR(8-VLOOKUP(P644,'Dados de consulta'!$A$2:$C$38,3,0),8))</f>
        <v>8</v>
      </c>
      <c r="BN644" s="97">
        <f>IF(OR(AY644="SÁB",AY644="DOM"),0,IFERROR(8-VLOOKUP(Q644,'Dados de consulta'!$A$2:$C$38,3,0),8))</f>
        <v>8</v>
      </c>
      <c r="BO644" s="97">
        <f>IF(OR(AY644="SÁB",AY644="DOM"),0,IFERROR(8-VLOOKUP(R644,'Dados de consulta'!$A$2:$C$38,3,0),8))</f>
        <v>8</v>
      </c>
      <c r="BP644" s="97">
        <f>IF(OR(AY644="SÁB",AY644="DOM"),0,IFERROR(8-VLOOKUP(S644,'Dados de consulta'!$A$2:$C$38,3,0),8))</f>
        <v>8</v>
      </c>
      <c r="BQ644" s="113">
        <f>IFERROR(6-VLOOKUP(T644,'Dados de consulta'!$A$2:$C$38,3,0)+2,6)</f>
        <v>6</v>
      </c>
      <c r="BR644" s="114">
        <f t="shared" si="284"/>
        <v>126</v>
      </c>
      <c r="BS644">
        <f t="shared" si="260"/>
        <v>134</v>
      </c>
      <c r="BU644">
        <f>IFERROR(8-VLOOKUP(U644,'Dados de consulta'!$A:$D,3,0),8)</f>
        <v>8</v>
      </c>
      <c r="BV644">
        <f>IFERROR(8-VLOOKUP(V644,'Dados de consulta'!$A:$D,3,0),8)</f>
        <v>8</v>
      </c>
      <c r="BW644">
        <f t="shared" si="285"/>
        <v>16</v>
      </c>
    </row>
    <row r="645" spans="1:75" ht="15" hidden="1" x14ac:dyDescent="0.2">
      <c r="A645" s="98">
        <v>42768</v>
      </c>
      <c r="B645" s="129" t="str">
        <f t="shared" si="262"/>
        <v>qui</v>
      </c>
      <c r="C645" s="132"/>
      <c r="D645" s="132"/>
      <c r="E645" s="132"/>
      <c r="F645" s="132"/>
      <c r="G645" s="132"/>
      <c r="H645" s="132"/>
      <c r="I645" s="132"/>
      <c r="J645" s="132"/>
      <c r="K645" s="132">
        <v>18</v>
      </c>
      <c r="L645" s="132"/>
      <c r="M645" s="132">
        <v>101</v>
      </c>
      <c r="N645" s="132"/>
      <c r="O645" s="132"/>
      <c r="P645" s="132"/>
      <c r="Q645" s="132"/>
      <c r="R645" s="132"/>
      <c r="S645" s="132"/>
      <c r="T645" s="132"/>
      <c r="U645" s="151"/>
      <c r="V645" s="151"/>
      <c r="W645" s="307" t="s">
        <v>193</v>
      </c>
      <c r="X645" s="308"/>
      <c r="Y645" s="38">
        <f t="shared" si="263"/>
        <v>0</v>
      </c>
      <c r="Z645" s="38">
        <f t="shared" si="264"/>
        <v>8</v>
      </c>
      <c r="AA645" s="38">
        <f t="shared" si="261"/>
        <v>0</v>
      </c>
      <c r="AB645" s="38">
        <f t="shared" si="272"/>
        <v>0</v>
      </c>
      <c r="AC645" s="38">
        <f t="shared" si="273"/>
        <v>0</v>
      </c>
      <c r="AD645" s="38">
        <f t="shared" si="274"/>
        <v>0</v>
      </c>
      <c r="AE645" s="38">
        <f t="shared" si="275"/>
        <v>0</v>
      </c>
      <c r="AF645" s="38">
        <f t="shared" si="276"/>
        <v>0</v>
      </c>
      <c r="AG645" s="33">
        <f t="shared" si="277"/>
        <v>0</v>
      </c>
      <c r="AH645" s="33">
        <f t="shared" si="278"/>
        <v>8</v>
      </c>
      <c r="AI645" s="33">
        <f t="shared" si="279"/>
        <v>0</v>
      </c>
      <c r="AJ645" s="33">
        <f t="shared" si="280"/>
        <v>0</v>
      </c>
      <c r="AK645" s="34">
        <f t="shared" si="281"/>
        <v>0</v>
      </c>
      <c r="AL645" s="35">
        <f t="shared" si="282"/>
        <v>5.6338028169014086E-2</v>
      </c>
      <c r="AM645" s="34">
        <f t="shared" si="265"/>
        <v>0</v>
      </c>
      <c r="AN645" s="36">
        <f t="shared" si="283"/>
        <v>0</v>
      </c>
      <c r="AO645" s="6">
        <f t="shared" si="266"/>
        <v>0</v>
      </c>
      <c r="AP645">
        <f t="shared" si="267"/>
        <v>8</v>
      </c>
      <c r="AQ645" s="6">
        <f t="shared" si="268"/>
        <v>0</v>
      </c>
      <c r="AR645" s="6">
        <f t="shared" si="269"/>
        <v>0</v>
      </c>
      <c r="AS645" s="6"/>
      <c r="AX645" s="95">
        <f t="shared" si="270"/>
        <v>42768</v>
      </c>
      <c r="AY645" s="96" t="str">
        <f t="shared" si="271"/>
        <v>qui</v>
      </c>
      <c r="AZ645" s="97">
        <f>IF(OR(AY645="SÁB",AY645="DOM"),0,IFERROR(8-VLOOKUP(C645,'Dados de consulta'!$A$2:$C$38,3,0),8))</f>
        <v>8</v>
      </c>
      <c r="BA645" s="97">
        <f>IF(OR(AY645="SÁB",AY645="DOM"),0,IFERROR(8-VLOOKUP(D645,'Dados de consulta'!$A$2:$C$38,3,0),8))</f>
        <v>8</v>
      </c>
      <c r="BB645" s="97">
        <f>IF(OR(AY645="SÁB",AY645="DOM"),0,IFERROR(8-VLOOKUP(E645,'Dados de consulta'!$A$2:$C$38,3,0),8))</f>
        <v>8</v>
      </c>
      <c r="BC645" s="97">
        <f>IF(OR(AY645="SÁB",AY645="DOM"),0,IFERROR(8-VLOOKUP(F645,'Dados de consulta'!$A$2:$C$38,3,0),8))</f>
        <v>8</v>
      </c>
      <c r="BD645" s="97">
        <f>IF(OR(AY645="SÁB",AY645="DOM"),0,IFERROR(8-VLOOKUP(G645,'Dados de consulta'!$A$2:$C$38,3,0),8))</f>
        <v>8</v>
      </c>
      <c r="BE645" s="97">
        <f>IF(OR(AY645="SÁB",AY645="DOM"),0,IFERROR(8-VLOOKUP(H645,'Dados de consulta'!$A$2:$C$38,3,0),8))</f>
        <v>8</v>
      </c>
      <c r="BF645" s="97">
        <f>IF(OR(AY645="SÁB",AY645="DOM"),0,IFERROR(8-VLOOKUP(I645,'Dados de consulta'!$A$2:$C$38,3,0),8))</f>
        <v>8</v>
      </c>
      <c r="BG645" s="97">
        <f>IF(OR(AY645="SÁB",AY645="DOM"),0,IFERROR(8-VLOOKUP(J645,'Dados de consulta'!$A$2:$C$38,3,0),8))</f>
        <v>8</v>
      </c>
      <c r="BH645" s="97">
        <f>IF(OR(AY645="SÁB",AY645="DOM"),0,IFERROR(8-VLOOKUP(K645,'Dados de consulta'!$A$2:$C$38,3,0),8))</f>
        <v>0</v>
      </c>
      <c r="BI645" s="97">
        <f>IF(OR(AY645="SÁB",AY645="DOM"),0,IFERROR(8-VLOOKUP(L645,'Dados de consulta'!$A$2:$C$38,3,0),8))</f>
        <v>8</v>
      </c>
      <c r="BJ645" s="97">
        <f>IF(OR(AY645="SÁB",AY645="DOM"),0,IFERROR(8-VLOOKUP(M645,'Dados de consulta'!$A$2:$C$38,3,0),8))</f>
        <v>0</v>
      </c>
      <c r="BK645" s="97">
        <f>IF(OR(AY645="SÁB",AY645="DOM"),0,IFERROR(8-VLOOKUP(N645,'Dados de consulta'!$A$2:$C$38,3,0),8))</f>
        <v>8</v>
      </c>
      <c r="BL645" s="97">
        <f>IF(OR(AY645="SÁB",AY645="DOM"),0,IFERROR(8-VLOOKUP(O645,'Dados de consulta'!$A$2:$C$38,3,0),8))</f>
        <v>8</v>
      </c>
      <c r="BM645" s="97">
        <f>IF(OR(AY645="SÁB",AY645="DOM"),0,IFERROR(8-VLOOKUP(P645,'Dados de consulta'!$A$2:$C$38,3,0),8))</f>
        <v>8</v>
      </c>
      <c r="BN645" s="97">
        <f>IF(OR(AY645="SÁB",AY645="DOM"),0,IFERROR(8-VLOOKUP(Q645,'Dados de consulta'!$A$2:$C$38,3,0),8))</f>
        <v>8</v>
      </c>
      <c r="BO645" s="97">
        <f>IF(OR(AY645="SÁB",AY645="DOM"),0,IFERROR(8-VLOOKUP(R645,'Dados de consulta'!$A$2:$C$38,3,0),8))</f>
        <v>8</v>
      </c>
      <c r="BP645" s="97">
        <f>IF(OR(AY645="SÁB",AY645="DOM"),0,IFERROR(8-VLOOKUP(S645,'Dados de consulta'!$A$2:$C$38,3,0),8))</f>
        <v>8</v>
      </c>
      <c r="BQ645" s="113">
        <f>IFERROR(6-VLOOKUP(T645,'Dados de consulta'!$A$2:$C$38,3,0)+2,6)</f>
        <v>6</v>
      </c>
      <c r="BR645" s="114">
        <f t="shared" si="284"/>
        <v>126</v>
      </c>
      <c r="BS645">
        <f t="shared" si="260"/>
        <v>134</v>
      </c>
      <c r="BU645">
        <f>IFERROR(8-VLOOKUP(U645,'Dados de consulta'!$A:$D,3,0),8)</f>
        <v>8</v>
      </c>
      <c r="BV645">
        <f>IFERROR(8-VLOOKUP(V645,'Dados de consulta'!$A:$D,3,0),8)</f>
        <v>8</v>
      </c>
      <c r="BW645">
        <f t="shared" si="285"/>
        <v>16</v>
      </c>
    </row>
    <row r="646" spans="1:75" ht="15" hidden="1" x14ac:dyDescent="0.2">
      <c r="A646" s="98">
        <v>42769</v>
      </c>
      <c r="B646" s="129" t="str">
        <f t="shared" si="262"/>
        <v>sex</v>
      </c>
      <c r="C646" s="132"/>
      <c r="D646" s="132"/>
      <c r="E646" s="132"/>
      <c r="F646" s="132"/>
      <c r="G646" s="132"/>
      <c r="H646" s="132"/>
      <c r="I646" s="132"/>
      <c r="J646" s="132"/>
      <c r="K646" s="132">
        <v>18</v>
      </c>
      <c r="L646" s="132"/>
      <c r="M646" s="132">
        <v>101</v>
      </c>
      <c r="N646" s="132"/>
      <c r="O646" s="132"/>
      <c r="P646" s="132"/>
      <c r="Q646" s="132"/>
      <c r="R646" s="132"/>
      <c r="S646" s="132"/>
      <c r="T646" s="132"/>
      <c r="U646" s="151"/>
      <c r="V646" s="151"/>
      <c r="W646" s="307" t="s">
        <v>193</v>
      </c>
      <c r="X646" s="308"/>
      <c r="Y646" s="38">
        <f t="shared" si="263"/>
        <v>0</v>
      </c>
      <c r="Z646" s="38">
        <f t="shared" si="264"/>
        <v>8</v>
      </c>
      <c r="AA646" s="38">
        <f t="shared" si="261"/>
        <v>0</v>
      </c>
      <c r="AB646" s="38">
        <f t="shared" si="272"/>
        <v>0</v>
      </c>
      <c r="AC646" s="38">
        <f t="shared" si="273"/>
        <v>0</v>
      </c>
      <c r="AD646" s="38">
        <f t="shared" si="274"/>
        <v>0</v>
      </c>
      <c r="AE646" s="38">
        <f t="shared" si="275"/>
        <v>0</v>
      </c>
      <c r="AF646" s="38">
        <f t="shared" si="276"/>
        <v>0</v>
      </c>
      <c r="AG646" s="33">
        <f t="shared" si="277"/>
        <v>0</v>
      </c>
      <c r="AH646" s="33">
        <f t="shared" si="278"/>
        <v>8</v>
      </c>
      <c r="AI646" s="33">
        <f t="shared" si="279"/>
        <v>0</v>
      </c>
      <c r="AJ646" s="33">
        <f t="shared" si="280"/>
        <v>0</v>
      </c>
      <c r="AK646" s="34">
        <f t="shared" si="281"/>
        <v>0</v>
      </c>
      <c r="AL646" s="35">
        <f t="shared" si="282"/>
        <v>5.6338028169014086E-2</v>
      </c>
      <c r="AM646" s="34">
        <f t="shared" si="265"/>
        <v>0</v>
      </c>
      <c r="AN646" s="36">
        <f t="shared" si="283"/>
        <v>0</v>
      </c>
      <c r="AO646" s="6">
        <f t="shared" si="266"/>
        <v>0</v>
      </c>
      <c r="AP646">
        <f t="shared" si="267"/>
        <v>8</v>
      </c>
      <c r="AQ646" s="6">
        <f t="shared" si="268"/>
        <v>0</v>
      </c>
      <c r="AR646" s="6">
        <f t="shared" si="269"/>
        <v>0</v>
      </c>
      <c r="AS646" s="6"/>
      <c r="AX646" s="95">
        <f t="shared" si="270"/>
        <v>42769</v>
      </c>
      <c r="AY646" s="96" t="str">
        <f t="shared" si="271"/>
        <v>sex</v>
      </c>
      <c r="AZ646" s="97">
        <f>IF(OR(AY646="SÁB",AY646="DOM"),0,IFERROR(8-VLOOKUP(C646,'Dados de consulta'!$A$2:$C$38,3,0),8))</f>
        <v>8</v>
      </c>
      <c r="BA646" s="97">
        <f>IF(OR(AY646="SÁB",AY646="DOM"),0,IFERROR(8-VLOOKUP(D646,'Dados de consulta'!$A$2:$C$38,3,0),8))</f>
        <v>8</v>
      </c>
      <c r="BB646" s="97">
        <f>IF(OR(AY646="SÁB",AY646="DOM"),0,IFERROR(8-VLOOKUP(E646,'Dados de consulta'!$A$2:$C$38,3,0),8))</f>
        <v>8</v>
      </c>
      <c r="BC646" s="97">
        <f>IF(OR(AY646="SÁB",AY646="DOM"),0,IFERROR(8-VLOOKUP(F646,'Dados de consulta'!$A$2:$C$38,3,0),8))</f>
        <v>8</v>
      </c>
      <c r="BD646" s="97">
        <f>IF(OR(AY646="SÁB",AY646="DOM"),0,IFERROR(8-VLOOKUP(G646,'Dados de consulta'!$A$2:$C$38,3,0),8))</f>
        <v>8</v>
      </c>
      <c r="BE646" s="97">
        <f>IF(OR(AY646="SÁB",AY646="DOM"),0,IFERROR(8-VLOOKUP(H646,'Dados de consulta'!$A$2:$C$38,3,0),8))</f>
        <v>8</v>
      </c>
      <c r="BF646" s="97">
        <f>IF(OR(AY646="SÁB",AY646="DOM"),0,IFERROR(8-VLOOKUP(I646,'Dados de consulta'!$A$2:$C$38,3,0),8))</f>
        <v>8</v>
      </c>
      <c r="BG646" s="97">
        <f>IF(OR(AY646="SÁB",AY646="DOM"),0,IFERROR(8-VLOOKUP(J646,'Dados de consulta'!$A$2:$C$38,3,0),8))</f>
        <v>8</v>
      </c>
      <c r="BH646" s="97">
        <f>IF(OR(AY646="SÁB",AY646="DOM"),0,IFERROR(8-VLOOKUP(K646,'Dados de consulta'!$A$2:$C$38,3,0),8))</f>
        <v>0</v>
      </c>
      <c r="BI646" s="97">
        <f>IF(OR(AY646="SÁB",AY646="DOM"),0,IFERROR(8-VLOOKUP(L646,'Dados de consulta'!$A$2:$C$38,3,0),8))</f>
        <v>8</v>
      </c>
      <c r="BJ646" s="97">
        <f>IF(OR(AY646="SÁB",AY646="DOM"),0,IFERROR(8-VLOOKUP(M646,'Dados de consulta'!$A$2:$C$38,3,0),8))</f>
        <v>0</v>
      </c>
      <c r="BK646" s="97">
        <f>IF(OR(AY646="SÁB",AY646="DOM"),0,IFERROR(8-VLOOKUP(N646,'Dados de consulta'!$A$2:$C$38,3,0),8))</f>
        <v>8</v>
      </c>
      <c r="BL646" s="97">
        <f>IF(OR(AY646="SÁB",AY646="DOM"),0,IFERROR(8-VLOOKUP(O646,'Dados de consulta'!$A$2:$C$38,3,0),8))</f>
        <v>8</v>
      </c>
      <c r="BM646" s="97">
        <f>IF(OR(AY646="SÁB",AY646="DOM"),0,IFERROR(8-VLOOKUP(P646,'Dados de consulta'!$A$2:$C$38,3,0),8))</f>
        <v>8</v>
      </c>
      <c r="BN646" s="97">
        <f>IF(OR(AY646="SÁB",AY646="DOM"),0,IFERROR(8-VLOOKUP(Q646,'Dados de consulta'!$A$2:$C$38,3,0),8))</f>
        <v>8</v>
      </c>
      <c r="BO646" s="97">
        <f>IF(OR(AY646="SÁB",AY646="DOM"),0,IFERROR(8-VLOOKUP(R646,'Dados de consulta'!$A$2:$C$38,3,0),8))</f>
        <v>8</v>
      </c>
      <c r="BP646" s="97">
        <f>IF(OR(AY646="SÁB",AY646="DOM"),0,IFERROR(8-VLOOKUP(S646,'Dados de consulta'!$A$2:$C$38,3,0),8))</f>
        <v>8</v>
      </c>
      <c r="BQ646" s="113">
        <f>IFERROR(6-VLOOKUP(T646,'Dados de consulta'!$A$2:$C$38,3,0)+2,6)</f>
        <v>6</v>
      </c>
      <c r="BR646" s="114">
        <f t="shared" si="284"/>
        <v>126</v>
      </c>
      <c r="BS646">
        <f t="shared" si="260"/>
        <v>134</v>
      </c>
      <c r="BU646">
        <f>IFERROR(8-VLOOKUP(U646,'Dados de consulta'!$A:$D,3,0),8)</f>
        <v>8</v>
      </c>
      <c r="BV646">
        <f>IFERROR(8-VLOOKUP(V646,'Dados de consulta'!$A:$D,3,0),8)</f>
        <v>8</v>
      </c>
      <c r="BW646">
        <f t="shared" si="285"/>
        <v>16</v>
      </c>
    </row>
    <row r="647" spans="1:75" ht="15" hidden="1" x14ac:dyDescent="0.2">
      <c r="A647" s="98">
        <v>42770</v>
      </c>
      <c r="B647" s="129" t="str">
        <f t="shared" si="262"/>
        <v>sáb</v>
      </c>
      <c r="C647" s="132"/>
      <c r="D647" s="132"/>
      <c r="E647" s="132"/>
      <c r="F647" s="132"/>
      <c r="G647" s="132"/>
      <c r="H647" s="132"/>
      <c r="I647" s="132"/>
      <c r="J647" s="132"/>
      <c r="K647" s="132">
        <v>18</v>
      </c>
      <c r="L647" s="132"/>
      <c r="M647" s="132">
        <v>101</v>
      </c>
      <c r="N647" s="132"/>
      <c r="O647" s="132"/>
      <c r="P647" s="132"/>
      <c r="Q647" s="132"/>
      <c r="R647" s="132"/>
      <c r="S647" s="132"/>
      <c r="T647" s="132"/>
      <c r="U647" s="151"/>
      <c r="V647" s="151"/>
      <c r="W647" s="307" t="s">
        <v>193</v>
      </c>
      <c r="X647" s="308"/>
      <c r="Y647" s="38">
        <f t="shared" si="263"/>
        <v>0</v>
      </c>
      <c r="Z647" s="38">
        <f t="shared" si="264"/>
        <v>8</v>
      </c>
      <c r="AA647" s="38">
        <f t="shared" si="261"/>
        <v>0</v>
      </c>
      <c r="AB647" s="38">
        <f t="shared" si="272"/>
        <v>0</v>
      </c>
      <c r="AC647" s="38">
        <f t="shared" si="273"/>
        <v>0</v>
      </c>
      <c r="AD647" s="38">
        <f t="shared" si="274"/>
        <v>0</v>
      </c>
      <c r="AE647" s="38">
        <f t="shared" si="275"/>
        <v>0</v>
      </c>
      <c r="AF647" s="38">
        <f t="shared" si="276"/>
        <v>0</v>
      </c>
      <c r="AG647" s="33">
        <f t="shared" si="277"/>
        <v>0</v>
      </c>
      <c r="AH647" s="33">
        <f t="shared" si="278"/>
        <v>0</v>
      </c>
      <c r="AI647" s="33">
        <f t="shared" si="279"/>
        <v>0</v>
      </c>
      <c r="AJ647" s="33">
        <f t="shared" si="280"/>
        <v>0</v>
      </c>
      <c r="AK647" s="34">
        <f t="shared" si="281"/>
        <v>0</v>
      </c>
      <c r="AL647" s="35">
        <f t="shared" si="282"/>
        <v>0</v>
      </c>
      <c r="AM647" s="34">
        <f t="shared" si="265"/>
        <v>0</v>
      </c>
      <c r="AN647" s="36">
        <f t="shared" si="283"/>
        <v>0</v>
      </c>
      <c r="AO647" s="6">
        <f t="shared" si="266"/>
        <v>0</v>
      </c>
      <c r="AP647">
        <f t="shared" si="267"/>
        <v>8</v>
      </c>
      <c r="AQ647" s="6">
        <f t="shared" si="268"/>
        <v>0</v>
      </c>
      <c r="AR647" s="6">
        <f t="shared" si="269"/>
        <v>0</v>
      </c>
      <c r="AS647" s="6"/>
      <c r="AX647" s="95">
        <f t="shared" si="270"/>
        <v>42770</v>
      </c>
      <c r="AY647" s="96" t="str">
        <f t="shared" si="271"/>
        <v>sáb</v>
      </c>
      <c r="AZ647" s="97">
        <f>IF(OR(AY647="SÁB",AY647="DOM"),0,IFERROR(8-VLOOKUP(C647,'Dados de consulta'!$A$2:$C$38,3,0),8))</f>
        <v>0</v>
      </c>
      <c r="BA647" s="97">
        <f>IF(OR(AY647="SÁB",AY647="DOM"),0,IFERROR(8-VLOOKUP(D647,'Dados de consulta'!$A$2:$C$38,3,0),8))</f>
        <v>0</v>
      </c>
      <c r="BB647" s="97">
        <f>IF(OR(AY647="SÁB",AY647="DOM"),0,IFERROR(8-VLOOKUP(E647,'Dados de consulta'!$A$2:$C$38,3,0),8))</f>
        <v>0</v>
      </c>
      <c r="BC647" s="97">
        <f>IF(OR(AY647="SÁB",AY647="DOM"),0,IFERROR(8-VLOOKUP(F647,'Dados de consulta'!$A$2:$C$38,3,0),8))</f>
        <v>0</v>
      </c>
      <c r="BD647" s="97">
        <f>IF(OR(AY647="SÁB",AY647="DOM"),0,IFERROR(8-VLOOKUP(G647,'Dados de consulta'!$A$2:$C$38,3,0),8))</f>
        <v>0</v>
      </c>
      <c r="BE647" s="97">
        <f>IF(OR(AY647="SÁB",AY647="DOM"),0,IFERROR(8-VLOOKUP(H647,'Dados de consulta'!$A$2:$C$38,3,0),8))</f>
        <v>0</v>
      </c>
      <c r="BF647" s="97">
        <f>IF(OR(AY647="SÁB",AY647="DOM"),0,IFERROR(8-VLOOKUP(I647,'Dados de consulta'!$A$2:$C$38,3,0),8))</f>
        <v>0</v>
      </c>
      <c r="BG647" s="97">
        <f>IF(OR(AY647="SÁB",AY647="DOM"),0,IFERROR(8-VLOOKUP(J647,'Dados de consulta'!$A$2:$C$38,3,0),8))</f>
        <v>0</v>
      </c>
      <c r="BH647" s="97">
        <f>IF(OR(AY647="SÁB",AY647="DOM"),0,IFERROR(8-VLOOKUP(K647,'Dados de consulta'!$A$2:$C$38,3,0),8))</f>
        <v>0</v>
      </c>
      <c r="BI647" s="97">
        <f>IF(OR(AY647="SÁB",AY647="DOM"),0,IFERROR(8-VLOOKUP(L647,'Dados de consulta'!$A$2:$C$38,3,0),8))</f>
        <v>0</v>
      </c>
      <c r="BJ647" s="97">
        <f>IF(OR(AY647="SÁB",AY647="DOM"),0,IFERROR(8-VLOOKUP(M647,'Dados de consulta'!$A$2:$C$38,3,0),8))</f>
        <v>0</v>
      </c>
      <c r="BK647" s="97">
        <f>IF(OR(AY647="SÁB",AY647="DOM"),0,IFERROR(8-VLOOKUP(N647,'Dados de consulta'!$A$2:$C$38,3,0),8))</f>
        <v>0</v>
      </c>
      <c r="BL647" s="97">
        <f>IF(OR(AY647="SÁB",AY647="DOM"),0,IFERROR(8-VLOOKUP(O647,'Dados de consulta'!$A$2:$C$38,3,0),8))</f>
        <v>0</v>
      </c>
      <c r="BM647" s="97">
        <f>IF(OR(AY647="SÁB",AY647="DOM"),0,IFERROR(8-VLOOKUP(P647,'Dados de consulta'!$A$2:$C$38,3,0),8))</f>
        <v>0</v>
      </c>
      <c r="BN647" s="97">
        <f>IF(OR(AY647="SÁB",AY647="DOM"),0,IFERROR(8-VLOOKUP(Q647,'Dados de consulta'!$A$2:$C$38,3,0),8))</f>
        <v>0</v>
      </c>
      <c r="BO647" s="97">
        <f>IF(OR(AY647="SÁB",AY647="DOM"),0,IFERROR(8-VLOOKUP(R647,'Dados de consulta'!$A$2:$C$38,3,0),8))</f>
        <v>0</v>
      </c>
      <c r="BP647" s="97">
        <f>IF(OR(AY647="SÁB",AY647="DOM"),0,IFERROR(8-VLOOKUP(S647,'Dados de consulta'!$A$2:$C$38,3,0),8))</f>
        <v>0</v>
      </c>
      <c r="BQ647" s="113">
        <f>IFERROR(6-VLOOKUP(T647,'Dados de consulta'!$A$2:$C$38,3,0)+2,6)</f>
        <v>6</v>
      </c>
      <c r="BR647" s="114">
        <f t="shared" si="284"/>
        <v>0</v>
      </c>
      <c r="BS647">
        <f t="shared" si="260"/>
        <v>0</v>
      </c>
      <c r="BU647">
        <f>IFERROR(8-VLOOKUP(U647,'Dados de consulta'!$A:$D,3,0),8)</f>
        <v>8</v>
      </c>
      <c r="BV647">
        <f>IFERROR(8-VLOOKUP(V647,'Dados de consulta'!$A:$D,3,0),8)</f>
        <v>8</v>
      </c>
      <c r="BW647">
        <f t="shared" si="285"/>
        <v>16</v>
      </c>
    </row>
    <row r="648" spans="1:75" ht="15" hidden="1" x14ac:dyDescent="0.2">
      <c r="A648" s="98">
        <v>42771</v>
      </c>
      <c r="B648" s="129" t="str">
        <f t="shared" si="262"/>
        <v>dom</v>
      </c>
      <c r="C648" s="132"/>
      <c r="D648" s="132"/>
      <c r="E648" s="132"/>
      <c r="F648" s="132"/>
      <c r="G648" s="132"/>
      <c r="H648" s="132"/>
      <c r="I648" s="132"/>
      <c r="J648" s="132"/>
      <c r="K648" s="132">
        <v>18</v>
      </c>
      <c r="L648" s="132"/>
      <c r="M648" s="132">
        <v>101</v>
      </c>
      <c r="N648" s="132"/>
      <c r="O648" s="132"/>
      <c r="P648" s="132"/>
      <c r="Q648" s="132"/>
      <c r="R648" s="132"/>
      <c r="S648" s="132"/>
      <c r="T648" s="132"/>
      <c r="U648" s="151"/>
      <c r="V648" s="151"/>
      <c r="W648" s="307" t="s">
        <v>193</v>
      </c>
      <c r="X648" s="308"/>
      <c r="Y648" s="38">
        <f t="shared" si="263"/>
        <v>0</v>
      </c>
      <c r="Z648" s="38">
        <f t="shared" si="264"/>
        <v>8</v>
      </c>
      <c r="AA648" s="38">
        <f t="shared" si="261"/>
        <v>0</v>
      </c>
      <c r="AB648" s="38">
        <f t="shared" si="272"/>
        <v>0</v>
      </c>
      <c r="AC648" s="38">
        <f t="shared" si="273"/>
        <v>0</v>
      </c>
      <c r="AD648" s="38">
        <f t="shared" si="274"/>
        <v>0</v>
      </c>
      <c r="AE648" s="38">
        <f t="shared" si="275"/>
        <v>0</v>
      </c>
      <c r="AF648" s="38">
        <f t="shared" si="276"/>
        <v>0</v>
      </c>
      <c r="AG648" s="33">
        <f t="shared" si="277"/>
        <v>0</v>
      </c>
      <c r="AH648" s="33">
        <f t="shared" si="278"/>
        <v>0</v>
      </c>
      <c r="AI648" s="33">
        <f t="shared" si="279"/>
        <v>0</v>
      </c>
      <c r="AJ648" s="33">
        <f t="shared" si="280"/>
        <v>0</v>
      </c>
      <c r="AK648" s="34">
        <f t="shared" si="281"/>
        <v>0</v>
      </c>
      <c r="AL648" s="35">
        <f t="shared" si="282"/>
        <v>0</v>
      </c>
      <c r="AM648" s="34">
        <f t="shared" si="265"/>
        <v>0</v>
      </c>
      <c r="AN648" s="36">
        <f t="shared" si="283"/>
        <v>0</v>
      </c>
      <c r="AO648" s="6">
        <f t="shared" si="266"/>
        <v>0</v>
      </c>
      <c r="AP648">
        <f t="shared" si="267"/>
        <v>8</v>
      </c>
      <c r="AQ648" s="6">
        <f t="shared" si="268"/>
        <v>0</v>
      </c>
      <c r="AR648" s="6">
        <f t="shared" si="269"/>
        <v>0</v>
      </c>
      <c r="AS648" s="6"/>
      <c r="AX648" s="95">
        <f t="shared" si="270"/>
        <v>42771</v>
      </c>
      <c r="AY648" s="96" t="str">
        <f t="shared" si="271"/>
        <v>dom</v>
      </c>
      <c r="AZ648" s="97">
        <f>IF(OR(AY648="SÁB",AY648="DOM"),0,IFERROR(8-VLOOKUP(C648,'Dados de consulta'!$A$2:$C$38,3,0),8))</f>
        <v>0</v>
      </c>
      <c r="BA648" s="97">
        <f>IF(OR(AY648="SÁB",AY648="DOM"),0,IFERROR(8-VLOOKUP(D648,'Dados de consulta'!$A$2:$C$38,3,0),8))</f>
        <v>0</v>
      </c>
      <c r="BB648" s="97">
        <f>IF(OR(AY648="SÁB",AY648="DOM"),0,IFERROR(8-VLOOKUP(E648,'Dados de consulta'!$A$2:$C$38,3,0),8))</f>
        <v>0</v>
      </c>
      <c r="BC648" s="97">
        <f>IF(OR(AY648="SÁB",AY648="DOM"),0,IFERROR(8-VLOOKUP(F648,'Dados de consulta'!$A$2:$C$38,3,0),8))</f>
        <v>0</v>
      </c>
      <c r="BD648" s="97">
        <f>IF(OR(AY648="SÁB",AY648="DOM"),0,IFERROR(8-VLOOKUP(G648,'Dados de consulta'!$A$2:$C$38,3,0),8))</f>
        <v>0</v>
      </c>
      <c r="BE648" s="97">
        <f>IF(OR(AY648="SÁB",AY648="DOM"),0,IFERROR(8-VLOOKUP(H648,'Dados de consulta'!$A$2:$C$38,3,0),8))</f>
        <v>0</v>
      </c>
      <c r="BF648" s="97">
        <f>IF(OR(AY648="SÁB",AY648="DOM"),0,IFERROR(8-VLOOKUP(I648,'Dados de consulta'!$A$2:$C$38,3,0),8))</f>
        <v>0</v>
      </c>
      <c r="BG648" s="97">
        <f>IF(OR(AY648="SÁB",AY648="DOM"),0,IFERROR(8-VLOOKUP(J648,'Dados de consulta'!$A$2:$C$38,3,0),8))</f>
        <v>0</v>
      </c>
      <c r="BH648" s="97">
        <f>IF(OR(AY648="SÁB",AY648="DOM"),0,IFERROR(8-VLOOKUP(K648,'Dados de consulta'!$A$2:$C$38,3,0),8))</f>
        <v>0</v>
      </c>
      <c r="BI648" s="97">
        <f>IF(OR(AY648="SÁB",AY648="DOM"),0,IFERROR(8-VLOOKUP(L648,'Dados de consulta'!$A$2:$C$38,3,0),8))</f>
        <v>0</v>
      </c>
      <c r="BJ648" s="97">
        <f>IF(OR(AY648="SÁB",AY648="DOM"),0,IFERROR(8-VLOOKUP(M648,'Dados de consulta'!$A$2:$C$38,3,0),8))</f>
        <v>0</v>
      </c>
      <c r="BK648" s="97">
        <f>IF(OR(AY648="SÁB",AY648="DOM"),0,IFERROR(8-VLOOKUP(N648,'Dados de consulta'!$A$2:$C$38,3,0),8))</f>
        <v>0</v>
      </c>
      <c r="BL648" s="97">
        <f>IF(OR(AY648="SÁB",AY648="DOM"),0,IFERROR(8-VLOOKUP(O648,'Dados de consulta'!$A$2:$C$38,3,0),8))</f>
        <v>0</v>
      </c>
      <c r="BM648" s="97">
        <f>IF(OR(AY648="SÁB",AY648="DOM"),0,IFERROR(8-VLOOKUP(P648,'Dados de consulta'!$A$2:$C$38,3,0),8))</f>
        <v>0</v>
      </c>
      <c r="BN648" s="97">
        <f>IF(OR(AY648="SÁB",AY648="DOM"),0,IFERROR(8-VLOOKUP(Q648,'Dados de consulta'!$A$2:$C$38,3,0),8))</f>
        <v>0</v>
      </c>
      <c r="BO648" s="97">
        <f>IF(OR(AY648="SÁB",AY648="DOM"),0,IFERROR(8-VLOOKUP(R648,'Dados de consulta'!$A$2:$C$38,3,0),8))</f>
        <v>0</v>
      </c>
      <c r="BP648" s="97">
        <f>IF(OR(AY648="SÁB",AY648="DOM"),0,IFERROR(8-VLOOKUP(S648,'Dados de consulta'!$A$2:$C$38,3,0),8))</f>
        <v>0</v>
      </c>
      <c r="BQ648" s="113">
        <f>IFERROR(6-VLOOKUP(T648,'Dados de consulta'!$A$2:$C$38,3,0)+2,6)</f>
        <v>6</v>
      </c>
      <c r="BR648" s="114">
        <f t="shared" si="284"/>
        <v>0</v>
      </c>
      <c r="BS648">
        <f t="shared" si="260"/>
        <v>0</v>
      </c>
      <c r="BU648">
        <f>IFERROR(8-VLOOKUP(U648,'Dados de consulta'!$A:$D,3,0),8)</f>
        <v>8</v>
      </c>
      <c r="BV648">
        <f>IFERROR(8-VLOOKUP(V648,'Dados de consulta'!$A:$D,3,0),8)</f>
        <v>8</v>
      </c>
      <c r="BW648">
        <f t="shared" si="285"/>
        <v>16</v>
      </c>
    </row>
    <row r="649" spans="1:75" ht="15" hidden="1" x14ac:dyDescent="0.2">
      <c r="A649" s="98">
        <v>42772</v>
      </c>
      <c r="B649" s="129" t="str">
        <f t="shared" si="262"/>
        <v>seg</v>
      </c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>
        <v>101</v>
      </c>
      <c r="N649" s="132"/>
      <c r="O649" s="132"/>
      <c r="P649" s="132"/>
      <c r="Q649" s="132"/>
      <c r="R649" s="132"/>
      <c r="S649" s="132"/>
      <c r="T649" s="132"/>
      <c r="U649" s="151"/>
      <c r="V649" s="151"/>
      <c r="W649" s="307" t="s">
        <v>193</v>
      </c>
      <c r="X649" s="308"/>
      <c r="Y649" s="38">
        <f t="shared" si="263"/>
        <v>0</v>
      </c>
      <c r="Z649" s="38">
        <f t="shared" si="264"/>
        <v>0</v>
      </c>
      <c r="AA649" s="38">
        <f t="shared" si="261"/>
        <v>0</v>
      </c>
      <c r="AB649" s="38">
        <f t="shared" si="272"/>
        <v>0</v>
      </c>
      <c r="AC649" s="38">
        <f t="shared" si="273"/>
        <v>0</v>
      </c>
      <c r="AD649" s="38">
        <f t="shared" si="274"/>
        <v>0</v>
      </c>
      <c r="AE649" s="38">
        <f t="shared" si="275"/>
        <v>0</v>
      </c>
      <c r="AF649" s="38">
        <f t="shared" si="276"/>
        <v>0</v>
      </c>
      <c r="AG649" s="33">
        <f t="shared" si="277"/>
        <v>0</v>
      </c>
      <c r="AH649" s="33">
        <f t="shared" si="278"/>
        <v>0</v>
      </c>
      <c r="AI649" s="33">
        <f t="shared" si="279"/>
        <v>0</v>
      </c>
      <c r="AJ649" s="33">
        <f t="shared" si="280"/>
        <v>0</v>
      </c>
      <c r="AK649" s="34">
        <f t="shared" si="281"/>
        <v>0</v>
      </c>
      <c r="AL649" s="35">
        <f t="shared" si="282"/>
        <v>0</v>
      </c>
      <c r="AM649" s="34">
        <f t="shared" si="265"/>
        <v>0</v>
      </c>
      <c r="AN649" s="36">
        <f t="shared" si="283"/>
        <v>0</v>
      </c>
      <c r="AO649" s="6">
        <f t="shared" si="266"/>
        <v>0</v>
      </c>
      <c r="AP649">
        <f t="shared" si="267"/>
        <v>8</v>
      </c>
      <c r="AQ649" s="6">
        <f t="shared" si="268"/>
        <v>0</v>
      </c>
      <c r="AR649" s="6">
        <f t="shared" si="269"/>
        <v>0</v>
      </c>
      <c r="AS649" s="6"/>
      <c r="AX649" s="95">
        <f t="shared" si="270"/>
        <v>42772</v>
      </c>
      <c r="AY649" s="96" t="str">
        <f t="shared" si="271"/>
        <v>seg</v>
      </c>
      <c r="AZ649" s="97">
        <f>IF(OR(AY649="SÁB",AY649="DOM"),0,IFERROR(8-VLOOKUP(C649,'Dados de consulta'!$A$2:$C$38,3,0),8))</f>
        <v>8</v>
      </c>
      <c r="BA649" s="97">
        <f>IF(OR(AY649="SÁB",AY649="DOM"),0,IFERROR(8-VLOOKUP(D649,'Dados de consulta'!$A$2:$C$38,3,0),8))</f>
        <v>8</v>
      </c>
      <c r="BB649" s="97">
        <f>IF(OR(AY649="SÁB",AY649="DOM"),0,IFERROR(8-VLOOKUP(E649,'Dados de consulta'!$A$2:$C$38,3,0),8))</f>
        <v>8</v>
      </c>
      <c r="BC649" s="97">
        <f>IF(OR(AY649="SÁB",AY649="DOM"),0,IFERROR(8-VLOOKUP(F649,'Dados de consulta'!$A$2:$C$38,3,0),8))</f>
        <v>8</v>
      </c>
      <c r="BD649" s="97">
        <f>IF(OR(AY649="SÁB",AY649="DOM"),0,IFERROR(8-VLOOKUP(G649,'Dados de consulta'!$A$2:$C$38,3,0),8))</f>
        <v>8</v>
      </c>
      <c r="BE649" s="97">
        <f>IF(OR(AY649="SÁB",AY649="DOM"),0,IFERROR(8-VLOOKUP(H649,'Dados de consulta'!$A$2:$C$38,3,0),8))</f>
        <v>8</v>
      </c>
      <c r="BF649" s="97">
        <f>IF(OR(AY649="SÁB",AY649="DOM"),0,IFERROR(8-VLOOKUP(I649,'Dados de consulta'!$A$2:$C$38,3,0),8))</f>
        <v>8</v>
      </c>
      <c r="BG649" s="97">
        <f>IF(OR(AY649="SÁB",AY649="DOM"),0,IFERROR(8-VLOOKUP(J649,'Dados de consulta'!$A$2:$C$38,3,0),8))</f>
        <v>8</v>
      </c>
      <c r="BH649" s="97">
        <f>IF(OR(AY649="SÁB",AY649="DOM"),0,IFERROR(8-VLOOKUP(K649,'Dados de consulta'!$A$2:$C$38,3,0),8))</f>
        <v>8</v>
      </c>
      <c r="BI649" s="97">
        <f>IF(OR(AY649="SÁB",AY649="DOM"),0,IFERROR(8-VLOOKUP(L649,'Dados de consulta'!$A$2:$C$38,3,0),8))</f>
        <v>8</v>
      </c>
      <c r="BJ649" s="97">
        <f>IF(OR(AY649="SÁB",AY649="DOM"),0,IFERROR(8-VLOOKUP(M649,'Dados de consulta'!$A$2:$C$38,3,0),8))</f>
        <v>0</v>
      </c>
      <c r="BK649" s="97">
        <f>IF(OR(AY649="SÁB",AY649="DOM"),0,IFERROR(8-VLOOKUP(N649,'Dados de consulta'!$A$2:$C$38,3,0),8))</f>
        <v>8</v>
      </c>
      <c r="BL649" s="97">
        <f>IF(OR(AY649="SÁB",AY649="DOM"),0,IFERROR(8-VLOOKUP(O649,'Dados de consulta'!$A$2:$C$38,3,0),8))</f>
        <v>8</v>
      </c>
      <c r="BM649" s="97">
        <f>IF(OR(AY649="SÁB",AY649="DOM"),0,IFERROR(8-VLOOKUP(P649,'Dados de consulta'!$A$2:$C$38,3,0),8))</f>
        <v>8</v>
      </c>
      <c r="BN649" s="97">
        <f>IF(OR(AY649="SÁB",AY649="DOM"),0,IFERROR(8-VLOOKUP(Q649,'Dados de consulta'!$A$2:$C$38,3,0),8))</f>
        <v>8</v>
      </c>
      <c r="BO649" s="97">
        <f>IF(OR(AY649="SÁB",AY649="DOM"),0,IFERROR(8-VLOOKUP(R649,'Dados de consulta'!$A$2:$C$38,3,0),8))</f>
        <v>8</v>
      </c>
      <c r="BP649" s="97">
        <f>IF(OR(AY649="SÁB",AY649="DOM"),0,IFERROR(8-VLOOKUP(S649,'Dados de consulta'!$A$2:$C$38,3,0),8))</f>
        <v>8</v>
      </c>
      <c r="BQ649" s="113">
        <f>IFERROR(6-VLOOKUP(T649,'Dados de consulta'!$A$2:$C$38,3,0)+2,6)</f>
        <v>6</v>
      </c>
      <c r="BR649" s="114">
        <f t="shared" si="284"/>
        <v>134</v>
      </c>
      <c r="BS649">
        <f t="shared" si="260"/>
        <v>134</v>
      </c>
      <c r="BU649">
        <f>IFERROR(8-VLOOKUP(U649,'Dados de consulta'!$A:$D,3,0),8)</f>
        <v>8</v>
      </c>
      <c r="BV649">
        <f>IFERROR(8-VLOOKUP(V649,'Dados de consulta'!$A:$D,3,0),8)</f>
        <v>8</v>
      </c>
      <c r="BW649">
        <f t="shared" si="285"/>
        <v>16</v>
      </c>
    </row>
    <row r="650" spans="1:75" ht="15" hidden="1" x14ac:dyDescent="0.2">
      <c r="A650" s="98">
        <v>42773</v>
      </c>
      <c r="B650" s="129" t="str">
        <f t="shared" si="262"/>
        <v>ter</v>
      </c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>
        <v>101</v>
      </c>
      <c r="N650" s="132"/>
      <c r="O650" s="132"/>
      <c r="P650" s="132"/>
      <c r="Q650" s="132"/>
      <c r="R650" s="132"/>
      <c r="S650" s="132"/>
      <c r="T650" s="132"/>
      <c r="U650" s="151"/>
      <c r="V650" s="151"/>
      <c r="W650" s="307" t="s">
        <v>193</v>
      </c>
      <c r="X650" s="308"/>
      <c r="Y650" s="38">
        <f t="shared" si="263"/>
        <v>0</v>
      </c>
      <c r="Z650" s="38">
        <f t="shared" si="264"/>
        <v>0</v>
      </c>
      <c r="AA650" s="38">
        <f t="shared" si="261"/>
        <v>0</v>
      </c>
      <c r="AB650" s="38">
        <f t="shared" si="272"/>
        <v>0</v>
      </c>
      <c r="AC650" s="38">
        <f t="shared" si="273"/>
        <v>0</v>
      </c>
      <c r="AD650" s="38">
        <f t="shared" si="274"/>
        <v>0</v>
      </c>
      <c r="AE650" s="38">
        <f t="shared" si="275"/>
        <v>0</v>
      </c>
      <c r="AF650" s="38">
        <f t="shared" si="276"/>
        <v>0</v>
      </c>
      <c r="AG650" s="33">
        <f t="shared" si="277"/>
        <v>0</v>
      </c>
      <c r="AH650" s="33">
        <f t="shared" si="278"/>
        <v>0</v>
      </c>
      <c r="AI650" s="33">
        <f t="shared" si="279"/>
        <v>0</v>
      </c>
      <c r="AJ650" s="33">
        <f t="shared" si="280"/>
        <v>0</v>
      </c>
      <c r="AK650" s="34">
        <f t="shared" si="281"/>
        <v>0</v>
      </c>
      <c r="AL650" s="35">
        <f t="shared" si="282"/>
        <v>0</v>
      </c>
      <c r="AM650" s="34">
        <f t="shared" si="265"/>
        <v>0</v>
      </c>
      <c r="AN650" s="36">
        <f t="shared" si="283"/>
        <v>0</v>
      </c>
      <c r="AO650" s="6">
        <f t="shared" si="266"/>
        <v>0</v>
      </c>
      <c r="AP650">
        <f t="shared" si="267"/>
        <v>8</v>
      </c>
      <c r="AQ650" s="6">
        <f t="shared" si="268"/>
        <v>0</v>
      </c>
      <c r="AR650" s="6">
        <f t="shared" si="269"/>
        <v>0</v>
      </c>
      <c r="AS650" s="6"/>
      <c r="AX650" s="95">
        <f t="shared" si="270"/>
        <v>42773</v>
      </c>
      <c r="AY650" s="96" t="str">
        <f t="shared" si="271"/>
        <v>ter</v>
      </c>
      <c r="AZ650" s="97">
        <f>IF(OR(AY650="SÁB",AY650="DOM"),0,IFERROR(8-VLOOKUP(C650,'Dados de consulta'!$A$2:$C$38,3,0),8))</f>
        <v>8</v>
      </c>
      <c r="BA650" s="97">
        <f>IF(OR(AY650="SÁB",AY650="DOM"),0,IFERROR(8-VLOOKUP(D650,'Dados de consulta'!$A$2:$C$38,3,0),8))</f>
        <v>8</v>
      </c>
      <c r="BB650" s="97">
        <f>IF(OR(AY650="SÁB",AY650="DOM"),0,IFERROR(8-VLOOKUP(E650,'Dados de consulta'!$A$2:$C$38,3,0),8))</f>
        <v>8</v>
      </c>
      <c r="BC650" s="97">
        <f>IF(OR(AY650="SÁB",AY650="DOM"),0,IFERROR(8-VLOOKUP(F650,'Dados de consulta'!$A$2:$C$38,3,0),8))</f>
        <v>8</v>
      </c>
      <c r="BD650" s="97">
        <f>IF(OR(AY650="SÁB",AY650="DOM"),0,IFERROR(8-VLOOKUP(G650,'Dados de consulta'!$A$2:$C$38,3,0),8))</f>
        <v>8</v>
      </c>
      <c r="BE650" s="97">
        <f>IF(OR(AY650="SÁB",AY650="DOM"),0,IFERROR(8-VLOOKUP(H650,'Dados de consulta'!$A$2:$C$38,3,0),8))</f>
        <v>8</v>
      </c>
      <c r="BF650" s="97">
        <f>IF(OR(AY650="SÁB",AY650="DOM"),0,IFERROR(8-VLOOKUP(I650,'Dados de consulta'!$A$2:$C$38,3,0),8))</f>
        <v>8</v>
      </c>
      <c r="BG650" s="97">
        <f>IF(OR(AY650="SÁB",AY650="DOM"),0,IFERROR(8-VLOOKUP(J650,'Dados de consulta'!$A$2:$C$38,3,0),8))</f>
        <v>8</v>
      </c>
      <c r="BH650" s="97">
        <f>IF(OR(AY650="SÁB",AY650="DOM"),0,IFERROR(8-VLOOKUP(K650,'Dados de consulta'!$A$2:$C$38,3,0),8))</f>
        <v>8</v>
      </c>
      <c r="BI650" s="97">
        <f>IF(OR(AY650="SÁB",AY650="DOM"),0,IFERROR(8-VLOOKUP(L650,'Dados de consulta'!$A$2:$C$38,3,0),8))</f>
        <v>8</v>
      </c>
      <c r="BJ650" s="97">
        <f>IF(OR(AY650="SÁB",AY650="DOM"),0,IFERROR(8-VLOOKUP(M650,'Dados de consulta'!$A$2:$C$38,3,0),8))</f>
        <v>0</v>
      </c>
      <c r="BK650" s="97">
        <f>IF(OR(AY650="SÁB",AY650="DOM"),0,IFERROR(8-VLOOKUP(N650,'Dados de consulta'!$A$2:$C$38,3,0),8))</f>
        <v>8</v>
      </c>
      <c r="BL650" s="97">
        <f>IF(OR(AY650="SÁB",AY650="DOM"),0,IFERROR(8-VLOOKUP(O650,'Dados de consulta'!$A$2:$C$38,3,0),8))</f>
        <v>8</v>
      </c>
      <c r="BM650" s="97">
        <f>IF(OR(AY650="SÁB",AY650="DOM"),0,IFERROR(8-VLOOKUP(P650,'Dados de consulta'!$A$2:$C$38,3,0),8))</f>
        <v>8</v>
      </c>
      <c r="BN650" s="97">
        <f>IF(OR(AY650="SÁB",AY650="DOM"),0,IFERROR(8-VLOOKUP(Q650,'Dados de consulta'!$A$2:$C$38,3,0),8))</f>
        <v>8</v>
      </c>
      <c r="BO650" s="97">
        <f>IF(OR(AY650="SÁB",AY650="DOM"),0,IFERROR(8-VLOOKUP(R650,'Dados de consulta'!$A$2:$C$38,3,0),8))</f>
        <v>8</v>
      </c>
      <c r="BP650" s="97">
        <f>IF(OR(AY650="SÁB",AY650="DOM"),0,IFERROR(8-VLOOKUP(S650,'Dados de consulta'!$A$2:$C$38,3,0),8))</f>
        <v>8</v>
      </c>
      <c r="BQ650" s="113">
        <f>IFERROR(6-VLOOKUP(T650,'Dados de consulta'!$A$2:$C$38,3,0)+2,6)</f>
        <v>6</v>
      </c>
      <c r="BR650" s="114">
        <f t="shared" si="284"/>
        <v>134</v>
      </c>
      <c r="BS650">
        <f t="shared" si="260"/>
        <v>134</v>
      </c>
      <c r="BU650">
        <f>IFERROR(8-VLOOKUP(U650,'Dados de consulta'!$A:$D,3,0),8)</f>
        <v>8</v>
      </c>
      <c r="BV650">
        <f>IFERROR(8-VLOOKUP(V650,'Dados de consulta'!$A:$D,3,0),8)</f>
        <v>8</v>
      </c>
      <c r="BW650">
        <f t="shared" si="285"/>
        <v>16</v>
      </c>
    </row>
    <row r="651" spans="1:75" ht="15" hidden="1" x14ac:dyDescent="0.2">
      <c r="A651" s="98">
        <v>42774</v>
      </c>
      <c r="B651" s="129" t="str">
        <f t="shared" si="262"/>
        <v>qua</v>
      </c>
      <c r="C651" s="132"/>
      <c r="D651" s="132"/>
      <c r="E651" s="132"/>
      <c r="F651" s="132"/>
      <c r="G651" s="132"/>
      <c r="H651" s="132"/>
      <c r="I651" s="132"/>
      <c r="J651" s="132"/>
      <c r="K651" s="132">
        <v>18</v>
      </c>
      <c r="L651" s="132"/>
      <c r="M651" s="132">
        <v>101</v>
      </c>
      <c r="N651" s="132"/>
      <c r="O651" s="132"/>
      <c r="P651" s="132"/>
      <c r="Q651" s="132"/>
      <c r="R651" s="132"/>
      <c r="S651" s="132"/>
      <c r="T651" s="132"/>
      <c r="U651" s="151"/>
      <c r="V651" s="151"/>
      <c r="W651" s="307" t="s">
        <v>193</v>
      </c>
      <c r="X651" s="308"/>
      <c r="Y651" s="38">
        <f t="shared" si="263"/>
        <v>0</v>
      </c>
      <c r="Z651" s="38">
        <f t="shared" si="264"/>
        <v>8</v>
      </c>
      <c r="AA651" s="38">
        <f t="shared" si="261"/>
        <v>0</v>
      </c>
      <c r="AB651" s="38">
        <f t="shared" si="272"/>
        <v>0</v>
      </c>
      <c r="AC651" s="38">
        <f t="shared" si="273"/>
        <v>0</v>
      </c>
      <c r="AD651" s="38">
        <f t="shared" si="274"/>
        <v>0</v>
      </c>
      <c r="AE651" s="38">
        <f t="shared" si="275"/>
        <v>0</v>
      </c>
      <c r="AF651" s="38">
        <f t="shared" si="276"/>
        <v>0</v>
      </c>
      <c r="AG651" s="33">
        <f t="shared" si="277"/>
        <v>0</v>
      </c>
      <c r="AH651" s="33">
        <f t="shared" si="278"/>
        <v>8</v>
      </c>
      <c r="AI651" s="33">
        <f t="shared" si="279"/>
        <v>0</v>
      </c>
      <c r="AJ651" s="33">
        <f t="shared" si="280"/>
        <v>0</v>
      </c>
      <c r="AK651" s="34">
        <f t="shared" si="281"/>
        <v>0</v>
      </c>
      <c r="AL651" s="35">
        <f t="shared" si="282"/>
        <v>5.6338028169014086E-2</v>
      </c>
      <c r="AM651" s="34">
        <f t="shared" si="265"/>
        <v>0</v>
      </c>
      <c r="AN651" s="36">
        <f t="shared" si="283"/>
        <v>0</v>
      </c>
      <c r="AO651" s="6">
        <f t="shared" si="266"/>
        <v>0</v>
      </c>
      <c r="AP651">
        <f t="shared" si="267"/>
        <v>8</v>
      </c>
      <c r="AQ651" s="6">
        <f t="shared" si="268"/>
        <v>0</v>
      </c>
      <c r="AR651" s="6">
        <f t="shared" si="269"/>
        <v>0</v>
      </c>
      <c r="AS651" s="6"/>
      <c r="AX651" s="95">
        <f t="shared" si="270"/>
        <v>42774</v>
      </c>
      <c r="AY651" s="96" t="str">
        <f t="shared" si="271"/>
        <v>qua</v>
      </c>
      <c r="AZ651" s="97">
        <f>IF(OR(AY651="SÁB",AY651="DOM"),0,IFERROR(8-VLOOKUP(C651,'Dados de consulta'!$A$2:$C$38,3,0),8))</f>
        <v>8</v>
      </c>
      <c r="BA651" s="97">
        <f>IF(OR(AY651="SÁB",AY651="DOM"),0,IFERROR(8-VLOOKUP(D651,'Dados de consulta'!$A$2:$C$38,3,0),8))</f>
        <v>8</v>
      </c>
      <c r="BB651" s="97">
        <f>IF(OR(AY651="SÁB",AY651="DOM"),0,IFERROR(8-VLOOKUP(E651,'Dados de consulta'!$A$2:$C$38,3,0),8))</f>
        <v>8</v>
      </c>
      <c r="BC651" s="97">
        <f>IF(OR(AY651="SÁB",AY651="DOM"),0,IFERROR(8-VLOOKUP(F651,'Dados de consulta'!$A$2:$C$38,3,0),8))</f>
        <v>8</v>
      </c>
      <c r="BD651" s="97">
        <f>IF(OR(AY651="SÁB",AY651="DOM"),0,IFERROR(8-VLOOKUP(G651,'Dados de consulta'!$A$2:$C$38,3,0),8))</f>
        <v>8</v>
      </c>
      <c r="BE651" s="97">
        <f>IF(OR(AY651="SÁB",AY651="DOM"),0,IFERROR(8-VLOOKUP(H651,'Dados de consulta'!$A$2:$C$38,3,0),8))</f>
        <v>8</v>
      </c>
      <c r="BF651" s="97">
        <f>IF(OR(AY651="SÁB",AY651="DOM"),0,IFERROR(8-VLOOKUP(I651,'Dados de consulta'!$A$2:$C$38,3,0),8))</f>
        <v>8</v>
      </c>
      <c r="BG651" s="97">
        <f>IF(OR(AY651="SÁB",AY651="DOM"),0,IFERROR(8-VLOOKUP(J651,'Dados de consulta'!$A$2:$C$38,3,0),8))</f>
        <v>8</v>
      </c>
      <c r="BH651" s="97">
        <f>IF(OR(AY651="SÁB",AY651="DOM"),0,IFERROR(8-VLOOKUP(K651,'Dados de consulta'!$A$2:$C$38,3,0),8))</f>
        <v>0</v>
      </c>
      <c r="BI651" s="97">
        <f>IF(OR(AY651="SÁB",AY651="DOM"),0,IFERROR(8-VLOOKUP(L651,'Dados de consulta'!$A$2:$C$38,3,0),8))</f>
        <v>8</v>
      </c>
      <c r="BJ651" s="97">
        <f>IF(OR(AY651="SÁB",AY651="DOM"),0,IFERROR(8-VLOOKUP(M651,'Dados de consulta'!$A$2:$C$38,3,0),8))</f>
        <v>0</v>
      </c>
      <c r="BK651" s="97">
        <f>IF(OR(AY651="SÁB",AY651="DOM"),0,IFERROR(8-VLOOKUP(N651,'Dados de consulta'!$A$2:$C$38,3,0),8))</f>
        <v>8</v>
      </c>
      <c r="BL651" s="97">
        <f>IF(OR(AY651="SÁB",AY651="DOM"),0,IFERROR(8-VLOOKUP(O651,'Dados de consulta'!$A$2:$C$38,3,0),8))</f>
        <v>8</v>
      </c>
      <c r="BM651" s="97">
        <f>IF(OR(AY651="SÁB",AY651="DOM"),0,IFERROR(8-VLOOKUP(P651,'Dados de consulta'!$A$2:$C$38,3,0),8))</f>
        <v>8</v>
      </c>
      <c r="BN651" s="97">
        <f>IF(OR(AY651="SÁB",AY651="DOM"),0,IFERROR(8-VLOOKUP(Q651,'Dados de consulta'!$A$2:$C$38,3,0),8))</f>
        <v>8</v>
      </c>
      <c r="BO651" s="97">
        <f>IF(OR(AY651="SÁB",AY651="DOM"),0,IFERROR(8-VLOOKUP(R651,'Dados de consulta'!$A$2:$C$38,3,0),8))</f>
        <v>8</v>
      </c>
      <c r="BP651" s="97">
        <f>IF(OR(AY651="SÁB",AY651="DOM"),0,IFERROR(8-VLOOKUP(S651,'Dados de consulta'!$A$2:$C$38,3,0),8))</f>
        <v>8</v>
      </c>
      <c r="BQ651" s="113">
        <f>IFERROR(6-VLOOKUP(T651,'Dados de consulta'!$A$2:$C$38,3,0)+2,6)</f>
        <v>6</v>
      </c>
      <c r="BR651" s="114">
        <f t="shared" si="284"/>
        <v>126</v>
      </c>
      <c r="BS651">
        <f t="shared" si="260"/>
        <v>134</v>
      </c>
      <c r="BU651">
        <f>IFERROR(8-VLOOKUP(U651,'Dados de consulta'!$A:$D,3,0),8)</f>
        <v>8</v>
      </c>
      <c r="BV651">
        <f>IFERROR(8-VLOOKUP(V651,'Dados de consulta'!$A:$D,3,0),8)</f>
        <v>8</v>
      </c>
      <c r="BW651">
        <f t="shared" si="285"/>
        <v>16</v>
      </c>
    </row>
    <row r="652" spans="1:75" ht="15" hidden="1" x14ac:dyDescent="0.2">
      <c r="A652" s="98">
        <v>42775</v>
      </c>
      <c r="B652" s="129" t="str">
        <f t="shared" si="262"/>
        <v>qui</v>
      </c>
      <c r="C652" s="132"/>
      <c r="D652" s="132"/>
      <c r="E652" s="132"/>
      <c r="F652" s="132"/>
      <c r="G652" s="132"/>
      <c r="H652" s="132"/>
      <c r="I652" s="132"/>
      <c r="J652" s="132"/>
      <c r="K652" s="132">
        <v>18</v>
      </c>
      <c r="L652" s="132"/>
      <c r="M652" s="132">
        <v>101</v>
      </c>
      <c r="N652" s="132"/>
      <c r="O652" s="132"/>
      <c r="P652" s="132"/>
      <c r="Q652" s="132"/>
      <c r="R652" s="132"/>
      <c r="S652" s="132"/>
      <c r="T652" s="132"/>
      <c r="U652" s="151"/>
      <c r="V652" s="151"/>
      <c r="W652" s="307" t="s">
        <v>193</v>
      </c>
      <c r="X652" s="308"/>
      <c r="Y652" s="38">
        <f t="shared" si="263"/>
        <v>0</v>
      </c>
      <c r="Z652" s="38">
        <f t="shared" si="264"/>
        <v>8</v>
      </c>
      <c r="AA652" s="38">
        <f t="shared" si="261"/>
        <v>0</v>
      </c>
      <c r="AB652" s="38">
        <f t="shared" si="272"/>
        <v>0</v>
      </c>
      <c r="AC652" s="38">
        <f t="shared" si="273"/>
        <v>0</v>
      </c>
      <c r="AD652" s="38">
        <f t="shared" si="274"/>
        <v>0</v>
      </c>
      <c r="AE652" s="38">
        <f t="shared" si="275"/>
        <v>0</v>
      </c>
      <c r="AF652" s="38">
        <f t="shared" si="276"/>
        <v>0</v>
      </c>
      <c r="AG652" s="33">
        <f t="shared" si="277"/>
        <v>0</v>
      </c>
      <c r="AH652" s="33">
        <f t="shared" si="278"/>
        <v>8</v>
      </c>
      <c r="AI652" s="33">
        <f t="shared" si="279"/>
        <v>0</v>
      </c>
      <c r="AJ652" s="33">
        <f t="shared" si="280"/>
        <v>0</v>
      </c>
      <c r="AK652" s="34">
        <f t="shared" si="281"/>
        <v>0</v>
      </c>
      <c r="AL652" s="35">
        <f t="shared" si="282"/>
        <v>5.6338028169014086E-2</v>
      </c>
      <c r="AM652" s="34">
        <f t="shared" si="265"/>
        <v>0</v>
      </c>
      <c r="AN652" s="36">
        <f t="shared" si="283"/>
        <v>0</v>
      </c>
      <c r="AO652" s="6">
        <f t="shared" si="266"/>
        <v>0</v>
      </c>
      <c r="AP652">
        <f t="shared" si="267"/>
        <v>8</v>
      </c>
      <c r="AQ652" s="6">
        <f t="shared" si="268"/>
        <v>0</v>
      </c>
      <c r="AR652" s="6">
        <f t="shared" si="269"/>
        <v>0</v>
      </c>
      <c r="AS652" s="6"/>
      <c r="AX652" s="95">
        <f t="shared" si="270"/>
        <v>42775</v>
      </c>
      <c r="AY652" s="96" t="str">
        <f t="shared" si="271"/>
        <v>qui</v>
      </c>
      <c r="AZ652" s="97">
        <f>IF(OR(AY652="SÁB",AY652="DOM"),0,IFERROR(8-VLOOKUP(C652,'Dados de consulta'!$A$2:$C$38,3,0),8))</f>
        <v>8</v>
      </c>
      <c r="BA652" s="97">
        <f>IF(OR(AY652="SÁB",AY652="DOM"),0,IFERROR(8-VLOOKUP(D652,'Dados de consulta'!$A$2:$C$38,3,0),8))</f>
        <v>8</v>
      </c>
      <c r="BB652" s="97">
        <f>IF(OR(AY652="SÁB",AY652="DOM"),0,IFERROR(8-VLOOKUP(E652,'Dados de consulta'!$A$2:$C$38,3,0),8))</f>
        <v>8</v>
      </c>
      <c r="BC652" s="97">
        <f>IF(OR(AY652="SÁB",AY652="DOM"),0,IFERROR(8-VLOOKUP(F652,'Dados de consulta'!$A$2:$C$38,3,0),8))</f>
        <v>8</v>
      </c>
      <c r="BD652" s="97">
        <f>IF(OR(AY652="SÁB",AY652="DOM"),0,IFERROR(8-VLOOKUP(G652,'Dados de consulta'!$A$2:$C$38,3,0),8))</f>
        <v>8</v>
      </c>
      <c r="BE652" s="97">
        <f>IF(OR(AY652="SÁB",AY652="DOM"),0,IFERROR(8-VLOOKUP(H652,'Dados de consulta'!$A$2:$C$38,3,0),8))</f>
        <v>8</v>
      </c>
      <c r="BF652" s="97">
        <f>IF(OR(AY652="SÁB",AY652="DOM"),0,IFERROR(8-VLOOKUP(I652,'Dados de consulta'!$A$2:$C$38,3,0),8))</f>
        <v>8</v>
      </c>
      <c r="BG652" s="97">
        <f>IF(OR(AY652="SÁB",AY652="DOM"),0,IFERROR(8-VLOOKUP(J652,'Dados de consulta'!$A$2:$C$38,3,0),8))</f>
        <v>8</v>
      </c>
      <c r="BH652" s="97">
        <f>IF(OR(AY652="SÁB",AY652="DOM"),0,IFERROR(8-VLOOKUP(K652,'Dados de consulta'!$A$2:$C$38,3,0),8))</f>
        <v>0</v>
      </c>
      <c r="BI652" s="97">
        <f>IF(OR(AY652="SÁB",AY652="DOM"),0,IFERROR(8-VLOOKUP(L652,'Dados de consulta'!$A$2:$C$38,3,0),8))</f>
        <v>8</v>
      </c>
      <c r="BJ652" s="97">
        <f>IF(OR(AY652="SÁB",AY652="DOM"),0,IFERROR(8-VLOOKUP(M652,'Dados de consulta'!$A$2:$C$38,3,0),8))</f>
        <v>0</v>
      </c>
      <c r="BK652" s="97">
        <f>IF(OR(AY652="SÁB",AY652="DOM"),0,IFERROR(8-VLOOKUP(N652,'Dados de consulta'!$A$2:$C$38,3,0),8))</f>
        <v>8</v>
      </c>
      <c r="BL652" s="97">
        <f>IF(OR(AY652="SÁB",AY652="DOM"),0,IFERROR(8-VLOOKUP(O652,'Dados de consulta'!$A$2:$C$38,3,0),8))</f>
        <v>8</v>
      </c>
      <c r="BM652" s="97">
        <f>IF(OR(AY652="SÁB",AY652="DOM"),0,IFERROR(8-VLOOKUP(P652,'Dados de consulta'!$A$2:$C$38,3,0),8))</f>
        <v>8</v>
      </c>
      <c r="BN652" s="97">
        <f>IF(OR(AY652="SÁB",AY652="DOM"),0,IFERROR(8-VLOOKUP(Q652,'Dados de consulta'!$A$2:$C$38,3,0),8))</f>
        <v>8</v>
      </c>
      <c r="BO652" s="97">
        <f>IF(OR(AY652="SÁB",AY652="DOM"),0,IFERROR(8-VLOOKUP(R652,'Dados de consulta'!$A$2:$C$38,3,0),8))</f>
        <v>8</v>
      </c>
      <c r="BP652" s="97">
        <f>IF(OR(AY652="SÁB",AY652="DOM"),0,IFERROR(8-VLOOKUP(S652,'Dados de consulta'!$A$2:$C$38,3,0),8))</f>
        <v>8</v>
      </c>
      <c r="BQ652" s="113">
        <f>IFERROR(6-VLOOKUP(T652,'Dados de consulta'!$A$2:$C$38,3,0)+2,6)</f>
        <v>6</v>
      </c>
      <c r="BR652" s="114">
        <f t="shared" si="284"/>
        <v>126</v>
      </c>
      <c r="BS652">
        <f t="shared" si="260"/>
        <v>134</v>
      </c>
      <c r="BU652">
        <f>IFERROR(8-VLOOKUP(U652,'Dados de consulta'!$A:$D,3,0),8)</f>
        <v>8</v>
      </c>
      <c r="BV652">
        <f>IFERROR(8-VLOOKUP(V652,'Dados de consulta'!$A:$D,3,0),8)</f>
        <v>8</v>
      </c>
      <c r="BW652">
        <f t="shared" si="285"/>
        <v>16</v>
      </c>
    </row>
    <row r="653" spans="1:75" ht="15" hidden="1" x14ac:dyDescent="0.2">
      <c r="A653" s="98">
        <v>42776</v>
      </c>
      <c r="B653" s="129" t="str">
        <f t="shared" si="262"/>
        <v>sex</v>
      </c>
      <c r="C653" s="132"/>
      <c r="D653" s="132"/>
      <c r="E653" s="132"/>
      <c r="F653" s="132"/>
      <c r="G653" s="132"/>
      <c r="H653" s="132"/>
      <c r="I653" s="132"/>
      <c r="J653" s="132"/>
      <c r="K653" s="132">
        <v>18</v>
      </c>
      <c r="L653" s="132"/>
      <c r="M653" s="132">
        <v>101</v>
      </c>
      <c r="N653" s="132"/>
      <c r="O653" s="132"/>
      <c r="P653" s="132"/>
      <c r="Q653" s="132"/>
      <c r="R653" s="132"/>
      <c r="S653" s="132"/>
      <c r="T653" s="132"/>
      <c r="U653" s="151"/>
      <c r="V653" s="151"/>
      <c r="W653" s="307" t="s">
        <v>193</v>
      </c>
      <c r="X653" s="308"/>
      <c r="Y653" s="38">
        <f t="shared" si="263"/>
        <v>0</v>
      </c>
      <c r="Z653" s="38">
        <f t="shared" si="264"/>
        <v>8</v>
      </c>
      <c r="AA653" s="38">
        <f t="shared" si="261"/>
        <v>0</v>
      </c>
      <c r="AB653" s="38">
        <f t="shared" si="272"/>
        <v>0</v>
      </c>
      <c r="AC653" s="38">
        <f t="shared" si="273"/>
        <v>0</v>
      </c>
      <c r="AD653" s="38">
        <f t="shared" si="274"/>
        <v>0</v>
      </c>
      <c r="AE653" s="38">
        <f t="shared" si="275"/>
        <v>0</v>
      </c>
      <c r="AF653" s="38">
        <f t="shared" si="276"/>
        <v>0</v>
      </c>
      <c r="AG653" s="33">
        <f t="shared" si="277"/>
        <v>0</v>
      </c>
      <c r="AH653" s="33">
        <f t="shared" si="278"/>
        <v>8</v>
      </c>
      <c r="AI653" s="33">
        <f t="shared" si="279"/>
        <v>0</v>
      </c>
      <c r="AJ653" s="33">
        <f t="shared" si="280"/>
        <v>0</v>
      </c>
      <c r="AK653" s="34">
        <f t="shared" si="281"/>
        <v>0</v>
      </c>
      <c r="AL653" s="35">
        <f t="shared" si="282"/>
        <v>5.6338028169014086E-2</v>
      </c>
      <c r="AM653" s="34">
        <f t="shared" si="265"/>
        <v>0</v>
      </c>
      <c r="AN653" s="36">
        <f t="shared" si="283"/>
        <v>0</v>
      </c>
      <c r="AO653" s="6">
        <f t="shared" si="266"/>
        <v>0</v>
      </c>
      <c r="AP653">
        <f t="shared" si="267"/>
        <v>8</v>
      </c>
      <c r="AQ653" s="6">
        <f t="shared" si="268"/>
        <v>0</v>
      </c>
      <c r="AR653" s="6">
        <f t="shared" si="269"/>
        <v>0</v>
      </c>
      <c r="AS653" s="6"/>
      <c r="AX653" s="95">
        <f t="shared" si="270"/>
        <v>42776</v>
      </c>
      <c r="AY653" s="96" t="str">
        <f t="shared" si="271"/>
        <v>sex</v>
      </c>
      <c r="AZ653" s="97">
        <f>IF(OR(AY653="SÁB",AY653="DOM"),0,IFERROR(8-VLOOKUP(C653,'Dados de consulta'!$A$2:$C$38,3,0),8))</f>
        <v>8</v>
      </c>
      <c r="BA653" s="97">
        <f>IF(OR(AY653="SÁB",AY653="DOM"),0,IFERROR(8-VLOOKUP(D653,'Dados de consulta'!$A$2:$C$38,3,0),8))</f>
        <v>8</v>
      </c>
      <c r="BB653" s="97">
        <f>IF(OR(AY653="SÁB",AY653="DOM"),0,IFERROR(8-VLOOKUP(E653,'Dados de consulta'!$A$2:$C$38,3,0),8))</f>
        <v>8</v>
      </c>
      <c r="BC653" s="97">
        <f>IF(OR(AY653="SÁB",AY653="DOM"),0,IFERROR(8-VLOOKUP(F653,'Dados de consulta'!$A$2:$C$38,3,0),8))</f>
        <v>8</v>
      </c>
      <c r="BD653" s="97">
        <f>IF(OR(AY653="SÁB",AY653="DOM"),0,IFERROR(8-VLOOKUP(G653,'Dados de consulta'!$A$2:$C$38,3,0),8))</f>
        <v>8</v>
      </c>
      <c r="BE653" s="97">
        <f>IF(OR(AY653="SÁB",AY653="DOM"),0,IFERROR(8-VLOOKUP(H653,'Dados de consulta'!$A$2:$C$38,3,0),8))</f>
        <v>8</v>
      </c>
      <c r="BF653" s="97">
        <f>IF(OR(AY653="SÁB",AY653="DOM"),0,IFERROR(8-VLOOKUP(I653,'Dados de consulta'!$A$2:$C$38,3,0),8))</f>
        <v>8</v>
      </c>
      <c r="BG653" s="97">
        <f>IF(OR(AY653="SÁB",AY653="DOM"),0,IFERROR(8-VLOOKUP(J653,'Dados de consulta'!$A$2:$C$38,3,0),8))</f>
        <v>8</v>
      </c>
      <c r="BH653" s="97">
        <f>IF(OR(AY653="SÁB",AY653="DOM"),0,IFERROR(8-VLOOKUP(K653,'Dados de consulta'!$A$2:$C$38,3,0),8))</f>
        <v>0</v>
      </c>
      <c r="BI653" s="97">
        <f>IF(OR(AY653="SÁB",AY653="DOM"),0,IFERROR(8-VLOOKUP(L653,'Dados de consulta'!$A$2:$C$38,3,0),8))</f>
        <v>8</v>
      </c>
      <c r="BJ653" s="97">
        <f>IF(OR(AY653="SÁB",AY653="DOM"),0,IFERROR(8-VLOOKUP(M653,'Dados de consulta'!$A$2:$C$38,3,0),8))</f>
        <v>0</v>
      </c>
      <c r="BK653" s="97">
        <f>IF(OR(AY653="SÁB",AY653="DOM"),0,IFERROR(8-VLOOKUP(N653,'Dados de consulta'!$A$2:$C$38,3,0),8))</f>
        <v>8</v>
      </c>
      <c r="BL653" s="97">
        <f>IF(OR(AY653="SÁB",AY653="DOM"),0,IFERROR(8-VLOOKUP(O653,'Dados de consulta'!$A$2:$C$38,3,0),8))</f>
        <v>8</v>
      </c>
      <c r="BM653" s="97">
        <f>IF(OR(AY653="SÁB",AY653="DOM"),0,IFERROR(8-VLOOKUP(P653,'Dados de consulta'!$A$2:$C$38,3,0),8))</f>
        <v>8</v>
      </c>
      <c r="BN653" s="97">
        <f>IF(OR(AY653="SÁB",AY653="DOM"),0,IFERROR(8-VLOOKUP(Q653,'Dados de consulta'!$A$2:$C$38,3,0),8))</f>
        <v>8</v>
      </c>
      <c r="BO653" s="97">
        <f>IF(OR(AY653="SÁB",AY653="DOM"),0,IFERROR(8-VLOOKUP(R653,'Dados de consulta'!$A$2:$C$38,3,0),8))</f>
        <v>8</v>
      </c>
      <c r="BP653" s="97">
        <f>IF(OR(AY653="SÁB",AY653="DOM"),0,IFERROR(8-VLOOKUP(S653,'Dados de consulta'!$A$2:$C$38,3,0),8))</f>
        <v>8</v>
      </c>
      <c r="BQ653" s="113">
        <f>IFERROR(6-VLOOKUP(T653,'Dados de consulta'!$A$2:$C$38,3,0)+2,6)</f>
        <v>6</v>
      </c>
      <c r="BR653" s="114">
        <f t="shared" si="284"/>
        <v>126</v>
      </c>
      <c r="BS653">
        <f t="shared" si="260"/>
        <v>134</v>
      </c>
      <c r="BU653">
        <f>IFERROR(8-VLOOKUP(U653,'Dados de consulta'!$A:$D,3,0),8)</f>
        <v>8</v>
      </c>
      <c r="BV653">
        <f>IFERROR(8-VLOOKUP(V653,'Dados de consulta'!$A:$D,3,0),8)</f>
        <v>8</v>
      </c>
      <c r="BW653">
        <f t="shared" si="285"/>
        <v>16</v>
      </c>
    </row>
    <row r="654" spans="1:75" ht="15" hidden="1" x14ac:dyDescent="0.2">
      <c r="A654" s="98">
        <v>42777</v>
      </c>
      <c r="B654" s="129" t="str">
        <f t="shared" si="262"/>
        <v>sáb</v>
      </c>
      <c r="C654" s="132"/>
      <c r="D654" s="132"/>
      <c r="E654" s="132"/>
      <c r="F654" s="132"/>
      <c r="G654" s="132"/>
      <c r="H654" s="132"/>
      <c r="I654" s="132"/>
      <c r="J654" s="132"/>
      <c r="K654" s="132">
        <v>18</v>
      </c>
      <c r="L654" s="132"/>
      <c r="M654" s="132">
        <v>101</v>
      </c>
      <c r="N654" s="132"/>
      <c r="O654" s="132"/>
      <c r="P654" s="132"/>
      <c r="Q654" s="132"/>
      <c r="R654" s="132"/>
      <c r="S654" s="132"/>
      <c r="T654" s="132"/>
      <c r="U654" s="151"/>
      <c r="V654" s="151"/>
      <c r="W654" s="307" t="s">
        <v>193</v>
      </c>
      <c r="X654" s="308"/>
      <c r="Y654" s="38">
        <f t="shared" si="263"/>
        <v>0</v>
      </c>
      <c r="Z654" s="38">
        <f t="shared" si="264"/>
        <v>8</v>
      </c>
      <c r="AA654" s="38">
        <f t="shared" si="261"/>
        <v>0</v>
      </c>
      <c r="AB654" s="38">
        <f t="shared" si="272"/>
        <v>0</v>
      </c>
      <c r="AC654" s="38">
        <f t="shared" si="273"/>
        <v>0</v>
      </c>
      <c r="AD654" s="38">
        <f t="shared" si="274"/>
        <v>0</v>
      </c>
      <c r="AE654" s="38">
        <f t="shared" si="275"/>
        <v>0</v>
      </c>
      <c r="AF654" s="38">
        <f t="shared" si="276"/>
        <v>0</v>
      </c>
      <c r="AG654" s="33">
        <f t="shared" si="277"/>
        <v>0</v>
      </c>
      <c r="AH654" s="33">
        <f t="shared" si="278"/>
        <v>0</v>
      </c>
      <c r="AI654" s="33">
        <f t="shared" si="279"/>
        <v>0</v>
      </c>
      <c r="AJ654" s="33">
        <f t="shared" si="280"/>
        <v>0</v>
      </c>
      <c r="AK654" s="34">
        <f t="shared" si="281"/>
        <v>0</v>
      </c>
      <c r="AL654" s="35">
        <f t="shared" si="282"/>
        <v>0</v>
      </c>
      <c r="AM654" s="34">
        <f t="shared" si="265"/>
        <v>0</v>
      </c>
      <c r="AN654" s="36">
        <f t="shared" si="283"/>
        <v>0</v>
      </c>
      <c r="AO654" s="6">
        <f t="shared" si="266"/>
        <v>0</v>
      </c>
      <c r="AP654">
        <f t="shared" si="267"/>
        <v>8</v>
      </c>
      <c r="AQ654" s="6">
        <f t="shared" si="268"/>
        <v>0</v>
      </c>
      <c r="AR654" s="6">
        <f t="shared" si="269"/>
        <v>0</v>
      </c>
      <c r="AS654" s="6"/>
      <c r="AX654" s="95">
        <f t="shared" si="270"/>
        <v>42777</v>
      </c>
      <c r="AY654" s="96" t="str">
        <f t="shared" si="271"/>
        <v>sáb</v>
      </c>
      <c r="AZ654" s="97">
        <f>IF(OR(AY654="SÁB",AY654="DOM"),0,IFERROR(8-VLOOKUP(C654,'Dados de consulta'!$A$2:$C$38,3,0),8))</f>
        <v>0</v>
      </c>
      <c r="BA654" s="97">
        <f>IF(OR(AY654="SÁB",AY654="DOM"),0,IFERROR(8-VLOOKUP(D654,'Dados de consulta'!$A$2:$C$38,3,0),8))</f>
        <v>0</v>
      </c>
      <c r="BB654" s="97">
        <f>IF(OR(AY654="SÁB",AY654="DOM"),0,IFERROR(8-VLOOKUP(E654,'Dados de consulta'!$A$2:$C$38,3,0),8))</f>
        <v>0</v>
      </c>
      <c r="BC654" s="97">
        <f>IF(OR(AY654="SÁB",AY654="DOM"),0,IFERROR(8-VLOOKUP(F654,'Dados de consulta'!$A$2:$C$38,3,0),8))</f>
        <v>0</v>
      </c>
      <c r="BD654" s="97">
        <f>IF(OR(AY654="SÁB",AY654="DOM"),0,IFERROR(8-VLOOKUP(G654,'Dados de consulta'!$A$2:$C$38,3,0),8))</f>
        <v>0</v>
      </c>
      <c r="BE654" s="97">
        <f>IF(OR(AY654="SÁB",AY654="DOM"),0,IFERROR(8-VLOOKUP(H654,'Dados de consulta'!$A$2:$C$38,3,0),8))</f>
        <v>0</v>
      </c>
      <c r="BF654" s="97">
        <f>IF(OR(AY654="SÁB",AY654="DOM"),0,IFERROR(8-VLOOKUP(I654,'Dados de consulta'!$A$2:$C$38,3,0),8))</f>
        <v>0</v>
      </c>
      <c r="BG654" s="97">
        <f>IF(OR(AY654="SÁB",AY654="DOM"),0,IFERROR(8-VLOOKUP(J654,'Dados de consulta'!$A$2:$C$38,3,0),8))</f>
        <v>0</v>
      </c>
      <c r="BH654" s="97">
        <f>IF(OR(AY654="SÁB",AY654="DOM"),0,IFERROR(8-VLOOKUP(K654,'Dados de consulta'!$A$2:$C$38,3,0),8))</f>
        <v>0</v>
      </c>
      <c r="BI654" s="97">
        <f>IF(OR(AY654="SÁB",AY654="DOM"),0,IFERROR(8-VLOOKUP(L654,'Dados de consulta'!$A$2:$C$38,3,0),8))</f>
        <v>0</v>
      </c>
      <c r="BJ654" s="97">
        <f>IF(OR(AY654="SÁB",AY654="DOM"),0,IFERROR(8-VLOOKUP(M654,'Dados de consulta'!$A$2:$C$38,3,0),8))</f>
        <v>0</v>
      </c>
      <c r="BK654" s="97">
        <f>IF(OR(AY654="SÁB",AY654="DOM"),0,IFERROR(8-VLOOKUP(N654,'Dados de consulta'!$A$2:$C$38,3,0),8))</f>
        <v>0</v>
      </c>
      <c r="BL654" s="97">
        <f>IF(OR(AY654="SÁB",AY654="DOM"),0,IFERROR(8-VLOOKUP(O654,'Dados de consulta'!$A$2:$C$38,3,0),8))</f>
        <v>0</v>
      </c>
      <c r="BM654" s="97">
        <f>IF(OR(AY654="SÁB",AY654="DOM"),0,IFERROR(8-VLOOKUP(P654,'Dados de consulta'!$A$2:$C$38,3,0),8))</f>
        <v>0</v>
      </c>
      <c r="BN654" s="97">
        <f>IF(OR(AY654="SÁB",AY654="DOM"),0,IFERROR(8-VLOOKUP(Q654,'Dados de consulta'!$A$2:$C$38,3,0),8))</f>
        <v>0</v>
      </c>
      <c r="BO654" s="97">
        <f>IF(OR(AY654="SÁB",AY654="DOM"),0,IFERROR(8-VLOOKUP(R654,'Dados de consulta'!$A$2:$C$38,3,0),8))</f>
        <v>0</v>
      </c>
      <c r="BP654" s="97">
        <f>IF(OR(AY654="SÁB",AY654="DOM"),0,IFERROR(8-VLOOKUP(S654,'Dados de consulta'!$A$2:$C$38,3,0),8))</f>
        <v>0</v>
      </c>
      <c r="BQ654" s="113">
        <f>IFERROR(6-VLOOKUP(T654,'Dados de consulta'!$A$2:$C$38,3,0)+2,6)</f>
        <v>6</v>
      </c>
      <c r="BR654" s="114">
        <f t="shared" si="284"/>
        <v>0</v>
      </c>
      <c r="BS654">
        <f t="shared" si="260"/>
        <v>0</v>
      </c>
      <c r="BU654">
        <f>IFERROR(8-VLOOKUP(U654,'Dados de consulta'!$A:$D,3,0),8)</f>
        <v>8</v>
      </c>
      <c r="BV654">
        <f>IFERROR(8-VLOOKUP(V654,'Dados de consulta'!$A:$D,3,0),8)</f>
        <v>8</v>
      </c>
      <c r="BW654">
        <f t="shared" si="285"/>
        <v>16</v>
      </c>
    </row>
    <row r="655" spans="1:75" ht="15" hidden="1" x14ac:dyDescent="0.2">
      <c r="A655" s="98">
        <v>42778</v>
      </c>
      <c r="B655" s="129" t="str">
        <f t="shared" si="262"/>
        <v>dom</v>
      </c>
      <c r="C655" s="132"/>
      <c r="D655" s="132"/>
      <c r="E655" s="132"/>
      <c r="F655" s="132"/>
      <c r="G655" s="132"/>
      <c r="H655" s="132"/>
      <c r="I655" s="132"/>
      <c r="J655" s="132"/>
      <c r="K655" s="132">
        <v>18</v>
      </c>
      <c r="L655" s="132"/>
      <c r="M655" s="132">
        <v>101</v>
      </c>
      <c r="N655" s="132"/>
      <c r="O655" s="132"/>
      <c r="P655" s="132"/>
      <c r="Q655" s="132"/>
      <c r="R655" s="132"/>
      <c r="S655" s="132"/>
      <c r="T655" s="132"/>
      <c r="U655" s="151"/>
      <c r="V655" s="151"/>
      <c r="W655" s="307" t="s">
        <v>193</v>
      </c>
      <c r="X655" s="308"/>
      <c r="Y655" s="38">
        <f t="shared" si="263"/>
        <v>0</v>
      </c>
      <c r="Z655" s="38">
        <f t="shared" si="264"/>
        <v>8</v>
      </c>
      <c r="AA655" s="38">
        <f t="shared" si="261"/>
        <v>0</v>
      </c>
      <c r="AB655" s="38">
        <f t="shared" si="272"/>
        <v>0</v>
      </c>
      <c r="AC655" s="38">
        <f t="shared" si="273"/>
        <v>0</v>
      </c>
      <c r="AD655" s="38">
        <f t="shared" si="274"/>
        <v>0</v>
      </c>
      <c r="AE655" s="38">
        <f t="shared" si="275"/>
        <v>0</v>
      </c>
      <c r="AF655" s="38">
        <f t="shared" si="276"/>
        <v>0</v>
      </c>
      <c r="AG655" s="33">
        <f t="shared" si="277"/>
        <v>0</v>
      </c>
      <c r="AH655" s="33">
        <f t="shared" si="278"/>
        <v>0</v>
      </c>
      <c r="AI655" s="33">
        <f t="shared" si="279"/>
        <v>0</v>
      </c>
      <c r="AJ655" s="33">
        <f t="shared" si="280"/>
        <v>0</v>
      </c>
      <c r="AK655" s="34">
        <f t="shared" si="281"/>
        <v>0</v>
      </c>
      <c r="AL655" s="35">
        <f t="shared" si="282"/>
        <v>0</v>
      </c>
      <c r="AM655" s="34">
        <f t="shared" si="265"/>
        <v>0</v>
      </c>
      <c r="AN655" s="36">
        <f t="shared" si="283"/>
        <v>0</v>
      </c>
      <c r="AO655" s="6">
        <f t="shared" si="266"/>
        <v>0</v>
      </c>
      <c r="AP655">
        <f t="shared" si="267"/>
        <v>8</v>
      </c>
      <c r="AQ655" s="6">
        <f t="shared" si="268"/>
        <v>0</v>
      </c>
      <c r="AR655" s="6">
        <f t="shared" si="269"/>
        <v>0</v>
      </c>
      <c r="AS655" s="6"/>
      <c r="AX655" s="95">
        <f t="shared" si="270"/>
        <v>42778</v>
      </c>
      <c r="AY655" s="96" t="str">
        <f t="shared" si="271"/>
        <v>dom</v>
      </c>
      <c r="AZ655" s="97">
        <f>IF(OR(AY655="SÁB",AY655="DOM"),0,IFERROR(8-VLOOKUP(C655,'Dados de consulta'!$A$2:$C$38,3,0),8))</f>
        <v>0</v>
      </c>
      <c r="BA655" s="97">
        <f>IF(OR(AY655="SÁB",AY655="DOM"),0,IFERROR(8-VLOOKUP(D655,'Dados de consulta'!$A$2:$C$38,3,0),8))</f>
        <v>0</v>
      </c>
      <c r="BB655" s="97">
        <f>IF(OR(AY655="SÁB",AY655="DOM"),0,IFERROR(8-VLOOKUP(E655,'Dados de consulta'!$A$2:$C$38,3,0),8))</f>
        <v>0</v>
      </c>
      <c r="BC655" s="97">
        <f>IF(OR(AY655="SÁB",AY655="DOM"),0,IFERROR(8-VLOOKUP(F655,'Dados de consulta'!$A$2:$C$38,3,0),8))</f>
        <v>0</v>
      </c>
      <c r="BD655" s="97">
        <f>IF(OR(AY655="SÁB",AY655="DOM"),0,IFERROR(8-VLOOKUP(G655,'Dados de consulta'!$A$2:$C$38,3,0),8))</f>
        <v>0</v>
      </c>
      <c r="BE655" s="97">
        <f>IF(OR(AY655="SÁB",AY655="DOM"),0,IFERROR(8-VLOOKUP(H655,'Dados de consulta'!$A$2:$C$38,3,0),8))</f>
        <v>0</v>
      </c>
      <c r="BF655" s="97">
        <f>IF(OR(AY655="SÁB",AY655="DOM"),0,IFERROR(8-VLOOKUP(I655,'Dados de consulta'!$A$2:$C$38,3,0),8))</f>
        <v>0</v>
      </c>
      <c r="BG655" s="97">
        <f>IF(OR(AY655="SÁB",AY655="DOM"),0,IFERROR(8-VLOOKUP(J655,'Dados de consulta'!$A$2:$C$38,3,0),8))</f>
        <v>0</v>
      </c>
      <c r="BH655" s="97">
        <f>IF(OR(AY655="SÁB",AY655="DOM"),0,IFERROR(8-VLOOKUP(K655,'Dados de consulta'!$A$2:$C$38,3,0),8))</f>
        <v>0</v>
      </c>
      <c r="BI655" s="97">
        <f>IF(OR(AY655="SÁB",AY655="DOM"),0,IFERROR(8-VLOOKUP(L655,'Dados de consulta'!$A$2:$C$38,3,0),8))</f>
        <v>0</v>
      </c>
      <c r="BJ655" s="97">
        <f>IF(OR(AY655="SÁB",AY655="DOM"),0,IFERROR(8-VLOOKUP(M655,'Dados de consulta'!$A$2:$C$38,3,0),8))</f>
        <v>0</v>
      </c>
      <c r="BK655" s="97">
        <f>IF(OR(AY655="SÁB",AY655="DOM"),0,IFERROR(8-VLOOKUP(N655,'Dados de consulta'!$A$2:$C$38,3,0),8))</f>
        <v>0</v>
      </c>
      <c r="BL655" s="97">
        <f>IF(OR(AY655="SÁB",AY655="DOM"),0,IFERROR(8-VLOOKUP(O655,'Dados de consulta'!$A$2:$C$38,3,0),8))</f>
        <v>0</v>
      </c>
      <c r="BM655" s="97">
        <f>IF(OR(AY655="SÁB",AY655="DOM"),0,IFERROR(8-VLOOKUP(P655,'Dados de consulta'!$A$2:$C$38,3,0),8))</f>
        <v>0</v>
      </c>
      <c r="BN655" s="97">
        <f>IF(OR(AY655="SÁB",AY655="DOM"),0,IFERROR(8-VLOOKUP(Q655,'Dados de consulta'!$A$2:$C$38,3,0),8))</f>
        <v>0</v>
      </c>
      <c r="BO655" s="97">
        <f>IF(OR(AY655="SÁB",AY655="DOM"),0,IFERROR(8-VLOOKUP(R655,'Dados de consulta'!$A$2:$C$38,3,0),8))</f>
        <v>0</v>
      </c>
      <c r="BP655" s="97">
        <f>IF(OR(AY655="SÁB",AY655="DOM"),0,IFERROR(8-VLOOKUP(S655,'Dados de consulta'!$A$2:$C$38,3,0),8))</f>
        <v>0</v>
      </c>
      <c r="BQ655" s="113">
        <f>IFERROR(6-VLOOKUP(T655,'Dados de consulta'!$A$2:$C$38,3,0)+2,6)</f>
        <v>6</v>
      </c>
      <c r="BR655" s="114">
        <f t="shared" si="284"/>
        <v>0</v>
      </c>
      <c r="BS655">
        <f t="shared" si="260"/>
        <v>0</v>
      </c>
      <c r="BU655">
        <f>IFERROR(8-VLOOKUP(U655,'Dados de consulta'!$A:$D,3,0),8)</f>
        <v>8</v>
      </c>
      <c r="BV655">
        <f>IFERROR(8-VLOOKUP(V655,'Dados de consulta'!$A:$D,3,0),8)</f>
        <v>8</v>
      </c>
      <c r="BW655">
        <f t="shared" si="285"/>
        <v>16</v>
      </c>
    </row>
    <row r="656" spans="1:75" ht="15" hidden="1" x14ac:dyDescent="0.2">
      <c r="A656" s="98">
        <v>42779</v>
      </c>
      <c r="B656" s="129" t="str">
        <f t="shared" si="262"/>
        <v>seg</v>
      </c>
      <c r="C656" s="132"/>
      <c r="D656" s="132"/>
      <c r="E656" s="132"/>
      <c r="F656" s="132"/>
      <c r="G656" s="132"/>
      <c r="H656" s="132"/>
      <c r="I656" s="132"/>
      <c r="J656" s="132"/>
      <c r="K656" s="132">
        <v>18</v>
      </c>
      <c r="L656" s="132"/>
      <c r="M656" s="132">
        <v>101</v>
      </c>
      <c r="N656" s="132"/>
      <c r="O656" s="132"/>
      <c r="P656" s="132"/>
      <c r="Q656" s="132"/>
      <c r="R656" s="132"/>
      <c r="S656" s="132"/>
      <c r="T656" s="132"/>
      <c r="U656" s="151"/>
      <c r="V656" s="151"/>
      <c r="W656" s="307" t="s">
        <v>193</v>
      </c>
      <c r="X656" s="308"/>
      <c r="Y656" s="38">
        <f t="shared" si="263"/>
        <v>0</v>
      </c>
      <c r="Z656" s="38">
        <f t="shared" si="264"/>
        <v>8</v>
      </c>
      <c r="AA656" s="38">
        <f t="shared" si="261"/>
        <v>0</v>
      </c>
      <c r="AB656" s="38">
        <f t="shared" si="272"/>
        <v>0</v>
      </c>
      <c r="AC656" s="38">
        <f t="shared" si="273"/>
        <v>0</v>
      </c>
      <c r="AD656" s="38">
        <f t="shared" si="274"/>
        <v>0</v>
      </c>
      <c r="AE656" s="38">
        <f t="shared" si="275"/>
        <v>0</v>
      </c>
      <c r="AF656" s="38">
        <f t="shared" si="276"/>
        <v>0</v>
      </c>
      <c r="AG656" s="33">
        <f t="shared" si="277"/>
        <v>0</v>
      </c>
      <c r="AH656" s="33">
        <f t="shared" si="278"/>
        <v>8</v>
      </c>
      <c r="AI656" s="33">
        <f t="shared" si="279"/>
        <v>0</v>
      </c>
      <c r="AJ656" s="33">
        <f t="shared" si="280"/>
        <v>0</v>
      </c>
      <c r="AK656" s="34">
        <f t="shared" si="281"/>
        <v>0</v>
      </c>
      <c r="AL656" s="35">
        <f t="shared" si="282"/>
        <v>5.6338028169014086E-2</v>
      </c>
      <c r="AM656" s="34">
        <f t="shared" si="265"/>
        <v>0</v>
      </c>
      <c r="AN656" s="36">
        <f t="shared" si="283"/>
        <v>0</v>
      </c>
      <c r="AO656" s="6">
        <f t="shared" si="266"/>
        <v>0</v>
      </c>
      <c r="AP656">
        <f t="shared" si="267"/>
        <v>8</v>
      </c>
      <c r="AQ656" s="6">
        <f t="shared" si="268"/>
        <v>0</v>
      </c>
      <c r="AR656" s="6">
        <f t="shared" si="269"/>
        <v>0</v>
      </c>
      <c r="AS656" s="6"/>
      <c r="AX656" s="95">
        <f t="shared" si="270"/>
        <v>42779</v>
      </c>
      <c r="AY656" s="96" t="str">
        <f t="shared" si="271"/>
        <v>seg</v>
      </c>
      <c r="AZ656" s="97">
        <f>IF(OR(AY656="SÁB",AY656="DOM"),0,IFERROR(8-VLOOKUP(C656,'Dados de consulta'!$A$2:$C$38,3,0),8))</f>
        <v>8</v>
      </c>
      <c r="BA656" s="97">
        <f>IF(OR(AY656="SÁB",AY656="DOM"),0,IFERROR(8-VLOOKUP(D656,'Dados de consulta'!$A$2:$C$38,3,0),8))</f>
        <v>8</v>
      </c>
      <c r="BB656" s="97">
        <f>IF(OR(AY656="SÁB",AY656="DOM"),0,IFERROR(8-VLOOKUP(E656,'Dados de consulta'!$A$2:$C$38,3,0),8))</f>
        <v>8</v>
      </c>
      <c r="BC656" s="97">
        <f>IF(OR(AY656="SÁB",AY656="DOM"),0,IFERROR(8-VLOOKUP(F656,'Dados de consulta'!$A$2:$C$38,3,0),8))</f>
        <v>8</v>
      </c>
      <c r="BD656" s="97">
        <f>IF(OR(AY656="SÁB",AY656="DOM"),0,IFERROR(8-VLOOKUP(G656,'Dados de consulta'!$A$2:$C$38,3,0),8))</f>
        <v>8</v>
      </c>
      <c r="BE656" s="97">
        <f>IF(OR(AY656="SÁB",AY656="DOM"),0,IFERROR(8-VLOOKUP(H656,'Dados de consulta'!$A$2:$C$38,3,0),8))</f>
        <v>8</v>
      </c>
      <c r="BF656" s="97">
        <f>IF(OR(AY656="SÁB",AY656="DOM"),0,IFERROR(8-VLOOKUP(I656,'Dados de consulta'!$A$2:$C$38,3,0),8))</f>
        <v>8</v>
      </c>
      <c r="BG656" s="97">
        <f>IF(OR(AY656="SÁB",AY656="DOM"),0,IFERROR(8-VLOOKUP(J656,'Dados de consulta'!$A$2:$C$38,3,0),8))</f>
        <v>8</v>
      </c>
      <c r="BH656" s="97">
        <f>IF(OR(AY656="SÁB",AY656="DOM"),0,IFERROR(8-VLOOKUP(K656,'Dados de consulta'!$A$2:$C$38,3,0),8))</f>
        <v>0</v>
      </c>
      <c r="BI656" s="97">
        <f>IF(OR(AY656="SÁB",AY656="DOM"),0,IFERROR(8-VLOOKUP(L656,'Dados de consulta'!$A$2:$C$38,3,0),8))</f>
        <v>8</v>
      </c>
      <c r="BJ656" s="97">
        <f>IF(OR(AY656="SÁB",AY656="DOM"),0,IFERROR(8-VLOOKUP(M656,'Dados de consulta'!$A$2:$C$38,3,0),8))</f>
        <v>0</v>
      </c>
      <c r="BK656" s="97">
        <f>IF(OR(AY656="SÁB",AY656="DOM"),0,IFERROR(8-VLOOKUP(N656,'Dados de consulta'!$A$2:$C$38,3,0),8))</f>
        <v>8</v>
      </c>
      <c r="BL656" s="97">
        <f>IF(OR(AY656="SÁB",AY656="DOM"),0,IFERROR(8-VLOOKUP(O656,'Dados de consulta'!$A$2:$C$38,3,0),8))</f>
        <v>8</v>
      </c>
      <c r="BM656" s="97">
        <f>IF(OR(AY656="SÁB",AY656="DOM"),0,IFERROR(8-VLOOKUP(P656,'Dados de consulta'!$A$2:$C$38,3,0),8))</f>
        <v>8</v>
      </c>
      <c r="BN656" s="97">
        <f>IF(OR(AY656="SÁB",AY656="DOM"),0,IFERROR(8-VLOOKUP(Q656,'Dados de consulta'!$A$2:$C$38,3,0),8))</f>
        <v>8</v>
      </c>
      <c r="BO656" s="97">
        <f>IF(OR(AY656="SÁB",AY656="DOM"),0,IFERROR(8-VLOOKUP(R656,'Dados de consulta'!$A$2:$C$38,3,0),8))</f>
        <v>8</v>
      </c>
      <c r="BP656" s="97">
        <f>IF(OR(AY656="SÁB",AY656="DOM"),0,IFERROR(8-VLOOKUP(S656,'Dados de consulta'!$A$2:$C$38,3,0),8))</f>
        <v>8</v>
      </c>
      <c r="BQ656" s="113">
        <f>IFERROR(6-VLOOKUP(T656,'Dados de consulta'!$A$2:$C$38,3,0)+2,6)</f>
        <v>6</v>
      </c>
      <c r="BR656" s="114">
        <f t="shared" si="284"/>
        <v>126</v>
      </c>
      <c r="BS656">
        <f t="shared" si="260"/>
        <v>134</v>
      </c>
      <c r="BU656">
        <f>IFERROR(8-VLOOKUP(U656,'Dados de consulta'!$A:$D,3,0),8)</f>
        <v>8</v>
      </c>
      <c r="BV656">
        <f>IFERROR(8-VLOOKUP(V656,'Dados de consulta'!$A:$D,3,0),8)</f>
        <v>8</v>
      </c>
      <c r="BW656">
        <f t="shared" si="285"/>
        <v>16</v>
      </c>
    </row>
    <row r="657" spans="1:75" ht="15" hidden="1" x14ac:dyDescent="0.2">
      <c r="A657" s="98">
        <v>42780</v>
      </c>
      <c r="B657" s="129" t="str">
        <f t="shared" si="262"/>
        <v>ter</v>
      </c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>
        <v>101</v>
      </c>
      <c r="N657" s="132"/>
      <c r="O657" s="132"/>
      <c r="P657" s="132"/>
      <c r="Q657" s="132"/>
      <c r="R657" s="132"/>
      <c r="S657" s="132"/>
      <c r="T657" s="132"/>
      <c r="U657" s="151"/>
      <c r="V657" s="151"/>
      <c r="W657" s="307" t="s">
        <v>193</v>
      </c>
      <c r="X657" s="308"/>
      <c r="Y657" s="38">
        <f t="shared" si="263"/>
        <v>0</v>
      </c>
      <c r="Z657" s="38">
        <f t="shared" si="264"/>
        <v>0</v>
      </c>
      <c r="AA657" s="38">
        <f t="shared" si="261"/>
        <v>0</v>
      </c>
      <c r="AB657" s="38">
        <f t="shared" si="272"/>
        <v>0</v>
      </c>
      <c r="AC657" s="38">
        <f t="shared" si="273"/>
        <v>0</v>
      </c>
      <c r="AD657" s="38">
        <f t="shared" si="274"/>
        <v>0</v>
      </c>
      <c r="AE657" s="38">
        <f t="shared" si="275"/>
        <v>0</v>
      </c>
      <c r="AF657" s="38">
        <f t="shared" si="276"/>
        <v>0</v>
      </c>
      <c r="AG657" s="33">
        <f t="shared" si="277"/>
        <v>0</v>
      </c>
      <c r="AH657" s="33">
        <f t="shared" si="278"/>
        <v>0</v>
      </c>
      <c r="AI657" s="33">
        <f t="shared" si="279"/>
        <v>0</v>
      </c>
      <c r="AJ657" s="33">
        <f t="shared" si="280"/>
        <v>0</v>
      </c>
      <c r="AK657" s="34">
        <f t="shared" si="281"/>
        <v>0</v>
      </c>
      <c r="AL657" s="35">
        <f t="shared" si="282"/>
        <v>0</v>
      </c>
      <c r="AM657" s="34">
        <f t="shared" si="265"/>
        <v>0</v>
      </c>
      <c r="AN657" s="36">
        <f t="shared" si="283"/>
        <v>0</v>
      </c>
      <c r="AO657" s="6">
        <f t="shared" si="266"/>
        <v>0</v>
      </c>
      <c r="AP657">
        <f t="shared" si="267"/>
        <v>8</v>
      </c>
      <c r="AQ657" s="6">
        <f t="shared" si="268"/>
        <v>0</v>
      </c>
      <c r="AR657" s="6">
        <f t="shared" si="269"/>
        <v>0</v>
      </c>
      <c r="AS657" s="6"/>
      <c r="AX657" s="95">
        <f t="shared" si="270"/>
        <v>42780</v>
      </c>
      <c r="AY657" s="96" t="str">
        <f t="shared" si="271"/>
        <v>ter</v>
      </c>
      <c r="AZ657" s="97">
        <f>IF(OR(AY657="SÁB",AY657="DOM"),0,IFERROR(8-VLOOKUP(C657,'Dados de consulta'!$A$2:$C$38,3,0),8))</f>
        <v>8</v>
      </c>
      <c r="BA657" s="97">
        <f>IF(OR(AY657="SÁB",AY657="DOM"),0,IFERROR(8-VLOOKUP(D657,'Dados de consulta'!$A$2:$C$38,3,0),8))</f>
        <v>8</v>
      </c>
      <c r="BB657" s="97">
        <f>IF(OR(AY657="SÁB",AY657="DOM"),0,IFERROR(8-VLOOKUP(E657,'Dados de consulta'!$A$2:$C$38,3,0),8))</f>
        <v>8</v>
      </c>
      <c r="BC657" s="97">
        <f>IF(OR(AY657="SÁB",AY657="DOM"),0,IFERROR(8-VLOOKUP(F657,'Dados de consulta'!$A$2:$C$38,3,0),8))</f>
        <v>8</v>
      </c>
      <c r="BD657" s="97">
        <f>IF(OR(AY657="SÁB",AY657="DOM"),0,IFERROR(8-VLOOKUP(G657,'Dados de consulta'!$A$2:$C$38,3,0),8))</f>
        <v>8</v>
      </c>
      <c r="BE657" s="97">
        <f>IF(OR(AY657="SÁB",AY657="DOM"),0,IFERROR(8-VLOOKUP(H657,'Dados de consulta'!$A$2:$C$38,3,0),8))</f>
        <v>8</v>
      </c>
      <c r="BF657" s="97">
        <f>IF(OR(AY657="SÁB",AY657="DOM"),0,IFERROR(8-VLOOKUP(I657,'Dados de consulta'!$A$2:$C$38,3,0),8))</f>
        <v>8</v>
      </c>
      <c r="BG657" s="97">
        <f>IF(OR(AY657="SÁB",AY657="DOM"),0,IFERROR(8-VLOOKUP(J657,'Dados de consulta'!$A$2:$C$38,3,0),8))</f>
        <v>8</v>
      </c>
      <c r="BH657" s="97">
        <f>IF(OR(AY657="SÁB",AY657="DOM"),0,IFERROR(8-VLOOKUP(K657,'Dados de consulta'!$A$2:$C$38,3,0),8))</f>
        <v>8</v>
      </c>
      <c r="BI657" s="97">
        <f>IF(OR(AY657="SÁB",AY657="DOM"),0,IFERROR(8-VLOOKUP(L657,'Dados de consulta'!$A$2:$C$38,3,0),8))</f>
        <v>8</v>
      </c>
      <c r="BJ657" s="97">
        <f>IF(OR(AY657="SÁB",AY657="DOM"),0,IFERROR(8-VLOOKUP(M657,'Dados de consulta'!$A$2:$C$38,3,0),8))</f>
        <v>0</v>
      </c>
      <c r="BK657" s="97">
        <f>IF(OR(AY657="SÁB",AY657="DOM"),0,IFERROR(8-VLOOKUP(N657,'Dados de consulta'!$A$2:$C$38,3,0),8))</f>
        <v>8</v>
      </c>
      <c r="BL657" s="97">
        <f>IF(OR(AY657="SÁB",AY657="DOM"),0,IFERROR(8-VLOOKUP(O657,'Dados de consulta'!$A$2:$C$38,3,0),8))</f>
        <v>8</v>
      </c>
      <c r="BM657" s="97">
        <f>IF(OR(AY657="SÁB",AY657="DOM"),0,IFERROR(8-VLOOKUP(P657,'Dados de consulta'!$A$2:$C$38,3,0),8))</f>
        <v>8</v>
      </c>
      <c r="BN657" s="97">
        <f>IF(OR(AY657="SÁB",AY657="DOM"),0,IFERROR(8-VLOOKUP(Q657,'Dados de consulta'!$A$2:$C$38,3,0),8))</f>
        <v>8</v>
      </c>
      <c r="BO657" s="97">
        <f>IF(OR(AY657="SÁB",AY657="DOM"),0,IFERROR(8-VLOOKUP(R657,'Dados de consulta'!$A$2:$C$38,3,0),8))</f>
        <v>8</v>
      </c>
      <c r="BP657" s="97">
        <f>IF(OR(AY657="SÁB",AY657="DOM"),0,IFERROR(8-VLOOKUP(S657,'Dados de consulta'!$A$2:$C$38,3,0),8))</f>
        <v>8</v>
      </c>
      <c r="BQ657" s="113">
        <f>IFERROR(6-VLOOKUP(T657,'Dados de consulta'!$A$2:$C$38,3,0)+2,6)</f>
        <v>6</v>
      </c>
      <c r="BR657" s="114">
        <f t="shared" si="284"/>
        <v>134</v>
      </c>
      <c r="BS657">
        <f t="shared" si="260"/>
        <v>134</v>
      </c>
      <c r="BU657">
        <f>IFERROR(8-VLOOKUP(U657,'Dados de consulta'!$A:$D,3,0),8)</f>
        <v>8</v>
      </c>
      <c r="BV657">
        <f>IFERROR(8-VLOOKUP(V657,'Dados de consulta'!$A:$D,3,0),8)</f>
        <v>8</v>
      </c>
      <c r="BW657">
        <f t="shared" si="285"/>
        <v>16</v>
      </c>
    </row>
    <row r="658" spans="1:75" ht="15" hidden="1" x14ac:dyDescent="0.2">
      <c r="A658" s="98">
        <v>42781</v>
      </c>
      <c r="B658" s="129" t="str">
        <f t="shared" si="262"/>
        <v>qua</v>
      </c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>
        <v>101</v>
      </c>
      <c r="N658" s="132"/>
      <c r="O658" s="132"/>
      <c r="P658" s="132"/>
      <c r="Q658" s="132"/>
      <c r="R658" s="132"/>
      <c r="S658" s="132"/>
      <c r="T658" s="132"/>
      <c r="U658" s="151"/>
      <c r="V658" s="151"/>
      <c r="W658" s="307" t="s">
        <v>193</v>
      </c>
      <c r="X658" s="308"/>
      <c r="Y658" s="38">
        <f t="shared" si="263"/>
        <v>0</v>
      </c>
      <c r="Z658" s="38">
        <f t="shared" si="264"/>
        <v>0</v>
      </c>
      <c r="AA658" s="38">
        <f t="shared" si="261"/>
        <v>0</v>
      </c>
      <c r="AB658" s="38">
        <f t="shared" si="272"/>
        <v>0</v>
      </c>
      <c r="AC658" s="38">
        <f t="shared" si="273"/>
        <v>0</v>
      </c>
      <c r="AD658" s="38">
        <f t="shared" si="274"/>
        <v>0</v>
      </c>
      <c r="AE658" s="38">
        <f t="shared" si="275"/>
        <v>0</v>
      </c>
      <c r="AF658" s="38">
        <f t="shared" si="276"/>
        <v>0</v>
      </c>
      <c r="AG658" s="33">
        <f t="shared" si="277"/>
        <v>0</v>
      </c>
      <c r="AH658" s="33">
        <f t="shared" si="278"/>
        <v>0</v>
      </c>
      <c r="AI658" s="33">
        <f t="shared" si="279"/>
        <v>0</v>
      </c>
      <c r="AJ658" s="33">
        <f t="shared" si="280"/>
        <v>0</v>
      </c>
      <c r="AK658" s="34">
        <f t="shared" si="281"/>
        <v>0</v>
      </c>
      <c r="AL658" s="35">
        <f t="shared" si="282"/>
        <v>0</v>
      </c>
      <c r="AM658" s="34">
        <f t="shared" si="265"/>
        <v>0</v>
      </c>
      <c r="AN658" s="36">
        <f t="shared" si="283"/>
        <v>0</v>
      </c>
      <c r="AO658" s="6">
        <f t="shared" si="266"/>
        <v>0</v>
      </c>
      <c r="AP658">
        <f t="shared" si="267"/>
        <v>8</v>
      </c>
      <c r="AQ658" s="6">
        <f t="shared" si="268"/>
        <v>0</v>
      </c>
      <c r="AR658" s="6">
        <f t="shared" si="269"/>
        <v>0</v>
      </c>
      <c r="AS658" s="6"/>
      <c r="AX658" s="95">
        <f t="shared" si="270"/>
        <v>42781</v>
      </c>
      <c r="AY658" s="96" t="str">
        <f t="shared" si="271"/>
        <v>qua</v>
      </c>
      <c r="AZ658" s="97">
        <f>IF(OR(AY658="SÁB",AY658="DOM"),0,IFERROR(8-VLOOKUP(C658,'Dados de consulta'!$A$2:$C$38,3,0),8))</f>
        <v>8</v>
      </c>
      <c r="BA658" s="97">
        <f>IF(OR(AY658="SÁB",AY658="DOM"),0,IFERROR(8-VLOOKUP(D658,'Dados de consulta'!$A$2:$C$38,3,0),8))</f>
        <v>8</v>
      </c>
      <c r="BB658" s="97">
        <f>IF(OR(AY658="SÁB",AY658="DOM"),0,IFERROR(8-VLOOKUP(E658,'Dados de consulta'!$A$2:$C$38,3,0),8))</f>
        <v>8</v>
      </c>
      <c r="BC658" s="97">
        <f>IF(OR(AY658="SÁB",AY658="DOM"),0,IFERROR(8-VLOOKUP(F658,'Dados de consulta'!$A$2:$C$38,3,0),8))</f>
        <v>8</v>
      </c>
      <c r="BD658" s="97">
        <f>IF(OR(AY658="SÁB",AY658="DOM"),0,IFERROR(8-VLOOKUP(G658,'Dados de consulta'!$A$2:$C$38,3,0),8))</f>
        <v>8</v>
      </c>
      <c r="BE658" s="97">
        <f>IF(OR(AY658="SÁB",AY658="DOM"),0,IFERROR(8-VLOOKUP(H658,'Dados de consulta'!$A$2:$C$38,3,0),8))</f>
        <v>8</v>
      </c>
      <c r="BF658" s="97">
        <f>IF(OR(AY658="SÁB",AY658="DOM"),0,IFERROR(8-VLOOKUP(I658,'Dados de consulta'!$A$2:$C$38,3,0),8))</f>
        <v>8</v>
      </c>
      <c r="BG658" s="97">
        <f>IF(OR(AY658="SÁB",AY658="DOM"),0,IFERROR(8-VLOOKUP(J658,'Dados de consulta'!$A$2:$C$38,3,0),8))</f>
        <v>8</v>
      </c>
      <c r="BH658" s="97">
        <f>IF(OR(AY658="SÁB",AY658="DOM"),0,IFERROR(8-VLOOKUP(K658,'Dados de consulta'!$A$2:$C$38,3,0),8))</f>
        <v>8</v>
      </c>
      <c r="BI658" s="97">
        <f>IF(OR(AY658="SÁB",AY658="DOM"),0,IFERROR(8-VLOOKUP(L658,'Dados de consulta'!$A$2:$C$38,3,0),8))</f>
        <v>8</v>
      </c>
      <c r="BJ658" s="97">
        <f>IF(OR(AY658="SÁB",AY658="DOM"),0,IFERROR(8-VLOOKUP(M658,'Dados de consulta'!$A$2:$C$38,3,0),8))</f>
        <v>0</v>
      </c>
      <c r="BK658" s="97">
        <f>IF(OR(AY658="SÁB",AY658="DOM"),0,IFERROR(8-VLOOKUP(N658,'Dados de consulta'!$A$2:$C$38,3,0),8))</f>
        <v>8</v>
      </c>
      <c r="BL658" s="97">
        <f>IF(OR(AY658="SÁB",AY658="DOM"),0,IFERROR(8-VLOOKUP(O658,'Dados de consulta'!$A$2:$C$38,3,0),8))</f>
        <v>8</v>
      </c>
      <c r="BM658" s="97">
        <f>IF(OR(AY658="SÁB",AY658="DOM"),0,IFERROR(8-VLOOKUP(P658,'Dados de consulta'!$A$2:$C$38,3,0),8))</f>
        <v>8</v>
      </c>
      <c r="BN658" s="97">
        <f>IF(OR(AY658="SÁB",AY658="DOM"),0,IFERROR(8-VLOOKUP(Q658,'Dados de consulta'!$A$2:$C$38,3,0),8))</f>
        <v>8</v>
      </c>
      <c r="BO658" s="97">
        <f>IF(OR(AY658="SÁB",AY658="DOM"),0,IFERROR(8-VLOOKUP(R658,'Dados de consulta'!$A$2:$C$38,3,0),8))</f>
        <v>8</v>
      </c>
      <c r="BP658" s="97">
        <f>IF(OR(AY658="SÁB",AY658="DOM"),0,IFERROR(8-VLOOKUP(S658,'Dados de consulta'!$A$2:$C$38,3,0),8))</f>
        <v>8</v>
      </c>
      <c r="BQ658" s="113">
        <f>IFERROR(6-VLOOKUP(T658,'Dados de consulta'!$A$2:$C$38,3,0)+2,6)</f>
        <v>6</v>
      </c>
      <c r="BR658" s="114">
        <f t="shared" si="284"/>
        <v>134</v>
      </c>
      <c r="BS658">
        <f t="shared" si="260"/>
        <v>134</v>
      </c>
      <c r="BU658">
        <f>IFERROR(8-VLOOKUP(U658,'Dados de consulta'!$A:$D,3,0),8)</f>
        <v>8</v>
      </c>
      <c r="BV658">
        <f>IFERROR(8-VLOOKUP(V658,'Dados de consulta'!$A:$D,3,0),8)</f>
        <v>8</v>
      </c>
      <c r="BW658">
        <f t="shared" si="285"/>
        <v>16</v>
      </c>
    </row>
    <row r="659" spans="1:75" ht="15" hidden="1" x14ac:dyDescent="0.2">
      <c r="A659" s="98">
        <v>42782</v>
      </c>
      <c r="B659" s="129" t="str">
        <f t="shared" si="262"/>
        <v>qui</v>
      </c>
      <c r="C659" s="132"/>
      <c r="D659" s="132"/>
      <c r="E659" s="132"/>
      <c r="F659" s="132"/>
      <c r="G659" s="132"/>
      <c r="H659" s="132"/>
      <c r="I659" s="132"/>
      <c r="J659" s="132"/>
      <c r="K659" s="132">
        <v>18</v>
      </c>
      <c r="L659" s="132"/>
      <c r="M659" s="132">
        <v>101</v>
      </c>
      <c r="N659" s="132"/>
      <c r="O659" s="132"/>
      <c r="P659" s="132"/>
      <c r="Q659" s="132"/>
      <c r="R659" s="132"/>
      <c r="S659" s="132"/>
      <c r="T659" s="132"/>
      <c r="U659" s="151"/>
      <c r="V659" s="151"/>
      <c r="W659" s="307" t="s">
        <v>193</v>
      </c>
      <c r="X659" s="308"/>
      <c r="Y659" s="38">
        <f t="shared" si="263"/>
        <v>0</v>
      </c>
      <c r="Z659" s="38">
        <f t="shared" si="264"/>
        <v>8</v>
      </c>
      <c r="AA659" s="38">
        <f t="shared" si="261"/>
        <v>0</v>
      </c>
      <c r="AB659" s="38">
        <f t="shared" si="272"/>
        <v>0</v>
      </c>
      <c r="AC659" s="38">
        <f t="shared" si="273"/>
        <v>0</v>
      </c>
      <c r="AD659" s="38">
        <f t="shared" si="274"/>
        <v>0</v>
      </c>
      <c r="AE659" s="38">
        <f t="shared" si="275"/>
        <v>0</v>
      </c>
      <c r="AF659" s="38">
        <f t="shared" si="276"/>
        <v>0</v>
      </c>
      <c r="AG659" s="33">
        <f t="shared" si="277"/>
        <v>0</v>
      </c>
      <c r="AH659" s="33">
        <f t="shared" si="278"/>
        <v>8</v>
      </c>
      <c r="AI659" s="33">
        <f t="shared" si="279"/>
        <v>0</v>
      </c>
      <c r="AJ659" s="33">
        <f t="shared" si="280"/>
        <v>0</v>
      </c>
      <c r="AK659" s="34">
        <f t="shared" si="281"/>
        <v>0</v>
      </c>
      <c r="AL659" s="35">
        <f t="shared" si="282"/>
        <v>5.6338028169014086E-2</v>
      </c>
      <c r="AM659" s="34">
        <f t="shared" si="265"/>
        <v>0</v>
      </c>
      <c r="AN659" s="36">
        <f t="shared" si="283"/>
        <v>0</v>
      </c>
      <c r="AO659" s="6">
        <f t="shared" si="266"/>
        <v>0</v>
      </c>
      <c r="AP659">
        <f t="shared" si="267"/>
        <v>8</v>
      </c>
      <c r="AQ659" s="6">
        <f t="shared" si="268"/>
        <v>0</v>
      </c>
      <c r="AR659" s="6">
        <f t="shared" si="269"/>
        <v>0</v>
      </c>
      <c r="AS659" s="6"/>
      <c r="AX659" s="95">
        <f t="shared" si="270"/>
        <v>42782</v>
      </c>
      <c r="AY659" s="96" t="str">
        <f t="shared" si="271"/>
        <v>qui</v>
      </c>
      <c r="AZ659" s="97">
        <f>IF(OR(AY659="SÁB",AY659="DOM"),0,IFERROR(8-VLOOKUP(C659,'Dados de consulta'!$A$2:$C$38,3,0),8))</f>
        <v>8</v>
      </c>
      <c r="BA659" s="97">
        <f>IF(OR(AY659="SÁB",AY659="DOM"),0,IFERROR(8-VLOOKUP(D659,'Dados de consulta'!$A$2:$C$38,3,0),8))</f>
        <v>8</v>
      </c>
      <c r="BB659" s="97">
        <f>IF(OR(AY659="SÁB",AY659="DOM"),0,IFERROR(8-VLOOKUP(E659,'Dados de consulta'!$A$2:$C$38,3,0),8))</f>
        <v>8</v>
      </c>
      <c r="BC659" s="97">
        <f>IF(OR(AY659="SÁB",AY659="DOM"),0,IFERROR(8-VLOOKUP(F659,'Dados de consulta'!$A$2:$C$38,3,0),8))</f>
        <v>8</v>
      </c>
      <c r="BD659" s="97">
        <f>IF(OR(AY659="SÁB",AY659="DOM"),0,IFERROR(8-VLOOKUP(G659,'Dados de consulta'!$A$2:$C$38,3,0),8))</f>
        <v>8</v>
      </c>
      <c r="BE659" s="97">
        <f>IF(OR(AY659="SÁB",AY659="DOM"),0,IFERROR(8-VLOOKUP(H659,'Dados de consulta'!$A$2:$C$38,3,0),8))</f>
        <v>8</v>
      </c>
      <c r="BF659" s="97">
        <f>IF(OR(AY659="SÁB",AY659="DOM"),0,IFERROR(8-VLOOKUP(I659,'Dados de consulta'!$A$2:$C$38,3,0),8))</f>
        <v>8</v>
      </c>
      <c r="BG659" s="97">
        <f>IF(OR(AY659="SÁB",AY659="DOM"),0,IFERROR(8-VLOOKUP(J659,'Dados de consulta'!$A$2:$C$38,3,0),8))</f>
        <v>8</v>
      </c>
      <c r="BH659" s="97">
        <f>IF(OR(AY659="SÁB",AY659="DOM"),0,IFERROR(8-VLOOKUP(K659,'Dados de consulta'!$A$2:$C$38,3,0),8))</f>
        <v>0</v>
      </c>
      <c r="BI659" s="97">
        <f>IF(OR(AY659="SÁB",AY659="DOM"),0,IFERROR(8-VLOOKUP(L659,'Dados de consulta'!$A$2:$C$38,3,0),8))</f>
        <v>8</v>
      </c>
      <c r="BJ659" s="97">
        <f>IF(OR(AY659="SÁB",AY659="DOM"),0,IFERROR(8-VLOOKUP(M659,'Dados de consulta'!$A$2:$C$38,3,0),8))</f>
        <v>0</v>
      </c>
      <c r="BK659" s="97">
        <f>IF(OR(AY659="SÁB",AY659="DOM"),0,IFERROR(8-VLOOKUP(N659,'Dados de consulta'!$A$2:$C$38,3,0),8))</f>
        <v>8</v>
      </c>
      <c r="BL659" s="97">
        <f>IF(OR(AY659="SÁB",AY659="DOM"),0,IFERROR(8-VLOOKUP(O659,'Dados de consulta'!$A$2:$C$38,3,0),8))</f>
        <v>8</v>
      </c>
      <c r="BM659" s="97">
        <f>IF(OR(AY659="SÁB",AY659="DOM"),0,IFERROR(8-VLOOKUP(P659,'Dados de consulta'!$A$2:$C$38,3,0),8))</f>
        <v>8</v>
      </c>
      <c r="BN659" s="97">
        <f>IF(OR(AY659="SÁB",AY659="DOM"),0,IFERROR(8-VLOOKUP(Q659,'Dados de consulta'!$A$2:$C$38,3,0),8))</f>
        <v>8</v>
      </c>
      <c r="BO659" s="97">
        <f>IF(OR(AY659="SÁB",AY659="DOM"),0,IFERROR(8-VLOOKUP(R659,'Dados de consulta'!$A$2:$C$38,3,0),8))</f>
        <v>8</v>
      </c>
      <c r="BP659" s="97">
        <f>IF(OR(AY659="SÁB",AY659="DOM"),0,IFERROR(8-VLOOKUP(S659,'Dados de consulta'!$A$2:$C$38,3,0),8))</f>
        <v>8</v>
      </c>
      <c r="BQ659" s="113">
        <f>IFERROR(6-VLOOKUP(T659,'Dados de consulta'!$A$2:$C$38,3,0)+2,6)</f>
        <v>6</v>
      </c>
      <c r="BR659" s="114">
        <f t="shared" si="284"/>
        <v>126</v>
      </c>
      <c r="BS659">
        <f t="shared" si="260"/>
        <v>134</v>
      </c>
      <c r="BU659">
        <f>IFERROR(8-VLOOKUP(U659,'Dados de consulta'!$A:$D,3,0),8)</f>
        <v>8</v>
      </c>
      <c r="BV659">
        <f>IFERROR(8-VLOOKUP(V659,'Dados de consulta'!$A:$D,3,0),8)</f>
        <v>8</v>
      </c>
      <c r="BW659">
        <f t="shared" si="285"/>
        <v>16</v>
      </c>
    </row>
    <row r="660" spans="1:75" ht="15" hidden="1" x14ac:dyDescent="0.2">
      <c r="A660" s="98">
        <v>42783</v>
      </c>
      <c r="B660" s="129" t="str">
        <f t="shared" si="262"/>
        <v>sex</v>
      </c>
      <c r="C660" s="132"/>
      <c r="D660" s="132"/>
      <c r="E660" s="132"/>
      <c r="F660" s="132"/>
      <c r="G660" s="132"/>
      <c r="H660" s="132"/>
      <c r="I660" s="132"/>
      <c r="J660" s="132"/>
      <c r="K660" s="132">
        <v>18</v>
      </c>
      <c r="L660" s="132"/>
      <c r="M660" s="132">
        <v>101</v>
      </c>
      <c r="N660" s="132"/>
      <c r="O660" s="132"/>
      <c r="P660" s="132"/>
      <c r="Q660" s="132"/>
      <c r="R660" s="132"/>
      <c r="S660" s="132"/>
      <c r="T660" s="132"/>
      <c r="U660" s="151"/>
      <c r="V660" s="151"/>
      <c r="W660" s="307" t="s">
        <v>193</v>
      </c>
      <c r="X660" s="308"/>
      <c r="Y660" s="38">
        <f t="shared" si="263"/>
        <v>0</v>
      </c>
      <c r="Z660" s="38">
        <f t="shared" si="264"/>
        <v>8</v>
      </c>
      <c r="AA660" s="38">
        <f t="shared" si="261"/>
        <v>0</v>
      </c>
      <c r="AB660" s="38">
        <f t="shared" si="272"/>
        <v>0</v>
      </c>
      <c r="AC660" s="38">
        <f t="shared" si="273"/>
        <v>0</v>
      </c>
      <c r="AD660" s="38">
        <f t="shared" si="274"/>
        <v>0</v>
      </c>
      <c r="AE660" s="38">
        <f t="shared" si="275"/>
        <v>0</v>
      </c>
      <c r="AF660" s="38">
        <f t="shared" si="276"/>
        <v>0</v>
      </c>
      <c r="AG660" s="33">
        <f t="shared" si="277"/>
        <v>0</v>
      </c>
      <c r="AH660" s="33">
        <f t="shared" si="278"/>
        <v>8</v>
      </c>
      <c r="AI660" s="33">
        <f t="shared" si="279"/>
        <v>0</v>
      </c>
      <c r="AJ660" s="33">
        <f t="shared" si="280"/>
        <v>0</v>
      </c>
      <c r="AK660" s="34">
        <f t="shared" si="281"/>
        <v>0</v>
      </c>
      <c r="AL660" s="35">
        <f t="shared" si="282"/>
        <v>5.6338028169014086E-2</v>
      </c>
      <c r="AM660" s="34">
        <f t="shared" si="265"/>
        <v>0</v>
      </c>
      <c r="AN660" s="36">
        <f t="shared" si="283"/>
        <v>0</v>
      </c>
      <c r="AO660" s="6">
        <f t="shared" si="266"/>
        <v>0</v>
      </c>
      <c r="AP660">
        <f t="shared" si="267"/>
        <v>8</v>
      </c>
      <c r="AQ660" s="6">
        <f t="shared" si="268"/>
        <v>0</v>
      </c>
      <c r="AR660" s="6">
        <f t="shared" si="269"/>
        <v>0</v>
      </c>
      <c r="AS660" s="6"/>
      <c r="AX660" s="95">
        <f t="shared" si="270"/>
        <v>42783</v>
      </c>
      <c r="AY660" s="96" t="str">
        <f t="shared" si="271"/>
        <v>sex</v>
      </c>
      <c r="AZ660" s="97">
        <f>IF(OR(AY660="SÁB",AY660="DOM"),0,IFERROR(8-VLOOKUP(C660,'Dados de consulta'!$A$2:$C$38,3,0),8))</f>
        <v>8</v>
      </c>
      <c r="BA660" s="97">
        <f>IF(OR(AY660="SÁB",AY660="DOM"),0,IFERROR(8-VLOOKUP(D660,'Dados de consulta'!$A$2:$C$38,3,0),8))</f>
        <v>8</v>
      </c>
      <c r="BB660" s="97">
        <f>IF(OR(AY660="SÁB",AY660="DOM"),0,IFERROR(8-VLOOKUP(E660,'Dados de consulta'!$A$2:$C$38,3,0),8))</f>
        <v>8</v>
      </c>
      <c r="BC660" s="97">
        <f>IF(OR(AY660="SÁB",AY660="DOM"),0,IFERROR(8-VLOOKUP(F660,'Dados de consulta'!$A$2:$C$38,3,0),8))</f>
        <v>8</v>
      </c>
      <c r="BD660" s="97">
        <f>IF(OR(AY660="SÁB",AY660="DOM"),0,IFERROR(8-VLOOKUP(G660,'Dados de consulta'!$A$2:$C$38,3,0),8))</f>
        <v>8</v>
      </c>
      <c r="BE660" s="97">
        <f>IF(OR(AY660="SÁB",AY660="DOM"),0,IFERROR(8-VLOOKUP(H660,'Dados de consulta'!$A$2:$C$38,3,0),8))</f>
        <v>8</v>
      </c>
      <c r="BF660" s="97">
        <f>IF(OR(AY660="SÁB",AY660="DOM"),0,IFERROR(8-VLOOKUP(I660,'Dados de consulta'!$A$2:$C$38,3,0),8))</f>
        <v>8</v>
      </c>
      <c r="BG660" s="97">
        <f>IF(OR(AY660="SÁB",AY660="DOM"),0,IFERROR(8-VLOOKUP(J660,'Dados de consulta'!$A$2:$C$38,3,0),8))</f>
        <v>8</v>
      </c>
      <c r="BH660" s="97">
        <f>IF(OR(AY660="SÁB",AY660="DOM"),0,IFERROR(8-VLOOKUP(K660,'Dados de consulta'!$A$2:$C$38,3,0),8))</f>
        <v>0</v>
      </c>
      <c r="BI660" s="97">
        <f>IF(OR(AY660="SÁB",AY660="DOM"),0,IFERROR(8-VLOOKUP(L660,'Dados de consulta'!$A$2:$C$38,3,0),8))</f>
        <v>8</v>
      </c>
      <c r="BJ660" s="97">
        <f>IF(OR(AY660="SÁB",AY660="DOM"),0,IFERROR(8-VLOOKUP(M660,'Dados de consulta'!$A$2:$C$38,3,0),8))</f>
        <v>0</v>
      </c>
      <c r="BK660" s="97">
        <f>IF(OR(AY660="SÁB",AY660="DOM"),0,IFERROR(8-VLOOKUP(N660,'Dados de consulta'!$A$2:$C$38,3,0),8))</f>
        <v>8</v>
      </c>
      <c r="BL660" s="97">
        <f>IF(OR(AY660="SÁB",AY660="DOM"),0,IFERROR(8-VLOOKUP(O660,'Dados de consulta'!$A$2:$C$38,3,0),8))</f>
        <v>8</v>
      </c>
      <c r="BM660" s="97">
        <f>IF(OR(AY660="SÁB",AY660="DOM"),0,IFERROR(8-VLOOKUP(P660,'Dados de consulta'!$A$2:$C$38,3,0),8))</f>
        <v>8</v>
      </c>
      <c r="BN660" s="97">
        <f>IF(OR(AY660="SÁB",AY660="DOM"),0,IFERROR(8-VLOOKUP(Q660,'Dados de consulta'!$A$2:$C$38,3,0),8))</f>
        <v>8</v>
      </c>
      <c r="BO660" s="97">
        <f>IF(OR(AY660="SÁB",AY660="DOM"),0,IFERROR(8-VLOOKUP(R660,'Dados de consulta'!$A$2:$C$38,3,0),8))</f>
        <v>8</v>
      </c>
      <c r="BP660" s="97">
        <f>IF(OR(AY660="SÁB",AY660="DOM"),0,IFERROR(8-VLOOKUP(S660,'Dados de consulta'!$A$2:$C$38,3,0),8))</f>
        <v>8</v>
      </c>
      <c r="BQ660" s="113">
        <f>IFERROR(6-VLOOKUP(T660,'Dados de consulta'!$A$2:$C$38,3,0)+2,6)</f>
        <v>6</v>
      </c>
      <c r="BR660" s="114">
        <f t="shared" si="284"/>
        <v>126</v>
      </c>
      <c r="BS660">
        <f t="shared" si="260"/>
        <v>134</v>
      </c>
      <c r="BU660">
        <f>IFERROR(8-VLOOKUP(U660,'Dados de consulta'!$A:$D,3,0),8)</f>
        <v>8</v>
      </c>
      <c r="BV660">
        <f>IFERROR(8-VLOOKUP(V660,'Dados de consulta'!$A:$D,3,0),8)</f>
        <v>8</v>
      </c>
      <c r="BW660">
        <f t="shared" si="285"/>
        <v>16</v>
      </c>
    </row>
    <row r="661" spans="1:75" ht="15" hidden="1" x14ac:dyDescent="0.2">
      <c r="A661" s="98">
        <v>42784</v>
      </c>
      <c r="B661" s="129" t="str">
        <f t="shared" si="262"/>
        <v>sáb</v>
      </c>
      <c r="C661" s="132"/>
      <c r="D661" s="132"/>
      <c r="E661" s="132"/>
      <c r="F661" s="132"/>
      <c r="G661" s="132"/>
      <c r="H661" s="132"/>
      <c r="I661" s="132"/>
      <c r="J661" s="132"/>
      <c r="K661" s="132">
        <v>18</v>
      </c>
      <c r="L661" s="132"/>
      <c r="M661" s="132">
        <v>101</v>
      </c>
      <c r="N661" s="132"/>
      <c r="O661" s="132"/>
      <c r="P661" s="132"/>
      <c r="Q661" s="132"/>
      <c r="R661" s="132"/>
      <c r="S661" s="132"/>
      <c r="T661" s="132"/>
      <c r="U661" s="151"/>
      <c r="V661" s="151"/>
      <c r="W661" s="307" t="s">
        <v>193</v>
      </c>
      <c r="X661" s="308"/>
      <c r="Y661" s="38">
        <f t="shared" si="263"/>
        <v>0</v>
      </c>
      <c r="Z661" s="38">
        <f t="shared" si="264"/>
        <v>8</v>
      </c>
      <c r="AA661" s="38">
        <f t="shared" si="261"/>
        <v>0</v>
      </c>
      <c r="AB661" s="38">
        <f t="shared" si="272"/>
        <v>0</v>
      </c>
      <c r="AC661" s="38">
        <f t="shared" si="273"/>
        <v>0</v>
      </c>
      <c r="AD661" s="38">
        <f t="shared" si="274"/>
        <v>0</v>
      </c>
      <c r="AE661" s="38">
        <f t="shared" si="275"/>
        <v>0</v>
      </c>
      <c r="AF661" s="38">
        <f t="shared" si="276"/>
        <v>0</v>
      </c>
      <c r="AG661" s="33">
        <f t="shared" si="277"/>
        <v>0</v>
      </c>
      <c r="AH661" s="33">
        <f t="shared" si="278"/>
        <v>0</v>
      </c>
      <c r="AI661" s="33">
        <f t="shared" si="279"/>
        <v>0</v>
      </c>
      <c r="AJ661" s="33">
        <f t="shared" si="280"/>
        <v>0</v>
      </c>
      <c r="AK661" s="34">
        <f t="shared" si="281"/>
        <v>0</v>
      </c>
      <c r="AL661" s="35">
        <f t="shared" si="282"/>
        <v>0</v>
      </c>
      <c r="AM661" s="34">
        <f t="shared" si="265"/>
        <v>0</v>
      </c>
      <c r="AN661" s="36">
        <f t="shared" si="283"/>
        <v>0</v>
      </c>
      <c r="AO661" s="6">
        <f t="shared" si="266"/>
        <v>0</v>
      </c>
      <c r="AP661">
        <f t="shared" si="267"/>
        <v>8</v>
      </c>
      <c r="AQ661" s="6">
        <f t="shared" si="268"/>
        <v>0</v>
      </c>
      <c r="AR661" s="6">
        <f t="shared" si="269"/>
        <v>0</v>
      </c>
      <c r="AS661" s="6"/>
      <c r="AX661" s="95">
        <f t="shared" si="270"/>
        <v>42784</v>
      </c>
      <c r="AY661" s="96" t="str">
        <f t="shared" si="271"/>
        <v>sáb</v>
      </c>
      <c r="AZ661" s="97">
        <f>IF(OR(AY661="SÁB",AY661="DOM"),0,IFERROR(8-VLOOKUP(C661,'Dados de consulta'!$A$2:$C$38,3,0),8))</f>
        <v>0</v>
      </c>
      <c r="BA661" s="97">
        <f>IF(OR(AY661="SÁB",AY661="DOM"),0,IFERROR(8-VLOOKUP(D661,'Dados de consulta'!$A$2:$C$38,3,0),8))</f>
        <v>0</v>
      </c>
      <c r="BB661" s="97">
        <f>IF(OR(AY661="SÁB",AY661="DOM"),0,IFERROR(8-VLOOKUP(E661,'Dados de consulta'!$A$2:$C$38,3,0),8))</f>
        <v>0</v>
      </c>
      <c r="BC661" s="97">
        <f>IF(OR(AY661="SÁB",AY661="DOM"),0,IFERROR(8-VLOOKUP(F661,'Dados de consulta'!$A$2:$C$38,3,0),8))</f>
        <v>0</v>
      </c>
      <c r="BD661" s="97">
        <f>IF(OR(AY661="SÁB",AY661="DOM"),0,IFERROR(8-VLOOKUP(G661,'Dados de consulta'!$A$2:$C$38,3,0),8))</f>
        <v>0</v>
      </c>
      <c r="BE661" s="97">
        <f>IF(OR(AY661="SÁB",AY661="DOM"),0,IFERROR(8-VLOOKUP(H661,'Dados de consulta'!$A$2:$C$38,3,0),8))</f>
        <v>0</v>
      </c>
      <c r="BF661" s="97">
        <f>IF(OR(AY661="SÁB",AY661="DOM"),0,IFERROR(8-VLOOKUP(I661,'Dados de consulta'!$A$2:$C$38,3,0),8))</f>
        <v>0</v>
      </c>
      <c r="BG661" s="97">
        <f>IF(OR(AY661="SÁB",AY661="DOM"),0,IFERROR(8-VLOOKUP(J661,'Dados de consulta'!$A$2:$C$38,3,0),8))</f>
        <v>0</v>
      </c>
      <c r="BH661" s="97">
        <f>IF(OR(AY661="SÁB",AY661="DOM"),0,IFERROR(8-VLOOKUP(K661,'Dados de consulta'!$A$2:$C$38,3,0),8))</f>
        <v>0</v>
      </c>
      <c r="BI661" s="97">
        <f>IF(OR(AY661="SÁB",AY661="DOM"),0,IFERROR(8-VLOOKUP(L661,'Dados de consulta'!$A$2:$C$38,3,0),8))</f>
        <v>0</v>
      </c>
      <c r="BJ661" s="97">
        <f>IF(OR(AY661="SÁB",AY661="DOM"),0,IFERROR(8-VLOOKUP(M661,'Dados de consulta'!$A$2:$C$38,3,0),8))</f>
        <v>0</v>
      </c>
      <c r="BK661" s="97">
        <f>IF(OR(AY661="SÁB",AY661="DOM"),0,IFERROR(8-VLOOKUP(N661,'Dados de consulta'!$A$2:$C$38,3,0),8))</f>
        <v>0</v>
      </c>
      <c r="BL661" s="97">
        <f>IF(OR(AY661="SÁB",AY661="DOM"),0,IFERROR(8-VLOOKUP(O661,'Dados de consulta'!$A$2:$C$38,3,0),8))</f>
        <v>0</v>
      </c>
      <c r="BM661" s="97">
        <f>IF(OR(AY661="SÁB",AY661="DOM"),0,IFERROR(8-VLOOKUP(P661,'Dados de consulta'!$A$2:$C$38,3,0),8))</f>
        <v>0</v>
      </c>
      <c r="BN661" s="97">
        <f>IF(OR(AY661="SÁB",AY661="DOM"),0,IFERROR(8-VLOOKUP(Q661,'Dados de consulta'!$A$2:$C$38,3,0),8))</f>
        <v>0</v>
      </c>
      <c r="BO661" s="97">
        <f>IF(OR(AY661="SÁB",AY661="DOM"),0,IFERROR(8-VLOOKUP(R661,'Dados de consulta'!$A$2:$C$38,3,0),8))</f>
        <v>0</v>
      </c>
      <c r="BP661" s="97">
        <f>IF(OR(AY661="SÁB",AY661="DOM"),0,IFERROR(8-VLOOKUP(S661,'Dados de consulta'!$A$2:$C$38,3,0),8))</f>
        <v>0</v>
      </c>
      <c r="BQ661" s="113">
        <f>IFERROR(6-VLOOKUP(T661,'Dados de consulta'!$A$2:$C$38,3,0)+2,6)</f>
        <v>6</v>
      </c>
      <c r="BR661" s="114">
        <f t="shared" si="284"/>
        <v>0</v>
      </c>
      <c r="BS661">
        <f t="shared" si="260"/>
        <v>0</v>
      </c>
      <c r="BU661">
        <f>IFERROR(8-VLOOKUP(U661,'Dados de consulta'!$A:$D,3,0),8)</f>
        <v>8</v>
      </c>
      <c r="BV661">
        <f>IFERROR(8-VLOOKUP(V661,'Dados de consulta'!$A:$D,3,0),8)</f>
        <v>8</v>
      </c>
      <c r="BW661">
        <f t="shared" si="285"/>
        <v>16</v>
      </c>
    </row>
    <row r="662" spans="1:75" ht="15" hidden="1" x14ac:dyDescent="0.2">
      <c r="A662" s="98">
        <v>42785</v>
      </c>
      <c r="B662" s="129" t="str">
        <f t="shared" si="262"/>
        <v>dom</v>
      </c>
      <c r="C662" s="132"/>
      <c r="D662" s="132"/>
      <c r="E662" s="132"/>
      <c r="F662" s="132"/>
      <c r="G662" s="132"/>
      <c r="H662" s="132"/>
      <c r="I662" s="132"/>
      <c r="J662" s="132"/>
      <c r="K662" s="132">
        <v>18</v>
      </c>
      <c r="L662" s="132"/>
      <c r="M662" s="132">
        <v>101</v>
      </c>
      <c r="N662" s="132"/>
      <c r="O662" s="132"/>
      <c r="P662" s="132"/>
      <c r="Q662" s="132"/>
      <c r="R662" s="132"/>
      <c r="S662" s="132"/>
      <c r="T662" s="132"/>
      <c r="U662" s="151"/>
      <c r="V662" s="151"/>
      <c r="W662" s="307" t="s">
        <v>193</v>
      </c>
      <c r="X662" s="308"/>
      <c r="Y662" s="38">
        <f t="shared" si="263"/>
        <v>0</v>
      </c>
      <c r="Z662" s="38">
        <f t="shared" si="264"/>
        <v>8</v>
      </c>
      <c r="AA662" s="38">
        <f t="shared" si="261"/>
        <v>0</v>
      </c>
      <c r="AB662" s="38">
        <f t="shared" si="272"/>
        <v>0</v>
      </c>
      <c r="AC662" s="38">
        <f t="shared" si="273"/>
        <v>0</v>
      </c>
      <c r="AD662" s="38">
        <f t="shared" si="274"/>
        <v>0</v>
      </c>
      <c r="AE662" s="38">
        <f t="shared" si="275"/>
        <v>0</v>
      </c>
      <c r="AF662" s="38">
        <f t="shared" si="276"/>
        <v>0</v>
      </c>
      <c r="AG662" s="33">
        <f t="shared" si="277"/>
        <v>0</v>
      </c>
      <c r="AH662" s="33">
        <f t="shared" si="278"/>
        <v>0</v>
      </c>
      <c r="AI662" s="33">
        <f t="shared" si="279"/>
        <v>0</v>
      </c>
      <c r="AJ662" s="33">
        <f t="shared" si="280"/>
        <v>0</v>
      </c>
      <c r="AK662" s="34">
        <f t="shared" si="281"/>
        <v>0</v>
      </c>
      <c r="AL662" s="35">
        <f t="shared" si="282"/>
        <v>0</v>
      </c>
      <c r="AM662" s="34">
        <f t="shared" si="265"/>
        <v>0</v>
      </c>
      <c r="AN662" s="36">
        <f t="shared" si="283"/>
        <v>0</v>
      </c>
      <c r="AO662" s="6">
        <f t="shared" si="266"/>
        <v>0</v>
      </c>
      <c r="AP662">
        <f t="shared" si="267"/>
        <v>8</v>
      </c>
      <c r="AQ662" s="6">
        <f t="shared" si="268"/>
        <v>0</v>
      </c>
      <c r="AR662" s="6">
        <f t="shared" si="269"/>
        <v>0</v>
      </c>
      <c r="AS662" s="6"/>
      <c r="AX662" s="95">
        <f t="shared" si="270"/>
        <v>42785</v>
      </c>
      <c r="AY662" s="96" t="str">
        <f t="shared" si="271"/>
        <v>dom</v>
      </c>
      <c r="AZ662" s="97">
        <f>IF(OR(AY662="SÁB",AY662="DOM"),0,IFERROR(8-VLOOKUP(C662,'Dados de consulta'!$A$2:$C$38,3,0),8))</f>
        <v>0</v>
      </c>
      <c r="BA662" s="97">
        <f>IF(OR(AY662="SÁB",AY662="DOM"),0,IFERROR(8-VLOOKUP(D662,'Dados de consulta'!$A$2:$C$38,3,0),8))</f>
        <v>0</v>
      </c>
      <c r="BB662" s="97">
        <f>IF(OR(AY662="SÁB",AY662="DOM"),0,IFERROR(8-VLOOKUP(E662,'Dados de consulta'!$A$2:$C$38,3,0),8))</f>
        <v>0</v>
      </c>
      <c r="BC662" s="97">
        <f>IF(OR(AY662="SÁB",AY662="DOM"),0,IFERROR(8-VLOOKUP(F662,'Dados de consulta'!$A$2:$C$38,3,0),8))</f>
        <v>0</v>
      </c>
      <c r="BD662" s="97">
        <f>IF(OR(AY662="SÁB",AY662="DOM"),0,IFERROR(8-VLOOKUP(G662,'Dados de consulta'!$A$2:$C$38,3,0),8))</f>
        <v>0</v>
      </c>
      <c r="BE662" s="97">
        <f>IF(OR(AY662="SÁB",AY662="DOM"),0,IFERROR(8-VLOOKUP(H662,'Dados de consulta'!$A$2:$C$38,3,0),8))</f>
        <v>0</v>
      </c>
      <c r="BF662" s="97">
        <f>IF(OR(AY662="SÁB",AY662="DOM"),0,IFERROR(8-VLOOKUP(I662,'Dados de consulta'!$A$2:$C$38,3,0),8))</f>
        <v>0</v>
      </c>
      <c r="BG662" s="97">
        <f>IF(OR(AY662="SÁB",AY662="DOM"),0,IFERROR(8-VLOOKUP(J662,'Dados de consulta'!$A$2:$C$38,3,0),8))</f>
        <v>0</v>
      </c>
      <c r="BH662" s="97">
        <f>IF(OR(AY662="SÁB",AY662="DOM"),0,IFERROR(8-VLOOKUP(K662,'Dados de consulta'!$A$2:$C$38,3,0),8))</f>
        <v>0</v>
      </c>
      <c r="BI662" s="97">
        <f>IF(OR(AY662="SÁB",AY662="DOM"),0,IFERROR(8-VLOOKUP(L662,'Dados de consulta'!$A$2:$C$38,3,0),8))</f>
        <v>0</v>
      </c>
      <c r="BJ662" s="97">
        <f>IF(OR(AY662="SÁB",AY662="DOM"),0,IFERROR(8-VLOOKUP(M662,'Dados de consulta'!$A$2:$C$38,3,0),8))</f>
        <v>0</v>
      </c>
      <c r="BK662" s="97">
        <f>IF(OR(AY662="SÁB",AY662="DOM"),0,IFERROR(8-VLOOKUP(N662,'Dados de consulta'!$A$2:$C$38,3,0),8))</f>
        <v>0</v>
      </c>
      <c r="BL662" s="97">
        <f>IF(OR(AY662="SÁB",AY662="DOM"),0,IFERROR(8-VLOOKUP(O662,'Dados de consulta'!$A$2:$C$38,3,0),8))</f>
        <v>0</v>
      </c>
      <c r="BM662" s="97">
        <f>IF(OR(AY662="SÁB",AY662="DOM"),0,IFERROR(8-VLOOKUP(P662,'Dados de consulta'!$A$2:$C$38,3,0),8))</f>
        <v>0</v>
      </c>
      <c r="BN662" s="97">
        <f>IF(OR(AY662="SÁB",AY662="DOM"),0,IFERROR(8-VLOOKUP(Q662,'Dados de consulta'!$A$2:$C$38,3,0),8))</f>
        <v>0</v>
      </c>
      <c r="BO662" s="97">
        <f>IF(OR(AY662="SÁB",AY662="DOM"),0,IFERROR(8-VLOOKUP(R662,'Dados de consulta'!$A$2:$C$38,3,0),8))</f>
        <v>0</v>
      </c>
      <c r="BP662" s="97">
        <f>IF(OR(AY662="SÁB",AY662="DOM"),0,IFERROR(8-VLOOKUP(S662,'Dados de consulta'!$A$2:$C$38,3,0),8))</f>
        <v>0</v>
      </c>
      <c r="BQ662" s="113">
        <f>IFERROR(6-VLOOKUP(T662,'Dados de consulta'!$A$2:$C$38,3,0)+2,6)</f>
        <v>6</v>
      </c>
      <c r="BR662" s="114">
        <f t="shared" si="284"/>
        <v>0</v>
      </c>
      <c r="BS662">
        <f t="shared" si="260"/>
        <v>0</v>
      </c>
      <c r="BU662">
        <f>IFERROR(8-VLOOKUP(U662,'Dados de consulta'!$A:$D,3,0),8)</f>
        <v>8</v>
      </c>
      <c r="BV662">
        <f>IFERROR(8-VLOOKUP(V662,'Dados de consulta'!$A:$D,3,0),8)</f>
        <v>8</v>
      </c>
      <c r="BW662">
        <f t="shared" si="285"/>
        <v>16</v>
      </c>
    </row>
    <row r="663" spans="1:75" ht="15" hidden="1" x14ac:dyDescent="0.2">
      <c r="A663" s="98">
        <v>42786</v>
      </c>
      <c r="B663" s="129" t="str">
        <f t="shared" si="262"/>
        <v>seg</v>
      </c>
      <c r="C663" s="132"/>
      <c r="D663" s="132"/>
      <c r="E663" s="132"/>
      <c r="F663" s="132"/>
      <c r="G663" s="132"/>
      <c r="H663" s="132"/>
      <c r="I663" s="132"/>
      <c r="J663" s="132"/>
      <c r="K663" s="132">
        <v>18</v>
      </c>
      <c r="L663" s="132"/>
      <c r="M663" s="132">
        <v>101</v>
      </c>
      <c r="N663" s="132"/>
      <c r="O663" s="132"/>
      <c r="P663" s="132"/>
      <c r="Q663" s="132"/>
      <c r="R663" s="132"/>
      <c r="S663" s="132"/>
      <c r="T663" s="132"/>
      <c r="U663" s="151"/>
      <c r="V663" s="151"/>
      <c r="W663" s="307" t="s">
        <v>193</v>
      </c>
      <c r="X663" s="308"/>
      <c r="Y663" s="38">
        <f t="shared" si="263"/>
        <v>0</v>
      </c>
      <c r="Z663" s="38">
        <f t="shared" si="264"/>
        <v>8</v>
      </c>
      <c r="AA663" s="38">
        <f t="shared" si="261"/>
        <v>0</v>
      </c>
      <c r="AB663" s="38">
        <f t="shared" si="272"/>
        <v>0</v>
      </c>
      <c r="AC663" s="38">
        <f t="shared" si="273"/>
        <v>0</v>
      </c>
      <c r="AD663" s="38">
        <f t="shared" si="274"/>
        <v>0</v>
      </c>
      <c r="AE663" s="38">
        <f t="shared" si="275"/>
        <v>0</v>
      </c>
      <c r="AF663" s="38">
        <f t="shared" si="276"/>
        <v>0</v>
      </c>
      <c r="AG663" s="33">
        <f t="shared" si="277"/>
        <v>0</v>
      </c>
      <c r="AH663" s="33">
        <f t="shared" si="278"/>
        <v>8</v>
      </c>
      <c r="AI663" s="33">
        <f t="shared" si="279"/>
        <v>0</v>
      </c>
      <c r="AJ663" s="33">
        <f t="shared" si="280"/>
        <v>0</v>
      </c>
      <c r="AK663" s="34">
        <f t="shared" si="281"/>
        <v>0</v>
      </c>
      <c r="AL663" s="35">
        <f t="shared" si="282"/>
        <v>5.6338028169014086E-2</v>
      </c>
      <c r="AM663" s="34">
        <f t="shared" si="265"/>
        <v>0</v>
      </c>
      <c r="AN663" s="36">
        <f t="shared" si="283"/>
        <v>0</v>
      </c>
      <c r="AO663" s="6">
        <f t="shared" si="266"/>
        <v>0</v>
      </c>
      <c r="AP663">
        <f t="shared" si="267"/>
        <v>8</v>
      </c>
      <c r="AQ663" s="6">
        <f t="shared" si="268"/>
        <v>0</v>
      </c>
      <c r="AR663" s="6">
        <f t="shared" si="269"/>
        <v>0</v>
      </c>
      <c r="AS663" s="6"/>
      <c r="AX663" s="95">
        <f t="shared" si="270"/>
        <v>42786</v>
      </c>
      <c r="AY663" s="96" t="str">
        <f t="shared" si="271"/>
        <v>seg</v>
      </c>
      <c r="AZ663" s="97">
        <f>IF(OR(AY663="SÁB",AY663="DOM"),0,IFERROR(8-VLOOKUP(C663,'Dados de consulta'!$A$2:$C$38,3,0),8))</f>
        <v>8</v>
      </c>
      <c r="BA663" s="97">
        <f>IF(OR(AY663="SÁB",AY663="DOM"),0,IFERROR(8-VLOOKUP(D663,'Dados de consulta'!$A$2:$C$38,3,0),8))</f>
        <v>8</v>
      </c>
      <c r="BB663" s="97">
        <f>IF(OR(AY663="SÁB",AY663="DOM"),0,IFERROR(8-VLOOKUP(E663,'Dados de consulta'!$A$2:$C$38,3,0),8))</f>
        <v>8</v>
      </c>
      <c r="BC663" s="97">
        <f>IF(OR(AY663="SÁB",AY663="DOM"),0,IFERROR(8-VLOOKUP(F663,'Dados de consulta'!$A$2:$C$38,3,0),8))</f>
        <v>8</v>
      </c>
      <c r="BD663" s="97">
        <f>IF(OR(AY663="SÁB",AY663="DOM"),0,IFERROR(8-VLOOKUP(G663,'Dados de consulta'!$A$2:$C$38,3,0),8))</f>
        <v>8</v>
      </c>
      <c r="BE663" s="97">
        <f>IF(OR(AY663="SÁB",AY663="DOM"),0,IFERROR(8-VLOOKUP(H663,'Dados de consulta'!$A$2:$C$38,3,0),8))</f>
        <v>8</v>
      </c>
      <c r="BF663" s="97">
        <f>IF(OR(AY663="SÁB",AY663="DOM"),0,IFERROR(8-VLOOKUP(I663,'Dados de consulta'!$A$2:$C$38,3,0),8))</f>
        <v>8</v>
      </c>
      <c r="BG663" s="97">
        <f>IF(OR(AY663="SÁB",AY663="DOM"),0,IFERROR(8-VLOOKUP(J663,'Dados de consulta'!$A$2:$C$38,3,0),8))</f>
        <v>8</v>
      </c>
      <c r="BH663" s="97">
        <f>IF(OR(AY663="SÁB",AY663="DOM"),0,IFERROR(8-VLOOKUP(K663,'Dados de consulta'!$A$2:$C$38,3,0),8))</f>
        <v>0</v>
      </c>
      <c r="BI663" s="97">
        <f>IF(OR(AY663="SÁB",AY663="DOM"),0,IFERROR(8-VLOOKUP(L663,'Dados de consulta'!$A$2:$C$38,3,0),8))</f>
        <v>8</v>
      </c>
      <c r="BJ663" s="97">
        <f>IF(OR(AY663="SÁB",AY663="DOM"),0,IFERROR(8-VLOOKUP(M663,'Dados de consulta'!$A$2:$C$38,3,0),8))</f>
        <v>0</v>
      </c>
      <c r="BK663" s="97">
        <f>IF(OR(AY663="SÁB",AY663="DOM"),0,IFERROR(8-VLOOKUP(N663,'Dados de consulta'!$A$2:$C$38,3,0),8))</f>
        <v>8</v>
      </c>
      <c r="BL663" s="97">
        <f>IF(OR(AY663="SÁB",AY663="DOM"),0,IFERROR(8-VLOOKUP(O663,'Dados de consulta'!$A$2:$C$38,3,0),8))</f>
        <v>8</v>
      </c>
      <c r="BM663" s="97">
        <f>IF(OR(AY663="SÁB",AY663="DOM"),0,IFERROR(8-VLOOKUP(P663,'Dados de consulta'!$A$2:$C$38,3,0),8))</f>
        <v>8</v>
      </c>
      <c r="BN663" s="97">
        <f>IF(OR(AY663="SÁB",AY663="DOM"),0,IFERROR(8-VLOOKUP(Q663,'Dados de consulta'!$A$2:$C$38,3,0),8))</f>
        <v>8</v>
      </c>
      <c r="BO663" s="97">
        <f>IF(OR(AY663="SÁB",AY663="DOM"),0,IFERROR(8-VLOOKUP(R663,'Dados de consulta'!$A$2:$C$38,3,0),8))</f>
        <v>8</v>
      </c>
      <c r="BP663" s="97">
        <f>IF(OR(AY663="SÁB",AY663="DOM"),0,IFERROR(8-VLOOKUP(S663,'Dados de consulta'!$A$2:$C$38,3,0),8))</f>
        <v>8</v>
      </c>
      <c r="BQ663" s="113">
        <f>IFERROR(6-VLOOKUP(T663,'Dados de consulta'!$A$2:$C$38,3,0)+2,6)</f>
        <v>6</v>
      </c>
      <c r="BR663" s="114">
        <f t="shared" si="284"/>
        <v>126</v>
      </c>
      <c r="BS663">
        <f t="shared" si="260"/>
        <v>134</v>
      </c>
      <c r="BU663">
        <f>IFERROR(8-VLOOKUP(U663,'Dados de consulta'!$A:$D,3,0),8)</f>
        <v>8</v>
      </c>
      <c r="BV663">
        <f>IFERROR(8-VLOOKUP(V663,'Dados de consulta'!$A:$D,3,0),8)</f>
        <v>8</v>
      </c>
      <c r="BW663">
        <f t="shared" si="285"/>
        <v>16</v>
      </c>
    </row>
    <row r="664" spans="1:75" ht="15" hidden="1" x14ac:dyDescent="0.2">
      <c r="A664" s="98">
        <v>42787</v>
      </c>
      <c r="B664" s="129" t="str">
        <f t="shared" si="262"/>
        <v>ter</v>
      </c>
      <c r="C664" s="132"/>
      <c r="D664" s="132"/>
      <c r="E664" s="132"/>
      <c r="F664" s="132"/>
      <c r="G664" s="132"/>
      <c r="H664" s="132"/>
      <c r="I664" s="132"/>
      <c r="J664" s="132"/>
      <c r="K664" s="132">
        <v>18</v>
      </c>
      <c r="L664" s="132"/>
      <c r="M664" s="132">
        <v>101</v>
      </c>
      <c r="N664" s="132"/>
      <c r="O664" s="132"/>
      <c r="P664" s="132"/>
      <c r="Q664" s="132"/>
      <c r="R664" s="132"/>
      <c r="S664" s="132"/>
      <c r="T664" s="132"/>
      <c r="U664" s="151"/>
      <c r="V664" s="151"/>
      <c r="W664" s="307" t="s">
        <v>193</v>
      </c>
      <c r="X664" s="308"/>
      <c r="Y664" s="38">
        <f t="shared" si="263"/>
        <v>0</v>
      </c>
      <c r="Z664" s="38">
        <f t="shared" si="264"/>
        <v>8</v>
      </c>
      <c r="AA664" s="38">
        <f t="shared" si="261"/>
        <v>0</v>
      </c>
      <c r="AB664" s="38">
        <f t="shared" si="272"/>
        <v>0</v>
      </c>
      <c r="AC664" s="38">
        <f t="shared" si="273"/>
        <v>0</v>
      </c>
      <c r="AD664" s="38">
        <f t="shared" si="274"/>
        <v>0</v>
      </c>
      <c r="AE664" s="38">
        <f t="shared" si="275"/>
        <v>0</v>
      </c>
      <c r="AF664" s="38">
        <f t="shared" si="276"/>
        <v>0</v>
      </c>
      <c r="AG664" s="33">
        <f t="shared" si="277"/>
        <v>0</v>
      </c>
      <c r="AH664" s="33">
        <f t="shared" si="278"/>
        <v>8</v>
      </c>
      <c r="AI664" s="33">
        <f t="shared" si="279"/>
        <v>0</v>
      </c>
      <c r="AJ664" s="33">
        <f t="shared" si="280"/>
        <v>0</v>
      </c>
      <c r="AK664" s="34">
        <f t="shared" si="281"/>
        <v>0</v>
      </c>
      <c r="AL664" s="35">
        <f t="shared" si="282"/>
        <v>5.6338028169014086E-2</v>
      </c>
      <c r="AM664" s="34">
        <f t="shared" si="265"/>
        <v>0</v>
      </c>
      <c r="AN664" s="36">
        <f t="shared" si="283"/>
        <v>0</v>
      </c>
      <c r="AO664" s="6">
        <f t="shared" si="266"/>
        <v>0</v>
      </c>
      <c r="AP664">
        <f t="shared" si="267"/>
        <v>8</v>
      </c>
      <c r="AQ664" s="6">
        <f t="shared" si="268"/>
        <v>0</v>
      </c>
      <c r="AR664" s="6">
        <f t="shared" si="269"/>
        <v>0</v>
      </c>
      <c r="AS664" s="6"/>
      <c r="AX664" s="95">
        <f t="shared" si="270"/>
        <v>42787</v>
      </c>
      <c r="AY664" s="96" t="str">
        <f t="shared" si="271"/>
        <v>ter</v>
      </c>
      <c r="AZ664" s="97">
        <f>IF(OR(AY664="SÁB",AY664="DOM"),0,IFERROR(8-VLOOKUP(C664,'Dados de consulta'!$A$2:$C$38,3,0),8))</f>
        <v>8</v>
      </c>
      <c r="BA664" s="97">
        <f>IF(OR(AY664="SÁB",AY664="DOM"),0,IFERROR(8-VLOOKUP(D664,'Dados de consulta'!$A$2:$C$38,3,0),8))</f>
        <v>8</v>
      </c>
      <c r="BB664" s="97">
        <f>IF(OR(AY664="SÁB",AY664="DOM"),0,IFERROR(8-VLOOKUP(E664,'Dados de consulta'!$A$2:$C$38,3,0),8))</f>
        <v>8</v>
      </c>
      <c r="BC664" s="97">
        <f>IF(OR(AY664="SÁB",AY664="DOM"),0,IFERROR(8-VLOOKUP(F664,'Dados de consulta'!$A$2:$C$38,3,0),8))</f>
        <v>8</v>
      </c>
      <c r="BD664" s="97">
        <f>IF(OR(AY664="SÁB",AY664="DOM"),0,IFERROR(8-VLOOKUP(G664,'Dados de consulta'!$A$2:$C$38,3,0),8))</f>
        <v>8</v>
      </c>
      <c r="BE664" s="97">
        <f>IF(OR(AY664="SÁB",AY664="DOM"),0,IFERROR(8-VLOOKUP(H664,'Dados de consulta'!$A$2:$C$38,3,0),8))</f>
        <v>8</v>
      </c>
      <c r="BF664" s="97">
        <f>IF(OR(AY664="SÁB",AY664="DOM"),0,IFERROR(8-VLOOKUP(I664,'Dados de consulta'!$A$2:$C$38,3,0),8))</f>
        <v>8</v>
      </c>
      <c r="BG664" s="97">
        <f>IF(OR(AY664="SÁB",AY664="DOM"),0,IFERROR(8-VLOOKUP(J664,'Dados de consulta'!$A$2:$C$38,3,0),8))</f>
        <v>8</v>
      </c>
      <c r="BH664" s="97">
        <f>IF(OR(AY664="SÁB",AY664="DOM"),0,IFERROR(8-VLOOKUP(K664,'Dados de consulta'!$A$2:$C$38,3,0),8))</f>
        <v>0</v>
      </c>
      <c r="BI664" s="97">
        <f>IF(OR(AY664="SÁB",AY664="DOM"),0,IFERROR(8-VLOOKUP(L664,'Dados de consulta'!$A$2:$C$38,3,0),8))</f>
        <v>8</v>
      </c>
      <c r="BJ664" s="97">
        <f>IF(OR(AY664="SÁB",AY664="DOM"),0,IFERROR(8-VLOOKUP(M664,'Dados de consulta'!$A$2:$C$38,3,0),8))</f>
        <v>0</v>
      </c>
      <c r="BK664" s="97">
        <f>IF(OR(AY664="SÁB",AY664="DOM"),0,IFERROR(8-VLOOKUP(N664,'Dados de consulta'!$A$2:$C$38,3,0),8))</f>
        <v>8</v>
      </c>
      <c r="BL664" s="97">
        <f>IF(OR(AY664="SÁB",AY664="DOM"),0,IFERROR(8-VLOOKUP(O664,'Dados de consulta'!$A$2:$C$38,3,0),8))</f>
        <v>8</v>
      </c>
      <c r="BM664" s="97">
        <f>IF(OR(AY664="SÁB",AY664="DOM"),0,IFERROR(8-VLOOKUP(P664,'Dados de consulta'!$A$2:$C$38,3,0),8))</f>
        <v>8</v>
      </c>
      <c r="BN664" s="97">
        <f>IF(OR(AY664="SÁB",AY664="DOM"),0,IFERROR(8-VLOOKUP(Q664,'Dados de consulta'!$A$2:$C$38,3,0),8))</f>
        <v>8</v>
      </c>
      <c r="BO664" s="97">
        <f>IF(OR(AY664="SÁB",AY664="DOM"),0,IFERROR(8-VLOOKUP(R664,'Dados de consulta'!$A$2:$C$38,3,0),8))</f>
        <v>8</v>
      </c>
      <c r="BP664" s="97">
        <f>IF(OR(AY664="SÁB",AY664="DOM"),0,IFERROR(8-VLOOKUP(S664,'Dados de consulta'!$A$2:$C$38,3,0),8))</f>
        <v>8</v>
      </c>
      <c r="BQ664" s="113">
        <f>IFERROR(6-VLOOKUP(T664,'Dados de consulta'!$A$2:$C$38,3,0)+2,6)</f>
        <v>6</v>
      </c>
      <c r="BR664" s="114">
        <f t="shared" si="284"/>
        <v>126</v>
      </c>
      <c r="BS664">
        <f t="shared" si="260"/>
        <v>134</v>
      </c>
      <c r="BU664">
        <f>IFERROR(8-VLOOKUP(U664,'Dados de consulta'!$A:$D,3,0),8)</f>
        <v>8</v>
      </c>
      <c r="BV664">
        <f>IFERROR(8-VLOOKUP(V664,'Dados de consulta'!$A:$D,3,0),8)</f>
        <v>8</v>
      </c>
      <c r="BW664">
        <f t="shared" si="285"/>
        <v>16</v>
      </c>
    </row>
    <row r="665" spans="1:75" ht="15" hidden="1" x14ac:dyDescent="0.2">
      <c r="A665" s="98">
        <v>42788</v>
      </c>
      <c r="B665" s="129" t="str">
        <f t="shared" si="262"/>
        <v>qua</v>
      </c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>
        <v>101</v>
      </c>
      <c r="N665" s="132"/>
      <c r="O665" s="132"/>
      <c r="P665" s="132"/>
      <c r="Q665" s="132"/>
      <c r="R665" s="132"/>
      <c r="S665" s="132"/>
      <c r="T665" s="132"/>
      <c r="U665" s="151"/>
      <c r="V665" s="151"/>
      <c r="W665" s="307" t="s">
        <v>193</v>
      </c>
      <c r="X665" s="308"/>
      <c r="Y665" s="38">
        <f t="shared" si="263"/>
        <v>0</v>
      </c>
      <c r="Z665" s="38">
        <f t="shared" si="264"/>
        <v>0</v>
      </c>
      <c r="AA665" s="38">
        <f t="shared" si="261"/>
        <v>0</v>
      </c>
      <c r="AB665" s="38">
        <f t="shared" si="272"/>
        <v>0</v>
      </c>
      <c r="AC665" s="38">
        <f t="shared" si="273"/>
        <v>0</v>
      </c>
      <c r="AD665" s="38">
        <f t="shared" si="274"/>
        <v>0</v>
      </c>
      <c r="AE665" s="38">
        <f t="shared" si="275"/>
        <v>0</v>
      </c>
      <c r="AF665" s="38">
        <f t="shared" si="276"/>
        <v>0</v>
      </c>
      <c r="AG665" s="33">
        <f t="shared" si="277"/>
        <v>0</v>
      </c>
      <c r="AH665" s="33">
        <f t="shared" si="278"/>
        <v>0</v>
      </c>
      <c r="AI665" s="33">
        <f t="shared" si="279"/>
        <v>0</v>
      </c>
      <c r="AJ665" s="33">
        <f t="shared" si="280"/>
        <v>0</v>
      </c>
      <c r="AK665" s="34">
        <f t="shared" si="281"/>
        <v>0</v>
      </c>
      <c r="AL665" s="35">
        <f t="shared" si="282"/>
        <v>0</v>
      </c>
      <c r="AM665" s="34">
        <f t="shared" si="265"/>
        <v>0</v>
      </c>
      <c r="AN665" s="36">
        <f t="shared" si="283"/>
        <v>0</v>
      </c>
      <c r="AO665" s="6">
        <f t="shared" si="266"/>
        <v>0</v>
      </c>
      <c r="AP665">
        <f t="shared" si="267"/>
        <v>8</v>
      </c>
      <c r="AQ665" s="6">
        <f t="shared" si="268"/>
        <v>0</v>
      </c>
      <c r="AR665" s="6">
        <f t="shared" si="269"/>
        <v>0</v>
      </c>
      <c r="AS665" s="6"/>
      <c r="AX665" s="95">
        <f t="shared" si="270"/>
        <v>42788</v>
      </c>
      <c r="AY665" s="96" t="str">
        <f t="shared" si="271"/>
        <v>qua</v>
      </c>
      <c r="AZ665" s="97">
        <f>IF(OR(AY665="SÁB",AY665="DOM"),0,IFERROR(8-VLOOKUP(C665,'Dados de consulta'!$A$2:$C$38,3,0),8))</f>
        <v>8</v>
      </c>
      <c r="BA665" s="97">
        <f>IF(OR(AY665="SÁB",AY665="DOM"),0,IFERROR(8-VLOOKUP(D665,'Dados de consulta'!$A$2:$C$38,3,0),8))</f>
        <v>8</v>
      </c>
      <c r="BB665" s="97">
        <f>IF(OR(AY665="SÁB",AY665="DOM"),0,IFERROR(8-VLOOKUP(E665,'Dados de consulta'!$A$2:$C$38,3,0),8))</f>
        <v>8</v>
      </c>
      <c r="BC665" s="97">
        <f>IF(OR(AY665="SÁB",AY665="DOM"),0,IFERROR(8-VLOOKUP(F665,'Dados de consulta'!$A$2:$C$38,3,0),8))</f>
        <v>8</v>
      </c>
      <c r="BD665" s="97">
        <f>IF(OR(AY665="SÁB",AY665="DOM"),0,IFERROR(8-VLOOKUP(G665,'Dados de consulta'!$A$2:$C$38,3,0),8))</f>
        <v>8</v>
      </c>
      <c r="BE665" s="97">
        <f>IF(OR(AY665="SÁB",AY665="DOM"),0,IFERROR(8-VLOOKUP(H665,'Dados de consulta'!$A$2:$C$38,3,0),8))</f>
        <v>8</v>
      </c>
      <c r="BF665" s="97">
        <f>IF(OR(AY665="SÁB",AY665="DOM"),0,IFERROR(8-VLOOKUP(I665,'Dados de consulta'!$A$2:$C$38,3,0),8))</f>
        <v>8</v>
      </c>
      <c r="BG665" s="97">
        <f>IF(OR(AY665="SÁB",AY665="DOM"),0,IFERROR(8-VLOOKUP(J665,'Dados de consulta'!$A$2:$C$38,3,0),8))</f>
        <v>8</v>
      </c>
      <c r="BH665" s="97">
        <f>IF(OR(AY665="SÁB",AY665="DOM"),0,IFERROR(8-VLOOKUP(K665,'Dados de consulta'!$A$2:$C$38,3,0),8))</f>
        <v>8</v>
      </c>
      <c r="BI665" s="97">
        <f>IF(OR(AY665="SÁB",AY665="DOM"),0,IFERROR(8-VLOOKUP(L665,'Dados de consulta'!$A$2:$C$38,3,0),8))</f>
        <v>8</v>
      </c>
      <c r="BJ665" s="97">
        <f>IF(OR(AY665="SÁB",AY665="DOM"),0,IFERROR(8-VLOOKUP(M665,'Dados de consulta'!$A$2:$C$38,3,0),8))</f>
        <v>0</v>
      </c>
      <c r="BK665" s="97">
        <f>IF(OR(AY665="SÁB",AY665="DOM"),0,IFERROR(8-VLOOKUP(N665,'Dados de consulta'!$A$2:$C$38,3,0),8))</f>
        <v>8</v>
      </c>
      <c r="BL665" s="97">
        <f>IF(OR(AY665="SÁB",AY665="DOM"),0,IFERROR(8-VLOOKUP(O665,'Dados de consulta'!$A$2:$C$38,3,0),8))</f>
        <v>8</v>
      </c>
      <c r="BM665" s="97">
        <f>IF(OR(AY665="SÁB",AY665="DOM"),0,IFERROR(8-VLOOKUP(P665,'Dados de consulta'!$A$2:$C$38,3,0),8))</f>
        <v>8</v>
      </c>
      <c r="BN665" s="97">
        <f>IF(OR(AY665="SÁB",AY665="DOM"),0,IFERROR(8-VLOOKUP(Q665,'Dados de consulta'!$A$2:$C$38,3,0),8))</f>
        <v>8</v>
      </c>
      <c r="BO665" s="97">
        <f>IF(OR(AY665="SÁB",AY665="DOM"),0,IFERROR(8-VLOOKUP(R665,'Dados de consulta'!$A$2:$C$38,3,0),8))</f>
        <v>8</v>
      </c>
      <c r="BP665" s="97">
        <f>IF(OR(AY665="SÁB",AY665="DOM"),0,IFERROR(8-VLOOKUP(S665,'Dados de consulta'!$A$2:$C$38,3,0),8))</f>
        <v>8</v>
      </c>
      <c r="BQ665" s="113">
        <f>IFERROR(6-VLOOKUP(T665,'Dados de consulta'!$A$2:$C$38,3,0)+2,6)</f>
        <v>6</v>
      </c>
      <c r="BR665" s="114">
        <f t="shared" si="284"/>
        <v>134</v>
      </c>
      <c r="BS665">
        <f t="shared" si="260"/>
        <v>134</v>
      </c>
      <c r="BU665">
        <f>IFERROR(8-VLOOKUP(U665,'Dados de consulta'!$A:$D,3,0),8)</f>
        <v>8</v>
      </c>
      <c r="BV665">
        <f>IFERROR(8-VLOOKUP(V665,'Dados de consulta'!$A:$D,3,0),8)</f>
        <v>8</v>
      </c>
      <c r="BW665">
        <f t="shared" si="285"/>
        <v>16</v>
      </c>
    </row>
    <row r="666" spans="1:75" ht="15" hidden="1" x14ac:dyDescent="0.2">
      <c r="A666" s="98">
        <v>42789</v>
      </c>
      <c r="B666" s="129" t="str">
        <f t="shared" si="262"/>
        <v>qui</v>
      </c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>
        <v>101</v>
      </c>
      <c r="N666" s="132"/>
      <c r="O666" s="132"/>
      <c r="P666" s="132"/>
      <c r="Q666" s="132"/>
      <c r="R666" s="132"/>
      <c r="S666" s="132"/>
      <c r="T666" s="132"/>
      <c r="U666" s="151"/>
      <c r="V666" s="151"/>
      <c r="W666" s="307" t="s">
        <v>193</v>
      </c>
      <c r="X666" s="308"/>
      <c r="Y666" s="38">
        <f t="shared" si="263"/>
        <v>0</v>
      </c>
      <c r="Z666" s="38">
        <f t="shared" si="264"/>
        <v>0</v>
      </c>
      <c r="AA666" s="38">
        <f t="shared" si="261"/>
        <v>0</v>
      </c>
      <c r="AB666" s="38">
        <f t="shared" si="272"/>
        <v>0</v>
      </c>
      <c r="AC666" s="38">
        <f t="shared" si="273"/>
        <v>0</v>
      </c>
      <c r="AD666" s="38">
        <f t="shared" si="274"/>
        <v>0</v>
      </c>
      <c r="AE666" s="38">
        <f t="shared" si="275"/>
        <v>0</v>
      </c>
      <c r="AF666" s="38">
        <f t="shared" si="276"/>
        <v>0</v>
      </c>
      <c r="AG666" s="33">
        <f t="shared" si="277"/>
        <v>0</v>
      </c>
      <c r="AH666" s="33">
        <f t="shared" si="278"/>
        <v>0</v>
      </c>
      <c r="AI666" s="33">
        <f t="shared" si="279"/>
        <v>0</v>
      </c>
      <c r="AJ666" s="33">
        <f t="shared" si="280"/>
        <v>0</v>
      </c>
      <c r="AK666" s="34">
        <f t="shared" si="281"/>
        <v>0</v>
      </c>
      <c r="AL666" s="35">
        <f t="shared" si="282"/>
        <v>0</v>
      </c>
      <c r="AM666" s="34">
        <f t="shared" si="265"/>
        <v>0</v>
      </c>
      <c r="AN666" s="36">
        <f t="shared" si="283"/>
        <v>0</v>
      </c>
      <c r="AO666" s="6">
        <f t="shared" si="266"/>
        <v>0</v>
      </c>
      <c r="AP666">
        <f t="shared" si="267"/>
        <v>8</v>
      </c>
      <c r="AQ666" s="6">
        <f t="shared" si="268"/>
        <v>0</v>
      </c>
      <c r="AR666" s="6">
        <f t="shared" si="269"/>
        <v>0</v>
      </c>
      <c r="AS666" s="6"/>
      <c r="AX666" s="95">
        <f t="shared" si="270"/>
        <v>42789</v>
      </c>
      <c r="AY666" s="96" t="str">
        <f t="shared" si="271"/>
        <v>qui</v>
      </c>
      <c r="AZ666" s="97">
        <f>IF(OR(AY666="SÁB",AY666="DOM"),0,IFERROR(8-VLOOKUP(C666,'Dados de consulta'!$A$2:$C$38,3,0),8))</f>
        <v>8</v>
      </c>
      <c r="BA666" s="97">
        <f>IF(OR(AY666="SÁB",AY666="DOM"),0,IFERROR(8-VLOOKUP(D666,'Dados de consulta'!$A$2:$C$38,3,0),8))</f>
        <v>8</v>
      </c>
      <c r="BB666" s="97">
        <f>IF(OR(AY666="SÁB",AY666="DOM"),0,IFERROR(8-VLOOKUP(E666,'Dados de consulta'!$A$2:$C$38,3,0),8))</f>
        <v>8</v>
      </c>
      <c r="BC666" s="97">
        <f>IF(OR(AY666="SÁB",AY666="DOM"),0,IFERROR(8-VLOOKUP(F666,'Dados de consulta'!$A$2:$C$38,3,0),8))</f>
        <v>8</v>
      </c>
      <c r="BD666" s="97">
        <f>IF(OR(AY666="SÁB",AY666="DOM"),0,IFERROR(8-VLOOKUP(G666,'Dados de consulta'!$A$2:$C$38,3,0),8))</f>
        <v>8</v>
      </c>
      <c r="BE666" s="97">
        <f>IF(OR(AY666="SÁB",AY666="DOM"),0,IFERROR(8-VLOOKUP(H666,'Dados de consulta'!$A$2:$C$38,3,0),8))</f>
        <v>8</v>
      </c>
      <c r="BF666" s="97">
        <f>IF(OR(AY666="SÁB",AY666="DOM"),0,IFERROR(8-VLOOKUP(I666,'Dados de consulta'!$A$2:$C$38,3,0),8))</f>
        <v>8</v>
      </c>
      <c r="BG666" s="97">
        <f>IF(OR(AY666="SÁB",AY666="DOM"),0,IFERROR(8-VLOOKUP(J666,'Dados de consulta'!$A$2:$C$38,3,0),8))</f>
        <v>8</v>
      </c>
      <c r="BH666" s="97">
        <f>IF(OR(AY666="SÁB",AY666="DOM"),0,IFERROR(8-VLOOKUP(K666,'Dados de consulta'!$A$2:$C$38,3,0),8))</f>
        <v>8</v>
      </c>
      <c r="BI666" s="97">
        <f>IF(OR(AY666="SÁB",AY666="DOM"),0,IFERROR(8-VLOOKUP(L666,'Dados de consulta'!$A$2:$C$38,3,0),8))</f>
        <v>8</v>
      </c>
      <c r="BJ666" s="97">
        <f>IF(OR(AY666="SÁB",AY666="DOM"),0,IFERROR(8-VLOOKUP(M666,'Dados de consulta'!$A$2:$C$38,3,0),8))</f>
        <v>0</v>
      </c>
      <c r="BK666" s="97">
        <f>IF(OR(AY666="SÁB",AY666="DOM"),0,IFERROR(8-VLOOKUP(N666,'Dados de consulta'!$A$2:$C$38,3,0),8))</f>
        <v>8</v>
      </c>
      <c r="BL666" s="97">
        <f>IF(OR(AY666="SÁB",AY666="DOM"),0,IFERROR(8-VLOOKUP(O666,'Dados de consulta'!$A$2:$C$38,3,0),8))</f>
        <v>8</v>
      </c>
      <c r="BM666" s="97">
        <f>IF(OR(AY666="SÁB",AY666="DOM"),0,IFERROR(8-VLOOKUP(P666,'Dados de consulta'!$A$2:$C$38,3,0),8))</f>
        <v>8</v>
      </c>
      <c r="BN666" s="97">
        <f>IF(OR(AY666="SÁB",AY666="DOM"),0,IFERROR(8-VLOOKUP(Q666,'Dados de consulta'!$A$2:$C$38,3,0),8))</f>
        <v>8</v>
      </c>
      <c r="BO666" s="97">
        <f>IF(OR(AY666="SÁB",AY666="DOM"),0,IFERROR(8-VLOOKUP(R666,'Dados de consulta'!$A$2:$C$38,3,0),8))</f>
        <v>8</v>
      </c>
      <c r="BP666" s="97">
        <f>IF(OR(AY666="SÁB",AY666="DOM"),0,IFERROR(8-VLOOKUP(S666,'Dados de consulta'!$A$2:$C$38,3,0),8))</f>
        <v>8</v>
      </c>
      <c r="BQ666" s="113">
        <f>IFERROR(6-VLOOKUP(T666,'Dados de consulta'!$A$2:$C$38,3,0)+2,6)</f>
        <v>6</v>
      </c>
      <c r="BR666" s="114">
        <f t="shared" si="284"/>
        <v>134</v>
      </c>
      <c r="BS666">
        <f t="shared" si="260"/>
        <v>134</v>
      </c>
      <c r="BU666">
        <f>IFERROR(8-VLOOKUP(U666,'Dados de consulta'!$A:$D,3,0),8)</f>
        <v>8</v>
      </c>
      <c r="BV666">
        <f>IFERROR(8-VLOOKUP(V666,'Dados de consulta'!$A:$D,3,0),8)</f>
        <v>8</v>
      </c>
      <c r="BW666">
        <f t="shared" si="285"/>
        <v>16</v>
      </c>
    </row>
    <row r="667" spans="1:75" ht="15" hidden="1" x14ac:dyDescent="0.2">
      <c r="A667" s="98">
        <v>42790</v>
      </c>
      <c r="B667" s="129" t="str">
        <f t="shared" si="262"/>
        <v>sex</v>
      </c>
      <c r="C667" s="132"/>
      <c r="D667" s="132"/>
      <c r="E667" s="132"/>
      <c r="F667" s="132"/>
      <c r="G667" s="132"/>
      <c r="H667" s="132"/>
      <c r="I667" s="132"/>
      <c r="J667" s="132"/>
      <c r="K667" s="132">
        <v>18</v>
      </c>
      <c r="L667" s="132"/>
      <c r="M667" s="132">
        <v>101</v>
      </c>
      <c r="N667" s="132"/>
      <c r="O667" s="132"/>
      <c r="P667" s="132"/>
      <c r="Q667" s="132"/>
      <c r="R667" s="132"/>
      <c r="S667" s="132"/>
      <c r="T667" s="132"/>
      <c r="U667" s="151"/>
      <c r="V667" s="151"/>
      <c r="W667" s="307" t="s">
        <v>193</v>
      </c>
      <c r="X667" s="308"/>
      <c r="Y667" s="38">
        <f t="shared" si="263"/>
        <v>0</v>
      </c>
      <c r="Z667" s="38">
        <f t="shared" si="264"/>
        <v>8</v>
      </c>
      <c r="AA667" s="38">
        <f t="shared" si="261"/>
        <v>0</v>
      </c>
      <c r="AB667" s="38">
        <f t="shared" si="272"/>
        <v>0</v>
      </c>
      <c r="AC667" s="38">
        <f t="shared" si="273"/>
        <v>0</v>
      </c>
      <c r="AD667" s="38">
        <f t="shared" si="274"/>
        <v>0</v>
      </c>
      <c r="AE667" s="38">
        <f t="shared" si="275"/>
        <v>0</v>
      </c>
      <c r="AF667" s="38">
        <f t="shared" si="276"/>
        <v>0</v>
      </c>
      <c r="AG667" s="33">
        <f t="shared" si="277"/>
        <v>0</v>
      </c>
      <c r="AH667" s="33">
        <f t="shared" si="278"/>
        <v>8</v>
      </c>
      <c r="AI667" s="33">
        <f t="shared" si="279"/>
        <v>0</v>
      </c>
      <c r="AJ667" s="33">
        <f t="shared" si="280"/>
        <v>0</v>
      </c>
      <c r="AK667" s="34">
        <f t="shared" si="281"/>
        <v>0</v>
      </c>
      <c r="AL667" s="35">
        <f t="shared" si="282"/>
        <v>5.6338028169014086E-2</v>
      </c>
      <c r="AM667" s="34">
        <f t="shared" si="265"/>
        <v>0</v>
      </c>
      <c r="AN667" s="36">
        <f t="shared" si="283"/>
        <v>0</v>
      </c>
      <c r="AO667" s="6">
        <f t="shared" si="266"/>
        <v>0</v>
      </c>
      <c r="AP667">
        <f t="shared" si="267"/>
        <v>8</v>
      </c>
      <c r="AQ667" s="6">
        <f t="shared" si="268"/>
        <v>0</v>
      </c>
      <c r="AR667" s="6">
        <f t="shared" si="269"/>
        <v>0</v>
      </c>
      <c r="AS667" s="6"/>
      <c r="AX667" s="95">
        <f t="shared" si="270"/>
        <v>42790</v>
      </c>
      <c r="AY667" s="96" t="str">
        <f t="shared" si="271"/>
        <v>sex</v>
      </c>
      <c r="AZ667" s="97">
        <f>IF(OR(AY667="SÁB",AY667="DOM"),0,IFERROR(8-VLOOKUP(C667,'Dados de consulta'!$A$2:$C$38,3,0),8))</f>
        <v>8</v>
      </c>
      <c r="BA667" s="97">
        <f>IF(OR(AY667="SÁB",AY667="DOM"),0,IFERROR(8-VLOOKUP(D667,'Dados de consulta'!$A$2:$C$38,3,0),8))</f>
        <v>8</v>
      </c>
      <c r="BB667" s="97">
        <f>IF(OR(AY667="SÁB",AY667="DOM"),0,IFERROR(8-VLOOKUP(E667,'Dados de consulta'!$A$2:$C$38,3,0),8))</f>
        <v>8</v>
      </c>
      <c r="BC667" s="97">
        <f>IF(OR(AY667="SÁB",AY667="DOM"),0,IFERROR(8-VLOOKUP(F667,'Dados de consulta'!$A$2:$C$38,3,0),8))</f>
        <v>8</v>
      </c>
      <c r="BD667" s="97">
        <f>IF(OR(AY667="SÁB",AY667="DOM"),0,IFERROR(8-VLOOKUP(G667,'Dados de consulta'!$A$2:$C$38,3,0),8))</f>
        <v>8</v>
      </c>
      <c r="BE667" s="97">
        <f>IF(OR(AY667="SÁB",AY667="DOM"),0,IFERROR(8-VLOOKUP(H667,'Dados de consulta'!$A$2:$C$38,3,0),8))</f>
        <v>8</v>
      </c>
      <c r="BF667" s="97">
        <f>IF(OR(AY667="SÁB",AY667="DOM"),0,IFERROR(8-VLOOKUP(I667,'Dados de consulta'!$A$2:$C$38,3,0),8))</f>
        <v>8</v>
      </c>
      <c r="BG667" s="97">
        <f>IF(OR(AY667="SÁB",AY667="DOM"),0,IFERROR(8-VLOOKUP(J667,'Dados de consulta'!$A$2:$C$38,3,0),8))</f>
        <v>8</v>
      </c>
      <c r="BH667" s="97">
        <f>IF(OR(AY667="SÁB",AY667="DOM"),0,IFERROR(8-VLOOKUP(K667,'Dados de consulta'!$A$2:$C$38,3,0),8))</f>
        <v>0</v>
      </c>
      <c r="BI667" s="97">
        <f>IF(OR(AY667="SÁB",AY667="DOM"),0,IFERROR(8-VLOOKUP(L667,'Dados de consulta'!$A$2:$C$38,3,0),8))</f>
        <v>8</v>
      </c>
      <c r="BJ667" s="97">
        <f>IF(OR(AY667="SÁB",AY667="DOM"),0,IFERROR(8-VLOOKUP(M667,'Dados de consulta'!$A$2:$C$38,3,0),8))</f>
        <v>0</v>
      </c>
      <c r="BK667" s="97">
        <f>IF(OR(AY667="SÁB",AY667="DOM"),0,IFERROR(8-VLOOKUP(N667,'Dados de consulta'!$A$2:$C$38,3,0),8))</f>
        <v>8</v>
      </c>
      <c r="BL667" s="97">
        <f>IF(OR(AY667="SÁB",AY667="DOM"),0,IFERROR(8-VLOOKUP(O667,'Dados de consulta'!$A$2:$C$38,3,0),8))</f>
        <v>8</v>
      </c>
      <c r="BM667" s="97">
        <f>IF(OR(AY667="SÁB",AY667="DOM"),0,IFERROR(8-VLOOKUP(P667,'Dados de consulta'!$A$2:$C$38,3,0),8))</f>
        <v>8</v>
      </c>
      <c r="BN667" s="97">
        <f>IF(OR(AY667="SÁB",AY667="DOM"),0,IFERROR(8-VLOOKUP(Q667,'Dados de consulta'!$A$2:$C$38,3,0),8))</f>
        <v>8</v>
      </c>
      <c r="BO667" s="97">
        <f>IF(OR(AY667="SÁB",AY667="DOM"),0,IFERROR(8-VLOOKUP(R667,'Dados de consulta'!$A$2:$C$38,3,0),8))</f>
        <v>8</v>
      </c>
      <c r="BP667" s="97">
        <f>IF(OR(AY667="SÁB",AY667="DOM"),0,IFERROR(8-VLOOKUP(S667,'Dados de consulta'!$A$2:$C$38,3,0),8))</f>
        <v>8</v>
      </c>
      <c r="BQ667" s="113">
        <f>IFERROR(6-VLOOKUP(T667,'Dados de consulta'!$A$2:$C$38,3,0)+2,6)</f>
        <v>6</v>
      </c>
      <c r="BR667" s="114">
        <f t="shared" si="284"/>
        <v>126</v>
      </c>
      <c r="BS667">
        <f t="shared" si="260"/>
        <v>134</v>
      </c>
      <c r="BU667">
        <f>IFERROR(8-VLOOKUP(U667,'Dados de consulta'!$A:$D,3,0),8)</f>
        <v>8</v>
      </c>
      <c r="BV667">
        <f>IFERROR(8-VLOOKUP(V667,'Dados de consulta'!$A:$D,3,0),8)</f>
        <v>8</v>
      </c>
      <c r="BW667">
        <f t="shared" si="285"/>
        <v>16</v>
      </c>
    </row>
    <row r="668" spans="1:75" ht="15" hidden="1" x14ac:dyDescent="0.2">
      <c r="A668" s="98">
        <v>42791</v>
      </c>
      <c r="B668" s="129" t="str">
        <f t="shared" si="262"/>
        <v>sáb</v>
      </c>
      <c r="C668" s="132"/>
      <c r="D668" s="132"/>
      <c r="E668" s="132"/>
      <c r="F668" s="132"/>
      <c r="G668" s="132"/>
      <c r="H668" s="132"/>
      <c r="I668" s="132"/>
      <c r="J668" s="132"/>
      <c r="K668" s="132">
        <v>18</v>
      </c>
      <c r="L668" s="132"/>
      <c r="M668" s="132">
        <v>101</v>
      </c>
      <c r="N668" s="132"/>
      <c r="O668" s="132"/>
      <c r="P668" s="132"/>
      <c r="Q668" s="132"/>
      <c r="R668" s="132"/>
      <c r="S668" s="132"/>
      <c r="T668" s="132"/>
      <c r="U668" s="151"/>
      <c r="V668" s="151"/>
      <c r="W668" s="307" t="s">
        <v>193</v>
      </c>
      <c r="X668" s="308"/>
      <c r="Y668" s="38">
        <f t="shared" si="263"/>
        <v>0</v>
      </c>
      <c r="Z668" s="38">
        <f t="shared" si="264"/>
        <v>8</v>
      </c>
      <c r="AA668" s="38">
        <f t="shared" si="261"/>
        <v>0</v>
      </c>
      <c r="AB668" s="38">
        <f t="shared" si="272"/>
        <v>0</v>
      </c>
      <c r="AC668" s="38">
        <f t="shared" si="273"/>
        <v>0</v>
      </c>
      <c r="AD668" s="38">
        <f t="shared" si="274"/>
        <v>0</v>
      </c>
      <c r="AE668" s="38">
        <f t="shared" si="275"/>
        <v>0</v>
      </c>
      <c r="AF668" s="38">
        <f t="shared" si="276"/>
        <v>0</v>
      </c>
      <c r="AG668" s="33">
        <f t="shared" si="277"/>
        <v>0</v>
      </c>
      <c r="AH668" s="33">
        <f t="shared" si="278"/>
        <v>0</v>
      </c>
      <c r="AI668" s="33">
        <f t="shared" si="279"/>
        <v>0</v>
      </c>
      <c r="AJ668" s="33">
        <f t="shared" si="280"/>
        <v>0</v>
      </c>
      <c r="AK668" s="34">
        <f t="shared" si="281"/>
        <v>0</v>
      </c>
      <c r="AL668" s="35">
        <f t="shared" si="282"/>
        <v>0</v>
      </c>
      <c r="AM668" s="34">
        <f t="shared" si="265"/>
        <v>0</v>
      </c>
      <c r="AN668" s="36">
        <f t="shared" si="283"/>
        <v>0</v>
      </c>
      <c r="AO668" s="6">
        <f t="shared" si="266"/>
        <v>0</v>
      </c>
      <c r="AP668">
        <f t="shared" si="267"/>
        <v>8</v>
      </c>
      <c r="AQ668" s="6">
        <f t="shared" si="268"/>
        <v>0</v>
      </c>
      <c r="AR668" s="6">
        <f t="shared" si="269"/>
        <v>0</v>
      </c>
      <c r="AS668" s="6"/>
      <c r="AX668" s="95">
        <f t="shared" si="270"/>
        <v>42791</v>
      </c>
      <c r="AY668" s="96" t="str">
        <f t="shared" si="271"/>
        <v>sáb</v>
      </c>
      <c r="AZ668" s="97">
        <f>IF(OR(AY668="SÁB",AY668="DOM"),0,IFERROR(8-VLOOKUP(C668,'Dados de consulta'!$A$2:$C$38,3,0),8))</f>
        <v>0</v>
      </c>
      <c r="BA668" s="97">
        <f>IF(OR(AY668="SÁB",AY668="DOM"),0,IFERROR(8-VLOOKUP(D668,'Dados de consulta'!$A$2:$C$38,3,0),8))</f>
        <v>0</v>
      </c>
      <c r="BB668" s="97">
        <f>IF(OR(AY668="SÁB",AY668="DOM"),0,IFERROR(8-VLOOKUP(E668,'Dados de consulta'!$A$2:$C$38,3,0),8))</f>
        <v>0</v>
      </c>
      <c r="BC668" s="97">
        <f>IF(OR(AY668="SÁB",AY668="DOM"),0,IFERROR(8-VLOOKUP(F668,'Dados de consulta'!$A$2:$C$38,3,0),8))</f>
        <v>0</v>
      </c>
      <c r="BD668" s="97">
        <f>IF(OR(AY668="SÁB",AY668="DOM"),0,IFERROR(8-VLOOKUP(G668,'Dados de consulta'!$A$2:$C$38,3,0),8))</f>
        <v>0</v>
      </c>
      <c r="BE668" s="97">
        <f>IF(OR(AY668="SÁB",AY668="DOM"),0,IFERROR(8-VLOOKUP(H668,'Dados de consulta'!$A$2:$C$38,3,0),8))</f>
        <v>0</v>
      </c>
      <c r="BF668" s="97">
        <f>IF(OR(AY668="SÁB",AY668="DOM"),0,IFERROR(8-VLOOKUP(I668,'Dados de consulta'!$A$2:$C$38,3,0),8))</f>
        <v>0</v>
      </c>
      <c r="BG668" s="97">
        <f>IF(OR(AY668="SÁB",AY668="DOM"),0,IFERROR(8-VLOOKUP(J668,'Dados de consulta'!$A$2:$C$38,3,0),8))</f>
        <v>0</v>
      </c>
      <c r="BH668" s="97">
        <f>IF(OR(AY668="SÁB",AY668="DOM"),0,IFERROR(8-VLOOKUP(K668,'Dados de consulta'!$A$2:$C$38,3,0),8))</f>
        <v>0</v>
      </c>
      <c r="BI668" s="97">
        <f>IF(OR(AY668="SÁB",AY668="DOM"),0,IFERROR(8-VLOOKUP(L668,'Dados de consulta'!$A$2:$C$38,3,0),8))</f>
        <v>0</v>
      </c>
      <c r="BJ668" s="97">
        <f>IF(OR(AY668="SÁB",AY668="DOM"),0,IFERROR(8-VLOOKUP(M668,'Dados de consulta'!$A$2:$C$38,3,0),8))</f>
        <v>0</v>
      </c>
      <c r="BK668" s="97">
        <f>IF(OR(AY668="SÁB",AY668="DOM"),0,IFERROR(8-VLOOKUP(N668,'Dados de consulta'!$A$2:$C$38,3,0),8))</f>
        <v>0</v>
      </c>
      <c r="BL668" s="97">
        <f>IF(OR(AY668="SÁB",AY668="DOM"),0,IFERROR(8-VLOOKUP(O668,'Dados de consulta'!$A$2:$C$38,3,0),8))</f>
        <v>0</v>
      </c>
      <c r="BM668" s="97">
        <f>IF(OR(AY668="SÁB",AY668="DOM"),0,IFERROR(8-VLOOKUP(P668,'Dados de consulta'!$A$2:$C$38,3,0),8))</f>
        <v>0</v>
      </c>
      <c r="BN668" s="97">
        <f>IF(OR(AY668="SÁB",AY668="DOM"),0,IFERROR(8-VLOOKUP(Q668,'Dados de consulta'!$A$2:$C$38,3,0),8))</f>
        <v>0</v>
      </c>
      <c r="BO668" s="97">
        <f>IF(OR(AY668="SÁB",AY668="DOM"),0,IFERROR(8-VLOOKUP(R668,'Dados de consulta'!$A$2:$C$38,3,0),8))</f>
        <v>0</v>
      </c>
      <c r="BP668" s="97">
        <f>IF(OR(AY668="SÁB",AY668="DOM"),0,IFERROR(8-VLOOKUP(S668,'Dados de consulta'!$A$2:$C$38,3,0),8))</f>
        <v>0</v>
      </c>
      <c r="BQ668" s="113">
        <f>IFERROR(6-VLOOKUP(T668,'Dados de consulta'!$A$2:$C$38,3,0)+2,6)</f>
        <v>6</v>
      </c>
      <c r="BR668" s="114">
        <f t="shared" si="284"/>
        <v>0</v>
      </c>
      <c r="BS668">
        <f t="shared" si="260"/>
        <v>0</v>
      </c>
      <c r="BU668">
        <f>IFERROR(8-VLOOKUP(U668,'Dados de consulta'!$A:$D,3,0),8)</f>
        <v>8</v>
      </c>
      <c r="BV668">
        <f>IFERROR(8-VLOOKUP(V668,'Dados de consulta'!$A:$D,3,0),8)</f>
        <v>8</v>
      </c>
      <c r="BW668">
        <f t="shared" si="285"/>
        <v>16</v>
      </c>
    </row>
    <row r="669" spans="1:75" ht="15" hidden="1" x14ac:dyDescent="0.2">
      <c r="A669" s="98">
        <v>42792</v>
      </c>
      <c r="B669" s="129" t="str">
        <f t="shared" si="262"/>
        <v>dom</v>
      </c>
      <c r="C669" s="132"/>
      <c r="D669" s="132"/>
      <c r="E669" s="132"/>
      <c r="F669" s="132"/>
      <c r="G669" s="132"/>
      <c r="H669" s="132"/>
      <c r="I669" s="132"/>
      <c r="J669" s="132"/>
      <c r="K669" s="132">
        <v>18</v>
      </c>
      <c r="L669" s="132"/>
      <c r="M669" s="132">
        <v>101</v>
      </c>
      <c r="N669" s="132"/>
      <c r="O669" s="132"/>
      <c r="P669" s="132"/>
      <c r="Q669" s="132"/>
      <c r="R669" s="132"/>
      <c r="S669" s="132"/>
      <c r="T669" s="132"/>
      <c r="U669" s="151"/>
      <c r="V669" s="151"/>
      <c r="W669" s="307" t="s">
        <v>193</v>
      </c>
      <c r="X669" s="308"/>
      <c r="Y669" s="38">
        <f t="shared" si="263"/>
        <v>0</v>
      </c>
      <c r="Z669" s="38">
        <f t="shared" si="264"/>
        <v>8</v>
      </c>
      <c r="AA669" s="38">
        <f t="shared" si="261"/>
        <v>0</v>
      </c>
      <c r="AB669" s="38">
        <f t="shared" si="272"/>
        <v>0</v>
      </c>
      <c r="AC669" s="38">
        <f t="shared" si="273"/>
        <v>0</v>
      </c>
      <c r="AD669" s="38">
        <f t="shared" si="274"/>
        <v>0</v>
      </c>
      <c r="AE669" s="38">
        <f t="shared" si="275"/>
        <v>0</v>
      </c>
      <c r="AF669" s="38">
        <f t="shared" si="276"/>
        <v>0</v>
      </c>
      <c r="AG669" s="33">
        <f t="shared" si="277"/>
        <v>0</v>
      </c>
      <c r="AH669" s="33">
        <f t="shared" si="278"/>
        <v>0</v>
      </c>
      <c r="AI669" s="33">
        <f t="shared" si="279"/>
        <v>0</v>
      </c>
      <c r="AJ669" s="33">
        <f t="shared" si="280"/>
        <v>0</v>
      </c>
      <c r="AK669" s="34">
        <f t="shared" si="281"/>
        <v>0</v>
      </c>
      <c r="AL669" s="35">
        <f t="shared" si="282"/>
        <v>0</v>
      </c>
      <c r="AM669" s="34">
        <f t="shared" si="265"/>
        <v>0</v>
      </c>
      <c r="AN669" s="36">
        <f t="shared" si="283"/>
        <v>0</v>
      </c>
      <c r="AO669" s="6">
        <f t="shared" si="266"/>
        <v>0</v>
      </c>
      <c r="AP669">
        <f t="shared" si="267"/>
        <v>8</v>
      </c>
      <c r="AQ669" s="6">
        <f t="shared" si="268"/>
        <v>0</v>
      </c>
      <c r="AR669" s="6">
        <f t="shared" si="269"/>
        <v>0</v>
      </c>
      <c r="AS669" s="6"/>
      <c r="AX669" s="95">
        <f t="shared" si="270"/>
        <v>42792</v>
      </c>
      <c r="AY669" s="96" t="str">
        <f t="shared" si="271"/>
        <v>dom</v>
      </c>
      <c r="AZ669" s="97">
        <f>IF(OR(AY669="SÁB",AY669="DOM"),0,IFERROR(8-VLOOKUP(C669,'Dados de consulta'!$A$2:$C$38,3,0),8))</f>
        <v>0</v>
      </c>
      <c r="BA669" s="97">
        <f>IF(OR(AY669="SÁB",AY669="DOM"),0,IFERROR(8-VLOOKUP(D669,'Dados de consulta'!$A$2:$C$38,3,0),8))</f>
        <v>0</v>
      </c>
      <c r="BB669" s="97">
        <f>IF(OR(AY669="SÁB",AY669="DOM"),0,IFERROR(8-VLOOKUP(E669,'Dados de consulta'!$A$2:$C$38,3,0),8))</f>
        <v>0</v>
      </c>
      <c r="BC669" s="97">
        <f>IF(OR(AY669="SÁB",AY669="DOM"),0,IFERROR(8-VLOOKUP(F669,'Dados de consulta'!$A$2:$C$38,3,0),8))</f>
        <v>0</v>
      </c>
      <c r="BD669" s="97">
        <f>IF(OR(AY669="SÁB",AY669="DOM"),0,IFERROR(8-VLOOKUP(G669,'Dados de consulta'!$A$2:$C$38,3,0),8))</f>
        <v>0</v>
      </c>
      <c r="BE669" s="97">
        <f>IF(OR(AY669="SÁB",AY669="DOM"),0,IFERROR(8-VLOOKUP(H669,'Dados de consulta'!$A$2:$C$38,3,0),8))</f>
        <v>0</v>
      </c>
      <c r="BF669" s="97">
        <f>IF(OR(AY669="SÁB",AY669="DOM"),0,IFERROR(8-VLOOKUP(I669,'Dados de consulta'!$A$2:$C$38,3,0),8))</f>
        <v>0</v>
      </c>
      <c r="BG669" s="97">
        <f>IF(OR(AY669="SÁB",AY669="DOM"),0,IFERROR(8-VLOOKUP(J669,'Dados de consulta'!$A$2:$C$38,3,0),8))</f>
        <v>0</v>
      </c>
      <c r="BH669" s="97">
        <f>IF(OR(AY669="SÁB",AY669="DOM"),0,IFERROR(8-VLOOKUP(K669,'Dados de consulta'!$A$2:$C$38,3,0),8))</f>
        <v>0</v>
      </c>
      <c r="BI669" s="97">
        <f>IF(OR(AY669="SÁB",AY669="DOM"),0,IFERROR(8-VLOOKUP(L669,'Dados de consulta'!$A$2:$C$38,3,0),8))</f>
        <v>0</v>
      </c>
      <c r="BJ669" s="97">
        <f>IF(OR(AY669="SÁB",AY669="DOM"),0,IFERROR(8-VLOOKUP(M669,'Dados de consulta'!$A$2:$C$38,3,0),8))</f>
        <v>0</v>
      </c>
      <c r="BK669" s="97">
        <f>IF(OR(AY669="SÁB",AY669="DOM"),0,IFERROR(8-VLOOKUP(N669,'Dados de consulta'!$A$2:$C$38,3,0),8))</f>
        <v>0</v>
      </c>
      <c r="BL669" s="97">
        <f>IF(OR(AY669="SÁB",AY669="DOM"),0,IFERROR(8-VLOOKUP(O669,'Dados de consulta'!$A$2:$C$38,3,0),8))</f>
        <v>0</v>
      </c>
      <c r="BM669" s="97">
        <f>IF(OR(AY669="SÁB",AY669="DOM"),0,IFERROR(8-VLOOKUP(P669,'Dados de consulta'!$A$2:$C$38,3,0),8))</f>
        <v>0</v>
      </c>
      <c r="BN669" s="97">
        <f>IF(OR(AY669="SÁB",AY669="DOM"),0,IFERROR(8-VLOOKUP(Q669,'Dados de consulta'!$A$2:$C$38,3,0),8))</f>
        <v>0</v>
      </c>
      <c r="BO669" s="97">
        <f>IF(OR(AY669="SÁB",AY669="DOM"),0,IFERROR(8-VLOOKUP(R669,'Dados de consulta'!$A$2:$C$38,3,0),8))</f>
        <v>0</v>
      </c>
      <c r="BP669" s="97">
        <f>IF(OR(AY669="SÁB",AY669="DOM"),0,IFERROR(8-VLOOKUP(S669,'Dados de consulta'!$A$2:$C$38,3,0),8))</f>
        <v>0</v>
      </c>
      <c r="BQ669" s="113">
        <f>IFERROR(6-VLOOKUP(T669,'Dados de consulta'!$A$2:$C$38,3,0)+2,6)</f>
        <v>6</v>
      </c>
      <c r="BR669" s="114">
        <f t="shared" si="284"/>
        <v>0</v>
      </c>
      <c r="BS669">
        <f t="shared" si="260"/>
        <v>0</v>
      </c>
      <c r="BU669">
        <f>IFERROR(8-VLOOKUP(U669,'Dados de consulta'!$A:$D,3,0),8)</f>
        <v>8</v>
      </c>
      <c r="BV669">
        <f>IFERROR(8-VLOOKUP(V669,'Dados de consulta'!$A:$D,3,0),8)</f>
        <v>8</v>
      </c>
      <c r="BW669">
        <f t="shared" si="285"/>
        <v>16</v>
      </c>
    </row>
    <row r="670" spans="1:75" ht="15" hidden="1" x14ac:dyDescent="0.2">
      <c r="A670" s="98">
        <v>42793</v>
      </c>
      <c r="B670" s="129" t="str">
        <f t="shared" si="262"/>
        <v>seg</v>
      </c>
      <c r="C670" s="132"/>
      <c r="D670" s="132"/>
      <c r="E670" s="132"/>
      <c r="F670" s="132"/>
      <c r="G670" s="132"/>
      <c r="H670" s="132"/>
      <c r="I670" s="132"/>
      <c r="J670" s="132"/>
      <c r="K670" s="132">
        <v>18</v>
      </c>
      <c r="L670" s="132"/>
      <c r="M670" s="132">
        <v>101</v>
      </c>
      <c r="N670" s="132"/>
      <c r="O670" s="132"/>
      <c r="P670" s="132"/>
      <c r="Q670" s="132"/>
      <c r="R670" s="132"/>
      <c r="S670" s="132"/>
      <c r="T670" s="132"/>
      <c r="U670" s="151"/>
      <c r="V670" s="151"/>
      <c r="W670" s="307" t="s">
        <v>193</v>
      </c>
      <c r="X670" s="308"/>
      <c r="Y670" s="38">
        <f t="shared" si="263"/>
        <v>0</v>
      </c>
      <c r="Z670" s="38">
        <f t="shared" si="264"/>
        <v>8</v>
      </c>
      <c r="AA670" s="38">
        <f t="shared" si="261"/>
        <v>0</v>
      </c>
      <c r="AB670" s="38">
        <f t="shared" si="272"/>
        <v>0</v>
      </c>
      <c r="AC670" s="38">
        <f t="shared" si="273"/>
        <v>0</v>
      </c>
      <c r="AD670" s="38">
        <f t="shared" si="274"/>
        <v>0</v>
      </c>
      <c r="AE670" s="38">
        <f t="shared" si="275"/>
        <v>0</v>
      </c>
      <c r="AF670" s="38">
        <f t="shared" si="276"/>
        <v>0</v>
      </c>
      <c r="AG670" s="33">
        <f t="shared" si="277"/>
        <v>0</v>
      </c>
      <c r="AH670" s="33">
        <f t="shared" si="278"/>
        <v>8</v>
      </c>
      <c r="AI670" s="33">
        <f t="shared" si="279"/>
        <v>0</v>
      </c>
      <c r="AJ670" s="33">
        <f t="shared" si="280"/>
        <v>0</v>
      </c>
      <c r="AK670" s="34">
        <f t="shared" si="281"/>
        <v>0</v>
      </c>
      <c r="AL670" s="35">
        <f t="shared" si="282"/>
        <v>5.6338028169014086E-2</v>
      </c>
      <c r="AM670" s="34">
        <f t="shared" si="265"/>
        <v>0</v>
      </c>
      <c r="AN670" s="36">
        <f t="shared" si="283"/>
        <v>0</v>
      </c>
      <c r="AO670" s="6">
        <f t="shared" si="266"/>
        <v>0</v>
      </c>
      <c r="AP670">
        <f t="shared" si="267"/>
        <v>8</v>
      </c>
      <c r="AQ670" s="6">
        <f t="shared" si="268"/>
        <v>0</v>
      </c>
      <c r="AR670" s="6">
        <f t="shared" si="269"/>
        <v>0</v>
      </c>
      <c r="AS670" s="6"/>
      <c r="AX670" s="95">
        <f t="shared" si="270"/>
        <v>42793</v>
      </c>
      <c r="AY670" s="96" t="str">
        <f t="shared" si="271"/>
        <v>seg</v>
      </c>
      <c r="AZ670" s="97">
        <f>IF(OR(AY670="SÁB",AY670="DOM"),0,IFERROR(8-VLOOKUP(C670,'Dados de consulta'!$A$2:$C$38,3,0),8))</f>
        <v>8</v>
      </c>
      <c r="BA670" s="97">
        <f>IF(OR(AY670="SÁB",AY670="DOM"),0,IFERROR(8-VLOOKUP(D670,'Dados de consulta'!$A$2:$C$38,3,0),8))</f>
        <v>8</v>
      </c>
      <c r="BB670" s="97">
        <f>IF(OR(AY670="SÁB",AY670="DOM"),0,IFERROR(8-VLOOKUP(E670,'Dados de consulta'!$A$2:$C$38,3,0),8))</f>
        <v>8</v>
      </c>
      <c r="BC670" s="97">
        <f>IF(OR(AY670="SÁB",AY670="DOM"),0,IFERROR(8-VLOOKUP(F670,'Dados de consulta'!$A$2:$C$38,3,0),8))</f>
        <v>8</v>
      </c>
      <c r="BD670" s="97">
        <f>IF(OR(AY670="SÁB",AY670="DOM"),0,IFERROR(8-VLOOKUP(G670,'Dados de consulta'!$A$2:$C$38,3,0),8))</f>
        <v>8</v>
      </c>
      <c r="BE670" s="97">
        <f>IF(OR(AY670="SÁB",AY670="DOM"),0,IFERROR(8-VLOOKUP(H670,'Dados de consulta'!$A$2:$C$38,3,0),8))</f>
        <v>8</v>
      </c>
      <c r="BF670" s="97">
        <f>IF(OR(AY670="SÁB",AY670="DOM"),0,IFERROR(8-VLOOKUP(I670,'Dados de consulta'!$A$2:$C$38,3,0),8))</f>
        <v>8</v>
      </c>
      <c r="BG670" s="97">
        <f>IF(OR(AY670="SÁB",AY670="DOM"),0,IFERROR(8-VLOOKUP(J670,'Dados de consulta'!$A$2:$C$38,3,0),8))</f>
        <v>8</v>
      </c>
      <c r="BH670" s="97">
        <f>IF(OR(AY670="SÁB",AY670="DOM"),0,IFERROR(8-VLOOKUP(K670,'Dados de consulta'!$A$2:$C$38,3,0),8))</f>
        <v>0</v>
      </c>
      <c r="BI670" s="97">
        <f>IF(OR(AY670="SÁB",AY670="DOM"),0,IFERROR(8-VLOOKUP(L670,'Dados de consulta'!$A$2:$C$38,3,0),8))</f>
        <v>8</v>
      </c>
      <c r="BJ670" s="97">
        <f>IF(OR(AY670="SÁB",AY670="DOM"),0,IFERROR(8-VLOOKUP(M670,'Dados de consulta'!$A$2:$C$38,3,0),8))</f>
        <v>0</v>
      </c>
      <c r="BK670" s="97">
        <f>IF(OR(AY670="SÁB",AY670="DOM"),0,IFERROR(8-VLOOKUP(N670,'Dados de consulta'!$A$2:$C$38,3,0),8))</f>
        <v>8</v>
      </c>
      <c r="BL670" s="97">
        <f>IF(OR(AY670="SÁB",AY670="DOM"),0,IFERROR(8-VLOOKUP(O670,'Dados de consulta'!$A$2:$C$38,3,0),8))</f>
        <v>8</v>
      </c>
      <c r="BM670" s="97">
        <f>IF(OR(AY670="SÁB",AY670="DOM"),0,IFERROR(8-VLOOKUP(P670,'Dados de consulta'!$A$2:$C$38,3,0),8))</f>
        <v>8</v>
      </c>
      <c r="BN670" s="97">
        <f>IF(OR(AY670="SÁB",AY670="DOM"),0,IFERROR(8-VLOOKUP(Q670,'Dados de consulta'!$A$2:$C$38,3,0),8))</f>
        <v>8</v>
      </c>
      <c r="BO670" s="97">
        <f>IF(OR(AY670="SÁB",AY670="DOM"),0,IFERROR(8-VLOOKUP(R670,'Dados de consulta'!$A$2:$C$38,3,0),8))</f>
        <v>8</v>
      </c>
      <c r="BP670" s="97">
        <f>IF(OR(AY670="SÁB",AY670="DOM"),0,IFERROR(8-VLOOKUP(S670,'Dados de consulta'!$A$2:$C$38,3,0),8))</f>
        <v>8</v>
      </c>
      <c r="BQ670" s="113">
        <f>IFERROR(6-VLOOKUP(T670,'Dados de consulta'!$A$2:$C$38,3,0)+2,6)</f>
        <v>6</v>
      </c>
      <c r="BR670" s="114">
        <f t="shared" si="284"/>
        <v>126</v>
      </c>
      <c r="BS670">
        <f t="shared" si="260"/>
        <v>134</v>
      </c>
      <c r="BU670">
        <f>IFERROR(8-VLOOKUP(U670,'Dados de consulta'!$A:$D,3,0),8)</f>
        <v>8</v>
      </c>
      <c r="BV670">
        <f>IFERROR(8-VLOOKUP(V670,'Dados de consulta'!$A:$D,3,0),8)</f>
        <v>8</v>
      </c>
      <c r="BW670">
        <f t="shared" si="285"/>
        <v>16</v>
      </c>
    </row>
    <row r="671" spans="1:75" ht="15" hidden="1" x14ac:dyDescent="0.2">
      <c r="A671" s="98">
        <v>42794</v>
      </c>
      <c r="B671" s="129" t="str">
        <f t="shared" si="262"/>
        <v>ter</v>
      </c>
      <c r="C671" s="132"/>
      <c r="D671" s="132"/>
      <c r="E671" s="132"/>
      <c r="F671" s="132"/>
      <c r="G671" s="132"/>
      <c r="H671" s="132"/>
      <c r="I671" s="132"/>
      <c r="J671" s="132"/>
      <c r="K671" s="132">
        <v>18</v>
      </c>
      <c r="L671" s="132"/>
      <c r="M671" s="132">
        <v>101</v>
      </c>
      <c r="N671" s="132"/>
      <c r="O671" s="132"/>
      <c r="P671" s="132"/>
      <c r="Q671" s="132"/>
      <c r="R671" s="132"/>
      <c r="S671" s="132"/>
      <c r="T671" s="132"/>
      <c r="U671" s="151"/>
      <c r="V671" s="151"/>
      <c r="W671" s="307" t="s">
        <v>193</v>
      </c>
      <c r="X671" s="308"/>
      <c r="Y671" s="38">
        <f t="shared" si="263"/>
        <v>0</v>
      </c>
      <c r="Z671" s="38">
        <f t="shared" si="264"/>
        <v>8</v>
      </c>
      <c r="AA671" s="38">
        <f t="shared" si="261"/>
        <v>0</v>
      </c>
      <c r="AB671" s="38">
        <f t="shared" si="272"/>
        <v>0</v>
      </c>
      <c r="AC671" s="38">
        <f t="shared" si="273"/>
        <v>0</v>
      </c>
      <c r="AD671" s="38">
        <f t="shared" si="274"/>
        <v>0</v>
      </c>
      <c r="AE671" s="38">
        <f t="shared" si="275"/>
        <v>0</v>
      </c>
      <c r="AF671" s="38">
        <f t="shared" si="276"/>
        <v>0</v>
      </c>
      <c r="AG671" s="33">
        <f t="shared" si="277"/>
        <v>0</v>
      </c>
      <c r="AH671" s="33">
        <f t="shared" si="278"/>
        <v>8</v>
      </c>
      <c r="AI671" s="33">
        <f t="shared" si="279"/>
        <v>0</v>
      </c>
      <c r="AJ671" s="33">
        <f t="shared" si="280"/>
        <v>0</v>
      </c>
      <c r="AK671" s="34">
        <f t="shared" si="281"/>
        <v>0</v>
      </c>
      <c r="AL671" s="35">
        <f t="shared" si="282"/>
        <v>5.6338028169014086E-2</v>
      </c>
      <c r="AM671" s="34">
        <f t="shared" si="265"/>
        <v>0</v>
      </c>
      <c r="AN671" s="36">
        <f t="shared" si="283"/>
        <v>0</v>
      </c>
      <c r="AO671" s="6">
        <f t="shared" si="266"/>
        <v>0</v>
      </c>
      <c r="AP671">
        <f t="shared" si="267"/>
        <v>8</v>
      </c>
      <c r="AQ671" s="6">
        <f t="shared" si="268"/>
        <v>0</v>
      </c>
      <c r="AR671" s="6">
        <f t="shared" si="269"/>
        <v>0</v>
      </c>
      <c r="AS671" s="6"/>
      <c r="AX671" s="95">
        <f t="shared" si="270"/>
        <v>42794</v>
      </c>
      <c r="AY671" s="96" t="str">
        <f t="shared" si="271"/>
        <v>ter</v>
      </c>
      <c r="AZ671" s="97">
        <f>IF(OR(AY671="SÁB",AY671="DOM"),0,IFERROR(8-VLOOKUP(C671,'Dados de consulta'!$A$2:$C$38,3,0),8))</f>
        <v>8</v>
      </c>
      <c r="BA671" s="97">
        <f>IF(OR(AY671="SÁB",AY671="DOM"),0,IFERROR(8-VLOOKUP(D671,'Dados de consulta'!$A$2:$C$38,3,0),8))</f>
        <v>8</v>
      </c>
      <c r="BB671" s="97">
        <f>IF(OR(AY671="SÁB",AY671="DOM"),0,IFERROR(8-VLOOKUP(E671,'Dados de consulta'!$A$2:$C$38,3,0),8))</f>
        <v>8</v>
      </c>
      <c r="BC671" s="97">
        <f>IF(OR(AY671="SÁB",AY671="DOM"),0,IFERROR(8-VLOOKUP(F671,'Dados de consulta'!$A$2:$C$38,3,0),8))</f>
        <v>8</v>
      </c>
      <c r="BD671" s="97">
        <f>IF(OR(AY671="SÁB",AY671="DOM"),0,IFERROR(8-VLOOKUP(G671,'Dados de consulta'!$A$2:$C$38,3,0),8))</f>
        <v>8</v>
      </c>
      <c r="BE671" s="97">
        <f>IF(OR(AY671="SÁB",AY671="DOM"),0,IFERROR(8-VLOOKUP(H671,'Dados de consulta'!$A$2:$C$38,3,0),8))</f>
        <v>8</v>
      </c>
      <c r="BF671" s="97">
        <f>IF(OR(AY671="SÁB",AY671="DOM"),0,IFERROR(8-VLOOKUP(I671,'Dados de consulta'!$A$2:$C$38,3,0),8))</f>
        <v>8</v>
      </c>
      <c r="BG671" s="97">
        <f>IF(OR(AY671="SÁB",AY671="DOM"),0,IFERROR(8-VLOOKUP(J671,'Dados de consulta'!$A$2:$C$38,3,0),8))</f>
        <v>8</v>
      </c>
      <c r="BH671" s="97">
        <f>IF(OR(AY671="SÁB",AY671="DOM"),0,IFERROR(8-VLOOKUP(K671,'Dados de consulta'!$A$2:$C$38,3,0),8))</f>
        <v>0</v>
      </c>
      <c r="BI671" s="97">
        <f>IF(OR(AY671="SÁB",AY671="DOM"),0,IFERROR(8-VLOOKUP(L671,'Dados de consulta'!$A$2:$C$38,3,0),8))</f>
        <v>8</v>
      </c>
      <c r="BJ671" s="97">
        <f>IF(OR(AY671="SÁB",AY671="DOM"),0,IFERROR(8-VLOOKUP(M671,'Dados de consulta'!$A$2:$C$38,3,0),8))</f>
        <v>0</v>
      </c>
      <c r="BK671" s="97">
        <f>IF(OR(AY671="SÁB",AY671="DOM"),0,IFERROR(8-VLOOKUP(N671,'Dados de consulta'!$A$2:$C$38,3,0),8))</f>
        <v>8</v>
      </c>
      <c r="BL671" s="97">
        <f>IF(OR(AY671="SÁB",AY671="DOM"),0,IFERROR(8-VLOOKUP(O671,'Dados de consulta'!$A$2:$C$38,3,0),8))</f>
        <v>8</v>
      </c>
      <c r="BM671" s="97">
        <f>IF(OR(AY671="SÁB",AY671="DOM"),0,IFERROR(8-VLOOKUP(P671,'Dados de consulta'!$A$2:$C$38,3,0),8))</f>
        <v>8</v>
      </c>
      <c r="BN671" s="97">
        <f>IF(OR(AY671="SÁB",AY671="DOM"),0,IFERROR(8-VLOOKUP(Q671,'Dados de consulta'!$A$2:$C$38,3,0),8))</f>
        <v>8</v>
      </c>
      <c r="BO671" s="97">
        <f>IF(OR(AY671="SÁB",AY671="DOM"),0,IFERROR(8-VLOOKUP(R671,'Dados de consulta'!$A$2:$C$38,3,0),8))</f>
        <v>8</v>
      </c>
      <c r="BP671" s="97">
        <f>IF(OR(AY671="SÁB",AY671="DOM"),0,IFERROR(8-VLOOKUP(S671,'Dados de consulta'!$A$2:$C$38,3,0),8))</f>
        <v>8</v>
      </c>
      <c r="BQ671" s="113">
        <f>IFERROR(6-VLOOKUP(T671,'Dados de consulta'!$A$2:$C$38,3,0)+2,6)</f>
        <v>6</v>
      </c>
      <c r="BR671" s="114">
        <f t="shared" si="284"/>
        <v>126</v>
      </c>
      <c r="BS671">
        <f t="shared" si="260"/>
        <v>134</v>
      </c>
      <c r="BU671">
        <f>IFERROR(8-VLOOKUP(U671,'Dados de consulta'!$A:$D,3,0),8)</f>
        <v>8</v>
      </c>
      <c r="BV671">
        <f>IFERROR(8-VLOOKUP(V671,'Dados de consulta'!$A:$D,3,0),8)</f>
        <v>8</v>
      </c>
      <c r="BW671">
        <f t="shared" si="285"/>
        <v>16</v>
      </c>
    </row>
    <row r="672" spans="1:75" ht="15" hidden="1" x14ac:dyDescent="0.2">
      <c r="A672" s="98">
        <v>42795</v>
      </c>
      <c r="B672" s="129" t="str">
        <f t="shared" si="262"/>
        <v>qua</v>
      </c>
      <c r="C672" s="132"/>
      <c r="D672" s="132"/>
      <c r="E672" s="132"/>
      <c r="F672" s="132"/>
      <c r="G672" s="132"/>
      <c r="H672" s="132"/>
      <c r="I672" s="132"/>
      <c r="J672" s="132"/>
      <c r="K672" s="132">
        <v>18</v>
      </c>
      <c r="L672" s="132"/>
      <c r="M672" s="132">
        <v>101</v>
      </c>
      <c r="N672" s="132"/>
      <c r="O672" s="132"/>
      <c r="P672" s="132"/>
      <c r="Q672" s="132"/>
      <c r="R672" s="132"/>
      <c r="S672" s="132"/>
      <c r="T672" s="132"/>
      <c r="U672" s="151"/>
      <c r="V672" s="151"/>
      <c r="W672" s="307" t="s">
        <v>193</v>
      </c>
      <c r="X672" s="308"/>
      <c r="Y672" s="38">
        <f t="shared" si="263"/>
        <v>0</v>
      </c>
      <c r="Z672" s="38">
        <f t="shared" si="264"/>
        <v>8</v>
      </c>
      <c r="AA672" s="38">
        <f t="shared" si="261"/>
        <v>0</v>
      </c>
      <c r="AB672" s="38">
        <f t="shared" si="272"/>
        <v>0</v>
      </c>
      <c r="AC672" s="38">
        <f t="shared" si="273"/>
        <v>0</v>
      </c>
      <c r="AD672" s="38">
        <f t="shared" si="274"/>
        <v>0</v>
      </c>
      <c r="AE672" s="38">
        <f t="shared" si="275"/>
        <v>0</v>
      </c>
      <c r="AF672" s="38">
        <f t="shared" si="276"/>
        <v>0</v>
      </c>
      <c r="AG672" s="33">
        <f t="shared" si="277"/>
        <v>0</v>
      </c>
      <c r="AH672" s="33">
        <f t="shared" si="278"/>
        <v>8</v>
      </c>
      <c r="AI672" s="33">
        <f t="shared" si="279"/>
        <v>0</v>
      </c>
      <c r="AJ672" s="33">
        <f t="shared" si="280"/>
        <v>0</v>
      </c>
      <c r="AK672" s="34">
        <f t="shared" si="281"/>
        <v>0</v>
      </c>
      <c r="AL672" s="35">
        <f t="shared" si="282"/>
        <v>5.6338028169014086E-2</v>
      </c>
      <c r="AM672" s="34">
        <f t="shared" si="265"/>
        <v>0</v>
      </c>
      <c r="AN672" s="36">
        <f t="shared" si="283"/>
        <v>0</v>
      </c>
      <c r="AO672" s="6">
        <f t="shared" si="266"/>
        <v>0</v>
      </c>
      <c r="AP672">
        <f t="shared" si="267"/>
        <v>8</v>
      </c>
      <c r="AQ672" s="6">
        <f t="shared" si="268"/>
        <v>0</v>
      </c>
      <c r="AR672" s="6">
        <f t="shared" si="269"/>
        <v>0</v>
      </c>
      <c r="AS672" s="6"/>
      <c r="AX672" s="95">
        <f t="shared" si="270"/>
        <v>42795</v>
      </c>
      <c r="AY672" s="96" t="str">
        <f t="shared" si="271"/>
        <v>qua</v>
      </c>
      <c r="AZ672" s="97">
        <f>IF(OR(AY672="SÁB",AY672="DOM"),0,IFERROR(8-VLOOKUP(C672,'Dados de consulta'!$A$2:$C$38,3,0),8))</f>
        <v>8</v>
      </c>
      <c r="BA672" s="97">
        <f>IF(OR(AY672="SÁB",AY672="DOM"),0,IFERROR(8-VLOOKUP(D672,'Dados de consulta'!$A$2:$C$38,3,0),8))</f>
        <v>8</v>
      </c>
      <c r="BB672" s="97">
        <f>IF(OR(AY672="SÁB",AY672="DOM"),0,IFERROR(8-VLOOKUP(E672,'Dados de consulta'!$A$2:$C$38,3,0),8))</f>
        <v>8</v>
      </c>
      <c r="BC672" s="97">
        <f>IF(OR(AY672="SÁB",AY672="DOM"),0,IFERROR(8-VLOOKUP(F672,'Dados de consulta'!$A$2:$C$38,3,0),8))</f>
        <v>8</v>
      </c>
      <c r="BD672" s="97">
        <f>IF(OR(AY672="SÁB",AY672="DOM"),0,IFERROR(8-VLOOKUP(G672,'Dados de consulta'!$A$2:$C$38,3,0),8))</f>
        <v>8</v>
      </c>
      <c r="BE672" s="97">
        <f>IF(OR(AY672="SÁB",AY672="DOM"),0,IFERROR(8-VLOOKUP(H672,'Dados de consulta'!$A$2:$C$38,3,0),8))</f>
        <v>8</v>
      </c>
      <c r="BF672" s="97">
        <f>IF(OR(AY672="SÁB",AY672="DOM"),0,IFERROR(8-VLOOKUP(I672,'Dados de consulta'!$A$2:$C$38,3,0),8))</f>
        <v>8</v>
      </c>
      <c r="BG672" s="97">
        <f>IF(OR(AY672="SÁB",AY672="DOM"),0,IFERROR(8-VLOOKUP(J672,'Dados de consulta'!$A$2:$C$38,3,0),8))</f>
        <v>8</v>
      </c>
      <c r="BH672" s="97">
        <f>IF(OR(AY672="SÁB",AY672="DOM"),0,IFERROR(8-VLOOKUP(K672,'Dados de consulta'!$A$2:$C$38,3,0),8))</f>
        <v>0</v>
      </c>
      <c r="BI672" s="97">
        <f>IF(OR(AY672="SÁB",AY672="DOM"),0,IFERROR(8-VLOOKUP(L672,'Dados de consulta'!$A$2:$C$38,3,0),8))</f>
        <v>8</v>
      </c>
      <c r="BJ672" s="97">
        <f>IF(OR(AY672="SÁB",AY672="DOM"),0,IFERROR(8-VLOOKUP(M672,'Dados de consulta'!$A$2:$C$38,3,0),8))</f>
        <v>0</v>
      </c>
      <c r="BK672" s="97">
        <f>IF(OR(AY672="SÁB",AY672="DOM"),0,IFERROR(8-VLOOKUP(N672,'Dados de consulta'!$A$2:$C$38,3,0),8))</f>
        <v>8</v>
      </c>
      <c r="BL672" s="97">
        <f>IF(OR(AY672="SÁB",AY672="DOM"),0,IFERROR(8-VLOOKUP(O672,'Dados de consulta'!$A$2:$C$38,3,0),8))</f>
        <v>8</v>
      </c>
      <c r="BM672" s="97">
        <f>IF(OR(AY672="SÁB",AY672="DOM"),0,IFERROR(8-VLOOKUP(P672,'Dados de consulta'!$A$2:$C$38,3,0),8))</f>
        <v>8</v>
      </c>
      <c r="BN672" s="97">
        <f>IF(OR(AY672="SÁB",AY672="DOM"),0,IFERROR(8-VLOOKUP(Q672,'Dados de consulta'!$A$2:$C$38,3,0),8))</f>
        <v>8</v>
      </c>
      <c r="BO672" s="97">
        <f>IF(OR(AY672="SÁB",AY672="DOM"),0,IFERROR(8-VLOOKUP(R672,'Dados de consulta'!$A$2:$C$38,3,0),8))</f>
        <v>8</v>
      </c>
      <c r="BP672" s="97">
        <f>IF(OR(AY672="SÁB",AY672="DOM"),0,IFERROR(8-VLOOKUP(S672,'Dados de consulta'!$A$2:$C$38,3,0),8))</f>
        <v>8</v>
      </c>
      <c r="BQ672" s="113">
        <f>IFERROR(6-VLOOKUP(T672,'Dados de consulta'!$A$2:$C$38,3,0)+2,6)</f>
        <v>6</v>
      </c>
      <c r="BR672" s="114">
        <f t="shared" si="284"/>
        <v>126</v>
      </c>
      <c r="BS672">
        <f t="shared" si="260"/>
        <v>134</v>
      </c>
      <c r="BU672">
        <f>IFERROR(8-VLOOKUP(U672,'Dados de consulta'!$A:$D,3,0),8)</f>
        <v>8</v>
      </c>
      <c r="BV672">
        <f>IFERROR(8-VLOOKUP(V672,'Dados de consulta'!$A:$D,3,0),8)</f>
        <v>8</v>
      </c>
      <c r="BW672">
        <f t="shared" si="285"/>
        <v>16</v>
      </c>
    </row>
    <row r="673" spans="1:75" ht="15" hidden="1" x14ac:dyDescent="0.2">
      <c r="A673" s="98">
        <v>42796</v>
      </c>
      <c r="B673" s="129" t="str">
        <f t="shared" si="262"/>
        <v>qui</v>
      </c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>
        <v>101</v>
      </c>
      <c r="N673" s="132"/>
      <c r="O673" s="132"/>
      <c r="P673" s="132"/>
      <c r="Q673" s="132"/>
      <c r="R673" s="132"/>
      <c r="S673" s="132"/>
      <c r="T673" s="132"/>
      <c r="U673" s="151"/>
      <c r="V673" s="151"/>
      <c r="W673" s="307" t="s">
        <v>193</v>
      </c>
      <c r="X673" s="308"/>
      <c r="Y673" s="38">
        <f t="shared" si="263"/>
        <v>0</v>
      </c>
      <c r="Z673" s="38">
        <f t="shared" si="264"/>
        <v>0</v>
      </c>
      <c r="AA673" s="38">
        <f t="shared" si="261"/>
        <v>0</v>
      </c>
      <c r="AB673" s="38">
        <f t="shared" si="272"/>
        <v>0</v>
      </c>
      <c r="AC673" s="38">
        <f t="shared" si="273"/>
        <v>0</v>
      </c>
      <c r="AD673" s="38">
        <f t="shared" si="274"/>
        <v>0</v>
      </c>
      <c r="AE673" s="38">
        <f t="shared" si="275"/>
        <v>0</v>
      </c>
      <c r="AF673" s="38">
        <f t="shared" si="276"/>
        <v>0</v>
      </c>
      <c r="AG673" s="33">
        <f t="shared" si="277"/>
        <v>0</v>
      </c>
      <c r="AH673" s="33">
        <f t="shared" si="278"/>
        <v>0</v>
      </c>
      <c r="AI673" s="33">
        <f t="shared" si="279"/>
        <v>0</v>
      </c>
      <c r="AJ673" s="33">
        <f t="shared" si="280"/>
        <v>0</v>
      </c>
      <c r="AK673" s="34">
        <f t="shared" si="281"/>
        <v>0</v>
      </c>
      <c r="AL673" s="35">
        <f t="shared" si="282"/>
        <v>0</v>
      </c>
      <c r="AM673" s="34">
        <f t="shared" si="265"/>
        <v>0</v>
      </c>
      <c r="AN673" s="36">
        <f t="shared" si="283"/>
        <v>0</v>
      </c>
      <c r="AO673" s="6">
        <f t="shared" si="266"/>
        <v>0</v>
      </c>
      <c r="AP673">
        <f t="shared" si="267"/>
        <v>8</v>
      </c>
      <c r="AQ673" s="6">
        <f t="shared" si="268"/>
        <v>0</v>
      </c>
      <c r="AR673" s="6">
        <f t="shared" si="269"/>
        <v>0</v>
      </c>
      <c r="AS673" s="6"/>
      <c r="AX673" s="95">
        <f t="shared" si="270"/>
        <v>42796</v>
      </c>
      <c r="AY673" s="96" t="str">
        <f t="shared" si="271"/>
        <v>qui</v>
      </c>
      <c r="AZ673" s="97">
        <f>IF(OR(AY673="SÁB",AY673="DOM"),0,IFERROR(8-VLOOKUP(C673,'Dados de consulta'!$A$2:$C$38,3,0),8))</f>
        <v>8</v>
      </c>
      <c r="BA673" s="97">
        <f>IF(OR(AY673="SÁB",AY673="DOM"),0,IFERROR(8-VLOOKUP(D673,'Dados de consulta'!$A$2:$C$38,3,0),8))</f>
        <v>8</v>
      </c>
      <c r="BB673" s="97">
        <f>IF(OR(AY673="SÁB",AY673="DOM"),0,IFERROR(8-VLOOKUP(E673,'Dados de consulta'!$A$2:$C$38,3,0),8))</f>
        <v>8</v>
      </c>
      <c r="BC673" s="97">
        <f>IF(OR(AY673="SÁB",AY673="DOM"),0,IFERROR(8-VLOOKUP(F673,'Dados de consulta'!$A$2:$C$38,3,0),8))</f>
        <v>8</v>
      </c>
      <c r="BD673" s="97">
        <f>IF(OR(AY673="SÁB",AY673="DOM"),0,IFERROR(8-VLOOKUP(G673,'Dados de consulta'!$A$2:$C$38,3,0),8))</f>
        <v>8</v>
      </c>
      <c r="BE673" s="97">
        <f>IF(OR(AY673="SÁB",AY673="DOM"),0,IFERROR(8-VLOOKUP(H673,'Dados de consulta'!$A$2:$C$38,3,0),8))</f>
        <v>8</v>
      </c>
      <c r="BF673" s="97">
        <f>IF(OR(AY673="SÁB",AY673="DOM"),0,IFERROR(8-VLOOKUP(I673,'Dados de consulta'!$A$2:$C$38,3,0),8))</f>
        <v>8</v>
      </c>
      <c r="BG673" s="97">
        <f>IF(OR(AY673="SÁB",AY673="DOM"),0,IFERROR(8-VLOOKUP(J673,'Dados de consulta'!$A$2:$C$38,3,0),8))</f>
        <v>8</v>
      </c>
      <c r="BH673" s="97">
        <f>IF(OR(AY673="SÁB",AY673="DOM"),0,IFERROR(8-VLOOKUP(K673,'Dados de consulta'!$A$2:$C$38,3,0),8))</f>
        <v>8</v>
      </c>
      <c r="BI673" s="97">
        <f>IF(OR(AY673="SÁB",AY673="DOM"),0,IFERROR(8-VLOOKUP(L673,'Dados de consulta'!$A$2:$C$38,3,0),8))</f>
        <v>8</v>
      </c>
      <c r="BJ673" s="97">
        <f>IF(OR(AY673="SÁB",AY673="DOM"),0,IFERROR(8-VLOOKUP(M673,'Dados de consulta'!$A$2:$C$38,3,0),8))</f>
        <v>0</v>
      </c>
      <c r="BK673" s="97">
        <f>IF(OR(AY673="SÁB",AY673="DOM"),0,IFERROR(8-VLOOKUP(N673,'Dados de consulta'!$A$2:$C$38,3,0),8))</f>
        <v>8</v>
      </c>
      <c r="BL673" s="97">
        <f>IF(OR(AY673="SÁB",AY673="DOM"),0,IFERROR(8-VLOOKUP(O673,'Dados de consulta'!$A$2:$C$38,3,0),8))</f>
        <v>8</v>
      </c>
      <c r="BM673" s="97">
        <f>IF(OR(AY673="SÁB",AY673="DOM"),0,IFERROR(8-VLOOKUP(P673,'Dados de consulta'!$A$2:$C$38,3,0),8))</f>
        <v>8</v>
      </c>
      <c r="BN673" s="97">
        <f>IF(OR(AY673="SÁB",AY673="DOM"),0,IFERROR(8-VLOOKUP(Q673,'Dados de consulta'!$A$2:$C$38,3,0),8))</f>
        <v>8</v>
      </c>
      <c r="BO673" s="97">
        <f>IF(OR(AY673="SÁB",AY673="DOM"),0,IFERROR(8-VLOOKUP(R673,'Dados de consulta'!$A$2:$C$38,3,0),8))</f>
        <v>8</v>
      </c>
      <c r="BP673" s="97">
        <f>IF(OR(AY673="SÁB",AY673="DOM"),0,IFERROR(8-VLOOKUP(S673,'Dados de consulta'!$A$2:$C$38,3,0),8))</f>
        <v>8</v>
      </c>
      <c r="BQ673" s="113">
        <f>IFERROR(6-VLOOKUP(T673,'Dados de consulta'!$A$2:$C$38,3,0)+2,6)</f>
        <v>6</v>
      </c>
      <c r="BR673" s="114">
        <f t="shared" si="284"/>
        <v>134</v>
      </c>
      <c r="BS673">
        <f t="shared" si="260"/>
        <v>134</v>
      </c>
      <c r="BU673">
        <f>IFERROR(8-VLOOKUP(U673,'Dados de consulta'!$A:$D,3,0),8)</f>
        <v>8</v>
      </c>
      <c r="BV673">
        <f>IFERROR(8-VLOOKUP(V673,'Dados de consulta'!$A:$D,3,0),8)</f>
        <v>8</v>
      </c>
      <c r="BW673">
        <f t="shared" si="285"/>
        <v>16</v>
      </c>
    </row>
    <row r="674" spans="1:75" ht="15" hidden="1" x14ac:dyDescent="0.2">
      <c r="A674" s="98">
        <v>42797</v>
      </c>
      <c r="B674" s="129" t="str">
        <f t="shared" si="262"/>
        <v>sex</v>
      </c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>
        <v>101</v>
      </c>
      <c r="N674" s="132"/>
      <c r="O674" s="132"/>
      <c r="P674" s="132"/>
      <c r="Q674" s="132"/>
      <c r="R674" s="132"/>
      <c r="S674" s="132"/>
      <c r="T674" s="132"/>
      <c r="U674" s="151"/>
      <c r="V674" s="151"/>
      <c r="W674" s="307" t="s">
        <v>193</v>
      </c>
      <c r="X674" s="308"/>
      <c r="Y674" s="38">
        <f t="shared" si="263"/>
        <v>0</v>
      </c>
      <c r="Z674" s="38">
        <f t="shared" si="264"/>
        <v>0</v>
      </c>
      <c r="AA674" s="38">
        <f t="shared" si="261"/>
        <v>0</v>
      </c>
      <c r="AB674" s="38">
        <f t="shared" si="272"/>
        <v>0</v>
      </c>
      <c r="AC674" s="38">
        <f t="shared" si="273"/>
        <v>0</v>
      </c>
      <c r="AD674" s="38">
        <f t="shared" si="274"/>
        <v>0</v>
      </c>
      <c r="AE674" s="38">
        <f t="shared" si="275"/>
        <v>0</v>
      </c>
      <c r="AF674" s="38">
        <f t="shared" si="276"/>
        <v>0</v>
      </c>
      <c r="AG674" s="33">
        <f t="shared" si="277"/>
        <v>0</v>
      </c>
      <c r="AH674" s="33">
        <f t="shared" si="278"/>
        <v>0</v>
      </c>
      <c r="AI674" s="33">
        <f t="shared" si="279"/>
        <v>0</v>
      </c>
      <c r="AJ674" s="33">
        <f t="shared" si="280"/>
        <v>0</v>
      </c>
      <c r="AK674" s="34">
        <f t="shared" si="281"/>
        <v>0</v>
      </c>
      <c r="AL674" s="35">
        <f t="shared" si="282"/>
        <v>0</v>
      </c>
      <c r="AM674" s="34">
        <f t="shared" si="265"/>
        <v>0</v>
      </c>
      <c r="AN674" s="36">
        <f t="shared" si="283"/>
        <v>0</v>
      </c>
      <c r="AO674" s="6">
        <f t="shared" si="266"/>
        <v>0</v>
      </c>
      <c r="AP674">
        <f t="shared" si="267"/>
        <v>8</v>
      </c>
      <c r="AQ674" s="6">
        <f t="shared" si="268"/>
        <v>0</v>
      </c>
      <c r="AR674" s="6">
        <f t="shared" si="269"/>
        <v>0</v>
      </c>
      <c r="AS674" s="6"/>
      <c r="AX674" s="95">
        <f t="shared" si="270"/>
        <v>42797</v>
      </c>
      <c r="AY674" s="96" t="str">
        <f t="shared" si="271"/>
        <v>sex</v>
      </c>
      <c r="AZ674" s="97">
        <f>IF(OR(AY674="SÁB",AY674="DOM"),0,IFERROR(8-VLOOKUP(C674,'Dados de consulta'!$A$2:$C$38,3,0),8))</f>
        <v>8</v>
      </c>
      <c r="BA674" s="97">
        <f>IF(OR(AY674="SÁB",AY674="DOM"),0,IFERROR(8-VLOOKUP(D674,'Dados de consulta'!$A$2:$C$38,3,0),8))</f>
        <v>8</v>
      </c>
      <c r="BB674" s="97">
        <f>IF(OR(AY674="SÁB",AY674="DOM"),0,IFERROR(8-VLOOKUP(E674,'Dados de consulta'!$A$2:$C$38,3,0),8))</f>
        <v>8</v>
      </c>
      <c r="BC674" s="97">
        <f>IF(OR(AY674="SÁB",AY674="DOM"),0,IFERROR(8-VLOOKUP(F674,'Dados de consulta'!$A$2:$C$38,3,0),8))</f>
        <v>8</v>
      </c>
      <c r="BD674" s="97">
        <f>IF(OR(AY674="SÁB",AY674="DOM"),0,IFERROR(8-VLOOKUP(G674,'Dados de consulta'!$A$2:$C$38,3,0),8))</f>
        <v>8</v>
      </c>
      <c r="BE674" s="97">
        <f>IF(OR(AY674="SÁB",AY674="DOM"),0,IFERROR(8-VLOOKUP(H674,'Dados de consulta'!$A$2:$C$38,3,0),8))</f>
        <v>8</v>
      </c>
      <c r="BF674" s="97">
        <f>IF(OR(AY674="SÁB",AY674="DOM"),0,IFERROR(8-VLOOKUP(I674,'Dados de consulta'!$A$2:$C$38,3,0),8))</f>
        <v>8</v>
      </c>
      <c r="BG674" s="97">
        <f>IF(OR(AY674="SÁB",AY674="DOM"),0,IFERROR(8-VLOOKUP(J674,'Dados de consulta'!$A$2:$C$38,3,0),8))</f>
        <v>8</v>
      </c>
      <c r="BH674" s="97">
        <f>IF(OR(AY674="SÁB",AY674="DOM"),0,IFERROR(8-VLOOKUP(K674,'Dados de consulta'!$A$2:$C$38,3,0),8))</f>
        <v>8</v>
      </c>
      <c r="BI674" s="97">
        <f>IF(OR(AY674="SÁB",AY674="DOM"),0,IFERROR(8-VLOOKUP(L674,'Dados de consulta'!$A$2:$C$38,3,0),8))</f>
        <v>8</v>
      </c>
      <c r="BJ674" s="97">
        <f>IF(OR(AY674="SÁB",AY674="DOM"),0,IFERROR(8-VLOOKUP(M674,'Dados de consulta'!$A$2:$C$38,3,0),8))</f>
        <v>0</v>
      </c>
      <c r="BK674" s="97">
        <f>IF(OR(AY674="SÁB",AY674="DOM"),0,IFERROR(8-VLOOKUP(N674,'Dados de consulta'!$A$2:$C$38,3,0),8))</f>
        <v>8</v>
      </c>
      <c r="BL674" s="97">
        <f>IF(OR(AY674="SÁB",AY674="DOM"),0,IFERROR(8-VLOOKUP(O674,'Dados de consulta'!$A$2:$C$38,3,0),8))</f>
        <v>8</v>
      </c>
      <c r="BM674" s="97">
        <f>IF(OR(AY674="SÁB",AY674="DOM"),0,IFERROR(8-VLOOKUP(P674,'Dados de consulta'!$A$2:$C$38,3,0),8))</f>
        <v>8</v>
      </c>
      <c r="BN674" s="97">
        <f>IF(OR(AY674="SÁB",AY674="DOM"),0,IFERROR(8-VLOOKUP(Q674,'Dados de consulta'!$A$2:$C$38,3,0),8))</f>
        <v>8</v>
      </c>
      <c r="BO674" s="97">
        <f>IF(OR(AY674="SÁB",AY674="DOM"),0,IFERROR(8-VLOOKUP(R674,'Dados de consulta'!$A$2:$C$38,3,0),8))</f>
        <v>8</v>
      </c>
      <c r="BP674" s="97">
        <f>IF(OR(AY674="SÁB",AY674="DOM"),0,IFERROR(8-VLOOKUP(S674,'Dados de consulta'!$A$2:$C$38,3,0),8))</f>
        <v>8</v>
      </c>
      <c r="BQ674" s="113">
        <f>IFERROR(6-VLOOKUP(T674,'Dados de consulta'!$A$2:$C$38,3,0)+2,6)</f>
        <v>6</v>
      </c>
      <c r="BR674" s="114">
        <f t="shared" si="284"/>
        <v>134</v>
      </c>
      <c r="BS674">
        <f t="shared" si="260"/>
        <v>134</v>
      </c>
      <c r="BU674">
        <f>IFERROR(8-VLOOKUP(U674,'Dados de consulta'!$A:$D,3,0),8)</f>
        <v>8</v>
      </c>
      <c r="BV674">
        <f>IFERROR(8-VLOOKUP(V674,'Dados de consulta'!$A:$D,3,0),8)</f>
        <v>8</v>
      </c>
      <c r="BW674">
        <f t="shared" si="285"/>
        <v>16</v>
      </c>
    </row>
    <row r="675" spans="1:75" ht="15" hidden="1" x14ac:dyDescent="0.2">
      <c r="A675" s="98">
        <v>42798</v>
      </c>
      <c r="B675" s="129" t="str">
        <f t="shared" si="262"/>
        <v>sáb</v>
      </c>
      <c r="C675" s="132"/>
      <c r="D675" s="132"/>
      <c r="E675" s="132"/>
      <c r="F675" s="132"/>
      <c r="G675" s="132"/>
      <c r="H675" s="132"/>
      <c r="I675" s="132"/>
      <c r="J675" s="132"/>
      <c r="K675" s="132">
        <v>18</v>
      </c>
      <c r="L675" s="132"/>
      <c r="M675" s="132">
        <v>101</v>
      </c>
      <c r="N675" s="132"/>
      <c r="O675" s="132"/>
      <c r="P675" s="132"/>
      <c r="Q675" s="132"/>
      <c r="R675" s="132"/>
      <c r="S675" s="132"/>
      <c r="T675" s="132"/>
      <c r="U675" s="151"/>
      <c r="V675" s="151"/>
      <c r="W675" s="307" t="s">
        <v>193</v>
      </c>
      <c r="X675" s="308"/>
      <c r="Y675" s="38">
        <f t="shared" si="263"/>
        <v>0</v>
      </c>
      <c r="Z675" s="38">
        <f t="shared" si="264"/>
        <v>8</v>
      </c>
      <c r="AA675" s="38">
        <f t="shared" si="261"/>
        <v>0</v>
      </c>
      <c r="AB675" s="38">
        <f t="shared" si="272"/>
        <v>0</v>
      </c>
      <c r="AC675" s="38">
        <f t="shared" si="273"/>
        <v>0</v>
      </c>
      <c r="AD675" s="38">
        <f t="shared" si="274"/>
        <v>0</v>
      </c>
      <c r="AE675" s="38">
        <f t="shared" si="275"/>
        <v>0</v>
      </c>
      <c r="AF675" s="38">
        <f t="shared" si="276"/>
        <v>0</v>
      </c>
      <c r="AG675" s="33">
        <f t="shared" si="277"/>
        <v>0</v>
      </c>
      <c r="AH675" s="33">
        <f t="shared" si="278"/>
        <v>0</v>
      </c>
      <c r="AI675" s="33">
        <f t="shared" si="279"/>
        <v>0</v>
      </c>
      <c r="AJ675" s="33">
        <f t="shared" si="280"/>
        <v>0</v>
      </c>
      <c r="AK675" s="34">
        <f t="shared" si="281"/>
        <v>0</v>
      </c>
      <c r="AL675" s="35">
        <f t="shared" si="282"/>
        <v>0</v>
      </c>
      <c r="AM675" s="34">
        <f t="shared" si="265"/>
        <v>0</v>
      </c>
      <c r="AN675" s="36">
        <f t="shared" si="283"/>
        <v>0</v>
      </c>
      <c r="AO675" s="6">
        <f t="shared" si="266"/>
        <v>0</v>
      </c>
      <c r="AP675">
        <f t="shared" si="267"/>
        <v>8</v>
      </c>
      <c r="AQ675" s="6">
        <f t="shared" si="268"/>
        <v>0</v>
      </c>
      <c r="AR675" s="6">
        <f t="shared" si="269"/>
        <v>0</v>
      </c>
      <c r="AS675" s="6"/>
      <c r="AX675" s="95">
        <f t="shared" si="270"/>
        <v>42798</v>
      </c>
      <c r="AY675" s="96" t="str">
        <f t="shared" si="271"/>
        <v>sáb</v>
      </c>
      <c r="AZ675" s="97">
        <f>IF(OR(AY675="SÁB",AY675="DOM"),0,IFERROR(8-VLOOKUP(C675,'Dados de consulta'!$A$2:$C$38,3,0),8))</f>
        <v>0</v>
      </c>
      <c r="BA675" s="97">
        <f>IF(OR(AY675="SÁB",AY675="DOM"),0,IFERROR(8-VLOOKUP(D675,'Dados de consulta'!$A$2:$C$38,3,0),8))</f>
        <v>0</v>
      </c>
      <c r="BB675" s="97">
        <f>IF(OR(AY675="SÁB",AY675="DOM"),0,IFERROR(8-VLOOKUP(E675,'Dados de consulta'!$A$2:$C$38,3,0),8))</f>
        <v>0</v>
      </c>
      <c r="BC675" s="97">
        <f>IF(OR(AY675="SÁB",AY675="DOM"),0,IFERROR(8-VLOOKUP(F675,'Dados de consulta'!$A$2:$C$38,3,0),8))</f>
        <v>0</v>
      </c>
      <c r="BD675" s="97">
        <f>IF(OR(AY675="SÁB",AY675="DOM"),0,IFERROR(8-VLOOKUP(G675,'Dados de consulta'!$A$2:$C$38,3,0),8))</f>
        <v>0</v>
      </c>
      <c r="BE675" s="97">
        <f>IF(OR(AY675="SÁB",AY675="DOM"),0,IFERROR(8-VLOOKUP(H675,'Dados de consulta'!$A$2:$C$38,3,0),8))</f>
        <v>0</v>
      </c>
      <c r="BF675" s="97">
        <f>IF(OR(AY675="SÁB",AY675="DOM"),0,IFERROR(8-VLOOKUP(I675,'Dados de consulta'!$A$2:$C$38,3,0),8))</f>
        <v>0</v>
      </c>
      <c r="BG675" s="97">
        <f>IF(OR(AY675="SÁB",AY675="DOM"),0,IFERROR(8-VLOOKUP(J675,'Dados de consulta'!$A$2:$C$38,3,0),8))</f>
        <v>0</v>
      </c>
      <c r="BH675" s="97">
        <f>IF(OR(AY675="SÁB",AY675="DOM"),0,IFERROR(8-VLOOKUP(K675,'Dados de consulta'!$A$2:$C$38,3,0),8))</f>
        <v>0</v>
      </c>
      <c r="BI675" s="97">
        <f>IF(OR(AY675="SÁB",AY675="DOM"),0,IFERROR(8-VLOOKUP(L675,'Dados de consulta'!$A$2:$C$38,3,0),8))</f>
        <v>0</v>
      </c>
      <c r="BJ675" s="97">
        <f>IF(OR(AY675="SÁB",AY675="DOM"),0,IFERROR(8-VLOOKUP(M675,'Dados de consulta'!$A$2:$C$38,3,0),8))</f>
        <v>0</v>
      </c>
      <c r="BK675" s="97">
        <f>IF(OR(AY675="SÁB",AY675="DOM"),0,IFERROR(8-VLOOKUP(N675,'Dados de consulta'!$A$2:$C$38,3,0),8))</f>
        <v>0</v>
      </c>
      <c r="BL675" s="97">
        <f>IF(OR(AY675="SÁB",AY675="DOM"),0,IFERROR(8-VLOOKUP(O675,'Dados de consulta'!$A$2:$C$38,3,0),8))</f>
        <v>0</v>
      </c>
      <c r="BM675" s="97">
        <f>IF(OR(AY675="SÁB",AY675="DOM"),0,IFERROR(8-VLOOKUP(P675,'Dados de consulta'!$A$2:$C$38,3,0),8))</f>
        <v>0</v>
      </c>
      <c r="BN675" s="97">
        <f>IF(OR(AY675="SÁB",AY675="DOM"),0,IFERROR(8-VLOOKUP(Q675,'Dados de consulta'!$A$2:$C$38,3,0),8))</f>
        <v>0</v>
      </c>
      <c r="BO675" s="97">
        <f>IF(OR(AY675="SÁB",AY675="DOM"),0,IFERROR(8-VLOOKUP(R675,'Dados de consulta'!$A$2:$C$38,3,0),8))</f>
        <v>0</v>
      </c>
      <c r="BP675" s="97">
        <f>IF(OR(AY675="SÁB",AY675="DOM"),0,IFERROR(8-VLOOKUP(S675,'Dados de consulta'!$A$2:$C$38,3,0),8))</f>
        <v>0</v>
      </c>
      <c r="BQ675" s="113">
        <f>IFERROR(6-VLOOKUP(T675,'Dados de consulta'!$A$2:$C$38,3,0)+2,6)</f>
        <v>6</v>
      </c>
      <c r="BR675" s="114">
        <f t="shared" si="284"/>
        <v>0</v>
      </c>
      <c r="BS675">
        <f t="shared" si="260"/>
        <v>0</v>
      </c>
      <c r="BU675">
        <f>IFERROR(8-VLOOKUP(U675,'Dados de consulta'!$A:$D,3,0),8)</f>
        <v>8</v>
      </c>
      <c r="BV675">
        <f>IFERROR(8-VLOOKUP(V675,'Dados de consulta'!$A:$D,3,0),8)</f>
        <v>8</v>
      </c>
      <c r="BW675">
        <f t="shared" si="285"/>
        <v>16</v>
      </c>
    </row>
    <row r="676" spans="1:75" ht="15" hidden="1" x14ac:dyDescent="0.2">
      <c r="A676" s="98">
        <v>42799</v>
      </c>
      <c r="B676" s="129" t="str">
        <f t="shared" si="262"/>
        <v>dom</v>
      </c>
      <c r="C676" s="132"/>
      <c r="D676" s="132"/>
      <c r="E676" s="132"/>
      <c r="F676" s="132"/>
      <c r="G676" s="132"/>
      <c r="H676" s="132"/>
      <c r="I676" s="132"/>
      <c r="J676" s="132"/>
      <c r="K676" s="132">
        <v>18</v>
      </c>
      <c r="L676" s="132"/>
      <c r="M676" s="132">
        <v>101</v>
      </c>
      <c r="N676" s="132"/>
      <c r="O676" s="132"/>
      <c r="P676" s="132"/>
      <c r="Q676" s="132"/>
      <c r="R676" s="132"/>
      <c r="S676" s="132"/>
      <c r="T676" s="132"/>
      <c r="U676" s="151"/>
      <c r="V676" s="151"/>
      <c r="W676" s="307" t="s">
        <v>193</v>
      </c>
      <c r="X676" s="308"/>
      <c r="Y676" s="38">
        <f t="shared" si="263"/>
        <v>0</v>
      </c>
      <c r="Z676" s="38">
        <f t="shared" si="264"/>
        <v>8</v>
      </c>
      <c r="AA676" s="38">
        <f t="shared" si="261"/>
        <v>0</v>
      </c>
      <c r="AB676" s="38">
        <f t="shared" si="272"/>
        <v>0</v>
      </c>
      <c r="AC676" s="38">
        <f t="shared" si="273"/>
        <v>0</v>
      </c>
      <c r="AD676" s="38">
        <f t="shared" si="274"/>
        <v>0</v>
      </c>
      <c r="AE676" s="38">
        <f t="shared" si="275"/>
        <v>0</v>
      </c>
      <c r="AF676" s="38">
        <f t="shared" si="276"/>
        <v>0</v>
      </c>
      <c r="AG676" s="33">
        <f t="shared" si="277"/>
        <v>0</v>
      </c>
      <c r="AH676" s="33">
        <f t="shared" si="278"/>
        <v>0</v>
      </c>
      <c r="AI676" s="33">
        <f t="shared" si="279"/>
        <v>0</v>
      </c>
      <c r="AJ676" s="33">
        <f t="shared" si="280"/>
        <v>0</v>
      </c>
      <c r="AK676" s="34">
        <f t="shared" si="281"/>
        <v>0</v>
      </c>
      <c r="AL676" s="35">
        <f t="shared" si="282"/>
        <v>0</v>
      </c>
      <c r="AM676" s="34">
        <f t="shared" si="265"/>
        <v>0</v>
      </c>
      <c r="AN676" s="36">
        <f t="shared" si="283"/>
        <v>0</v>
      </c>
      <c r="AO676" s="6">
        <f t="shared" si="266"/>
        <v>0</v>
      </c>
      <c r="AP676">
        <f t="shared" si="267"/>
        <v>8</v>
      </c>
      <c r="AQ676" s="6">
        <f t="shared" si="268"/>
        <v>0</v>
      </c>
      <c r="AR676" s="6">
        <f t="shared" si="269"/>
        <v>0</v>
      </c>
      <c r="AS676" s="6"/>
      <c r="AX676" s="95">
        <f t="shared" si="270"/>
        <v>42799</v>
      </c>
      <c r="AY676" s="96" t="str">
        <f t="shared" si="271"/>
        <v>dom</v>
      </c>
      <c r="AZ676" s="97">
        <f>IF(OR(AY676="SÁB",AY676="DOM"),0,IFERROR(8-VLOOKUP(C676,'Dados de consulta'!$A$2:$C$38,3,0),8))</f>
        <v>0</v>
      </c>
      <c r="BA676" s="97">
        <f>IF(OR(AY676="SÁB",AY676="DOM"),0,IFERROR(8-VLOOKUP(D676,'Dados de consulta'!$A$2:$C$38,3,0),8))</f>
        <v>0</v>
      </c>
      <c r="BB676" s="97">
        <f>IF(OR(AY676="SÁB",AY676="DOM"),0,IFERROR(8-VLOOKUP(E676,'Dados de consulta'!$A$2:$C$38,3,0),8))</f>
        <v>0</v>
      </c>
      <c r="BC676" s="97">
        <f>IF(OR(AY676="SÁB",AY676="DOM"),0,IFERROR(8-VLOOKUP(F676,'Dados de consulta'!$A$2:$C$38,3,0),8))</f>
        <v>0</v>
      </c>
      <c r="BD676" s="97">
        <f>IF(OR(AY676="SÁB",AY676="DOM"),0,IFERROR(8-VLOOKUP(G676,'Dados de consulta'!$A$2:$C$38,3,0),8))</f>
        <v>0</v>
      </c>
      <c r="BE676" s="97">
        <f>IF(OR(AY676="SÁB",AY676="DOM"),0,IFERROR(8-VLOOKUP(H676,'Dados de consulta'!$A$2:$C$38,3,0),8))</f>
        <v>0</v>
      </c>
      <c r="BF676" s="97">
        <f>IF(OR(AY676="SÁB",AY676="DOM"),0,IFERROR(8-VLOOKUP(I676,'Dados de consulta'!$A$2:$C$38,3,0),8))</f>
        <v>0</v>
      </c>
      <c r="BG676" s="97">
        <f>IF(OR(AY676="SÁB",AY676="DOM"),0,IFERROR(8-VLOOKUP(J676,'Dados de consulta'!$A$2:$C$38,3,0),8))</f>
        <v>0</v>
      </c>
      <c r="BH676" s="97">
        <f>IF(OR(AY676="SÁB",AY676="DOM"),0,IFERROR(8-VLOOKUP(K676,'Dados de consulta'!$A$2:$C$38,3,0),8))</f>
        <v>0</v>
      </c>
      <c r="BI676" s="97">
        <f>IF(OR(AY676="SÁB",AY676="DOM"),0,IFERROR(8-VLOOKUP(L676,'Dados de consulta'!$A$2:$C$38,3,0),8))</f>
        <v>0</v>
      </c>
      <c r="BJ676" s="97">
        <f>IF(OR(AY676="SÁB",AY676="DOM"),0,IFERROR(8-VLOOKUP(M676,'Dados de consulta'!$A$2:$C$38,3,0),8))</f>
        <v>0</v>
      </c>
      <c r="BK676" s="97">
        <f>IF(OR(AY676="SÁB",AY676="DOM"),0,IFERROR(8-VLOOKUP(N676,'Dados de consulta'!$A$2:$C$38,3,0),8))</f>
        <v>0</v>
      </c>
      <c r="BL676" s="97">
        <f>IF(OR(AY676="SÁB",AY676="DOM"),0,IFERROR(8-VLOOKUP(O676,'Dados de consulta'!$A$2:$C$38,3,0),8))</f>
        <v>0</v>
      </c>
      <c r="BM676" s="97">
        <f>IF(OR(AY676="SÁB",AY676="DOM"),0,IFERROR(8-VLOOKUP(P676,'Dados de consulta'!$A$2:$C$38,3,0),8))</f>
        <v>0</v>
      </c>
      <c r="BN676" s="97">
        <f>IF(OR(AY676="SÁB",AY676="DOM"),0,IFERROR(8-VLOOKUP(Q676,'Dados de consulta'!$A$2:$C$38,3,0),8))</f>
        <v>0</v>
      </c>
      <c r="BO676" s="97">
        <f>IF(OR(AY676="SÁB",AY676="DOM"),0,IFERROR(8-VLOOKUP(R676,'Dados de consulta'!$A$2:$C$38,3,0),8))</f>
        <v>0</v>
      </c>
      <c r="BP676" s="97">
        <f>IF(OR(AY676="SÁB",AY676="DOM"),0,IFERROR(8-VLOOKUP(S676,'Dados de consulta'!$A$2:$C$38,3,0),8))</f>
        <v>0</v>
      </c>
      <c r="BQ676" s="113">
        <f>IFERROR(6-VLOOKUP(T676,'Dados de consulta'!$A$2:$C$38,3,0)+2,6)</f>
        <v>6</v>
      </c>
      <c r="BR676" s="114">
        <f t="shared" si="284"/>
        <v>0</v>
      </c>
      <c r="BS676">
        <f t="shared" si="260"/>
        <v>0</v>
      </c>
      <c r="BU676">
        <f>IFERROR(8-VLOOKUP(U676,'Dados de consulta'!$A:$D,3,0),8)</f>
        <v>8</v>
      </c>
      <c r="BV676">
        <f>IFERROR(8-VLOOKUP(V676,'Dados de consulta'!$A:$D,3,0),8)</f>
        <v>8</v>
      </c>
      <c r="BW676">
        <f t="shared" si="285"/>
        <v>16</v>
      </c>
    </row>
    <row r="677" spans="1:75" ht="15" hidden="1" x14ac:dyDescent="0.2">
      <c r="A677" s="98">
        <v>42800</v>
      </c>
      <c r="B677" s="129" t="str">
        <f t="shared" si="262"/>
        <v>seg</v>
      </c>
      <c r="C677" s="132"/>
      <c r="D677" s="132"/>
      <c r="E677" s="132"/>
      <c r="F677" s="132"/>
      <c r="G677" s="132"/>
      <c r="H677" s="132"/>
      <c r="I677" s="132"/>
      <c r="J677" s="132"/>
      <c r="K677" s="132">
        <v>18</v>
      </c>
      <c r="L677" s="132"/>
      <c r="M677" s="132">
        <v>101</v>
      </c>
      <c r="N677" s="132"/>
      <c r="O677" s="132"/>
      <c r="P677" s="132"/>
      <c r="Q677" s="132"/>
      <c r="R677" s="132">
        <v>18</v>
      </c>
      <c r="S677" s="132"/>
      <c r="T677" s="132"/>
      <c r="U677" s="151"/>
      <c r="V677" s="151"/>
      <c r="W677" s="307" t="s">
        <v>193</v>
      </c>
      <c r="X677" s="308"/>
      <c r="Y677" s="38">
        <f t="shared" si="263"/>
        <v>0</v>
      </c>
      <c r="Z677" s="38">
        <f t="shared" si="264"/>
        <v>16</v>
      </c>
      <c r="AA677" s="38">
        <f t="shared" si="261"/>
        <v>0</v>
      </c>
      <c r="AB677" s="38">
        <f t="shared" si="272"/>
        <v>0</v>
      </c>
      <c r="AC677" s="38">
        <f t="shared" si="273"/>
        <v>0</v>
      </c>
      <c r="AD677" s="38">
        <f t="shared" si="274"/>
        <v>0</v>
      </c>
      <c r="AE677" s="38">
        <f t="shared" si="275"/>
        <v>0</v>
      </c>
      <c r="AF677" s="38">
        <f t="shared" si="276"/>
        <v>0</v>
      </c>
      <c r="AG677" s="33">
        <f t="shared" si="277"/>
        <v>0</v>
      </c>
      <c r="AH677" s="33">
        <f t="shared" si="278"/>
        <v>16</v>
      </c>
      <c r="AI677" s="33">
        <f t="shared" si="279"/>
        <v>0</v>
      </c>
      <c r="AJ677" s="33">
        <f t="shared" si="280"/>
        <v>0</v>
      </c>
      <c r="AK677" s="34">
        <f t="shared" si="281"/>
        <v>0</v>
      </c>
      <c r="AL677" s="35">
        <f t="shared" si="282"/>
        <v>0.11267605633802817</v>
      </c>
      <c r="AM677" s="34">
        <f t="shared" si="265"/>
        <v>0</v>
      </c>
      <c r="AN677" s="36">
        <f t="shared" si="283"/>
        <v>0</v>
      </c>
      <c r="AO677" s="6">
        <f t="shared" si="266"/>
        <v>0</v>
      </c>
      <c r="AP677">
        <f t="shared" si="267"/>
        <v>8</v>
      </c>
      <c r="AQ677" s="6">
        <f t="shared" si="268"/>
        <v>0</v>
      </c>
      <c r="AR677" s="6">
        <f t="shared" si="269"/>
        <v>0</v>
      </c>
      <c r="AS677" s="6"/>
      <c r="AX677" s="95">
        <f t="shared" si="270"/>
        <v>42800</v>
      </c>
      <c r="AY677" s="96" t="str">
        <f t="shared" si="271"/>
        <v>seg</v>
      </c>
      <c r="AZ677" s="97">
        <f>IF(OR(AY677="SÁB",AY677="DOM"),0,IFERROR(8-VLOOKUP(C677,'Dados de consulta'!$A$2:$C$38,3,0),8))</f>
        <v>8</v>
      </c>
      <c r="BA677" s="97">
        <f>IF(OR(AY677="SÁB",AY677="DOM"),0,IFERROR(8-VLOOKUP(D677,'Dados de consulta'!$A$2:$C$38,3,0),8))</f>
        <v>8</v>
      </c>
      <c r="BB677" s="97">
        <f>IF(OR(AY677="SÁB",AY677="DOM"),0,IFERROR(8-VLOOKUP(E677,'Dados de consulta'!$A$2:$C$38,3,0),8))</f>
        <v>8</v>
      </c>
      <c r="BC677" s="97">
        <f>IF(OR(AY677="SÁB",AY677="DOM"),0,IFERROR(8-VLOOKUP(F677,'Dados de consulta'!$A$2:$C$38,3,0),8))</f>
        <v>8</v>
      </c>
      <c r="BD677" s="97">
        <f>IF(OR(AY677="SÁB",AY677="DOM"),0,IFERROR(8-VLOOKUP(G677,'Dados de consulta'!$A$2:$C$38,3,0),8))</f>
        <v>8</v>
      </c>
      <c r="BE677" s="97">
        <f>IF(OR(AY677="SÁB",AY677="DOM"),0,IFERROR(8-VLOOKUP(H677,'Dados de consulta'!$A$2:$C$38,3,0),8))</f>
        <v>8</v>
      </c>
      <c r="BF677" s="97">
        <f>IF(OR(AY677="SÁB",AY677="DOM"),0,IFERROR(8-VLOOKUP(I677,'Dados de consulta'!$A$2:$C$38,3,0),8))</f>
        <v>8</v>
      </c>
      <c r="BG677" s="97">
        <f>IF(OR(AY677="SÁB",AY677="DOM"),0,IFERROR(8-VLOOKUP(J677,'Dados de consulta'!$A$2:$C$38,3,0),8))</f>
        <v>8</v>
      </c>
      <c r="BH677" s="97">
        <f>IF(OR(AY677="SÁB",AY677="DOM"),0,IFERROR(8-VLOOKUP(K677,'Dados de consulta'!$A$2:$C$38,3,0),8))</f>
        <v>0</v>
      </c>
      <c r="BI677" s="97">
        <f>IF(OR(AY677="SÁB",AY677="DOM"),0,IFERROR(8-VLOOKUP(L677,'Dados de consulta'!$A$2:$C$38,3,0),8))</f>
        <v>8</v>
      </c>
      <c r="BJ677" s="97">
        <f>IF(OR(AY677="SÁB",AY677="DOM"),0,IFERROR(8-VLOOKUP(M677,'Dados de consulta'!$A$2:$C$38,3,0),8))</f>
        <v>0</v>
      </c>
      <c r="BK677" s="97">
        <f>IF(OR(AY677="SÁB",AY677="DOM"),0,IFERROR(8-VLOOKUP(N677,'Dados de consulta'!$A$2:$C$38,3,0),8))</f>
        <v>8</v>
      </c>
      <c r="BL677" s="97">
        <f>IF(OR(AY677="SÁB",AY677="DOM"),0,IFERROR(8-VLOOKUP(O677,'Dados de consulta'!$A$2:$C$38,3,0),8))</f>
        <v>8</v>
      </c>
      <c r="BM677" s="97">
        <f>IF(OR(AY677="SÁB",AY677="DOM"),0,IFERROR(8-VLOOKUP(P677,'Dados de consulta'!$A$2:$C$38,3,0),8))</f>
        <v>8</v>
      </c>
      <c r="BN677" s="97">
        <f>IF(OR(AY677="SÁB",AY677="DOM"),0,IFERROR(8-VLOOKUP(Q677,'Dados de consulta'!$A$2:$C$38,3,0),8))</f>
        <v>8</v>
      </c>
      <c r="BO677" s="97">
        <f>IF(OR(AY677="SÁB",AY677="DOM"),0,IFERROR(8-VLOOKUP(R677,'Dados de consulta'!$A$2:$C$38,3,0),8))</f>
        <v>0</v>
      </c>
      <c r="BP677" s="97">
        <f>IF(OR(AY677="SÁB",AY677="DOM"),0,IFERROR(8-VLOOKUP(S677,'Dados de consulta'!$A$2:$C$38,3,0),8))</f>
        <v>8</v>
      </c>
      <c r="BQ677" s="113">
        <f>IFERROR(6-VLOOKUP(T677,'Dados de consulta'!$A$2:$C$38,3,0)+2,6)</f>
        <v>6</v>
      </c>
      <c r="BR677" s="114">
        <f t="shared" si="284"/>
        <v>118</v>
      </c>
      <c r="BS677">
        <f t="shared" si="260"/>
        <v>134</v>
      </c>
      <c r="BU677">
        <f>IFERROR(8-VLOOKUP(U677,'Dados de consulta'!$A:$D,3,0),8)</f>
        <v>8</v>
      </c>
      <c r="BV677">
        <f>IFERROR(8-VLOOKUP(V677,'Dados de consulta'!$A:$D,3,0),8)</f>
        <v>8</v>
      </c>
      <c r="BW677">
        <f t="shared" si="285"/>
        <v>16</v>
      </c>
    </row>
    <row r="678" spans="1:75" ht="15" hidden="1" x14ac:dyDescent="0.2">
      <c r="A678" s="98">
        <v>42801</v>
      </c>
      <c r="B678" s="129" t="str">
        <f t="shared" si="262"/>
        <v>ter</v>
      </c>
      <c r="C678" s="132"/>
      <c r="D678" s="132"/>
      <c r="E678" s="132"/>
      <c r="F678" s="132"/>
      <c r="G678" s="132"/>
      <c r="H678" s="132"/>
      <c r="I678" s="132"/>
      <c r="J678" s="132"/>
      <c r="K678" s="132">
        <v>18</v>
      </c>
      <c r="L678" s="132"/>
      <c r="M678" s="132">
        <v>101</v>
      </c>
      <c r="N678" s="132"/>
      <c r="O678" s="132"/>
      <c r="P678" s="132"/>
      <c r="Q678" s="132"/>
      <c r="R678" s="132">
        <v>18</v>
      </c>
      <c r="S678" s="132"/>
      <c r="T678" s="132"/>
      <c r="U678" s="151"/>
      <c r="V678" s="151"/>
      <c r="W678" s="307" t="s">
        <v>193</v>
      </c>
      <c r="X678" s="308"/>
      <c r="Y678" s="38">
        <f t="shared" si="263"/>
        <v>0</v>
      </c>
      <c r="Z678" s="38">
        <f t="shared" si="264"/>
        <v>16</v>
      </c>
      <c r="AA678" s="38">
        <f t="shared" si="261"/>
        <v>0</v>
      </c>
      <c r="AB678" s="38">
        <f t="shared" si="272"/>
        <v>0</v>
      </c>
      <c r="AC678" s="38">
        <f t="shared" si="273"/>
        <v>0</v>
      </c>
      <c r="AD678" s="38">
        <f t="shared" si="274"/>
        <v>0</v>
      </c>
      <c r="AE678" s="38">
        <f t="shared" si="275"/>
        <v>0</v>
      </c>
      <c r="AF678" s="38">
        <f t="shared" si="276"/>
        <v>0</v>
      </c>
      <c r="AG678" s="33">
        <f t="shared" si="277"/>
        <v>0</v>
      </c>
      <c r="AH678" s="33">
        <f t="shared" si="278"/>
        <v>16</v>
      </c>
      <c r="AI678" s="33">
        <f t="shared" si="279"/>
        <v>0</v>
      </c>
      <c r="AJ678" s="33">
        <f t="shared" si="280"/>
        <v>0</v>
      </c>
      <c r="AK678" s="34">
        <f t="shared" si="281"/>
        <v>0</v>
      </c>
      <c r="AL678" s="35">
        <f t="shared" si="282"/>
        <v>0.11267605633802817</v>
      </c>
      <c r="AM678" s="34">
        <f t="shared" si="265"/>
        <v>0</v>
      </c>
      <c r="AN678" s="36">
        <f t="shared" si="283"/>
        <v>0</v>
      </c>
      <c r="AO678" s="6">
        <f t="shared" si="266"/>
        <v>0</v>
      </c>
      <c r="AP678">
        <f t="shared" si="267"/>
        <v>8</v>
      </c>
      <c r="AQ678" s="6">
        <f t="shared" si="268"/>
        <v>0</v>
      </c>
      <c r="AR678" s="6">
        <f t="shared" si="269"/>
        <v>0</v>
      </c>
      <c r="AS678" s="6"/>
      <c r="AX678" s="95">
        <f t="shared" si="270"/>
        <v>42801</v>
      </c>
      <c r="AY678" s="96" t="str">
        <f t="shared" si="271"/>
        <v>ter</v>
      </c>
      <c r="AZ678" s="97">
        <f>IF(OR(AY678="SÁB",AY678="DOM"),0,IFERROR(8-VLOOKUP(C678,'Dados de consulta'!$A$2:$C$38,3,0),8))</f>
        <v>8</v>
      </c>
      <c r="BA678" s="97">
        <f>IF(OR(AY678="SÁB",AY678="DOM"),0,IFERROR(8-VLOOKUP(D678,'Dados de consulta'!$A$2:$C$38,3,0),8))</f>
        <v>8</v>
      </c>
      <c r="BB678" s="97">
        <f>IF(OR(AY678="SÁB",AY678="DOM"),0,IFERROR(8-VLOOKUP(E678,'Dados de consulta'!$A$2:$C$38,3,0),8))</f>
        <v>8</v>
      </c>
      <c r="BC678" s="97">
        <f>IF(OR(AY678="SÁB",AY678="DOM"),0,IFERROR(8-VLOOKUP(F678,'Dados de consulta'!$A$2:$C$38,3,0),8))</f>
        <v>8</v>
      </c>
      <c r="BD678" s="97">
        <f>IF(OR(AY678="SÁB",AY678="DOM"),0,IFERROR(8-VLOOKUP(G678,'Dados de consulta'!$A$2:$C$38,3,0),8))</f>
        <v>8</v>
      </c>
      <c r="BE678" s="97">
        <f>IF(OR(AY678="SÁB",AY678="DOM"),0,IFERROR(8-VLOOKUP(H678,'Dados de consulta'!$A$2:$C$38,3,0),8))</f>
        <v>8</v>
      </c>
      <c r="BF678" s="97">
        <f>IF(OR(AY678="SÁB",AY678="DOM"),0,IFERROR(8-VLOOKUP(I678,'Dados de consulta'!$A$2:$C$38,3,0),8))</f>
        <v>8</v>
      </c>
      <c r="BG678" s="97">
        <f>IF(OR(AY678="SÁB",AY678="DOM"),0,IFERROR(8-VLOOKUP(J678,'Dados de consulta'!$A$2:$C$38,3,0),8))</f>
        <v>8</v>
      </c>
      <c r="BH678" s="97">
        <f>IF(OR(AY678="SÁB",AY678="DOM"),0,IFERROR(8-VLOOKUP(K678,'Dados de consulta'!$A$2:$C$38,3,0),8))</f>
        <v>0</v>
      </c>
      <c r="BI678" s="97">
        <f>IF(OR(AY678="SÁB",AY678="DOM"),0,IFERROR(8-VLOOKUP(L678,'Dados de consulta'!$A$2:$C$38,3,0),8))</f>
        <v>8</v>
      </c>
      <c r="BJ678" s="97">
        <f>IF(OR(AY678="SÁB",AY678="DOM"),0,IFERROR(8-VLOOKUP(M678,'Dados de consulta'!$A$2:$C$38,3,0),8))</f>
        <v>0</v>
      </c>
      <c r="BK678" s="97">
        <f>IF(OR(AY678="SÁB",AY678="DOM"),0,IFERROR(8-VLOOKUP(N678,'Dados de consulta'!$A$2:$C$38,3,0),8))</f>
        <v>8</v>
      </c>
      <c r="BL678" s="97">
        <f>IF(OR(AY678="SÁB",AY678="DOM"),0,IFERROR(8-VLOOKUP(O678,'Dados de consulta'!$A$2:$C$38,3,0),8))</f>
        <v>8</v>
      </c>
      <c r="BM678" s="97">
        <f>IF(OR(AY678="SÁB",AY678="DOM"),0,IFERROR(8-VLOOKUP(P678,'Dados de consulta'!$A$2:$C$38,3,0),8))</f>
        <v>8</v>
      </c>
      <c r="BN678" s="97">
        <f>IF(OR(AY678="SÁB",AY678="DOM"),0,IFERROR(8-VLOOKUP(Q678,'Dados de consulta'!$A$2:$C$38,3,0),8))</f>
        <v>8</v>
      </c>
      <c r="BO678" s="97">
        <f>IF(OR(AY678="SÁB",AY678="DOM"),0,IFERROR(8-VLOOKUP(R678,'Dados de consulta'!$A$2:$C$38,3,0),8))</f>
        <v>0</v>
      </c>
      <c r="BP678" s="97">
        <f>IF(OR(AY678="SÁB",AY678="DOM"),0,IFERROR(8-VLOOKUP(S678,'Dados de consulta'!$A$2:$C$38,3,0),8))</f>
        <v>8</v>
      </c>
      <c r="BQ678" s="113">
        <f>IFERROR(6-VLOOKUP(T678,'Dados de consulta'!$A$2:$C$38,3,0)+2,6)</f>
        <v>6</v>
      </c>
      <c r="BR678" s="114">
        <f t="shared" si="284"/>
        <v>118</v>
      </c>
      <c r="BS678">
        <f t="shared" si="260"/>
        <v>134</v>
      </c>
      <c r="BU678">
        <f>IFERROR(8-VLOOKUP(U678,'Dados de consulta'!$A:$D,3,0),8)</f>
        <v>8</v>
      </c>
      <c r="BV678">
        <f>IFERROR(8-VLOOKUP(V678,'Dados de consulta'!$A:$D,3,0),8)</f>
        <v>8</v>
      </c>
      <c r="BW678">
        <f t="shared" si="285"/>
        <v>16</v>
      </c>
    </row>
    <row r="679" spans="1:75" ht="15" hidden="1" x14ac:dyDescent="0.2">
      <c r="A679" s="98">
        <v>42802</v>
      </c>
      <c r="B679" s="129" t="str">
        <f t="shared" si="262"/>
        <v>qua</v>
      </c>
      <c r="C679" s="132"/>
      <c r="D679" s="132"/>
      <c r="E679" s="132"/>
      <c r="F679" s="132"/>
      <c r="G679" s="132"/>
      <c r="H679" s="132"/>
      <c r="I679" s="132"/>
      <c r="J679" s="132"/>
      <c r="K679" s="132">
        <v>18</v>
      </c>
      <c r="L679" s="132"/>
      <c r="M679" s="132">
        <v>101</v>
      </c>
      <c r="N679" s="132"/>
      <c r="O679" s="132"/>
      <c r="P679" s="132"/>
      <c r="Q679" s="132"/>
      <c r="R679" s="132">
        <v>18</v>
      </c>
      <c r="S679" s="132"/>
      <c r="T679" s="132"/>
      <c r="U679" s="151"/>
      <c r="V679" s="151"/>
      <c r="W679" s="307" t="s">
        <v>193</v>
      </c>
      <c r="X679" s="308"/>
      <c r="Y679" s="38">
        <f t="shared" si="263"/>
        <v>0</v>
      </c>
      <c r="Z679" s="38">
        <f t="shared" si="264"/>
        <v>16</v>
      </c>
      <c r="AA679" s="38">
        <f t="shared" si="261"/>
        <v>0</v>
      </c>
      <c r="AB679" s="38">
        <f t="shared" si="272"/>
        <v>0</v>
      </c>
      <c r="AC679" s="38">
        <f t="shared" si="273"/>
        <v>0</v>
      </c>
      <c r="AD679" s="38">
        <f t="shared" si="274"/>
        <v>0</v>
      </c>
      <c r="AE679" s="38">
        <f t="shared" si="275"/>
        <v>0</v>
      </c>
      <c r="AF679" s="38">
        <f t="shared" si="276"/>
        <v>0</v>
      </c>
      <c r="AG679" s="33">
        <f t="shared" si="277"/>
        <v>0</v>
      </c>
      <c r="AH679" s="33">
        <f t="shared" si="278"/>
        <v>16</v>
      </c>
      <c r="AI679" s="33">
        <f t="shared" si="279"/>
        <v>0</v>
      </c>
      <c r="AJ679" s="33">
        <f t="shared" si="280"/>
        <v>0</v>
      </c>
      <c r="AK679" s="34">
        <f t="shared" si="281"/>
        <v>0</v>
      </c>
      <c r="AL679" s="35">
        <f t="shared" si="282"/>
        <v>0.11267605633802817</v>
      </c>
      <c r="AM679" s="34">
        <f t="shared" si="265"/>
        <v>0</v>
      </c>
      <c r="AN679" s="36">
        <f t="shared" si="283"/>
        <v>0</v>
      </c>
      <c r="AO679" s="6">
        <f t="shared" si="266"/>
        <v>0</v>
      </c>
      <c r="AP679">
        <f t="shared" si="267"/>
        <v>8</v>
      </c>
      <c r="AQ679" s="6">
        <f t="shared" si="268"/>
        <v>0</v>
      </c>
      <c r="AR679" s="6">
        <f t="shared" si="269"/>
        <v>0</v>
      </c>
      <c r="AS679" s="6"/>
      <c r="AX679" s="95">
        <f t="shared" si="270"/>
        <v>42802</v>
      </c>
      <c r="AY679" s="96" t="str">
        <f t="shared" si="271"/>
        <v>qua</v>
      </c>
      <c r="AZ679" s="97">
        <f>IF(OR(AY679="SÁB",AY679="DOM"),0,IFERROR(8-VLOOKUP(C679,'Dados de consulta'!$A$2:$C$38,3,0),8))</f>
        <v>8</v>
      </c>
      <c r="BA679" s="97">
        <f>IF(OR(AY679="SÁB",AY679="DOM"),0,IFERROR(8-VLOOKUP(D679,'Dados de consulta'!$A$2:$C$38,3,0),8))</f>
        <v>8</v>
      </c>
      <c r="BB679" s="97">
        <f>IF(OR(AY679="SÁB",AY679="DOM"),0,IFERROR(8-VLOOKUP(E679,'Dados de consulta'!$A$2:$C$38,3,0),8))</f>
        <v>8</v>
      </c>
      <c r="BC679" s="97">
        <f>IF(OR(AY679="SÁB",AY679="DOM"),0,IFERROR(8-VLOOKUP(F679,'Dados de consulta'!$A$2:$C$38,3,0),8))</f>
        <v>8</v>
      </c>
      <c r="BD679" s="97">
        <f>IF(OR(AY679="SÁB",AY679="DOM"),0,IFERROR(8-VLOOKUP(G679,'Dados de consulta'!$A$2:$C$38,3,0),8))</f>
        <v>8</v>
      </c>
      <c r="BE679" s="97">
        <f>IF(OR(AY679="SÁB",AY679="DOM"),0,IFERROR(8-VLOOKUP(H679,'Dados de consulta'!$A$2:$C$38,3,0),8))</f>
        <v>8</v>
      </c>
      <c r="BF679" s="97">
        <f>IF(OR(AY679="SÁB",AY679="DOM"),0,IFERROR(8-VLOOKUP(I679,'Dados de consulta'!$A$2:$C$38,3,0),8))</f>
        <v>8</v>
      </c>
      <c r="BG679" s="97">
        <f>IF(OR(AY679="SÁB",AY679="DOM"),0,IFERROR(8-VLOOKUP(J679,'Dados de consulta'!$A$2:$C$38,3,0),8))</f>
        <v>8</v>
      </c>
      <c r="BH679" s="97">
        <f>IF(OR(AY679="SÁB",AY679="DOM"),0,IFERROR(8-VLOOKUP(K679,'Dados de consulta'!$A$2:$C$38,3,0),8))</f>
        <v>0</v>
      </c>
      <c r="BI679" s="97">
        <f>IF(OR(AY679="SÁB",AY679="DOM"),0,IFERROR(8-VLOOKUP(L679,'Dados de consulta'!$A$2:$C$38,3,0),8))</f>
        <v>8</v>
      </c>
      <c r="BJ679" s="97">
        <f>IF(OR(AY679="SÁB",AY679="DOM"),0,IFERROR(8-VLOOKUP(M679,'Dados de consulta'!$A$2:$C$38,3,0),8))</f>
        <v>0</v>
      </c>
      <c r="BK679" s="97">
        <f>IF(OR(AY679="SÁB",AY679="DOM"),0,IFERROR(8-VLOOKUP(N679,'Dados de consulta'!$A$2:$C$38,3,0),8))</f>
        <v>8</v>
      </c>
      <c r="BL679" s="97">
        <f>IF(OR(AY679="SÁB",AY679="DOM"),0,IFERROR(8-VLOOKUP(O679,'Dados de consulta'!$A$2:$C$38,3,0),8))</f>
        <v>8</v>
      </c>
      <c r="BM679" s="97">
        <f>IF(OR(AY679="SÁB",AY679="DOM"),0,IFERROR(8-VLOOKUP(P679,'Dados de consulta'!$A$2:$C$38,3,0),8))</f>
        <v>8</v>
      </c>
      <c r="BN679" s="97">
        <f>IF(OR(AY679="SÁB",AY679="DOM"),0,IFERROR(8-VLOOKUP(Q679,'Dados de consulta'!$A$2:$C$38,3,0),8))</f>
        <v>8</v>
      </c>
      <c r="BO679" s="97">
        <f>IF(OR(AY679="SÁB",AY679="DOM"),0,IFERROR(8-VLOOKUP(R679,'Dados de consulta'!$A$2:$C$38,3,0),8))</f>
        <v>0</v>
      </c>
      <c r="BP679" s="97">
        <f>IF(OR(AY679="SÁB",AY679="DOM"),0,IFERROR(8-VLOOKUP(S679,'Dados de consulta'!$A$2:$C$38,3,0),8))</f>
        <v>8</v>
      </c>
      <c r="BQ679" s="113">
        <f>IFERROR(6-VLOOKUP(T679,'Dados de consulta'!$A$2:$C$38,3,0)+2,6)</f>
        <v>6</v>
      </c>
      <c r="BR679" s="114">
        <f t="shared" si="284"/>
        <v>118</v>
      </c>
      <c r="BS679">
        <f t="shared" si="260"/>
        <v>134</v>
      </c>
      <c r="BU679">
        <f>IFERROR(8-VLOOKUP(U679,'Dados de consulta'!$A:$D,3,0),8)</f>
        <v>8</v>
      </c>
      <c r="BV679">
        <f>IFERROR(8-VLOOKUP(V679,'Dados de consulta'!$A:$D,3,0),8)</f>
        <v>8</v>
      </c>
      <c r="BW679">
        <f t="shared" si="285"/>
        <v>16</v>
      </c>
    </row>
    <row r="680" spans="1:75" ht="15" hidden="1" x14ac:dyDescent="0.2">
      <c r="A680" s="98">
        <v>42803</v>
      </c>
      <c r="B680" s="129" t="str">
        <f t="shared" si="262"/>
        <v>qui</v>
      </c>
      <c r="C680" s="132"/>
      <c r="D680" s="132"/>
      <c r="E680" s="132"/>
      <c r="F680" s="132"/>
      <c r="G680" s="132"/>
      <c r="H680" s="132"/>
      <c r="I680" s="132"/>
      <c r="J680" s="132"/>
      <c r="K680" s="132">
        <v>18</v>
      </c>
      <c r="L680" s="132"/>
      <c r="M680" s="132">
        <v>101</v>
      </c>
      <c r="N680" s="132"/>
      <c r="O680" s="132"/>
      <c r="P680" s="132"/>
      <c r="Q680" s="132"/>
      <c r="R680" s="132">
        <v>18</v>
      </c>
      <c r="S680" s="132"/>
      <c r="T680" s="132"/>
      <c r="U680" s="151"/>
      <c r="V680" s="151"/>
      <c r="W680" s="307" t="s">
        <v>193</v>
      </c>
      <c r="X680" s="308"/>
      <c r="Y680" s="38">
        <f t="shared" si="263"/>
        <v>0</v>
      </c>
      <c r="Z680" s="38">
        <f t="shared" si="264"/>
        <v>16</v>
      </c>
      <c r="AA680" s="38">
        <f t="shared" si="261"/>
        <v>0</v>
      </c>
      <c r="AB680" s="38">
        <f t="shared" si="272"/>
        <v>0</v>
      </c>
      <c r="AC680" s="38">
        <f t="shared" si="273"/>
        <v>0</v>
      </c>
      <c r="AD680" s="38">
        <f t="shared" si="274"/>
        <v>0</v>
      </c>
      <c r="AE680" s="38">
        <f t="shared" si="275"/>
        <v>0</v>
      </c>
      <c r="AF680" s="38">
        <f t="shared" si="276"/>
        <v>0</v>
      </c>
      <c r="AG680" s="33">
        <f t="shared" si="277"/>
        <v>0</v>
      </c>
      <c r="AH680" s="33">
        <f t="shared" si="278"/>
        <v>16</v>
      </c>
      <c r="AI680" s="33">
        <f t="shared" si="279"/>
        <v>0</v>
      </c>
      <c r="AJ680" s="33">
        <f t="shared" si="280"/>
        <v>0</v>
      </c>
      <c r="AK680" s="34">
        <f t="shared" si="281"/>
        <v>0</v>
      </c>
      <c r="AL680" s="35">
        <f t="shared" si="282"/>
        <v>0.11267605633802817</v>
      </c>
      <c r="AM680" s="34">
        <f t="shared" si="265"/>
        <v>0</v>
      </c>
      <c r="AN680" s="36">
        <f t="shared" si="283"/>
        <v>0</v>
      </c>
      <c r="AO680" s="6">
        <f t="shared" si="266"/>
        <v>0</v>
      </c>
      <c r="AP680">
        <f t="shared" si="267"/>
        <v>8</v>
      </c>
      <c r="AQ680" s="6">
        <f t="shared" si="268"/>
        <v>0</v>
      </c>
      <c r="AR680" s="6">
        <f t="shared" si="269"/>
        <v>0</v>
      </c>
      <c r="AS680" s="6"/>
      <c r="AX680" s="95">
        <f t="shared" si="270"/>
        <v>42803</v>
      </c>
      <c r="AY680" s="96" t="str">
        <f t="shared" si="271"/>
        <v>qui</v>
      </c>
      <c r="AZ680" s="97">
        <f>IF(OR(AY680="SÁB",AY680="DOM"),0,IFERROR(8-VLOOKUP(C680,'Dados de consulta'!$A$2:$C$38,3,0),8))</f>
        <v>8</v>
      </c>
      <c r="BA680" s="97">
        <f>IF(OR(AY680="SÁB",AY680="DOM"),0,IFERROR(8-VLOOKUP(D680,'Dados de consulta'!$A$2:$C$38,3,0),8))</f>
        <v>8</v>
      </c>
      <c r="BB680" s="97">
        <f>IF(OR(AY680="SÁB",AY680="DOM"),0,IFERROR(8-VLOOKUP(E680,'Dados de consulta'!$A$2:$C$38,3,0),8))</f>
        <v>8</v>
      </c>
      <c r="BC680" s="97">
        <f>IF(OR(AY680="SÁB",AY680="DOM"),0,IFERROR(8-VLOOKUP(F680,'Dados de consulta'!$A$2:$C$38,3,0),8))</f>
        <v>8</v>
      </c>
      <c r="BD680" s="97">
        <f>IF(OR(AY680="SÁB",AY680="DOM"),0,IFERROR(8-VLOOKUP(G680,'Dados de consulta'!$A$2:$C$38,3,0),8))</f>
        <v>8</v>
      </c>
      <c r="BE680" s="97">
        <f>IF(OR(AY680="SÁB",AY680="DOM"),0,IFERROR(8-VLOOKUP(H680,'Dados de consulta'!$A$2:$C$38,3,0),8))</f>
        <v>8</v>
      </c>
      <c r="BF680" s="97">
        <f>IF(OR(AY680="SÁB",AY680="DOM"),0,IFERROR(8-VLOOKUP(I680,'Dados de consulta'!$A$2:$C$38,3,0),8))</f>
        <v>8</v>
      </c>
      <c r="BG680" s="97">
        <f>IF(OR(AY680="SÁB",AY680="DOM"),0,IFERROR(8-VLOOKUP(J680,'Dados de consulta'!$A$2:$C$38,3,0),8))</f>
        <v>8</v>
      </c>
      <c r="BH680" s="97">
        <f>IF(OR(AY680="SÁB",AY680="DOM"),0,IFERROR(8-VLOOKUP(K680,'Dados de consulta'!$A$2:$C$38,3,0),8))</f>
        <v>0</v>
      </c>
      <c r="BI680" s="97">
        <f>IF(OR(AY680="SÁB",AY680="DOM"),0,IFERROR(8-VLOOKUP(L680,'Dados de consulta'!$A$2:$C$38,3,0),8))</f>
        <v>8</v>
      </c>
      <c r="BJ680" s="97">
        <f>IF(OR(AY680="SÁB",AY680="DOM"),0,IFERROR(8-VLOOKUP(M680,'Dados de consulta'!$A$2:$C$38,3,0),8))</f>
        <v>0</v>
      </c>
      <c r="BK680" s="97">
        <f>IF(OR(AY680="SÁB",AY680="DOM"),0,IFERROR(8-VLOOKUP(N680,'Dados de consulta'!$A$2:$C$38,3,0),8))</f>
        <v>8</v>
      </c>
      <c r="BL680" s="97">
        <f>IF(OR(AY680="SÁB",AY680="DOM"),0,IFERROR(8-VLOOKUP(O680,'Dados de consulta'!$A$2:$C$38,3,0),8))</f>
        <v>8</v>
      </c>
      <c r="BM680" s="97">
        <f>IF(OR(AY680="SÁB",AY680="DOM"),0,IFERROR(8-VLOOKUP(P680,'Dados de consulta'!$A$2:$C$38,3,0),8))</f>
        <v>8</v>
      </c>
      <c r="BN680" s="97">
        <f>IF(OR(AY680="SÁB",AY680="DOM"),0,IFERROR(8-VLOOKUP(Q680,'Dados de consulta'!$A$2:$C$38,3,0),8))</f>
        <v>8</v>
      </c>
      <c r="BO680" s="97">
        <f>IF(OR(AY680="SÁB",AY680="DOM"),0,IFERROR(8-VLOOKUP(R680,'Dados de consulta'!$A$2:$C$38,3,0),8))</f>
        <v>0</v>
      </c>
      <c r="BP680" s="97">
        <f>IF(OR(AY680="SÁB",AY680="DOM"),0,IFERROR(8-VLOOKUP(S680,'Dados de consulta'!$A$2:$C$38,3,0),8))</f>
        <v>8</v>
      </c>
      <c r="BQ680" s="113">
        <f>IFERROR(6-VLOOKUP(T680,'Dados de consulta'!$A$2:$C$38,3,0)+2,6)</f>
        <v>6</v>
      </c>
      <c r="BR680" s="114">
        <f t="shared" si="284"/>
        <v>118</v>
      </c>
      <c r="BS680">
        <f t="shared" si="260"/>
        <v>134</v>
      </c>
      <c r="BU680">
        <f>IFERROR(8-VLOOKUP(U680,'Dados de consulta'!$A:$D,3,0),8)</f>
        <v>8</v>
      </c>
      <c r="BV680">
        <f>IFERROR(8-VLOOKUP(V680,'Dados de consulta'!$A:$D,3,0),8)</f>
        <v>8</v>
      </c>
      <c r="BW680">
        <f t="shared" si="285"/>
        <v>16</v>
      </c>
    </row>
    <row r="681" spans="1:75" ht="15" hidden="1" x14ac:dyDescent="0.2">
      <c r="A681" s="98">
        <v>42804</v>
      </c>
      <c r="B681" s="129" t="str">
        <f t="shared" si="262"/>
        <v>sex</v>
      </c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>
        <v>101</v>
      </c>
      <c r="N681" s="132"/>
      <c r="O681" s="132"/>
      <c r="P681" s="132"/>
      <c r="Q681" s="132"/>
      <c r="R681" s="132">
        <v>18</v>
      </c>
      <c r="S681" s="132"/>
      <c r="T681" s="132"/>
      <c r="U681" s="151"/>
      <c r="V681" s="151"/>
      <c r="W681" s="307" t="s">
        <v>193</v>
      </c>
      <c r="X681" s="308"/>
      <c r="Y681" s="38">
        <f t="shared" si="263"/>
        <v>0</v>
      </c>
      <c r="Z681" s="38">
        <f t="shared" si="264"/>
        <v>8</v>
      </c>
      <c r="AA681" s="38">
        <f t="shared" si="261"/>
        <v>0</v>
      </c>
      <c r="AB681" s="38">
        <f t="shared" si="272"/>
        <v>0</v>
      </c>
      <c r="AC681" s="38">
        <f t="shared" si="273"/>
        <v>0</v>
      </c>
      <c r="AD681" s="38">
        <f t="shared" si="274"/>
        <v>0</v>
      </c>
      <c r="AE681" s="38">
        <f t="shared" si="275"/>
        <v>0</v>
      </c>
      <c r="AF681" s="38">
        <f t="shared" si="276"/>
        <v>0</v>
      </c>
      <c r="AG681" s="33">
        <f t="shared" si="277"/>
        <v>0</v>
      </c>
      <c r="AH681" s="33">
        <f t="shared" si="278"/>
        <v>8</v>
      </c>
      <c r="AI681" s="33">
        <f t="shared" si="279"/>
        <v>0</v>
      </c>
      <c r="AJ681" s="33">
        <f t="shared" si="280"/>
        <v>0</v>
      </c>
      <c r="AK681" s="34">
        <f t="shared" si="281"/>
        <v>0</v>
      </c>
      <c r="AL681" s="35">
        <f t="shared" si="282"/>
        <v>5.6338028169014086E-2</v>
      </c>
      <c r="AM681" s="34">
        <f t="shared" si="265"/>
        <v>0</v>
      </c>
      <c r="AN681" s="36">
        <f t="shared" si="283"/>
        <v>0</v>
      </c>
      <c r="AO681" s="6">
        <f t="shared" si="266"/>
        <v>0</v>
      </c>
      <c r="AP681">
        <f t="shared" si="267"/>
        <v>8</v>
      </c>
      <c r="AQ681" s="6">
        <f t="shared" si="268"/>
        <v>0</v>
      </c>
      <c r="AR681" s="6">
        <f t="shared" si="269"/>
        <v>0</v>
      </c>
      <c r="AS681" s="6"/>
      <c r="AX681" s="95">
        <f t="shared" si="270"/>
        <v>42804</v>
      </c>
      <c r="AY681" s="96" t="str">
        <f t="shared" si="271"/>
        <v>sex</v>
      </c>
      <c r="AZ681" s="97">
        <f>IF(OR(AY681="SÁB",AY681="DOM"),0,IFERROR(8-VLOOKUP(C681,'Dados de consulta'!$A$2:$C$38,3,0),8))</f>
        <v>8</v>
      </c>
      <c r="BA681" s="97">
        <f>IF(OR(AY681="SÁB",AY681="DOM"),0,IFERROR(8-VLOOKUP(D681,'Dados de consulta'!$A$2:$C$38,3,0),8))</f>
        <v>8</v>
      </c>
      <c r="BB681" s="97">
        <f>IF(OR(AY681="SÁB",AY681="DOM"),0,IFERROR(8-VLOOKUP(E681,'Dados de consulta'!$A$2:$C$38,3,0),8))</f>
        <v>8</v>
      </c>
      <c r="BC681" s="97">
        <f>IF(OR(AY681="SÁB",AY681="DOM"),0,IFERROR(8-VLOOKUP(F681,'Dados de consulta'!$A$2:$C$38,3,0),8))</f>
        <v>8</v>
      </c>
      <c r="BD681" s="97">
        <f>IF(OR(AY681="SÁB",AY681="DOM"),0,IFERROR(8-VLOOKUP(G681,'Dados de consulta'!$A$2:$C$38,3,0),8))</f>
        <v>8</v>
      </c>
      <c r="BE681" s="97">
        <f>IF(OR(AY681="SÁB",AY681="DOM"),0,IFERROR(8-VLOOKUP(H681,'Dados de consulta'!$A$2:$C$38,3,0),8))</f>
        <v>8</v>
      </c>
      <c r="BF681" s="97">
        <f>IF(OR(AY681="SÁB",AY681="DOM"),0,IFERROR(8-VLOOKUP(I681,'Dados de consulta'!$A$2:$C$38,3,0),8))</f>
        <v>8</v>
      </c>
      <c r="BG681" s="97">
        <f>IF(OR(AY681="SÁB",AY681="DOM"),0,IFERROR(8-VLOOKUP(J681,'Dados de consulta'!$A$2:$C$38,3,0),8))</f>
        <v>8</v>
      </c>
      <c r="BH681" s="97">
        <f>IF(OR(AY681="SÁB",AY681="DOM"),0,IFERROR(8-VLOOKUP(K681,'Dados de consulta'!$A$2:$C$38,3,0),8))</f>
        <v>8</v>
      </c>
      <c r="BI681" s="97">
        <f>IF(OR(AY681="SÁB",AY681="DOM"),0,IFERROR(8-VLOOKUP(L681,'Dados de consulta'!$A$2:$C$38,3,0),8))</f>
        <v>8</v>
      </c>
      <c r="BJ681" s="97">
        <f>IF(OR(AY681="SÁB",AY681="DOM"),0,IFERROR(8-VLOOKUP(M681,'Dados de consulta'!$A$2:$C$38,3,0),8))</f>
        <v>0</v>
      </c>
      <c r="BK681" s="97">
        <f>IF(OR(AY681="SÁB",AY681="DOM"),0,IFERROR(8-VLOOKUP(N681,'Dados de consulta'!$A$2:$C$38,3,0),8))</f>
        <v>8</v>
      </c>
      <c r="BL681" s="97">
        <f>IF(OR(AY681="SÁB",AY681="DOM"),0,IFERROR(8-VLOOKUP(O681,'Dados de consulta'!$A$2:$C$38,3,0),8))</f>
        <v>8</v>
      </c>
      <c r="BM681" s="97">
        <f>IF(OR(AY681="SÁB",AY681="DOM"),0,IFERROR(8-VLOOKUP(P681,'Dados de consulta'!$A$2:$C$38,3,0),8))</f>
        <v>8</v>
      </c>
      <c r="BN681" s="97">
        <f>IF(OR(AY681="SÁB",AY681="DOM"),0,IFERROR(8-VLOOKUP(Q681,'Dados de consulta'!$A$2:$C$38,3,0),8))</f>
        <v>8</v>
      </c>
      <c r="BO681" s="97">
        <f>IF(OR(AY681="SÁB",AY681="DOM"),0,IFERROR(8-VLOOKUP(R681,'Dados de consulta'!$A$2:$C$38,3,0),8))</f>
        <v>0</v>
      </c>
      <c r="BP681" s="97">
        <f>IF(OR(AY681="SÁB",AY681="DOM"),0,IFERROR(8-VLOOKUP(S681,'Dados de consulta'!$A$2:$C$38,3,0),8))</f>
        <v>8</v>
      </c>
      <c r="BQ681" s="113">
        <f>IFERROR(6-VLOOKUP(T681,'Dados de consulta'!$A$2:$C$38,3,0)+2,6)</f>
        <v>6</v>
      </c>
      <c r="BR681" s="114">
        <f t="shared" si="284"/>
        <v>126</v>
      </c>
      <c r="BS681">
        <f t="shared" si="260"/>
        <v>134</v>
      </c>
      <c r="BU681">
        <f>IFERROR(8-VLOOKUP(U681,'Dados de consulta'!$A:$D,3,0),8)</f>
        <v>8</v>
      </c>
      <c r="BV681">
        <f>IFERROR(8-VLOOKUP(V681,'Dados de consulta'!$A:$D,3,0),8)</f>
        <v>8</v>
      </c>
      <c r="BW681">
        <f t="shared" si="285"/>
        <v>16</v>
      </c>
    </row>
    <row r="682" spans="1:75" ht="15" hidden="1" x14ac:dyDescent="0.2">
      <c r="A682" s="98">
        <v>42805</v>
      </c>
      <c r="B682" s="129" t="str">
        <f t="shared" si="262"/>
        <v>sáb</v>
      </c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>
        <v>101</v>
      </c>
      <c r="N682" s="132"/>
      <c r="O682" s="132"/>
      <c r="P682" s="132"/>
      <c r="Q682" s="132"/>
      <c r="R682" s="132">
        <v>18</v>
      </c>
      <c r="S682" s="132"/>
      <c r="T682" s="132"/>
      <c r="U682" s="151"/>
      <c r="V682" s="151"/>
      <c r="W682" s="307" t="s">
        <v>193</v>
      </c>
      <c r="X682" s="308"/>
      <c r="Y682" s="38">
        <f t="shared" si="263"/>
        <v>0</v>
      </c>
      <c r="Z682" s="38">
        <f t="shared" si="264"/>
        <v>8</v>
      </c>
      <c r="AA682" s="38">
        <f t="shared" si="261"/>
        <v>0</v>
      </c>
      <c r="AB682" s="38">
        <f t="shared" si="272"/>
        <v>0</v>
      </c>
      <c r="AC682" s="38">
        <f t="shared" si="273"/>
        <v>0</v>
      </c>
      <c r="AD682" s="38">
        <f t="shared" si="274"/>
        <v>0</v>
      </c>
      <c r="AE682" s="38">
        <f t="shared" si="275"/>
        <v>0</v>
      </c>
      <c r="AF682" s="38">
        <f t="shared" si="276"/>
        <v>0</v>
      </c>
      <c r="AG682" s="33">
        <f t="shared" si="277"/>
        <v>0</v>
      </c>
      <c r="AH682" s="33">
        <f t="shared" si="278"/>
        <v>0</v>
      </c>
      <c r="AI682" s="33">
        <f t="shared" si="279"/>
        <v>0</v>
      </c>
      <c r="AJ682" s="33">
        <f t="shared" si="280"/>
        <v>0</v>
      </c>
      <c r="AK682" s="34">
        <f t="shared" si="281"/>
        <v>0</v>
      </c>
      <c r="AL682" s="35">
        <f t="shared" si="282"/>
        <v>0</v>
      </c>
      <c r="AM682" s="34">
        <f t="shared" si="265"/>
        <v>0</v>
      </c>
      <c r="AN682" s="36">
        <f t="shared" si="283"/>
        <v>0</v>
      </c>
      <c r="AO682" s="6">
        <f t="shared" si="266"/>
        <v>0</v>
      </c>
      <c r="AP682">
        <f t="shared" si="267"/>
        <v>8</v>
      </c>
      <c r="AQ682" s="6">
        <f t="shared" si="268"/>
        <v>0</v>
      </c>
      <c r="AR682" s="6">
        <f t="shared" si="269"/>
        <v>0</v>
      </c>
      <c r="AS682" s="6"/>
      <c r="AX682" s="95">
        <f t="shared" si="270"/>
        <v>42805</v>
      </c>
      <c r="AY682" s="96" t="str">
        <f t="shared" si="271"/>
        <v>sáb</v>
      </c>
      <c r="AZ682" s="97">
        <f>IF(OR(AY682="SÁB",AY682="DOM"),0,IFERROR(8-VLOOKUP(C682,'Dados de consulta'!$A$2:$C$38,3,0),8))</f>
        <v>0</v>
      </c>
      <c r="BA682" s="97">
        <f>IF(OR(AY682="SÁB",AY682="DOM"),0,IFERROR(8-VLOOKUP(D682,'Dados de consulta'!$A$2:$C$38,3,0),8))</f>
        <v>0</v>
      </c>
      <c r="BB682" s="97">
        <f>IF(OR(AY682="SÁB",AY682="DOM"),0,IFERROR(8-VLOOKUP(E682,'Dados de consulta'!$A$2:$C$38,3,0),8))</f>
        <v>0</v>
      </c>
      <c r="BC682" s="97">
        <f>IF(OR(AY682="SÁB",AY682="DOM"),0,IFERROR(8-VLOOKUP(F682,'Dados de consulta'!$A$2:$C$38,3,0),8))</f>
        <v>0</v>
      </c>
      <c r="BD682" s="97">
        <f>IF(OR(AY682="SÁB",AY682="DOM"),0,IFERROR(8-VLOOKUP(G682,'Dados de consulta'!$A$2:$C$38,3,0),8))</f>
        <v>0</v>
      </c>
      <c r="BE682" s="97">
        <f>IF(OR(AY682="SÁB",AY682="DOM"),0,IFERROR(8-VLOOKUP(H682,'Dados de consulta'!$A$2:$C$38,3,0),8))</f>
        <v>0</v>
      </c>
      <c r="BF682" s="97">
        <f>IF(OR(AY682="SÁB",AY682="DOM"),0,IFERROR(8-VLOOKUP(I682,'Dados de consulta'!$A$2:$C$38,3,0),8))</f>
        <v>0</v>
      </c>
      <c r="BG682" s="97">
        <f>IF(OR(AY682="SÁB",AY682="DOM"),0,IFERROR(8-VLOOKUP(J682,'Dados de consulta'!$A$2:$C$38,3,0),8))</f>
        <v>0</v>
      </c>
      <c r="BH682" s="97">
        <f>IF(OR(AY682="SÁB",AY682="DOM"),0,IFERROR(8-VLOOKUP(K682,'Dados de consulta'!$A$2:$C$38,3,0),8))</f>
        <v>0</v>
      </c>
      <c r="BI682" s="97">
        <f>IF(OR(AY682="SÁB",AY682="DOM"),0,IFERROR(8-VLOOKUP(L682,'Dados de consulta'!$A$2:$C$38,3,0),8))</f>
        <v>0</v>
      </c>
      <c r="BJ682" s="97">
        <f>IF(OR(AY682="SÁB",AY682="DOM"),0,IFERROR(8-VLOOKUP(M682,'Dados de consulta'!$A$2:$C$38,3,0),8))</f>
        <v>0</v>
      </c>
      <c r="BK682" s="97">
        <f>IF(OR(AY682="SÁB",AY682="DOM"),0,IFERROR(8-VLOOKUP(N682,'Dados de consulta'!$A$2:$C$38,3,0),8))</f>
        <v>0</v>
      </c>
      <c r="BL682" s="97">
        <f>IF(OR(AY682="SÁB",AY682="DOM"),0,IFERROR(8-VLOOKUP(O682,'Dados de consulta'!$A$2:$C$38,3,0),8))</f>
        <v>0</v>
      </c>
      <c r="BM682" s="97">
        <f>IF(OR(AY682="SÁB",AY682="DOM"),0,IFERROR(8-VLOOKUP(P682,'Dados de consulta'!$A$2:$C$38,3,0),8))</f>
        <v>0</v>
      </c>
      <c r="BN682" s="97">
        <f>IF(OR(AY682="SÁB",AY682="DOM"),0,IFERROR(8-VLOOKUP(Q682,'Dados de consulta'!$A$2:$C$38,3,0),8))</f>
        <v>0</v>
      </c>
      <c r="BO682" s="97">
        <f>IF(OR(AY682="SÁB",AY682="DOM"),0,IFERROR(8-VLOOKUP(R682,'Dados de consulta'!$A$2:$C$38,3,0),8))</f>
        <v>0</v>
      </c>
      <c r="BP682" s="97">
        <f>IF(OR(AY682="SÁB",AY682="DOM"),0,IFERROR(8-VLOOKUP(S682,'Dados de consulta'!$A$2:$C$38,3,0),8))</f>
        <v>0</v>
      </c>
      <c r="BQ682" s="113">
        <f>IFERROR(6-VLOOKUP(T682,'Dados de consulta'!$A$2:$C$38,3,0)+2,6)</f>
        <v>6</v>
      </c>
      <c r="BR682" s="114">
        <f t="shared" si="284"/>
        <v>0</v>
      </c>
      <c r="BS682">
        <f t="shared" si="260"/>
        <v>0</v>
      </c>
      <c r="BU682">
        <f>IFERROR(8-VLOOKUP(U682,'Dados de consulta'!$A:$D,3,0),8)</f>
        <v>8</v>
      </c>
      <c r="BV682">
        <f>IFERROR(8-VLOOKUP(V682,'Dados de consulta'!$A:$D,3,0),8)</f>
        <v>8</v>
      </c>
      <c r="BW682">
        <f t="shared" si="285"/>
        <v>16</v>
      </c>
    </row>
    <row r="683" spans="1:75" ht="15" hidden="1" x14ac:dyDescent="0.2">
      <c r="A683" s="98">
        <v>42806</v>
      </c>
      <c r="B683" s="129" t="str">
        <f t="shared" si="262"/>
        <v>dom</v>
      </c>
      <c r="C683" s="132"/>
      <c r="D683" s="132"/>
      <c r="E683" s="132"/>
      <c r="F683" s="132"/>
      <c r="G683" s="132"/>
      <c r="H683" s="132"/>
      <c r="I683" s="132"/>
      <c r="J683" s="132"/>
      <c r="K683" s="132">
        <v>18</v>
      </c>
      <c r="L683" s="132"/>
      <c r="M683" s="132">
        <v>101</v>
      </c>
      <c r="N683" s="132"/>
      <c r="O683" s="132"/>
      <c r="P683" s="132"/>
      <c r="Q683" s="132"/>
      <c r="R683" s="132">
        <v>18</v>
      </c>
      <c r="S683" s="132"/>
      <c r="T683" s="132"/>
      <c r="U683" s="151"/>
      <c r="V683" s="151"/>
      <c r="W683" s="307" t="s">
        <v>193</v>
      </c>
      <c r="X683" s="308"/>
      <c r="Y683" s="38">
        <f t="shared" si="263"/>
        <v>0</v>
      </c>
      <c r="Z683" s="38">
        <f t="shared" si="264"/>
        <v>16</v>
      </c>
      <c r="AA683" s="38">
        <f t="shared" si="261"/>
        <v>0</v>
      </c>
      <c r="AB683" s="38">
        <f t="shared" si="272"/>
        <v>0</v>
      </c>
      <c r="AC683" s="38">
        <f t="shared" si="273"/>
        <v>0</v>
      </c>
      <c r="AD683" s="38">
        <f t="shared" si="274"/>
        <v>0</v>
      </c>
      <c r="AE683" s="38">
        <f t="shared" si="275"/>
        <v>0</v>
      </c>
      <c r="AF683" s="38">
        <f t="shared" si="276"/>
        <v>0</v>
      </c>
      <c r="AG683" s="33">
        <f t="shared" si="277"/>
        <v>0</v>
      </c>
      <c r="AH683" s="33">
        <f t="shared" si="278"/>
        <v>0</v>
      </c>
      <c r="AI683" s="33">
        <f t="shared" si="279"/>
        <v>0</v>
      </c>
      <c r="AJ683" s="33">
        <f t="shared" si="280"/>
        <v>0</v>
      </c>
      <c r="AK683" s="34">
        <f t="shared" si="281"/>
        <v>0</v>
      </c>
      <c r="AL683" s="35">
        <f t="shared" si="282"/>
        <v>0</v>
      </c>
      <c r="AM683" s="34">
        <f t="shared" si="265"/>
        <v>0</v>
      </c>
      <c r="AN683" s="36">
        <f t="shared" si="283"/>
        <v>0</v>
      </c>
      <c r="AO683" s="6">
        <f t="shared" si="266"/>
        <v>0</v>
      </c>
      <c r="AP683">
        <f t="shared" si="267"/>
        <v>8</v>
      </c>
      <c r="AQ683" s="6">
        <f t="shared" si="268"/>
        <v>0</v>
      </c>
      <c r="AR683" s="6">
        <f t="shared" si="269"/>
        <v>0</v>
      </c>
      <c r="AS683" s="6"/>
      <c r="AX683" s="95">
        <f t="shared" si="270"/>
        <v>42806</v>
      </c>
      <c r="AY683" s="96" t="str">
        <f t="shared" si="271"/>
        <v>dom</v>
      </c>
      <c r="AZ683" s="97">
        <f>IF(OR(AY683="SÁB",AY683="DOM"),0,IFERROR(8-VLOOKUP(C683,'Dados de consulta'!$A$2:$C$38,3,0),8))</f>
        <v>0</v>
      </c>
      <c r="BA683" s="97">
        <f>IF(OR(AY683="SÁB",AY683="DOM"),0,IFERROR(8-VLOOKUP(D683,'Dados de consulta'!$A$2:$C$38,3,0),8))</f>
        <v>0</v>
      </c>
      <c r="BB683" s="97">
        <f>IF(OR(AY683="SÁB",AY683="DOM"),0,IFERROR(8-VLOOKUP(E683,'Dados de consulta'!$A$2:$C$38,3,0),8))</f>
        <v>0</v>
      </c>
      <c r="BC683" s="97">
        <f>IF(OR(AY683="SÁB",AY683="DOM"),0,IFERROR(8-VLOOKUP(F683,'Dados de consulta'!$A$2:$C$38,3,0),8))</f>
        <v>0</v>
      </c>
      <c r="BD683" s="97">
        <f>IF(OR(AY683="SÁB",AY683="DOM"),0,IFERROR(8-VLOOKUP(G683,'Dados de consulta'!$A$2:$C$38,3,0),8))</f>
        <v>0</v>
      </c>
      <c r="BE683" s="97">
        <f>IF(OR(AY683="SÁB",AY683="DOM"),0,IFERROR(8-VLOOKUP(H683,'Dados de consulta'!$A$2:$C$38,3,0),8))</f>
        <v>0</v>
      </c>
      <c r="BF683" s="97">
        <f>IF(OR(AY683="SÁB",AY683="DOM"),0,IFERROR(8-VLOOKUP(I683,'Dados de consulta'!$A$2:$C$38,3,0),8))</f>
        <v>0</v>
      </c>
      <c r="BG683" s="97">
        <f>IF(OR(AY683="SÁB",AY683="DOM"),0,IFERROR(8-VLOOKUP(J683,'Dados de consulta'!$A$2:$C$38,3,0),8))</f>
        <v>0</v>
      </c>
      <c r="BH683" s="97">
        <f>IF(OR(AY683="SÁB",AY683="DOM"),0,IFERROR(8-VLOOKUP(K683,'Dados de consulta'!$A$2:$C$38,3,0),8))</f>
        <v>0</v>
      </c>
      <c r="BI683" s="97">
        <f>IF(OR(AY683="SÁB",AY683="DOM"),0,IFERROR(8-VLOOKUP(L683,'Dados de consulta'!$A$2:$C$38,3,0),8))</f>
        <v>0</v>
      </c>
      <c r="BJ683" s="97">
        <f>IF(OR(AY683="SÁB",AY683="DOM"),0,IFERROR(8-VLOOKUP(M683,'Dados de consulta'!$A$2:$C$38,3,0),8))</f>
        <v>0</v>
      </c>
      <c r="BK683" s="97">
        <f>IF(OR(AY683="SÁB",AY683="DOM"),0,IFERROR(8-VLOOKUP(N683,'Dados de consulta'!$A$2:$C$38,3,0),8))</f>
        <v>0</v>
      </c>
      <c r="BL683" s="97">
        <f>IF(OR(AY683="SÁB",AY683="DOM"),0,IFERROR(8-VLOOKUP(O683,'Dados de consulta'!$A$2:$C$38,3,0),8))</f>
        <v>0</v>
      </c>
      <c r="BM683" s="97">
        <f>IF(OR(AY683="SÁB",AY683="DOM"),0,IFERROR(8-VLOOKUP(P683,'Dados de consulta'!$A$2:$C$38,3,0),8))</f>
        <v>0</v>
      </c>
      <c r="BN683" s="97">
        <f>IF(OR(AY683="SÁB",AY683="DOM"),0,IFERROR(8-VLOOKUP(Q683,'Dados de consulta'!$A$2:$C$38,3,0),8))</f>
        <v>0</v>
      </c>
      <c r="BO683" s="97">
        <f>IF(OR(AY683="SÁB",AY683="DOM"),0,IFERROR(8-VLOOKUP(R683,'Dados de consulta'!$A$2:$C$38,3,0),8))</f>
        <v>0</v>
      </c>
      <c r="BP683" s="97">
        <f>IF(OR(AY683="SÁB",AY683="DOM"),0,IFERROR(8-VLOOKUP(S683,'Dados de consulta'!$A$2:$C$38,3,0),8))</f>
        <v>0</v>
      </c>
      <c r="BQ683" s="113">
        <f>IFERROR(6-VLOOKUP(T683,'Dados de consulta'!$A$2:$C$38,3,0)+2,6)</f>
        <v>6</v>
      </c>
      <c r="BR683" s="114">
        <f t="shared" si="284"/>
        <v>0</v>
      </c>
      <c r="BS683">
        <f t="shared" si="260"/>
        <v>0</v>
      </c>
      <c r="BU683">
        <f>IFERROR(8-VLOOKUP(U683,'Dados de consulta'!$A:$D,3,0),8)</f>
        <v>8</v>
      </c>
      <c r="BV683">
        <f>IFERROR(8-VLOOKUP(V683,'Dados de consulta'!$A:$D,3,0),8)</f>
        <v>8</v>
      </c>
      <c r="BW683">
        <f t="shared" si="285"/>
        <v>16</v>
      </c>
    </row>
    <row r="684" spans="1:75" ht="15" hidden="1" x14ac:dyDescent="0.2">
      <c r="A684" s="98">
        <v>42807</v>
      </c>
      <c r="B684" s="129" t="str">
        <f t="shared" si="262"/>
        <v>seg</v>
      </c>
      <c r="C684" s="132"/>
      <c r="D684" s="132"/>
      <c r="E684" s="132"/>
      <c r="F684" s="132"/>
      <c r="G684" s="132"/>
      <c r="H684" s="132"/>
      <c r="I684" s="132"/>
      <c r="J684" s="132"/>
      <c r="K684" s="132">
        <v>18</v>
      </c>
      <c r="L684" s="132"/>
      <c r="M684" s="132">
        <v>101</v>
      </c>
      <c r="N684" s="132"/>
      <c r="O684" s="132"/>
      <c r="P684" s="132"/>
      <c r="Q684" s="132"/>
      <c r="R684" s="132">
        <v>18</v>
      </c>
      <c r="S684" s="132"/>
      <c r="T684" s="132"/>
      <c r="U684" s="151"/>
      <c r="V684" s="151"/>
      <c r="W684" s="307" t="s">
        <v>193</v>
      </c>
      <c r="X684" s="308"/>
      <c r="Y684" s="38">
        <f t="shared" si="263"/>
        <v>0</v>
      </c>
      <c r="Z684" s="38">
        <f t="shared" si="264"/>
        <v>16</v>
      </c>
      <c r="AA684" s="38">
        <f t="shared" si="261"/>
        <v>0</v>
      </c>
      <c r="AB684" s="38">
        <f t="shared" si="272"/>
        <v>0</v>
      </c>
      <c r="AC684" s="38">
        <f t="shared" si="273"/>
        <v>0</v>
      </c>
      <c r="AD684" s="38">
        <f t="shared" si="274"/>
        <v>0</v>
      </c>
      <c r="AE684" s="38">
        <f t="shared" si="275"/>
        <v>0</v>
      </c>
      <c r="AF684" s="38">
        <f t="shared" si="276"/>
        <v>0</v>
      </c>
      <c r="AG684" s="33">
        <f t="shared" si="277"/>
        <v>0</v>
      </c>
      <c r="AH684" s="33">
        <f t="shared" si="278"/>
        <v>16</v>
      </c>
      <c r="AI684" s="33">
        <f t="shared" si="279"/>
        <v>0</v>
      </c>
      <c r="AJ684" s="33">
        <f t="shared" si="280"/>
        <v>0</v>
      </c>
      <c r="AK684" s="34">
        <f t="shared" si="281"/>
        <v>0</v>
      </c>
      <c r="AL684" s="35">
        <f t="shared" si="282"/>
        <v>0.11267605633802817</v>
      </c>
      <c r="AM684" s="34">
        <f t="shared" si="265"/>
        <v>0</v>
      </c>
      <c r="AN684" s="36">
        <f t="shared" si="283"/>
        <v>0</v>
      </c>
      <c r="AO684" s="6">
        <f t="shared" si="266"/>
        <v>0</v>
      </c>
      <c r="AP684">
        <f t="shared" si="267"/>
        <v>8</v>
      </c>
      <c r="AQ684" s="6">
        <f t="shared" si="268"/>
        <v>0</v>
      </c>
      <c r="AR684" s="6">
        <f t="shared" si="269"/>
        <v>0</v>
      </c>
      <c r="AS684" s="6"/>
      <c r="AX684" s="95">
        <f t="shared" si="270"/>
        <v>42807</v>
      </c>
      <c r="AY684" s="96" t="str">
        <f t="shared" si="271"/>
        <v>seg</v>
      </c>
      <c r="AZ684" s="97">
        <f>IF(OR(AY684="SÁB",AY684="DOM"),0,IFERROR(8-VLOOKUP(C684,'Dados de consulta'!$A$2:$C$38,3,0),8))</f>
        <v>8</v>
      </c>
      <c r="BA684" s="97">
        <f>IF(OR(AY684="SÁB",AY684="DOM"),0,IFERROR(8-VLOOKUP(D684,'Dados de consulta'!$A$2:$C$38,3,0),8))</f>
        <v>8</v>
      </c>
      <c r="BB684" s="97">
        <f>IF(OR(AY684="SÁB",AY684="DOM"),0,IFERROR(8-VLOOKUP(E684,'Dados de consulta'!$A$2:$C$38,3,0),8))</f>
        <v>8</v>
      </c>
      <c r="BC684" s="97">
        <f>IF(OR(AY684="SÁB",AY684="DOM"),0,IFERROR(8-VLOOKUP(F684,'Dados de consulta'!$A$2:$C$38,3,0),8))</f>
        <v>8</v>
      </c>
      <c r="BD684" s="97">
        <f>IF(OR(AY684="SÁB",AY684="DOM"),0,IFERROR(8-VLOOKUP(G684,'Dados de consulta'!$A$2:$C$38,3,0),8))</f>
        <v>8</v>
      </c>
      <c r="BE684" s="97">
        <f>IF(OR(AY684="SÁB",AY684="DOM"),0,IFERROR(8-VLOOKUP(H684,'Dados de consulta'!$A$2:$C$38,3,0),8))</f>
        <v>8</v>
      </c>
      <c r="BF684" s="97">
        <f>IF(OR(AY684="SÁB",AY684="DOM"),0,IFERROR(8-VLOOKUP(I684,'Dados de consulta'!$A$2:$C$38,3,0),8))</f>
        <v>8</v>
      </c>
      <c r="BG684" s="97">
        <f>IF(OR(AY684="SÁB",AY684="DOM"),0,IFERROR(8-VLOOKUP(J684,'Dados de consulta'!$A$2:$C$38,3,0),8))</f>
        <v>8</v>
      </c>
      <c r="BH684" s="97">
        <f>IF(OR(AY684="SÁB",AY684="DOM"),0,IFERROR(8-VLOOKUP(K684,'Dados de consulta'!$A$2:$C$38,3,0),8))</f>
        <v>0</v>
      </c>
      <c r="BI684" s="97">
        <f>IF(OR(AY684="SÁB",AY684="DOM"),0,IFERROR(8-VLOOKUP(L684,'Dados de consulta'!$A$2:$C$38,3,0),8))</f>
        <v>8</v>
      </c>
      <c r="BJ684" s="97">
        <f>IF(OR(AY684="SÁB",AY684="DOM"),0,IFERROR(8-VLOOKUP(M684,'Dados de consulta'!$A$2:$C$38,3,0),8))</f>
        <v>0</v>
      </c>
      <c r="BK684" s="97">
        <f>IF(OR(AY684="SÁB",AY684="DOM"),0,IFERROR(8-VLOOKUP(N684,'Dados de consulta'!$A$2:$C$38,3,0),8))</f>
        <v>8</v>
      </c>
      <c r="BL684" s="97">
        <f>IF(OR(AY684="SÁB",AY684="DOM"),0,IFERROR(8-VLOOKUP(O684,'Dados de consulta'!$A$2:$C$38,3,0),8))</f>
        <v>8</v>
      </c>
      <c r="BM684" s="97">
        <f>IF(OR(AY684="SÁB",AY684="DOM"),0,IFERROR(8-VLOOKUP(P684,'Dados de consulta'!$A$2:$C$38,3,0),8))</f>
        <v>8</v>
      </c>
      <c r="BN684" s="97">
        <f>IF(OR(AY684="SÁB",AY684="DOM"),0,IFERROR(8-VLOOKUP(Q684,'Dados de consulta'!$A$2:$C$38,3,0),8))</f>
        <v>8</v>
      </c>
      <c r="BO684" s="97">
        <f>IF(OR(AY684="SÁB",AY684="DOM"),0,IFERROR(8-VLOOKUP(R684,'Dados de consulta'!$A$2:$C$38,3,0),8))</f>
        <v>0</v>
      </c>
      <c r="BP684" s="97">
        <f>IF(OR(AY684="SÁB",AY684="DOM"),0,IFERROR(8-VLOOKUP(S684,'Dados de consulta'!$A$2:$C$38,3,0),8))</f>
        <v>8</v>
      </c>
      <c r="BQ684" s="113">
        <f>IFERROR(6-VLOOKUP(T684,'Dados de consulta'!$A$2:$C$38,3,0)+2,6)</f>
        <v>6</v>
      </c>
      <c r="BR684" s="114">
        <f t="shared" si="284"/>
        <v>118</v>
      </c>
      <c r="BS684">
        <f t="shared" si="260"/>
        <v>134</v>
      </c>
      <c r="BU684">
        <f>IFERROR(8-VLOOKUP(U684,'Dados de consulta'!$A:$D,3,0),8)</f>
        <v>8</v>
      </c>
      <c r="BV684">
        <f>IFERROR(8-VLOOKUP(V684,'Dados de consulta'!$A:$D,3,0),8)</f>
        <v>8</v>
      </c>
      <c r="BW684">
        <f t="shared" si="285"/>
        <v>16</v>
      </c>
    </row>
    <row r="685" spans="1:75" ht="15" hidden="1" x14ac:dyDescent="0.2">
      <c r="A685" s="98">
        <v>42808</v>
      </c>
      <c r="B685" s="129" t="str">
        <f t="shared" si="262"/>
        <v>ter</v>
      </c>
      <c r="C685" s="132"/>
      <c r="D685" s="132"/>
      <c r="E685" s="132"/>
      <c r="F685" s="132"/>
      <c r="G685" s="132"/>
      <c r="H685" s="132"/>
      <c r="I685" s="132"/>
      <c r="J685" s="132"/>
      <c r="K685" s="132">
        <v>18</v>
      </c>
      <c r="L685" s="132"/>
      <c r="M685" s="132">
        <v>101</v>
      </c>
      <c r="N685" s="132"/>
      <c r="O685" s="132"/>
      <c r="P685" s="132"/>
      <c r="Q685" s="132"/>
      <c r="R685" s="132">
        <v>18</v>
      </c>
      <c r="S685" s="132"/>
      <c r="T685" s="132"/>
      <c r="U685" s="151"/>
      <c r="V685" s="151"/>
      <c r="W685" s="307" t="s">
        <v>193</v>
      </c>
      <c r="X685" s="308"/>
      <c r="Y685" s="38">
        <f t="shared" si="263"/>
        <v>0</v>
      </c>
      <c r="Z685" s="38">
        <f t="shared" si="264"/>
        <v>16</v>
      </c>
      <c r="AA685" s="38">
        <f t="shared" si="261"/>
        <v>0</v>
      </c>
      <c r="AB685" s="38">
        <f t="shared" si="272"/>
        <v>0</v>
      </c>
      <c r="AC685" s="38">
        <f t="shared" si="273"/>
        <v>0</v>
      </c>
      <c r="AD685" s="38">
        <f t="shared" si="274"/>
        <v>0</v>
      </c>
      <c r="AE685" s="38">
        <f t="shared" si="275"/>
        <v>0</v>
      </c>
      <c r="AF685" s="38">
        <f t="shared" si="276"/>
        <v>0</v>
      </c>
      <c r="AG685" s="33">
        <f t="shared" si="277"/>
        <v>0</v>
      </c>
      <c r="AH685" s="33">
        <f t="shared" si="278"/>
        <v>16</v>
      </c>
      <c r="AI685" s="33">
        <f t="shared" si="279"/>
        <v>0</v>
      </c>
      <c r="AJ685" s="33">
        <f t="shared" si="280"/>
        <v>0</v>
      </c>
      <c r="AK685" s="34">
        <f t="shared" si="281"/>
        <v>0</v>
      </c>
      <c r="AL685" s="35">
        <f t="shared" si="282"/>
        <v>0.11267605633802817</v>
      </c>
      <c r="AM685" s="34">
        <f t="shared" si="265"/>
        <v>0</v>
      </c>
      <c r="AN685" s="36">
        <f t="shared" si="283"/>
        <v>0</v>
      </c>
      <c r="AO685" s="6">
        <f t="shared" si="266"/>
        <v>0</v>
      </c>
      <c r="AP685">
        <f t="shared" si="267"/>
        <v>8</v>
      </c>
      <c r="AQ685" s="6">
        <f t="shared" si="268"/>
        <v>0</v>
      </c>
      <c r="AR685" s="6">
        <f t="shared" si="269"/>
        <v>0</v>
      </c>
      <c r="AS685" s="6"/>
      <c r="AX685" s="95">
        <f t="shared" si="270"/>
        <v>42808</v>
      </c>
      <c r="AY685" s="96" t="str">
        <f t="shared" si="271"/>
        <v>ter</v>
      </c>
      <c r="AZ685" s="97">
        <f>IF(OR(AY685="SÁB",AY685="DOM"),0,IFERROR(8-VLOOKUP(C685,'Dados de consulta'!$A$2:$C$38,3,0),8))</f>
        <v>8</v>
      </c>
      <c r="BA685" s="97">
        <f>IF(OR(AY685="SÁB",AY685="DOM"),0,IFERROR(8-VLOOKUP(D685,'Dados de consulta'!$A$2:$C$38,3,0),8))</f>
        <v>8</v>
      </c>
      <c r="BB685" s="97">
        <f>IF(OR(AY685="SÁB",AY685="DOM"),0,IFERROR(8-VLOOKUP(E685,'Dados de consulta'!$A$2:$C$38,3,0),8))</f>
        <v>8</v>
      </c>
      <c r="BC685" s="97">
        <f>IF(OR(AY685="SÁB",AY685="DOM"),0,IFERROR(8-VLOOKUP(F685,'Dados de consulta'!$A$2:$C$38,3,0),8))</f>
        <v>8</v>
      </c>
      <c r="BD685" s="97">
        <f>IF(OR(AY685="SÁB",AY685="DOM"),0,IFERROR(8-VLOOKUP(G685,'Dados de consulta'!$A$2:$C$38,3,0),8))</f>
        <v>8</v>
      </c>
      <c r="BE685" s="97">
        <f>IF(OR(AY685="SÁB",AY685="DOM"),0,IFERROR(8-VLOOKUP(H685,'Dados de consulta'!$A$2:$C$38,3,0),8))</f>
        <v>8</v>
      </c>
      <c r="BF685" s="97">
        <f>IF(OR(AY685="SÁB",AY685="DOM"),0,IFERROR(8-VLOOKUP(I685,'Dados de consulta'!$A$2:$C$38,3,0),8))</f>
        <v>8</v>
      </c>
      <c r="BG685" s="97">
        <f>IF(OR(AY685="SÁB",AY685="DOM"),0,IFERROR(8-VLOOKUP(J685,'Dados de consulta'!$A$2:$C$38,3,0),8))</f>
        <v>8</v>
      </c>
      <c r="BH685" s="97">
        <f>IF(OR(AY685="SÁB",AY685="DOM"),0,IFERROR(8-VLOOKUP(K685,'Dados de consulta'!$A$2:$C$38,3,0),8))</f>
        <v>0</v>
      </c>
      <c r="BI685" s="97">
        <f>IF(OR(AY685="SÁB",AY685="DOM"),0,IFERROR(8-VLOOKUP(L685,'Dados de consulta'!$A$2:$C$38,3,0),8))</f>
        <v>8</v>
      </c>
      <c r="BJ685" s="97">
        <f>IF(OR(AY685="SÁB",AY685="DOM"),0,IFERROR(8-VLOOKUP(M685,'Dados de consulta'!$A$2:$C$38,3,0),8))</f>
        <v>0</v>
      </c>
      <c r="BK685" s="97">
        <f>IF(OR(AY685="SÁB",AY685="DOM"),0,IFERROR(8-VLOOKUP(N685,'Dados de consulta'!$A$2:$C$38,3,0),8))</f>
        <v>8</v>
      </c>
      <c r="BL685" s="97">
        <f>IF(OR(AY685="SÁB",AY685="DOM"),0,IFERROR(8-VLOOKUP(O685,'Dados de consulta'!$A$2:$C$38,3,0),8))</f>
        <v>8</v>
      </c>
      <c r="BM685" s="97">
        <f>IF(OR(AY685="SÁB",AY685="DOM"),0,IFERROR(8-VLOOKUP(P685,'Dados de consulta'!$A$2:$C$38,3,0),8))</f>
        <v>8</v>
      </c>
      <c r="BN685" s="97">
        <f>IF(OR(AY685="SÁB",AY685="DOM"),0,IFERROR(8-VLOOKUP(Q685,'Dados de consulta'!$A$2:$C$38,3,0),8))</f>
        <v>8</v>
      </c>
      <c r="BO685" s="97">
        <f>IF(OR(AY685="SÁB",AY685="DOM"),0,IFERROR(8-VLOOKUP(R685,'Dados de consulta'!$A$2:$C$38,3,0),8))</f>
        <v>0</v>
      </c>
      <c r="BP685" s="97">
        <f>IF(OR(AY685="SÁB",AY685="DOM"),0,IFERROR(8-VLOOKUP(S685,'Dados de consulta'!$A$2:$C$38,3,0),8))</f>
        <v>8</v>
      </c>
      <c r="BQ685" s="113">
        <f>IFERROR(6-VLOOKUP(T685,'Dados de consulta'!$A$2:$C$38,3,0)+2,6)</f>
        <v>6</v>
      </c>
      <c r="BR685" s="114">
        <f t="shared" si="284"/>
        <v>118</v>
      </c>
      <c r="BS685">
        <f t="shared" si="260"/>
        <v>134</v>
      </c>
      <c r="BU685">
        <f>IFERROR(8-VLOOKUP(U685,'Dados de consulta'!$A:$D,3,0),8)</f>
        <v>8</v>
      </c>
      <c r="BV685">
        <f>IFERROR(8-VLOOKUP(V685,'Dados de consulta'!$A:$D,3,0),8)</f>
        <v>8</v>
      </c>
      <c r="BW685">
        <f t="shared" si="285"/>
        <v>16</v>
      </c>
    </row>
    <row r="686" spans="1:75" ht="15" hidden="1" x14ac:dyDescent="0.2">
      <c r="A686" s="98">
        <v>42809</v>
      </c>
      <c r="B686" s="129" t="str">
        <f t="shared" si="262"/>
        <v>qua</v>
      </c>
      <c r="C686" s="132"/>
      <c r="D686" s="132"/>
      <c r="E686" s="132"/>
      <c r="F686" s="132"/>
      <c r="G686" s="132"/>
      <c r="H686" s="132"/>
      <c r="I686" s="132"/>
      <c r="J686" s="132"/>
      <c r="K686" s="132">
        <v>18</v>
      </c>
      <c r="L686" s="132"/>
      <c r="M686" s="132">
        <v>101</v>
      </c>
      <c r="N686" s="132"/>
      <c r="O686" s="132"/>
      <c r="P686" s="132"/>
      <c r="Q686" s="132"/>
      <c r="R686" s="132">
        <v>18</v>
      </c>
      <c r="S686" s="132"/>
      <c r="T686" s="132"/>
      <c r="U686" s="151"/>
      <c r="V686" s="151"/>
      <c r="W686" s="307" t="s">
        <v>193</v>
      </c>
      <c r="X686" s="308"/>
      <c r="Y686" s="38">
        <f t="shared" si="263"/>
        <v>0</v>
      </c>
      <c r="Z686" s="38">
        <f t="shared" si="264"/>
        <v>16</v>
      </c>
      <c r="AA686" s="38">
        <f t="shared" si="261"/>
        <v>0</v>
      </c>
      <c r="AB686" s="38">
        <f t="shared" si="272"/>
        <v>0</v>
      </c>
      <c r="AC686" s="38">
        <f t="shared" si="273"/>
        <v>0</v>
      </c>
      <c r="AD686" s="38">
        <f t="shared" si="274"/>
        <v>0</v>
      </c>
      <c r="AE686" s="38">
        <f t="shared" si="275"/>
        <v>0</v>
      </c>
      <c r="AF686" s="38">
        <f t="shared" si="276"/>
        <v>0</v>
      </c>
      <c r="AG686" s="33">
        <f t="shared" si="277"/>
        <v>0</v>
      </c>
      <c r="AH686" s="33">
        <f t="shared" si="278"/>
        <v>16</v>
      </c>
      <c r="AI686" s="33">
        <f t="shared" si="279"/>
        <v>0</v>
      </c>
      <c r="AJ686" s="33">
        <f t="shared" si="280"/>
        <v>0</v>
      </c>
      <c r="AK686" s="34">
        <f t="shared" si="281"/>
        <v>0</v>
      </c>
      <c r="AL686" s="35">
        <f t="shared" si="282"/>
        <v>0.11267605633802817</v>
      </c>
      <c r="AM686" s="34">
        <f t="shared" si="265"/>
        <v>0</v>
      </c>
      <c r="AN686" s="36">
        <f t="shared" si="283"/>
        <v>0</v>
      </c>
      <c r="AO686" s="6">
        <f t="shared" si="266"/>
        <v>0</v>
      </c>
      <c r="AP686">
        <f t="shared" si="267"/>
        <v>8</v>
      </c>
      <c r="AQ686" s="6">
        <f t="shared" si="268"/>
        <v>0</v>
      </c>
      <c r="AR686" s="6">
        <f t="shared" si="269"/>
        <v>0</v>
      </c>
      <c r="AS686" s="6"/>
      <c r="AX686" s="95">
        <f t="shared" si="270"/>
        <v>42809</v>
      </c>
      <c r="AY686" s="96" t="str">
        <f t="shared" si="271"/>
        <v>qua</v>
      </c>
      <c r="AZ686" s="97">
        <f>IF(OR(AY686="SÁB",AY686="DOM"),0,IFERROR(8-VLOOKUP(C686,'Dados de consulta'!$A$2:$C$38,3,0),8))</f>
        <v>8</v>
      </c>
      <c r="BA686" s="97">
        <f>IF(OR(AY686="SÁB",AY686="DOM"),0,IFERROR(8-VLOOKUP(D686,'Dados de consulta'!$A$2:$C$38,3,0),8))</f>
        <v>8</v>
      </c>
      <c r="BB686" s="97">
        <f>IF(OR(AY686="SÁB",AY686="DOM"),0,IFERROR(8-VLOOKUP(E686,'Dados de consulta'!$A$2:$C$38,3,0),8))</f>
        <v>8</v>
      </c>
      <c r="BC686" s="97">
        <f>IF(OR(AY686="SÁB",AY686="DOM"),0,IFERROR(8-VLOOKUP(F686,'Dados de consulta'!$A$2:$C$38,3,0),8))</f>
        <v>8</v>
      </c>
      <c r="BD686" s="97">
        <f>IF(OR(AY686="SÁB",AY686="DOM"),0,IFERROR(8-VLOOKUP(G686,'Dados de consulta'!$A$2:$C$38,3,0),8))</f>
        <v>8</v>
      </c>
      <c r="BE686" s="97">
        <f>IF(OR(AY686="SÁB",AY686="DOM"),0,IFERROR(8-VLOOKUP(H686,'Dados de consulta'!$A$2:$C$38,3,0),8))</f>
        <v>8</v>
      </c>
      <c r="BF686" s="97">
        <f>IF(OR(AY686="SÁB",AY686="DOM"),0,IFERROR(8-VLOOKUP(I686,'Dados de consulta'!$A$2:$C$38,3,0),8))</f>
        <v>8</v>
      </c>
      <c r="BG686" s="97">
        <f>IF(OR(AY686="SÁB",AY686="DOM"),0,IFERROR(8-VLOOKUP(J686,'Dados de consulta'!$A$2:$C$38,3,0),8))</f>
        <v>8</v>
      </c>
      <c r="BH686" s="97">
        <f>IF(OR(AY686="SÁB",AY686="DOM"),0,IFERROR(8-VLOOKUP(K686,'Dados de consulta'!$A$2:$C$38,3,0),8))</f>
        <v>0</v>
      </c>
      <c r="BI686" s="97">
        <f>IF(OR(AY686="SÁB",AY686="DOM"),0,IFERROR(8-VLOOKUP(L686,'Dados de consulta'!$A$2:$C$38,3,0),8))</f>
        <v>8</v>
      </c>
      <c r="BJ686" s="97">
        <f>IF(OR(AY686="SÁB",AY686="DOM"),0,IFERROR(8-VLOOKUP(M686,'Dados de consulta'!$A$2:$C$38,3,0),8))</f>
        <v>0</v>
      </c>
      <c r="BK686" s="97">
        <f>IF(OR(AY686="SÁB",AY686="DOM"),0,IFERROR(8-VLOOKUP(N686,'Dados de consulta'!$A$2:$C$38,3,0),8))</f>
        <v>8</v>
      </c>
      <c r="BL686" s="97">
        <f>IF(OR(AY686="SÁB",AY686="DOM"),0,IFERROR(8-VLOOKUP(O686,'Dados de consulta'!$A$2:$C$38,3,0),8))</f>
        <v>8</v>
      </c>
      <c r="BM686" s="97">
        <f>IF(OR(AY686="SÁB",AY686="DOM"),0,IFERROR(8-VLOOKUP(P686,'Dados de consulta'!$A$2:$C$38,3,0),8))</f>
        <v>8</v>
      </c>
      <c r="BN686" s="97">
        <f>IF(OR(AY686="SÁB",AY686="DOM"),0,IFERROR(8-VLOOKUP(Q686,'Dados de consulta'!$A$2:$C$38,3,0),8))</f>
        <v>8</v>
      </c>
      <c r="BO686" s="97">
        <f>IF(OR(AY686="SÁB",AY686="DOM"),0,IFERROR(8-VLOOKUP(R686,'Dados de consulta'!$A$2:$C$38,3,0),8))</f>
        <v>0</v>
      </c>
      <c r="BP686" s="97">
        <f>IF(OR(AY686="SÁB",AY686="DOM"),0,IFERROR(8-VLOOKUP(S686,'Dados de consulta'!$A$2:$C$38,3,0),8))</f>
        <v>8</v>
      </c>
      <c r="BQ686" s="113">
        <f>IFERROR(6-VLOOKUP(T686,'Dados de consulta'!$A$2:$C$38,3,0)+2,6)</f>
        <v>6</v>
      </c>
      <c r="BR686" s="114">
        <f t="shared" si="284"/>
        <v>118</v>
      </c>
      <c r="BS686">
        <f t="shared" si="260"/>
        <v>134</v>
      </c>
      <c r="BU686">
        <f>IFERROR(8-VLOOKUP(U686,'Dados de consulta'!$A:$D,3,0),8)</f>
        <v>8</v>
      </c>
      <c r="BV686">
        <f>IFERROR(8-VLOOKUP(V686,'Dados de consulta'!$A:$D,3,0),8)</f>
        <v>8</v>
      </c>
      <c r="BW686">
        <f t="shared" si="285"/>
        <v>16</v>
      </c>
    </row>
    <row r="687" spans="1:75" ht="15" hidden="1" x14ac:dyDescent="0.2">
      <c r="A687" s="98">
        <v>42810</v>
      </c>
      <c r="B687" s="129" t="str">
        <f t="shared" si="262"/>
        <v>qui</v>
      </c>
      <c r="C687" s="132"/>
      <c r="D687" s="132"/>
      <c r="E687" s="132"/>
      <c r="F687" s="132"/>
      <c r="G687" s="132"/>
      <c r="H687" s="132"/>
      <c r="I687" s="132"/>
      <c r="J687" s="132"/>
      <c r="K687" s="132">
        <v>18</v>
      </c>
      <c r="L687" s="132"/>
      <c r="M687" s="132">
        <v>101</v>
      </c>
      <c r="N687" s="132"/>
      <c r="O687" s="132"/>
      <c r="P687" s="132"/>
      <c r="Q687" s="132"/>
      <c r="R687" s="132">
        <v>18</v>
      </c>
      <c r="S687" s="132"/>
      <c r="T687" s="132"/>
      <c r="U687" s="151"/>
      <c r="V687" s="151"/>
      <c r="W687" s="307" t="s">
        <v>193</v>
      </c>
      <c r="X687" s="308"/>
      <c r="Y687" s="38">
        <f t="shared" si="263"/>
        <v>0</v>
      </c>
      <c r="Z687" s="38">
        <f t="shared" si="264"/>
        <v>16</v>
      </c>
      <c r="AA687" s="38">
        <f t="shared" si="261"/>
        <v>0</v>
      </c>
      <c r="AB687" s="38">
        <f t="shared" si="272"/>
        <v>0</v>
      </c>
      <c r="AC687" s="38">
        <f t="shared" si="273"/>
        <v>0</v>
      </c>
      <c r="AD687" s="38">
        <f t="shared" si="274"/>
        <v>0</v>
      </c>
      <c r="AE687" s="38">
        <f t="shared" si="275"/>
        <v>0</v>
      </c>
      <c r="AF687" s="38">
        <f t="shared" si="276"/>
        <v>0</v>
      </c>
      <c r="AG687" s="33">
        <f t="shared" si="277"/>
        <v>0</v>
      </c>
      <c r="AH687" s="33">
        <f t="shared" si="278"/>
        <v>16</v>
      </c>
      <c r="AI687" s="33">
        <f t="shared" si="279"/>
        <v>0</v>
      </c>
      <c r="AJ687" s="33">
        <f t="shared" si="280"/>
        <v>0</v>
      </c>
      <c r="AK687" s="34">
        <f t="shared" si="281"/>
        <v>0</v>
      </c>
      <c r="AL687" s="35">
        <f t="shared" si="282"/>
        <v>0.11267605633802817</v>
      </c>
      <c r="AM687" s="34">
        <f t="shared" si="265"/>
        <v>0</v>
      </c>
      <c r="AN687" s="36">
        <f t="shared" si="283"/>
        <v>0</v>
      </c>
      <c r="AO687" s="6">
        <f t="shared" si="266"/>
        <v>0</v>
      </c>
      <c r="AP687">
        <f t="shared" si="267"/>
        <v>8</v>
      </c>
      <c r="AQ687" s="6">
        <f t="shared" si="268"/>
        <v>0</v>
      </c>
      <c r="AR687" s="6">
        <f t="shared" si="269"/>
        <v>0</v>
      </c>
      <c r="AS687" s="6"/>
      <c r="AX687" s="95">
        <f t="shared" si="270"/>
        <v>42810</v>
      </c>
      <c r="AY687" s="96" t="str">
        <f t="shared" si="271"/>
        <v>qui</v>
      </c>
      <c r="AZ687" s="97">
        <f>IF(OR(AY687="SÁB",AY687="DOM"),0,IFERROR(8-VLOOKUP(C687,'Dados de consulta'!$A$2:$C$38,3,0),8))</f>
        <v>8</v>
      </c>
      <c r="BA687" s="97">
        <f>IF(OR(AY687="SÁB",AY687="DOM"),0,IFERROR(8-VLOOKUP(D687,'Dados de consulta'!$A$2:$C$38,3,0),8))</f>
        <v>8</v>
      </c>
      <c r="BB687" s="97">
        <f>IF(OR(AY687="SÁB",AY687="DOM"),0,IFERROR(8-VLOOKUP(E687,'Dados de consulta'!$A$2:$C$38,3,0),8))</f>
        <v>8</v>
      </c>
      <c r="BC687" s="97">
        <f>IF(OR(AY687="SÁB",AY687="DOM"),0,IFERROR(8-VLOOKUP(F687,'Dados de consulta'!$A$2:$C$38,3,0),8))</f>
        <v>8</v>
      </c>
      <c r="BD687" s="97">
        <f>IF(OR(AY687="SÁB",AY687="DOM"),0,IFERROR(8-VLOOKUP(G687,'Dados de consulta'!$A$2:$C$38,3,0),8))</f>
        <v>8</v>
      </c>
      <c r="BE687" s="97">
        <f>IF(OR(AY687="SÁB",AY687="DOM"),0,IFERROR(8-VLOOKUP(H687,'Dados de consulta'!$A$2:$C$38,3,0),8))</f>
        <v>8</v>
      </c>
      <c r="BF687" s="97">
        <f>IF(OR(AY687="SÁB",AY687="DOM"),0,IFERROR(8-VLOOKUP(I687,'Dados de consulta'!$A$2:$C$38,3,0),8))</f>
        <v>8</v>
      </c>
      <c r="BG687" s="97">
        <f>IF(OR(AY687="SÁB",AY687="DOM"),0,IFERROR(8-VLOOKUP(J687,'Dados de consulta'!$A$2:$C$38,3,0),8))</f>
        <v>8</v>
      </c>
      <c r="BH687" s="97">
        <f>IF(OR(AY687="SÁB",AY687="DOM"),0,IFERROR(8-VLOOKUP(K687,'Dados de consulta'!$A$2:$C$38,3,0),8))</f>
        <v>0</v>
      </c>
      <c r="BI687" s="97">
        <f>IF(OR(AY687="SÁB",AY687="DOM"),0,IFERROR(8-VLOOKUP(L687,'Dados de consulta'!$A$2:$C$38,3,0),8))</f>
        <v>8</v>
      </c>
      <c r="BJ687" s="97">
        <f>IF(OR(AY687="SÁB",AY687="DOM"),0,IFERROR(8-VLOOKUP(M687,'Dados de consulta'!$A$2:$C$38,3,0),8))</f>
        <v>0</v>
      </c>
      <c r="BK687" s="97">
        <f>IF(OR(AY687="SÁB",AY687="DOM"),0,IFERROR(8-VLOOKUP(N687,'Dados de consulta'!$A$2:$C$38,3,0),8))</f>
        <v>8</v>
      </c>
      <c r="BL687" s="97">
        <f>IF(OR(AY687="SÁB",AY687="DOM"),0,IFERROR(8-VLOOKUP(O687,'Dados de consulta'!$A$2:$C$38,3,0),8))</f>
        <v>8</v>
      </c>
      <c r="BM687" s="97">
        <f>IF(OR(AY687="SÁB",AY687="DOM"),0,IFERROR(8-VLOOKUP(P687,'Dados de consulta'!$A$2:$C$38,3,0),8))</f>
        <v>8</v>
      </c>
      <c r="BN687" s="97">
        <f>IF(OR(AY687="SÁB",AY687="DOM"),0,IFERROR(8-VLOOKUP(Q687,'Dados de consulta'!$A$2:$C$38,3,0),8))</f>
        <v>8</v>
      </c>
      <c r="BO687" s="97">
        <f>IF(OR(AY687="SÁB",AY687="DOM"),0,IFERROR(8-VLOOKUP(R687,'Dados de consulta'!$A$2:$C$38,3,0),8))</f>
        <v>0</v>
      </c>
      <c r="BP687" s="97">
        <f>IF(OR(AY687="SÁB",AY687="DOM"),0,IFERROR(8-VLOOKUP(S687,'Dados de consulta'!$A$2:$C$38,3,0),8))</f>
        <v>8</v>
      </c>
      <c r="BQ687" s="113">
        <f>IFERROR(6-VLOOKUP(T687,'Dados de consulta'!$A$2:$C$38,3,0)+2,6)</f>
        <v>6</v>
      </c>
      <c r="BR687" s="114">
        <f t="shared" si="284"/>
        <v>118</v>
      </c>
      <c r="BS687">
        <f t="shared" si="260"/>
        <v>134</v>
      </c>
      <c r="BU687">
        <f>IFERROR(8-VLOOKUP(U687,'Dados de consulta'!$A:$D,3,0),8)</f>
        <v>8</v>
      </c>
      <c r="BV687">
        <f>IFERROR(8-VLOOKUP(V687,'Dados de consulta'!$A:$D,3,0),8)</f>
        <v>8</v>
      </c>
      <c r="BW687">
        <f t="shared" si="285"/>
        <v>16</v>
      </c>
    </row>
    <row r="688" spans="1:75" ht="15" hidden="1" x14ac:dyDescent="0.2">
      <c r="A688" s="98">
        <v>42811</v>
      </c>
      <c r="B688" s="129" t="str">
        <f t="shared" si="262"/>
        <v>sex</v>
      </c>
      <c r="C688" s="132"/>
      <c r="D688" s="132"/>
      <c r="E688" s="132"/>
      <c r="F688" s="132"/>
      <c r="G688" s="132"/>
      <c r="H688" s="132"/>
      <c r="I688" s="132"/>
      <c r="J688" s="132"/>
      <c r="K688" s="132">
        <v>18</v>
      </c>
      <c r="L688" s="132"/>
      <c r="M688" s="132">
        <v>101</v>
      </c>
      <c r="N688" s="132"/>
      <c r="O688" s="132"/>
      <c r="P688" s="132"/>
      <c r="Q688" s="132"/>
      <c r="R688" s="132">
        <v>18</v>
      </c>
      <c r="S688" s="132"/>
      <c r="T688" s="132"/>
      <c r="U688" s="151"/>
      <c r="V688" s="151"/>
      <c r="W688" s="307" t="s">
        <v>193</v>
      </c>
      <c r="X688" s="308"/>
      <c r="Y688" s="38">
        <f t="shared" si="263"/>
        <v>0</v>
      </c>
      <c r="Z688" s="38">
        <f t="shared" si="264"/>
        <v>16</v>
      </c>
      <c r="AA688" s="38">
        <f t="shared" si="261"/>
        <v>0</v>
      </c>
      <c r="AB688" s="38">
        <f t="shared" si="272"/>
        <v>0</v>
      </c>
      <c r="AC688" s="38">
        <f t="shared" si="273"/>
        <v>0</v>
      </c>
      <c r="AD688" s="38">
        <f t="shared" si="274"/>
        <v>0</v>
      </c>
      <c r="AE688" s="38">
        <f t="shared" si="275"/>
        <v>0</v>
      </c>
      <c r="AF688" s="38">
        <f t="shared" si="276"/>
        <v>0</v>
      </c>
      <c r="AG688" s="33">
        <f t="shared" si="277"/>
        <v>0</v>
      </c>
      <c r="AH688" s="33">
        <f t="shared" si="278"/>
        <v>16</v>
      </c>
      <c r="AI688" s="33">
        <f t="shared" si="279"/>
        <v>0</v>
      </c>
      <c r="AJ688" s="33">
        <f t="shared" si="280"/>
        <v>0</v>
      </c>
      <c r="AK688" s="34">
        <f t="shared" si="281"/>
        <v>0</v>
      </c>
      <c r="AL688" s="35">
        <f t="shared" si="282"/>
        <v>0.11267605633802817</v>
      </c>
      <c r="AM688" s="34">
        <f t="shared" si="265"/>
        <v>0</v>
      </c>
      <c r="AN688" s="36">
        <f t="shared" si="283"/>
        <v>0</v>
      </c>
      <c r="AO688" s="6">
        <f t="shared" si="266"/>
        <v>0</v>
      </c>
      <c r="AP688">
        <f t="shared" si="267"/>
        <v>8</v>
      </c>
      <c r="AQ688" s="6">
        <f t="shared" si="268"/>
        <v>0</v>
      </c>
      <c r="AR688" s="6">
        <f t="shared" si="269"/>
        <v>0</v>
      </c>
      <c r="AS688" s="6"/>
      <c r="AX688" s="95">
        <f t="shared" si="270"/>
        <v>42811</v>
      </c>
      <c r="AY688" s="96" t="str">
        <f t="shared" si="271"/>
        <v>sex</v>
      </c>
      <c r="AZ688" s="97">
        <f>IF(OR(AY688="SÁB",AY688="DOM"),0,IFERROR(8-VLOOKUP(C688,'Dados de consulta'!$A$2:$C$38,3,0),8))</f>
        <v>8</v>
      </c>
      <c r="BA688" s="97">
        <f>IF(OR(AY688="SÁB",AY688="DOM"),0,IFERROR(8-VLOOKUP(D688,'Dados de consulta'!$A$2:$C$38,3,0),8))</f>
        <v>8</v>
      </c>
      <c r="BB688" s="97">
        <f>IF(OR(AY688="SÁB",AY688="DOM"),0,IFERROR(8-VLOOKUP(E688,'Dados de consulta'!$A$2:$C$38,3,0),8))</f>
        <v>8</v>
      </c>
      <c r="BC688" s="97">
        <f>IF(OR(AY688="SÁB",AY688="DOM"),0,IFERROR(8-VLOOKUP(F688,'Dados de consulta'!$A$2:$C$38,3,0),8))</f>
        <v>8</v>
      </c>
      <c r="BD688" s="97">
        <f>IF(OR(AY688="SÁB",AY688="DOM"),0,IFERROR(8-VLOOKUP(G688,'Dados de consulta'!$A$2:$C$38,3,0),8))</f>
        <v>8</v>
      </c>
      <c r="BE688" s="97">
        <f>IF(OR(AY688="SÁB",AY688="DOM"),0,IFERROR(8-VLOOKUP(H688,'Dados de consulta'!$A$2:$C$38,3,0),8))</f>
        <v>8</v>
      </c>
      <c r="BF688" s="97">
        <f>IF(OR(AY688="SÁB",AY688="DOM"),0,IFERROR(8-VLOOKUP(I688,'Dados de consulta'!$A$2:$C$38,3,0),8))</f>
        <v>8</v>
      </c>
      <c r="BG688" s="97">
        <f>IF(OR(AY688="SÁB",AY688="DOM"),0,IFERROR(8-VLOOKUP(J688,'Dados de consulta'!$A$2:$C$38,3,0),8))</f>
        <v>8</v>
      </c>
      <c r="BH688" s="97">
        <f>IF(OR(AY688="SÁB",AY688="DOM"),0,IFERROR(8-VLOOKUP(K688,'Dados de consulta'!$A$2:$C$38,3,0),8))</f>
        <v>0</v>
      </c>
      <c r="BI688" s="97">
        <f>IF(OR(AY688="SÁB",AY688="DOM"),0,IFERROR(8-VLOOKUP(L688,'Dados de consulta'!$A$2:$C$38,3,0),8))</f>
        <v>8</v>
      </c>
      <c r="BJ688" s="97">
        <f>IF(OR(AY688="SÁB",AY688="DOM"),0,IFERROR(8-VLOOKUP(M688,'Dados de consulta'!$A$2:$C$38,3,0),8))</f>
        <v>0</v>
      </c>
      <c r="BK688" s="97">
        <f>IF(OR(AY688="SÁB",AY688="DOM"),0,IFERROR(8-VLOOKUP(N688,'Dados de consulta'!$A$2:$C$38,3,0),8))</f>
        <v>8</v>
      </c>
      <c r="BL688" s="97">
        <f>IF(OR(AY688="SÁB",AY688="DOM"),0,IFERROR(8-VLOOKUP(O688,'Dados de consulta'!$A$2:$C$38,3,0),8))</f>
        <v>8</v>
      </c>
      <c r="BM688" s="97">
        <f>IF(OR(AY688="SÁB",AY688="DOM"),0,IFERROR(8-VLOOKUP(P688,'Dados de consulta'!$A$2:$C$38,3,0),8))</f>
        <v>8</v>
      </c>
      <c r="BN688" s="97">
        <f>IF(OR(AY688="SÁB",AY688="DOM"),0,IFERROR(8-VLOOKUP(Q688,'Dados de consulta'!$A$2:$C$38,3,0),8))</f>
        <v>8</v>
      </c>
      <c r="BO688" s="97">
        <f>IF(OR(AY688="SÁB",AY688="DOM"),0,IFERROR(8-VLOOKUP(R688,'Dados de consulta'!$A$2:$C$38,3,0),8))</f>
        <v>0</v>
      </c>
      <c r="BP688" s="97">
        <f>IF(OR(AY688="SÁB",AY688="DOM"),0,IFERROR(8-VLOOKUP(S688,'Dados de consulta'!$A$2:$C$38,3,0),8))</f>
        <v>8</v>
      </c>
      <c r="BQ688" s="113">
        <f>IFERROR(6-VLOOKUP(T688,'Dados de consulta'!$A$2:$C$38,3,0)+2,6)</f>
        <v>6</v>
      </c>
      <c r="BR688" s="114">
        <f t="shared" si="284"/>
        <v>118</v>
      </c>
      <c r="BS688">
        <f t="shared" si="260"/>
        <v>134</v>
      </c>
      <c r="BU688">
        <f>IFERROR(8-VLOOKUP(U688,'Dados de consulta'!$A:$D,3,0),8)</f>
        <v>8</v>
      </c>
      <c r="BV688">
        <f>IFERROR(8-VLOOKUP(V688,'Dados de consulta'!$A:$D,3,0),8)</f>
        <v>8</v>
      </c>
      <c r="BW688">
        <f t="shared" si="285"/>
        <v>16</v>
      </c>
    </row>
    <row r="689" spans="1:75" ht="15" hidden="1" x14ac:dyDescent="0.2">
      <c r="A689" s="98">
        <v>42812</v>
      </c>
      <c r="B689" s="129" t="str">
        <f t="shared" si="262"/>
        <v>sáb</v>
      </c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>
        <v>101</v>
      </c>
      <c r="N689" s="132"/>
      <c r="O689" s="132"/>
      <c r="P689" s="132"/>
      <c r="Q689" s="132"/>
      <c r="R689" s="132">
        <v>18</v>
      </c>
      <c r="S689" s="132"/>
      <c r="T689" s="132"/>
      <c r="U689" s="151"/>
      <c r="V689" s="151"/>
      <c r="W689" s="307" t="s">
        <v>193</v>
      </c>
      <c r="X689" s="308"/>
      <c r="Y689" s="38">
        <f t="shared" si="263"/>
        <v>0</v>
      </c>
      <c r="Z689" s="38">
        <f t="shared" si="264"/>
        <v>8</v>
      </c>
      <c r="AA689" s="38">
        <f t="shared" si="261"/>
        <v>0</v>
      </c>
      <c r="AB689" s="38">
        <f t="shared" si="272"/>
        <v>0</v>
      </c>
      <c r="AC689" s="38">
        <f t="shared" si="273"/>
        <v>0</v>
      </c>
      <c r="AD689" s="38">
        <f t="shared" si="274"/>
        <v>0</v>
      </c>
      <c r="AE689" s="38">
        <f t="shared" si="275"/>
        <v>0</v>
      </c>
      <c r="AF689" s="38">
        <f t="shared" si="276"/>
        <v>0</v>
      </c>
      <c r="AG689" s="33">
        <f t="shared" si="277"/>
        <v>0</v>
      </c>
      <c r="AH689" s="33">
        <f t="shared" si="278"/>
        <v>0</v>
      </c>
      <c r="AI689" s="33">
        <f t="shared" si="279"/>
        <v>0</v>
      </c>
      <c r="AJ689" s="33">
        <f t="shared" si="280"/>
        <v>0</v>
      </c>
      <c r="AK689" s="34">
        <f t="shared" si="281"/>
        <v>0</v>
      </c>
      <c r="AL689" s="35">
        <f t="shared" si="282"/>
        <v>0</v>
      </c>
      <c r="AM689" s="34">
        <f t="shared" si="265"/>
        <v>0</v>
      </c>
      <c r="AN689" s="36">
        <f t="shared" si="283"/>
        <v>0</v>
      </c>
      <c r="AO689" s="6">
        <f t="shared" si="266"/>
        <v>0</v>
      </c>
      <c r="AP689">
        <f t="shared" si="267"/>
        <v>8</v>
      </c>
      <c r="AQ689" s="6">
        <f t="shared" si="268"/>
        <v>0</v>
      </c>
      <c r="AR689" s="6">
        <f t="shared" si="269"/>
        <v>0</v>
      </c>
      <c r="AS689" s="6"/>
      <c r="AX689" s="95">
        <f t="shared" si="270"/>
        <v>42812</v>
      </c>
      <c r="AY689" s="96" t="str">
        <f t="shared" si="271"/>
        <v>sáb</v>
      </c>
      <c r="AZ689" s="97">
        <f>IF(OR(AY689="SÁB",AY689="DOM"),0,IFERROR(8-VLOOKUP(C689,'Dados de consulta'!$A$2:$C$38,3,0),8))</f>
        <v>0</v>
      </c>
      <c r="BA689" s="97">
        <f>IF(OR(AY689="SÁB",AY689="DOM"),0,IFERROR(8-VLOOKUP(D689,'Dados de consulta'!$A$2:$C$38,3,0),8))</f>
        <v>0</v>
      </c>
      <c r="BB689" s="97">
        <f>IF(OR(AY689="SÁB",AY689="DOM"),0,IFERROR(8-VLOOKUP(E689,'Dados de consulta'!$A$2:$C$38,3,0),8))</f>
        <v>0</v>
      </c>
      <c r="BC689" s="97">
        <f>IF(OR(AY689="SÁB",AY689="DOM"),0,IFERROR(8-VLOOKUP(F689,'Dados de consulta'!$A$2:$C$38,3,0),8))</f>
        <v>0</v>
      </c>
      <c r="BD689" s="97">
        <f>IF(OR(AY689="SÁB",AY689="DOM"),0,IFERROR(8-VLOOKUP(G689,'Dados de consulta'!$A$2:$C$38,3,0),8))</f>
        <v>0</v>
      </c>
      <c r="BE689" s="97">
        <f>IF(OR(AY689="SÁB",AY689="DOM"),0,IFERROR(8-VLOOKUP(H689,'Dados de consulta'!$A$2:$C$38,3,0),8))</f>
        <v>0</v>
      </c>
      <c r="BF689" s="97">
        <f>IF(OR(AY689="SÁB",AY689="DOM"),0,IFERROR(8-VLOOKUP(I689,'Dados de consulta'!$A$2:$C$38,3,0),8))</f>
        <v>0</v>
      </c>
      <c r="BG689" s="97">
        <f>IF(OR(AY689="SÁB",AY689="DOM"),0,IFERROR(8-VLOOKUP(J689,'Dados de consulta'!$A$2:$C$38,3,0),8))</f>
        <v>0</v>
      </c>
      <c r="BH689" s="97">
        <f>IF(OR(AY689="SÁB",AY689="DOM"),0,IFERROR(8-VLOOKUP(K689,'Dados de consulta'!$A$2:$C$38,3,0),8))</f>
        <v>0</v>
      </c>
      <c r="BI689" s="97">
        <f>IF(OR(AY689="SÁB",AY689="DOM"),0,IFERROR(8-VLOOKUP(L689,'Dados de consulta'!$A$2:$C$38,3,0),8))</f>
        <v>0</v>
      </c>
      <c r="BJ689" s="97">
        <f>IF(OR(AY689="SÁB",AY689="DOM"),0,IFERROR(8-VLOOKUP(M689,'Dados de consulta'!$A$2:$C$38,3,0),8))</f>
        <v>0</v>
      </c>
      <c r="BK689" s="97">
        <f>IF(OR(AY689="SÁB",AY689="DOM"),0,IFERROR(8-VLOOKUP(N689,'Dados de consulta'!$A$2:$C$38,3,0),8))</f>
        <v>0</v>
      </c>
      <c r="BL689" s="97">
        <f>IF(OR(AY689="SÁB",AY689="DOM"),0,IFERROR(8-VLOOKUP(O689,'Dados de consulta'!$A$2:$C$38,3,0),8))</f>
        <v>0</v>
      </c>
      <c r="BM689" s="97">
        <f>IF(OR(AY689="SÁB",AY689="DOM"),0,IFERROR(8-VLOOKUP(P689,'Dados de consulta'!$A$2:$C$38,3,0),8))</f>
        <v>0</v>
      </c>
      <c r="BN689" s="97">
        <f>IF(OR(AY689="SÁB",AY689="DOM"),0,IFERROR(8-VLOOKUP(Q689,'Dados de consulta'!$A$2:$C$38,3,0),8))</f>
        <v>0</v>
      </c>
      <c r="BO689" s="97">
        <f>IF(OR(AY689="SÁB",AY689="DOM"),0,IFERROR(8-VLOOKUP(R689,'Dados de consulta'!$A$2:$C$38,3,0),8))</f>
        <v>0</v>
      </c>
      <c r="BP689" s="97">
        <f>IF(OR(AY689="SÁB",AY689="DOM"),0,IFERROR(8-VLOOKUP(S689,'Dados de consulta'!$A$2:$C$38,3,0),8))</f>
        <v>0</v>
      </c>
      <c r="BQ689" s="113">
        <f>IFERROR(6-VLOOKUP(T689,'Dados de consulta'!$A$2:$C$38,3,0)+2,6)</f>
        <v>6</v>
      </c>
      <c r="BR689" s="114">
        <f t="shared" si="284"/>
        <v>0</v>
      </c>
      <c r="BS689">
        <f t="shared" si="260"/>
        <v>0</v>
      </c>
      <c r="BU689">
        <f>IFERROR(8-VLOOKUP(U689,'Dados de consulta'!$A:$D,3,0),8)</f>
        <v>8</v>
      </c>
      <c r="BV689">
        <f>IFERROR(8-VLOOKUP(V689,'Dados de consulta'!$A:$D,3,0),8)</f>
        <v>8</v>
      </c>
      <c r="BW689">
        <f t="shared" si="285"/>
        <v>16</v>
      </c>
    </row>
    <row r="690" spans="1:75" ht="15" hidden="1" x14ac:dyDescent="0.2">
      <c r="A690" s="98">
        <v>42813</v>
      </c>
      <c r="B690" s="129" t="str">
        <f t="shared" si="262"/>
        <v>dom</v>
      </c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>
        <v>101</v>
      </c>
      <c r="N690" s="132"/>
      <c r="O690" s="132"/>
      <c r="P690" s="132"/>
      <c r="Q690" s="132"/>
      <c r="R690" s="132">
        <v>18</v>
      </c>
      <c r="S690" s="132"/>
      <c r="T690" s="132"/>
      <c r="U690" s="151"/>
      <c r="V690" s="151"/>
      <c r="W690" s="307" t="s">
        <v>193</v>
      </c>
      <c r="X690" s="308"/>
      <c r="Y690" s="38">
        <f t="shared" si="263"/>
        <v>0</v>
      </c>
      <c r="Z690" s="38">
        <f t="shared" si="264"/>
        <v>8</v>
      </c>
      <c r="AA690" s="38">
        <f t="shared" si="261"/>
        <v>0</v>
      </c>
      <c r="AB690" s="38">
        <f t="shared" si="272"/>
        <v>0</v>
      </c>
      <c r="AC690" s="38">
        <f t="shared" si="273"/>
        <v>0</v>
      </c>
      <c r="AD690" s="38">
        <f t="shared" si="274"/>
        <v>0</v>
      </c>
      <c r="AE690" s="38">
        <f t="shared" si="275"/>
        <v>0</v>
      </c>
      <c r="AF690" s="38">
        <f t="shared" si="276"/>
        <v>0</v>
      </c>
      <c r="AG690" s="33">
        <f t="shared" si="277"/>
        <v>0</v>
      </c>
      <c r="AH690" s="33">
        <f t="shared" si="278"/>
        <v>0</v>
      </c>
      <c r="AI690" s="33">
        <f t="shared" si="279"/>
        <v>0</v>
      </c>
      <c r="AJ690" s="33">
        <f t="shared" si="280"/>
        <v>0</v>
      </c>
      <c r="AK690" s="34">
        <f t="shared" si="281"/>
        <v>0</v>
      </c>
      <c r="AL690" s="35">
        <f t="shared" si="282"/>
        <v>0</v>
      </c>
      <c r="AM690" s="34">
        <f t="shared" si="265"/>
        <v>0</v>
      </c>
      <c r="AN690" s="36">
        <f t="shared" si="283"/>
        <v>0</v>
      </c>
      <c r="AO690" s="6">
        <f t="shared" si="266"/>
        <v>0</v>
      </c>
      <c r="AP690">
        <f t="shared" si="267"/>
        <v>8</v>
      </c>
      <c r="AQ690" s="6">
        <f t="shared" si="268"/>
        <v>0</v>
      </c>
      <c r="AR690" s="6">
        <f t="shared" si="269"/>
        <v>0</v>
      </c>
      <c r="AS690" s="6"/>
      <c r="AX690" s="95">
        <f t="shared" si="270"/>
        <v>42813</v>
      </c>
      <c r="AY690" s="96" t="str">
        <f t="shared" si="271"/>
        <v>dom</v>
      </c>
      <c r="AZ690" s="97">
        <f>IF(OR(AY690="SÁB",AY690="DOM"),0,IFERROR(8-VLOOKUP(C690,'Dados de consulta'!$A$2:$C$38,3,0),8))</f>
        <v>0</v>
      </c>
      <c r="BA690" s="97">
        <f>IF(OR(AY690="SÁB",AY690="DOM"),0,IFERROR(8-VLOOKUP(D690,'Dados de consulta'!$A$2:$C$38,3,0),8))</f>
        <v>0</v>
      </c>
      <c r="BB690" s="97">
        <f>IF(OR(AY690="SÁB",AY690="DOM"),0,IFERROR(8-VLOOKUP(E690,'Dados de consulta'!$A$2:$C$38,3,0),8))</f>
        <v>0</v>
      </c>
      <c r="BC690" s="97">
        <f>IF(OR(AY690="SÁB",AY690="DOM"),0,IFERROR(8-VLOOKUP(F690,'Dados de consulta'!$A$2:$C$38,3,0),8))</f>
        <v>0</v>
      </c>
      <c r="BD690" s="97">
        <f>IF(OR(AY690="SÁB",AY690="DOM"),0,IFERROR(8-VLOOKUP(G690,'Dados de consulta'!$A$2:$C$38,3,0),8))</f>
        <v>0</v>
      </c>
      <c r="BE690" s="97">
        <f>IF(OR(AY690="SÁB",AY690="DOM"),0,IFERROR(8-VLOOKUP(H690,'Dados de consulta'!$A$2:$C$38,3,0),8))</f>
        <v>0</v>
      </c>
      <c r="BF690" s="97">
        <f>IF(OR(AY690="SÁB",AY690="DOM"),0,IFERROR(8-VLOOKUP(I690,'Dados de consulta'!$A$2:$C$38,3,0),8))</f>
        <v>0</v>
      </c>
      <c r="BG690" s="97">
        <f>IF(OR(AY690="SÁB",AY690="DOM"),0,IFERROR(8-VLOOKUP(J690,'Dados de consulta'!$A$2:$C$38,3,0),8))</f>
        <v>0</v>
      </c>
      <c r="BH690" s="97">
        <f>IF(OR(AY690="SÁB",AY690="DOM"),0,IFERROR(8-VLOOKUP(K690,'Dados de consulta'!$A$2:$C$38,3,0),8))</f>
        <v>0</v>
      </c>
      <c r="BI690" s="97">
        <f>IF(OR(AY690="SÁB",AY690="DOM"),0,IFERROR(8-VLOOKUP(L690,'Dados de consulta'!$A$2:$C$38,3,0),8))</f>
        <v>0</v>
      </c>
      <c r="BJ690" s="97">
        <f>IF(OR(AY690="SÁB",AY690="DOM"),0,IFERROR(8-VLOOKUP(M690,'Dados de consulta'!$A$2:$C$38,3,0),8))</f>
        <v>0</v>
      </c>
      <c r="BK690" s="97">
        <f>IF(OR(AY690="SÁB",AY690="DOM"),0,IFERROR(8-VLOOKUP(N690,'Dados de consulta'!$A$2:$C$38,3,0),8))</f>
        <v>0</v>
      </c>
      <c r="BL690" s="97">
        <f>IF(OR(AY690="SÁB",AY690="DOM"),0,IFERROR(8-VLOOKUP(O690,'Dados de consulta'!$A$2:$C$38,3,0),8))</f>
        <v>0</v>
      </c>
      <c r="BM690" s="97">
        <f>IF(OR(AY690="SÁB",AY690="DOM"),0,IFERROR(8-VLOOKUP(P690,'Dados de consulta'!$A$2:$C$38,3,0),8))</f>
        <v>0</v>
      </c>
      <c r="BN690" s="97">
        <f>IF(OR(AY690="SÁB",AY690="DOM"),0,IFERROR(8-VLOOKUP(Q690,'Dados de consulta'!$A$2:$C$38,3,0),8))</f>
        <v>0</v>
      </c>
      <c r="BO690" s="97">
        <f>IF(OR(AY690="SÁB",AY690="DOM"),0,IFERROR(8-VLOOKUP(R690,'Dados de consulta'!$A$2:$C$38,3,0),8))</f>
        <v>0</v>
      </c>
      <c r="BP690" s="97">
        <f>IF(OR(AY690="SÁB",AY690="DOM"),0,IFERROR(8-VLOOKUP(S690,'Dados de consulta'!$A$2:$C$38,3,0),8))</f>
        <v>0</v>
      </c>
      <c r="BQ690" s="113">
        <f>IFERROR(6-VLOOKUP(T690,'Dados de consulta'!$A$2:$C$38,3,0)+2,6)</f>
        <v>6</v>
      </c>
      <c r="BR690" s="114">
        <f t="shared" si="284"/>
        <v>0</v>
      </c>
      <c r="BS690">
        <f t="shared" si="260"/>
        <v>0</v>
      </c>
      <c r="BU690">
        <f>IFERROR(8-VLOOKUP(U690,'Dados de consulta'!$A:$D,3,0),8)</f>
        <v>8</v>
      </c>
      <c r="BV690">
        <f>IFERROR(8-VLOOKUP(V690,'Dados de consulta'!$A:$D,3,0),8)</f>
        <v>8</v>
      </c>
      <c r="BW690">
        <f t="shared" si="285"/>
        <v>16</v>
      </c>
    </row>
    <row r="691" spans="1:75" ht="15" hidden="1" x14ac:dyDescent="0.2">
      <c r="A691" s="98">
        <v>42814</v>
      </c>
      <c r="B691" s="129" t="str">
        <f t="shared" si="262"/>
        <v>seg</v>
      </c>
      <c r="C691" s="132"/>
      <c r="D691" s="132"/>
      <c r="E691" s="132"/>
      <c r="F691" s="132"/>
      <c r="G691" s="132"/>
      <c r="H691" s="132"/>
      <c r="I691" s="132"/>
      <c r="J691" s="132"/>
      <c r="K691" s="132">
        <v>18</v>
      </c>
      <c r="L691" s="132"/>
      <c r="M691" s="132">
        <v>101</v>
      </c>
      <c r="N691" s="132"/>
      <c r="O691" s="132"/>
      <c r="P691" s="132"/>
      <c r="Q691" s="132"/>
      <c r="R691" s="132">
        <v>18</v>
      </c>
      <c r="S691" s="132"/>
      <c r="T691" s="132"/>
      <c r="U691" s="151"/>
      <c r="V691" s="151"/>
      <c r="W691" s="307" t="s">
        <v>193</v>
      </c>
      <c r="X691" s="308"/>
      <c r="Y691" s="38">
        <f t="shared" si="263"/>
        <v>0</v>
      </c>
      <c r="Z691" s="38">
        <f t="shared" si="264"/>
        <v>16</v>
      </c>
      <c r="AA691" s="38">
        <f t="shared" si="261"/>
        <v>0</v>
      </c>
      <c r="AB691" s="38">
        <f t="shared" si="272"/>
        <v>0</v>
      </c>
      <c r="AC691" s="38">
        <f t="shared" si="273"/>
        <v>0</v>
      </c>
      <c r="AD691" s="38">
        <f t="shared" si="274"/>
        <v>0</v>
      </c>
      <c r="AE691" s="38">
        <f t="shared" si="275"/>
        <v>0</v>
      </c>
      <c r="AF691" s="38">
        <f t="shared" si="276"/>
        <v>0</v>
      </c>
      <c r="AG691" s="33">
        <f t="shared" si="277"/>
        <v>0</v>
      </c>
      <c r="AH691" s="33">
        <f t="shared" si="278"/>
        <v>16</v>
      </c>
      <c r="AI691" s="33">
        <f t="shared" si="279"/>
        <v>0</v>
      </c>
      <c r="AJ691" s="33">
        <f t="shared" si="280"/>
        <v>0</v>
      </c>
      <c r="AK691" s="34">
        <f t="shared" si="281"/>
        <v>0</v>
      </c>
      <c r="AL691" s="35">
        <f t="shared" si="282"/>
        <v>0.11267605633802817</v>
      </c>
      <c r="AM691" s="34">
        <f t="shared" si="265"/>
        <v>0</v>
      </c>
      <c r="AN691" s="36">
        <f t="shared" si="283"/>
        <v>0</v>
      </c>
      <c r="AO691" s="6">
        <f t="shared" si="266"/>
        <v>0</v>
      </c>
      <c r="AP691">
        <f t="shared" si="267"/>
        <v>8</v>
      </c>
      <c r="AQ691" s="6">
        <f t="shared" si="268"/>
        <v>0</v>
      </c>
      <c r="AR691" s="6">
        <f t="shared" si="269"/>
        <v>0</v>
      </c>
      <c r="AS691" s="6"/>
      <c r="AX691" s="95">
        <f t="shared" si="270"/>
        <v>42814</v>
      </c>
      <c r="AY691" s="96" t="str">
        <f t="shared" si="271"/>
        <v>seg</v>
      </c>
      <c r="AZ691" s="97">
        <f>IF(OR(AY691="SÁB",AY691="DOM"),0,IFERROR(8-VLOOKUP(C691,'Dados de consulta'!$A$2:$C$38,3,0),8))</f>
        <v>8</v>
      </c>
      <c r="BA691" s="97">
        <f>IF(OR(AY691="SÁB",AY691="DOM"),0,IFERROR(8-VLOOKUP(D691,'Dados de consulta'!$A$2:$C$38,3,0),8))</f>
        <v>8</v>
      </c>
      <c r="BB691" s="97">
        <f>IF(OR(AY691="SÁB",AY691="DOM"),0,IFERROR(8-VLOOKUP(E691,'Dados de consulta'!$A$2:$C$38,3,0),8))</f>
        <v>8</v>
      </c>
      <c r="BC691" s="97">
        <f>IF(OR(AY691="SÁB",AY691="DOM"),0,IFERROR(8-VLOOKUP(F691,'Dados de consulta'!$A$2:$C$38,3,0),8))</f>
        <v>8</v>
      </c>
      <c r="BD691" s="97">
        <f>IF(OR(AY691="SÁB",AY691="DOM"),0,IFERROR(8-VLOOKUP(G691,'Dados de consulta'!$A$2:$C$38,3,0),8))</f>
        <v>8</v>
      </c>
      <c r="BE691" s="97">
        <f>IF(OR(AY691="SÁB",AY691="DOM"),0,IFERROR(8-VLOOKUP(H691,'Dados de consulta'!$A$2:$C$38,3,0),8))</f>
        <v>8</v>
      </c>
      <c r="BF691" s="97">
        <f>IF(OR(AY691="SÁB",AY691="DOM"),0,IFERROR(8-VLOOKUP(I691,'Dados de consulta'!$A$2:$C$38,3,0),8))</f>
        <v>8</v>
      </c>
      <c r="BG691" s="97">
        <f>IF(OR(AY691="SÁB",AY691="DOM"),0,IFERROR(8-VLOOKUP(J691,'Dados de consulta'!$A$2:$C$38,3,0),8))</f>
        <v>8</v>
      </c>
      <c r="BH691" s="97">
        <f>IF(OR(AY691="SÁB",AY691="DOM"),0,IFERROR(8-VLOOKUP(K691,'Dados de consulta'!$A$2:$C$38,3,0),8))</f>
        <v>0</v>
      </c>
      <c r="BI691" s="97">
        <f>IF(OR(AY691="SÁB",AY691="DOM"),0,IFERROR(8-VLOOKUP(L691,'Dados de consulta'!$A$2:$C$38,3,0),8))</f>
        <v>8</v>
      </c>
      <c r="BJ691" s="97">
        <f>IF(OR(AY691="SÁB",AY691="DOM"),0,IFERROR(8-VLOOKUP(M691,'Dados de consulta'!$A$2:$C$38,3,0),8))</f>
        <v>0</v>
      </c>
      <c r="BK691" s="97">
        <f>IF(OR(AY691="SÁB",AY691="DOM"),0,IFERROR(8-VLOOKUP(N691,'Dados de consulta'!$A$2:$C$38,3,0),8))</f>
        <v>8</v>
      </c>
      <c r="BL691" s="97">
        <f>IF(OR(AY691="SÁB",AY691="DOM"),0,IFERROR(8-VLOOKUP(O691,'Dados de consulta'!$A$2:$C$38,3,0),8))</f>
        <v>8</v>
      </c>
      <c r="BM691" s="97">
        <f>IF(OR(AY691="SÁB",AY691="DOM"),0,IFERROR(8-VLOOKUP(P691,'Dados de consulta'!$A$2:$C$38,3,0),8))</f>
        <v>8</v>
      </c>
      <c r="BN691" s="97">
        <f>IF(OR(AY691="SÁB",AY691="DOM"),0,IFERROR(8-VLOOKUP(Q691,'Dados de consulta'!$A$2:$C$38,3,0),8))</f>
        <v>8</v>
      </c>
      <c r="BO691" s="97">
        <f>IF(OR(AY691="SÁB",AY691="DOM"),0,IFERROR(8-VLOOKUP(R691,'Dados de consulta'!$A$2:$C$38,3,0),8))</f>
        <v>0</v>
      </c>
      <c r="BP691" s="97">
        <f>IF(OR(AY691="SÁB",AY691="DOM"),0,IFERROR(8-VLOOKUP(S691,'Dados de consulta'!$A$2:$C$38,3,0),8))</f>
        <v>8</v>
      </c>
      <c r="BQ691" s="113">
        <f>IFERROR(6-VLOOKUP(T691,'Dados de consulta'!$A$2:$C$38,3,0)+2,6)</f>
        <v>6</v>
      </c>
      <c r="BR691" s="114">
        <f t="shared" si="284"/>
        <v>118</v>
      </c>
      <c r="BS691">
        <f t="shared" si="260"/>
        <v>134</v>
      </c>
      <c r="BU691">
        <f>IFERROR(8-VLOOKUP(U691,'Dados de consulta'!$A:$D,3,0),8)</f>
        <v>8</v>
      </c>
      <c r="BV691">
        <f>IFERROR(8-VLOOKUP(V691,'Dados de consulta'!$A:$D,3,0),8)</f>
        <v>8</v>
      </c>
      <c r="BW691">
        <f t="shared" si="285"/>
        <v>16</v>
      </c>
    </row>
    <row r="692" spans="1:75" ht="15" hidden="1" x14ac:dyDescent="0.2">
      <c r="A692" s="98">
        <v>42815</v>
      </c>
      <c r="B692" s="129" t="str">
        <f t="shared" si="262"/>
        <v>ter</v>
      </c>
      <c r="C692" s="132"/>
      <c r="D692" s="132"/>
      <c r="E692" s="132"/>
      <c r="F692" s="132"/>
      <c r="G692" s="132"/>
      <c r="H692" s="132"/>
      <c r="I692" s="132"/>
      <c r="J692" s="132"/>
      <c r="K692" s="132">
        <v>18</v>
      </c>
      <c r="L692" s="132"/>
      <c r="M692" s="132">
        <v>101</v>
      </c>
      <c r="N692" s="132"/>
      <c r="O692" s="132"/>
      <c r="P692" s="132"/>
      <c r="Q692" s="132"/>
      <c r="R692" s="132">
        <v>18</v>
      </c>
      <c r="S692" s="132"/>
      <c r="T692" s="132"/>
      <c r="U692" s="151"/>
      <c r="V692" s="151"/>
      <c r="W692" s="307" t="s">
        <v>193</v>
      </c>
      <c r="X692" s="308"/>
      <c r="Y692" s="38">
        <f t="shared" si="263"/>
        <v>0</v>
      </c>
      <c r="Z692" s="38">
        <f t="shared" si="264"/>
        <v>16</v>
      </c>
      <c r="AA692" s="38">
        <f t="shared" si="261"/>
        <v>0</v>
      </c>
      <c r="AB692" s="38">
        <f t="shared" si="272"/>
        <v>0</v>
      </c>
      <c r="AC692" s="38">
        <f t="shared" si="273"/>
        <v>0</v>
      </c>
      <c r="AD692" s="38">
        <f t="shared" si="274"/>
        <v>0</v>
      </c>
      <c r="AE692" s="38">
        <f t="shared" si="275"/>
        <v>0</v>
      </c>
      <c r="AF692" s="38">
        <f t="shared" si="276"/>
        <v>0</v>
      </c>
      <c r="AG692" s="33">
        <f t="shared" si="277"/>
        <v>0</v>
      </c>
      <c r="AH692" s="33">
        <f t="shared" si="278"/>
        <v>16</v>
      </c>
      <c r="AI692" s="33">
        <f t="shared" si="279"/>
        <v>0</v>
      </c>
      <c r="AJ692" s="33">
        <f t="shared" si="280"/>
        <v>0</v>
      </c>
      <c r="AK692" s="34">
        <f t="shared" si="281"/>
        <v>0</v>
      </c>
      <c r="AL692" s="35">
        <f t="shared" si="282"/>
        <v>0.11267605633802817</v>
      </c>
      <c r="AM692" s="34">
        <f t="shared" si="265"/>
        <v>0</v>
      </c>
      <c r="AN692" s="36">
        <f t="shared" si="283"/>
        <v>0</v>
      </c>
      <c r="AO692" s="6">
        <f t="shared" si="266"/>
        <v>0</v>
      </c>
      <c r="AP692">
        <f t="shared" si="267"/>
        <v>8</v>
      </c>
      <c r="AQ692" s="6">
        <f t="shared" si="268"/>
        <v>0</v>
      </c>
      <c r="AR692" s="6">
        <f t="shared" si="269"/>
        <v>0</v>
      </c>
      <c r="AS692" s="6"/>
      <c r="AX692" s="95">
        <f t="shared" si="270"/>
        <v>42815</v>
      </c>
      <c r="AY692" s="96" t="str">
        <f t="shared" si="271"/>
        <v>ter</v>
      </c>
      <c r="AZ692" s="97">
        <f>IF(OR(AY692="SÁB",AY692="DOM"),0,IFERROR(8-VLOOKUP(C692,'Dados de consulta'!$A$2:$C$38,3,0),8))</f>
        <v>8</v>
      </c>
      <c r="BA692" s="97">
        <f>IF(OR(AY692="SÁB",AY692="DOM"),0,IFERROR(8-VLOOKUP(D692,'Dados de consulta'!$A$2:$C$38,3,0),8))</f>
        <v>8</v>
      </c>
      <c r="BB692" s="97">
        <f>IF(OR(AY692="SÁB",AY692="DOM"),0,IFERROR(8-VLOOKUP(E692,'Dados de consulta'!$A$2:$C$38,3,0),8))</f>
        <v>8</v>
      </c>
      <c r="BC692" s="97">
        <f>IF(OR(AY692="SÁB",AY692="DOM"),0,IFERROR(8-VLOOKUP(F692,'Dados de consulta'!$A$2:$C$38,3,0),8))</f>
        <v>8</v>
      </c>
      <c r="BD692" s="97">
        <f>IF(OR(AY692="SÁB",AY692="DOM"),0,IFERROR(8-VLOOKUP(G692,'Dados de consulta'!$A$2:$C$38,3,0),8))</f>
        <v>8</v>
      </c>
      <c r="BE692" s="97">
        <f>IF(OR(AY692="SÁB",AY692="DOM"),0,IFERROR(8-VLOOKUP(H692,'Dados de consulta'!$A$2:$C$38,3,0),8))</f>
        <v>8</v>
      </c>
      <c r="BF692" s="97">
        <f>IF(OR(AY692="SÁB",AY692="DOM"),0,IFERROR(8-VLOOKUP(I692,'Dados de consulta'!$A$2:$C$38,3,0),8))</f>
        <v>8</v>
      </c>
      <c r="BG692" s="97">
        <f>IF(OR(AY692="SÁB",AY692="DOM"),0,IFERROR(8-VLOOKUP(J692,'Dados de consulta'!$A$2:$C$38,3,0),8))</f>
        <v>8</v>
      </c>
      <c r="BH692" s="97">
        <f>IF(OR(AY692="SÁB",AY692="DOM"),0,IFERROR(8-VLOOKUP(K692,'Dados de consulta'!$A$2:$C$38,3,0),8))</f>
        <v>0</v>
      </c>
      <c r="BI692" s="97">
        <f>IF(OR(AY692="SÁB",AY692="DOM"),0,IFERROR(8-VLOOKUP(L692,'Dados de consulta'!$A$2:$C$38,3,0),8))</f>
        <v>8</v>
      </c>
      <c r="BJ692" s="97">
        <f>IF(OR(AY692="SÁB",AY692="DOM"),0,IFERROR(8-VLOOKUP(M692,'Dados de consulta'!$A$2:$C$38,3,0),8))</f>
        <v>0</v>
      </c>
      <c r="BK692" s="97">
        <f>IF(OR(AY692="SÁB",AY692="DOM"),0,IFERROR(8-VLOOKUP(N692,'Dados de consulta'!$A$2:$C$38,3,0),8))</f>
        <v>8</v>
      </c>
      <c r="BL692" s="97">
        <f>IF(OR(AY692="SÁB",AY692="DOM"),0,IFERROR(8-VLOOKUP(O692,'Dados de consulta'!$A$2:$C$38,3,0),8))</f>
        <v>8</v>
      </c>
      <c r="BM692" s="97">
        <f>IF(OR(AY692="SÁB",AY692="DOM"),0,IFERROR(8-VLOOKUP(P692,'Dados de consulta'!$A$2:$C$38,3,0),8))</f>
        <v>8</v>
      </c>
      <c r="BN692" s="97">
        <f>IF(OR(AY692="SÁB",AY692="DOM"),0,IFERROR(8-VLOOKUP(Q692,'Dados de consulta'!$A$2:$C$38,3,0),8))</f>
        <v>8</v>
      </c>
      <c r="BO692" s="97">
        <f>IF(OR(AY692="SÁB",AY692="DOM"),0,IFERROR(8-VLOOKUP(R692,'Dados de consulta'!$A$2:$C$38,3,0),8))</f>
        <v>0</v>
      </c>
      <c r="BP692" s="97">
        <f>IF(OR(AY692="SÁB",AY692="DOM"),0,IFERROR(8-VLOOKUP(S692,'Dados de consulta'!$A$2:$C$38,3,0),8))</f>
        <v>8</v>
      </c>
      <c r="BQ692" s="113">
        <f>IFERROR(6-VLOOKUP(T692,'Dados de consulta'!$A$2:$C$38,3,0)+2,6)</f>
        <v>6</v>
      </c>
      <c r="BR692" s="114">
        <f t="shared" si="284"/>
        <v>118</v>
      </c>
      <c r="BS692">
        <f t="shared" si="260"/>
        <v>134</v>
      </c>
      <c r="BU692">
        <f>IFERROR(8-VLOOKUP(U692,'Dados de consulta'!$A:$D,3,0),8)</f>
        <v>8</v>
      </c>
      <c r="BV692">
        <f>IFERROR(8-VLOOKUP(V692,'Dados de consulta'!$A:$D,3,0),8)</f>
        <v>8</v>
      </c>
      <c r="BW692">
        <f t="shared" si="285"/>
        <v>16</v>
      </c>
    </row>
    <row r="693" spans="1:75" ht="15" hidden="1" x14ac:dyDescent="0.2">
      <c r="A693" s="98">
        <v>42816</v>
      </c>
      <c r="B693" s="129" t="str">
        <f t="shared" si="262"/>
        <v>qua</v>
      </c>
      <c r="C693" s="132"/>
      <c r="D693" s="132"/>
      <c r="E693" s="132"/>
      <c r="F693" s="132"/>
      <c r="G693" s="132"/>
      <c r="H693" s="132"/>
      <c r="I693" s="132"/>
      <c r="J693" s="132"/>
      <c r="K693" s="132">
        <v>18</v>
      </c>
      <c r="L693" s="132"/>
      <c r="M693" s="132">
        <v>101</v>
      </c>
      <c r="N693" s="132"/>
      <c r="O693" s="132"/>
      <c r="P693" s="132"/>
      <c r="Q693" s="132"/>
      <c r="R693" s="132">
        <v>18</v>
      </c>
      <c r="S693" s="132"/>
      <c r="T693" s="132"/>
      <c r="U693" s="151"/>
      <c r="V693" s="151"/>
      <c r="W693" s="307" t="s">
        <v>193</v>
      </c>
      <c r="X693" s="308"/>
      <c r="Y693" s="38">
        <f t="shared" si="263"/>
        <v>0</v>
      </c>
      <c r="Z693" s="38">
        <f t="shared" si="264"/>
        <v>16</v>
      </c>
      <c r="AA693" s="38">
        <f t="shared" si="261"/>
        <v>0</v>
      </c>
      <c r="AB693" s="38">
        <f t="shared" si="272"/>
        <v>0</v>
      </c>
      <c r="AC693" s="38">
        <f t="shared" si="273"/>
        <v>0</v>
      </c>
      <c r="AD693" s="38">
        <f t="shared" si="274"/>
        <v>0</v>
      </c>
      <c r="AE693" s="38">
        <f t="shared" si="275"/>
        <v>0</v>
      </c>
      <c r="AF693" s="38">
        <f t="shared" si="276"/>
        <v>0</v>
      </c>
      <c r="AG693" s="33">
        <f t="shared" si="277"/>
        <v>0</v>
      </c>
      <c r="AH693" s="33">
        <f t="shared" si="278"/>
        <v>16</v>
      </c>
      <c r="AI693" s="33">
        <f t="shared" si="279"/>
        <v>0</v>
      </c>
      <c r="AJ693" s="33">
        <f t="shared" si="280"/>
        <v>0</v>
      </c>
      <c r="AK693" s="34">
        <f t="shared" si="281"/>
        <v>0</v>
      </c>
      <c r="AL693" s="35">
        <f t="shared" si="282"/>
        <v>0.11267605633802817</v>
      </c>
      <c r="AM693" s="34">
        <f t="shared" si="265"/>
        <v>0</v>
      </c>
      <c r="AN693" s="36">
        <f t="shared" si="283"/>
        <v>0</v>
      </c>
      <c r="AO693" s="6">
        <f t="shared" si="266"/>
        <v>0</v>
      </c>
      <c r="AP693">
        <f t="shared" si="267"/>
        <v>8</v>
      </c>
      <c r="AQ693" s="6">
        <f t="shared" si="268"/>
        <v>0</v>
      </c>
      <c r="AR693" s="6">
        <f t="shared" si="269"/>
        <v>0</v>
      </c>
      <c r="AS693" s="6"/>
      <c r="AX693" s="95">
        <f t="shared" si="270"/>
        <v>42816</v>
      </c>
      <c r="AY693" s="96" t="str">
        <f t="shared" si="271"/>
        <v>qua</v>
      </c>
      <c r="AZ693" s="97">
        <f>IF(OR(AY693="SÁB",AY693="DOM"),0,IFERROR(8-VLOOKUP(C693,'Dados de consulta'!$A$2:$C$38,3,0),8))</f>
        <v>8</v>
      </c>
      <c r="BA693" s="97">
        <f>IF(OR(AY693="SÁB",AY693="DOM"),0,IFERROR(8-VLOOKUP(D693,'Dados de consulta'!$A$2:$C$38,3,0),8))</f>
        <v>8</v>
      </c>
      <c r="BB693" s="97">
        <f>IF(OR(AY693="SÁB",AY693="DOM"),0,IFERROR(8-VLOOKUP(E693,'Dados de consulta'!$A$2:$C$38,3,0),8))</f>
        <v>8</v>
      </c>
      <c r="BC693" s="97">
        <f>IF(OR(AY693="SÁB",AY693="DOM"),0,IFERROR(8-VLOOKUP(F693,'Dados de consulta'!$A$2:$C$38,3,0),8))</f>
        <v>8</v>
      </c>
      <c r="BD693" s="97">
        <f>IF(OR(AY693="SÁB",AY693="DOM"),0,IFERROR(8-VLOOKUP(G693,'Dados de consulta'!$A$2:$C$38,3,0),8))</f>
        <v>8</v>
      </c>
      <c r="BE693" s="97">
        <f>IF(OR(AY693="SÁB",AY693="DOM"),0,IFERROR(8-VLOOKUP(H693,'Dados de consulta'!$A$2:$C$38,3,0),8))</f>
        <v>8</v>
      </c>
      <c r="BF693" s="97">
        <f>IF(OR(AY693="SÁB",AY693="DOM"),0,IFERROR(8-VLOOKUP(I693,'Dados de consulta'!$A$2:$C$38,3,0),8))</f>
        <v>8</v>
      </c>
      <c r="BG693" s="97">
        <f>IF(OR(AY693="SÁB",AY693="DOM"),0,IFERROR(8-VLOOKUP(J693,'Dados de consulta'!$A$2:$C$38,3,0),8))</f>
        <v>8</v>
      </c>
      <c r="BH693" s="97">
        <f>IF(OR(AY693="SÁB",AY693="DOM"),0,IFERROR(8-VLOOKUP(K693,'Dados de consulta'!$A$2:$C$38,3,0),8))</f>
        <v>0</v>
      </c>
      <c r="BI693" s="97">
        <f>IF(OR(AY693="SÁB",AY693="DOM"),0,IFERROR(8-VLOOKUP(L693,'Dados de consulta'!$A$2:$C$38,3,0),8))</f>
        <v>8</v>
      </c>
      <c r="BJ693" s="97">
        <f>IF(OR(AY693="SÁB",AY693="DOM"),0,IFERROR(8-VLOOKUP(M693,'Dados de consulta'!$A$2:$C$38,3,0),8))</f>
        <v>0</v>
      </c>
      <c r="BK693" s="97">
        <f>IF(OR(AY693="SÁB",AY693="DOM"),0,IFERROR(8-VLOOKUP(N693,'Dados de consulta'!$A$2:$C$38,3,0),8))</f>
        <v>8</v>
      </c>
      <c r="BL693" s="97">
        <f>IF(OR(AY693="SÁB",AY693="DOM"),0,IFERROR(8-VLOOKUP(O693,'Dados de consulta'!$A$2:$C$38,3,0),8))</f>
        <v>8</v>
      </c>
      <c r="BM693" s="97">
        <f>IF(OR(AY693="SÁB",AY693="DOM"),0,IFERROR(8-VLOOKUP(P693,'Dados de consulta'!$A$2:$C$38,3,0),8))</f>
        <v>8</v>
      </c>
      <c r="BN693" s="97">
        <f>IF(OR(AY693="SÁB",AY693="DOM"),0,IFERROR(8-VLOOKUP(Q693,'Dados de consulta'!$A$2:$C$38,3,0),8))</f>
        <v>8</v>
      </c>
      <c r="BO693" s="97">
        <f>IF(OR(AY693="SÁB",AY693="DOM"),0,IFERROR(8-VLOOKUP(R693,'Dados de consulta'!$A$2:$C$38,3,0),8))</f>
        <v>0</v>
      </c>
      <c r="BP693" s="97">
        <f>IF(OR(AY693="SÁB",AY693="DOM"),0,IFERROR(8-VLOOKUP(S693,'Dados de consulta'!$A$2:$C$38,3,0),8))</f>
        <v>8</v>
      </c>
      <c r="BQ693" s="113">
        <f>IFERROR(6-VLOOKUP(T693,'Dados de consulta'!$A$2:$C$38,3,0)+2,6)</f>
        <v>6</v>
      </c>
      <c r="BR693" s="114">
        <f t="shared" si="284"/>
        <v>118</v>
      </c>
      <c r="BS693">
        <f t="shared" si="260"/>
        <v>134</v>
      </c>
      <c r="BU693">
        <f>IFERROR(8-VLOOKUP(U693,'Dados de consulta'!$A:$D,3,0),8)</f>
        <v>8</v>
      </c>
      <c r="BV693">
        <f>IFERROR(8-VLOOKUP(V693,'Dados de consulta'!$A:$D,3,0),8)</f>
        <v>8</v>
      </c>
      <c r="BW693">
        <f t="shared" si="285"/>
        <v>16</v>
      </c>
    </row>
    <row r="694" spans="1:75" ht="15" hidden="1" x14ac:dyDescent="0.2">
      <c r="A694" s="98">
        <v>42817</v>
      </c>
      <c r="B694" s="129" t="str">
        <f t="shared" si="262"/>
        <v>qui</v>
      </c>
      <c r="C694" s="132"/>
      <c r="D694" s="132"/>
      <c r="E694" s="132"/>
      <c r="F694" s="132"/>
      <c r="G694" s="132"/>
      <c r="H694" s="132"/>
      <c r="I694" s="132"/>
      <c r="J694" s="132"/>
      <c r="K694" s="132">
        <v>18</v>
      </c>
      <c r="L694" s="132"/>
      <c r="M694" s="132">
        <v>101</v>
      </c>
      <c r="N694" s="132"/>
      <c r="O694" s="132"/>
      <c r="P694" s="132"/>
      <c r="Q694" s="132"/>
      <c r="R694" s="132">
        <v>18</v>
      </c>
      <c r="S694" s="132"/>
      <c r="T694" s="132"/>
      <c r="U694" s="151"/>
      <c r="V694" s="151"/>
      <c r="W694" s="307" t="s">
        <v>193</v>
      </c>
      <c r="X694" s="308"/>
      <c r="Y694" s="38">
        <f t="shared" si="263"/>
        <v>0</v>
      </c>
      <c r="Z694" s="38">
        <f t="shared" si="264"/>
        <v>16</v>
      </c>
      <c r="AA694" s="38">
        <f t="shared" si="261"/>
        <v>0</v>
      </c>
      <c r="AB694" s="38">
        <f t="shared" si="272"/>
        <v>0</v>
      </c>
      <c r="AC694" s="38">
        <f t="shared" si="273"/>
        <v>0</v>
      </c>
      <c r="AD694" s="38">
        <f t="shared" si="274"/>
        <v>0</v>
      </c>
      <c r="AE694" s="38">
        <f t="shared" si="275"/>
        <v>0</v>
      </c>
      <c r="AF694" s="38">
        <f t="shared" si="276"/>
        <v>0</v>
      </c>
      <c r="AG694" s="33">
        <f t="shared" si="277"/>
        <v>0</v>
      </c>
      <c r="AH694" s="33">
        <f t="shared" si="278"/>
        <v>16</v>
      </c>
      <c r="AI694" s="33">
        <f t="shared" si="279"/>
        <v>0</v>
      </c>
      <c r="AJ694" s="33">
        <f t="shared" si="280"/>
        <v>0</v>
      </c>
      <c r="AK694" s="34">
        <f t="shared" si="281"/>
        <v>0</v>
      </c>
      <c r="AL694" s="35">
        <f t="shared" si="282"/>
        <v>0.11267605633802817</v>
      </c>
      <c r="AM694" s="34">
        <f t="shared" si="265"/>
        <v>0</v>
      </c>
      <c r="AN694" s="36">
        <f t="shared" si="283"/>
        <v>0</v>
      </c>
      <c r="AO694" s="6">
        <f t="shared" si="266"/>
        <v>0</v>
      </c>
      <c r="AP694">
        <f t="shared" si="267"/>
        <v>8</v>
      </c>
      <c r="AQ694" s="6">
        <f t="shared" si="268"/>
        <v>0</v>
      </c>
      <c r="AR694" s="6">
        <f t="shared" si="269"/>
        <v>0</v>
      </c>
      <c r="AS694" s="6"/>
      <c r="AX694" s="95">
        <f t="shared" si="270"/>
        <v>42817</v>
      </c>
      <c r="AY694" s="96" t="str">
        <f t="shared" si="271"/>
        <v>qui</v>
      </c>
      <c r="AZ694" s="97">
        <f>IF(OR(AY694="SÁB",AY694="DOM"),0,IFERROR(8-VLOOKUP(C694,'Dados de consulta'!$A$2:$C$38,3,0),8))</f>
        <v>8</v>
      </c>
      <c r="BA694" s="97">
        <f>IF(OR(AY694="SÁB",AY694="DOM"),0,IFERROR(8-VLOOKUP(D694,'Dados de consulta'!$A$2:$C$38,3,0),8))</f>
        <v>8</v>
      </c>
      <c r="BB694" s="97">
        <f>IF(OR(AY694="SÁB",AY694="DOM"),0,IFERROR(8-VLOOKUP(E694,'Dados de consulta'!$A$2:$C$38,3,0),8))</f>
        <v>8</v>
      </c>
      <c r="BC694" s="97">
        <f>IF(OR(AY694="SÁB",AY694="DOM"),0,IFERROR(8-VLOOKUP(F694,'Dados de consulta'!$A$2:$C$38,3,0),8))</f>
        <v>8</v>
      </c>
      <c r="BD694" s="97">
        <f>IF(OR(AY694="SÁB",AY694="DOM"),0,IFERROR(8-VLOOKUP(G694,'Dados de consulta'!$A$2:$C$38,3,0),8))</f>
        <v>8</v>
      </c>
      <c r="BE694" s="97">
        <f>IF(OR(AY694="SÁB",AY694="DOM"),0,IFERROR(8-VLOOKUP(H694,'Dados de consulta'!$A$2:$C$38,3,0),8))</f>
        <v>8</v>
      </c>
      <c r="BF694" s="97">
        <f>IF(OR(AY694="SÁB",AY694="DOM"),0,IFERROR(8-VLOOKUP(I694,'Dados de consulta'!$A$2:$C$38,3,0),8))</f>
        <v>8</v>
      </c>
      <c r="BG694" s="97">
        <f>IF(OR(AY694="SÁB",AY694="DOM"),0,IFERROR(8-VLOOKUP(J694,'Dados de consulta'!$A$2:$C$38,3,0),8))</f>
        <v>8</v>
      </c>
      <c r="BH694" s="97">
        <f>IF(OR(AY694="SÁB",AY694="DOM"),0,IFERROR(8-VLOOKUP(K694,'Dados de consulta'!$A$2:$C$38,3,0),8))</f>
        <v>0</v>
      </c>
      <c r="BI694" s="97">
        <f>IF(OR(AY694="SÁB",AY694="DOM"),0,IFERROR(8-VLOOKUP(L694,'Dados de consulta'!$A$2:$C$38,3,0),8))</f>
        <v>8</v>
      </c>
      <c r="BJ694" s="97">
        <f>IF(OR(AY694="SÁB",AY694="DOM"),0,IFERROR(8-VLOOKUP(M694,'Dados de consulta'!$A$2:$C$38,3,0),8))</f>
        <v>0</v>
      </c>
      <c r="BK694" s="97">
        <f>IF(OR(AY694="SÁB",AY694="DOM"),0,IFERROR(8-VLOOKUP(N694,'Dados de consulta'!$A$2:$C$38,3,0),8))</f>
        <v>8</v>
      </c>
      <c r="BL694" s="97">
        <f>IF(OR(AY694="SÁB",AY694="DOM"),0,IFERROR(8-VLOOKUP(O694,'Dados de consulta'!$A$2:$C$38,3,0),8))</f>
        <v>8</v>
      </c>
      <c r="BM694" s="97">
        <f>IF(OR(AY694="SÁB",AY694="DOM"),0,IFERROR(8-VLOOKUP(P694,'Dados de consulta'!$A$2:$C$38,3,0),8))</f>
        <v>8</v>
      </c>
      <c r="BN694" s="97">
        <f>IF(OR(AY694="SÁB",AY694="DOM"),0,IFERROR(8-VLOOKUP(Q694,'Dados de consulta'!$A$2:$C$38,3,0),8))</f>
        <v>8</v>
      </c>
      <c r="BO694" s="97">
        <f>IF(OR(AY694="SÁB",AY694="DOM"),0,IFERROR(8-VLOOKUP(R694,'Dados de consulta'!$A$2:$C$38,3,0),8))</f>
        <v>0</v>
      </c>
      <c r="BP694" s="97">
        <f>IF(OR(AY694="SÁB",AY694="DOM"),0,IFERROR(8-VLOOKUP(S694,'Dados de consulta'!$A$2:$C$38,3,0),8))</f>
        <v>8</v>
      </c>
      <c r="BQ694" s="113">
        <f>IFERROR(6-VLOOKUP(T694,'Dados de consulta'!$A$2:$C$38,3,0)+2,6)</f>
        <v>6</v>
      </c>
      <c r="BR694" s="114">
        <f t="shared" si="284"/>
        <v>118</v>
      </c>
      <c r="BS694">
        <f t="shared" si="260"/>
        <v>134</v>
      </c>
      <c r="BU694">
        <f>IFERROR(8-VLOOKUP(U694,'Dados de consulta'!$A:$D,3,0),8)</f>
        <v>8</v>
      </c>
      <c r="BV694">
        <f>IFERROR(8-VLOOKUP(V694,'Dados de consulta'!$A:$D,3,0),8)</f>
        <v>8</v>
      </c>
      <c r="BW694">
        <f t="shared" si="285"/>
        <v>16</v>
      </c>
    </row>
    <row r="695" spans="1:75" ht="15" hidden="1" x14ac:dyDescent="0.2">
      <c r="A695" s="98">
        <v>42818</v>
      </c>
      <c r="B695" s="129" t="str">
        <f t="shared" si="262"/>
        <v>sex</v>
      </c>
      <c r="C695" s="132"/>
      <c r="D695" s="132"/>
      <c r="E695" s="132"/>
      <c r="F695" s="132"/>
      <c r="G695" s="132"/>
      <c r="H695" s="132"/>
      <c r="I695" s="132"/>
      <c r="J695" s="132"/>
      <c r="K695" s="132">
        <v>18</v>
      </c>
      <c r="L695" s="132"/>
      <c r="M695" s="132">
        <v>101</v>
      </c>
      <c r="N695" s="132"/>
      <c r="O695" s="132"/>
      <c r="P695" s="132"/>
      <c r="Q695" s="132"/>
      <c r="R695" s="132"/>
      <c r="S695" s="132"/>
      <c r="T695" s="132"/>
      <c r="U695" s="151"/>
      <c r="V695" s="151"/>
      <c r="W695" s="307" t="s">
        <v>193</v>
      </c>
      <c r="X695" s="308"/>
      <c r="Y695" s="38">
        <f t="shared" si="263"/>
        <v>0</v>
      </c>
      <c r="Z695" s="38">
        <f t="shared" si="264"/>
        <v>8</v>
      </c>
      <c r="AA695" s="38">
        <f t="shared" si="261"/>
        <v>0</v>
      </c>
      <c r="AB695" s="38">
        <f t="shared" si="272"/>
        <v>0</v>
      </c>
      <c r="AC695" s="38">
        <f t="shared" si="273"/>
        <v>0</v>
      </c>
      <c r="AD695" s="38">
        <f t="shared" si="274"/>
        <v>0</v>
      </c>
      <c r="AE695" s="38">
        <f t="shared" si="275"/>
        <v>0</v>
      </c>
      <c r="AF695" s="38">
        <f t="shared" si="276"/>
        <v>0</v>
      </c>
      <c r="AG695" s="33">
        <f t="shared" si="277"/>
        <v>0</v>
      </c>
      <c r="AH695" s="33">
        <f t="shared" si="278"/>
        <v>8</v>
      </c>
      <c r="AI695" s="33">
        <f t="shared" si="279"/>
        <v>0</v>
      </c>
      <c r="AJ695" s="33">
        <f t="shared" si="280"/>
        <v>0</v>
      </c>
      <c r="AK695" s="34">
        <f t="shared" si="281"/>
        <v>0</v>
      </c>
      <c r="AL695" s="35">
        <f t="shared" si="282"/>
        <v>5.6338028169014086E-2</v>
      </c>
      <c r="AM695" s="34">
        <f t="shared" si="265"/>
        <v>0</v>
      </c>
      <c r="AN695" s="36">
        <f t="shared" si="283"/>
        <v>0</v>
      </c>
      <c r="AO695" s="6">
        <f t="shared" si="266"/>
        <v>0</v>
      </c>
      <c r="AP695">
        <f t="shared" si="267"/>
        <v>8</v>
      </c>
      <c r="AQ695" s="6">
        <f t="shared" si="268"/>
        <v>0</v>
      </c>
      <c r="AR695" s="6">
        <f t="shared" si="269"/>
        <v>0</v>
      </c>
      <c r="AS695" s="6"/>
      <c r="AX695" s="95">
        <f t="shared" si="270"/>
        <v>42818</v>
      </c>
      <c r="AY695" s="96" t="str">
        <f t="shared" si="271"/>
        <v>sex</v>
      </c>
      <c r="AZ695" s="97">
        <f>IF(OR(AY695="SÁB",AY695="DOM"),0,IFERROR(8-VLOOKUP(C695,'Dados de consulta'!$A$2:$C$38,3,0),8))</f>
        <v>8</v>
      </c>
      <c r="BA695" s="97">
        <f>IF(OR(AY695="SÁB",AY695="DOM"),0,IFERROR(8-VLOOKUP(D695,'Dados de consulta'!$A$2:$C$38,3,0),8))</f>
        <v>8</v>
      </c>
      <c r="BB695" s="97">
        <f>IF(OR(AY695="SÁB",AY695="DOM"),0,IFERROR(8-VLOOKUP(E695,'Dados de consulta'!$A$2:$C$38,3,0),8))</f>
        <v>8</v>
      </c>
      <c r="BC695" s="97">
        <f>IF(OR(AY695="SÁB",AY695="DOM"),0,IFERROR(8-VLOOKUP(F695,'Dados de consulta'!$A$2:$C$38,3,0),8))</f>
        <v>8</v>
      </c>
      <c r="BD695" s="97">
        <f>IF(OR(AY695="SÁB",AY695="DOM"),0,IFERROR(8-VLOOKUP(G695,'Dados de consulta'!$A$2:$C$38,3,0),8))</f>
        <v>8</v>
      </c>
      <c r="BE695" s="97">
        <f>IF(OR(AY695="SÁB",AY695="DOM"),0,IFERROR(8-VLOOKUP(H695,'Dados de consulta'!$A$2:$C$38,3,0),8))</f>
        <v>8</v>
      </c>
      <c r="BF695" s="97">
        <f>IF(OR(AY695="SÁB",AY695="DOM"),0,IFERROR(8-VLOOKUP(I695,'Dados de consulta'!$A$2:$C$38,3,0),8))</f>
        <v>8</v>
      </c>
      <c r="BG695" s="97">
        <f>IF(OR(AY695="SÁB",AY695="DOM"),0,IFERROR(8-VLOOKUP(J695,'Dados de consulta'!$A$2:$C$38,3,0),8))</f>
        <v>8</v>
      </c>
      <c r="BH695" s="97">
        <f>IF(OR(AY695="SÁB",AY695="DOM"),0,IFERROR(8-VLOOKUP(K695,'Dados de consulta'!$A$2:$C$38,3,0),8))</f>
        <v>0</v>
      </c>
      <c r="BI695" s="97">
        <f>IF(OR(AY695="SÁB",AY695="DOM"),0,IFERROR(8-VLOOKUP(L695,'Dados de consulta'!$A$2:$C$38,3,0),8))</f>
        <v>8</v>
      </c>
      <c r="BJ695" s="97">
        <f>IF(OR(AY695="SÁB",AY695="DOM"),0,IFERROR(8-VLOOKUP(M695,'Dados de consulta'!$A$2:$C$38,3,0),8))</f>
        <v>0</v>
      </c>
      <c r="BK695" s="97">
        <f>IF(OR(AY695="SÁB",AY695="DOM"),0,IFERROR(8-VLOOKUP(N695,'Dados de consulta'!$A$2:$C$38,3,0),8))</f>
        <v>8</v>
      </c>
      <c r="BL695" s="97">
        <f>IF(OR(AY695="SÁB",AY695="DOM"),0,IFERROR(8-VLOOKUP(O695,'Dados de consulta'!$A$2:$C$38,3,0),8))</f>
        <v>8</v>
      </c>
      <c r="BM695" s="97">
        <f>IF(OR(AY695="SÁB",AY695="DOM"),0,IFERROR(8-VLOOKUP(P695,'Dados de consulta'!$A$2:$C$38,3,0),8))</f>
        <v>8</v>
      </c>
      <c r="BN695" s="97">
        <f>IF(OR(AY695="SÁB",AY695="DOM"),0,IFERROR(8-VLOOKUP(Q695,'Dados de consulta'!$A$2:$C$38,3,0),8))</f>
        <v>8</v>
      </c>
      <c r="BO695" s="97">
        <f>IF(OR(AY695="SÁB",AY695="DOM"),0,IFERROR(8-VLOOKUP(R695,'Dados de consulta'!$A$2:$C$38,3,0),8))</f>
        <v>8</v>
      </c>
      <c r="BP695" s="97">
        <f>IF(OR(AY695="SÁB",AY695="DOM"),0,IFERROR(8-VLOOKUP(S695,'Dados de consulta'!$A$2:$C$38,3,0),8))</f>
        <v>8</v>
      </c>
      <c r="BQ695" s="113">
        <f>IFERROR(6-VLOOKUP(T695,'Dados de consulta'!$A$2:$C$38,3,0)+2,6)</f>
        <v>6</v>
      </c>
      <c r="BR695" s="114">
        <f t="shared" si="284"/>
        <v>126</v>
      </c>
      <c r="BS695">
        <f t="shared" si="260"/>
        <v>134</v>
      </c>
      <c r="BU695">
        <f>IFERROR(8-VLOOKUP(U695,'Dados de consulta'!$A:$D,3,0),8)</f>
        <v>8</v>
      </c>
      <c r="BV695">
        <f>IFERROR(8-VLOOKUP(V695,'Dados de consulta'!$A:$D,3,0),8)</f>
        <v>8</v>
      </c>
      <c r="BW695">
        <f t="shared" si="285"/>
        <v>16</v>
      </c>
    </row>
    <row r="696" spans="1:75" ht="15" hidden="1" x14ac:dyDescent="0.2">
      <c r="A696" s="98">
        <v>42819</v>
      </c>
      <c r="B696" s="129" t="str">
        <f t="shared" si="262"/>
        <v>sáb</v>
      </c>
      <c r="C696" s="132"/>
      <c r="D696" s="132"/>
      <c r="E696" s="132"/>
      <c r="F696" s="132"/>
      <c r="G696" s="132"/>
      <c r="H696" s="132"/>
      <c r="I696" s="132"/>
      <c r="J696" s="132"/>
      <c r="K696" s="132">
        <v>18</v>
      </c>
      <c r="L696" s="132"/>
      <c r="M696" s="132">
        <v>101</v>
      </c>
      <c r="N696" s="132"/>
      <c r="O696" s="132"/>
      <c r="P696" s="132"/>
      <c r="Q696" s="132"/>
      <c r="R696" s="132"/>
      <c r="S696" s="132"/>
      <c r="T696" s="132"/>
      <c r="U696" s="151"/>
      <c r="V696" s="151"/>
      <c r="W696" s="307" t="s">
        <v>193</v>
      </c>
      <c r="X696" s="308"/>
      <c r="Y696" s="38">
        <f t="shared" si="263"/>
        <v>0</v>
      </c>
      <c r="Z696" s="38">
        <f t="shared" si="264"/>
        <v>8</v>
      </c>
      <c r="AA696" s="38">
        <f t="shared" si="261"/>
        <v>0</v>
      </c>
      <c r="AB696" s="38">
        <f t="shared" si="272"/>
        <v>0</v>
      </c>
      <c r="AC696" s="38">
        <f t="shared" si="273"/>
        <v>0</v>
      </c>
      <c r="AD696" s="38">
        <f t="shared" si="274"/>
        <v>0</v>
      </c>
      <c r="AE696" s="38">
        <f t="shared" si="275"/>
        <v>0</v>
      </c>
      <c r="AF696" s="38">
        <f t="shared" si="276"/>
        <v>0</v>
      </c>
      <c r="AG696" s="33">
        <f t="shared" si="277"/>
        <v>0</v>
      </c>
      <c r="AH696" s="33">
        <f t="shared" si="278"/>
        <v>0</v>
      </c>
      <c r="AI696" s="33">
        <f t="shared" si="279"/>
        <v>0</v>
      </c>
      <c r="AJ696" s="33">
        <f t="shared" si="280"/>
        <v>0</v>
      </c>
      <c r="AK696" s="34">
        <f t="shared" si="281"/>
        <v>0</v>
      </c>
      <c r="AL696" s="35">
        <f t="shared" si="282"/>
        <v>0</v>
      </c>
      <c r="AM696" s="34">
        <f t="shared" si="265"/>
        <v>0</v>
      </c>
      <c r="AN696" s="36">
        <f t="shared" si="283"/>
        <v>0</v>
      </c>
      <c r="AO696" s="6">
        <f t="shared" si="266"/>
        <v>0</v>
      </c>
      <c r="AP696">
        <f t="shared" si="267"/>
        <v>8</v>
      </c>
      <c r="AQ696" s="6">
        <f t="shared" si="268"/>
        <v>0</v>
      </c>
      <c r="AR696" s="6">
        <f t="shared" si="269"/>
        <v>0</v>
      </c>
      <c r="AS696" s="6"/>
      <c r="AX696" s="95">
        <f t="shared" si="270"/>
        <v>42819</v>
      </c>
      <c r="AY696" s="96" t="str">
        <f t="shared" si="271"/>
        <v>sáb</v>
      </c>
      <c r="AZ696" s="97">
        <f>IF(OR(AY696="SÁB",AY696="DOM"),0,IFERROR(8-VLOOKUP(C696,'Dados de consulta'!$A$2:$C$38,3,0),8))</f>
        <v>0</v>
      </c>
      <c r="BA696" s="97">
        <f>IF(OR(AY696="SÁB",AY696="DOM"),0,IFERROR(8-VLOOKUP(D696,'Dados de consulta'!$A$2:$C$38,3,0),8))</f>
        <v>0</v>
      </c>
      <c r="BB696" s="97">
        <f>IF(OR(AY696="SÁB",AY696="DOM"),0,IFERROR(8-VLOOKUP(E696,'Dados de consulta'!$A$2:$C$38,3,0),8))</f>
        <v>0</v>
      </c>
      <c r="BC696" s="97">
        <f>IF(OR(AY696="SÁB",AY696="DOM"),0,IFERROR(8-VLOOKUP(F696,'Dados de consulta'!$A$2:$C$38,3,0),8))</f>
        <v>0</v>
      </c>
      <c r="BD696" s="97">
        <f>IF(OR(AY696="SÁB",AY696="DOM"),0,IFERROR(8-VLOOKUP(G696,'Dados de consulta'!$A$2:$C$38,3,0),8))</f>
        <v>0</v>
      </c>
      <c r="BE696" s="97">
        <f>IF(OR(AY696="SÁB",AY696="DOM"),0,IFERROR(8-VLOOKUP(H696,'Dados de consulta'!$A$2:$C$38,3,0),8))</f>
        <v>0</v>
      </c>
      <c r="BF696" s="97">
        <f>IF(OR(AY696="SÁB",AY696="DOM"),0,IFERROR(8-VLOOKUP(I696,'Dados de consulta'!$A$2:$C$38,3,0),8))</f>
        <v>0</v>
      </c>
      <c r="BG696" s="97">
        <f>IF(OR(AY696="SÁB",AY696="DOM"),0,IFERROR(8-VLOOKUP(J696,'Dados de consulta'!$A$2:$C$38,3,0),8))</f>
        <v>0</v>
      </c>
      <c r="BH696" s="97">
        <f>IF(OR(AY696="SÁB",AY696="DOM"),0,IFERROR(8-VLOOKUP(K696,'Dados de consulta'!$A$2:$C$38,3,0),8))</f>
        <v>0</v>
      </c>
      <c r="BI696" s="97">
        <f>IF(OR(AY696="SÁB",AY696="DOM"),0,IFERROR(8-VLOOKUP(L696,'Dados de consulta'!$A$2:$C$38,3,0),8))</f>
        <v>0</v>
      </c>
      <c r="BJ696" s="97">
        <f>IF(OR(AY696="SÁB",AY696="DOM"),0,IFERROR(8-VLOOKUP(M696,'Dados de consulta'!$A$2:$C$38,3,0),8))</f>
        <v>0</v>
      </c>
      <c r="BK696" s="97">
        <f>IF(OR(AY696="SÁB",AY696="DOM"),0,IFERROR(8-VLOOKUP(N696,'Dados de consulta'!$A$2:$C$38,3,0),8))</f>
        <v>0</v>
      </c>
      <c r="BL696" s="97">
        <f>IF(OR(AY696="SÁB",AY696="DOM"),0,IFERROR(8-VLOOKUP(O696,'Dados de consulta'!$A$2:$C$38,3,0),8))</f>
        <v>0</v>
      </c>
      <c r="BM696" s="97">
        <f>IF(OR(AY696="SÁB",AY696="DOM"),0,IFERROR(8-VLOOKUP(P696,'Dados de consulta'!$A$2:$C$38,3,0),8))</f>
        <v>0</v>
      </c>
      <c r="BN696" s="97">
        <f>IF(OR(AY696="SÁB",AY696="DOM"),0,IFERROR(8-VLOOKUP(Q696,'Dados de consulta'!$A$2:$C$38,3,0),8))</f>
        <v>0</v>
      </c>
      <c r="BO696" s="97">
        <f>IF(OR(AY696="SÁB",AY696="DOM"),0,IFERROR(8-VLOOKUP(R696,'Dados de consulta'!$A$2:$C$38,3,0),8))</f>
        <v>0</v>
      </c>
      <c r="BP696" s="97">
        <f>IF(OR(AY696="SÁB",AY696="DOM"),0,IFERROR(8-VLOOKUP(S696,'Dados de consulta'!$A$2:$C$38,3,0),8))</f>
        <v>0</v>
      </c>
      <c r="BQ696" s="113">
        <f>IFERROR(6-VLOOKUP(T696,'Dados de consulta'!$A$2:$C$38,3,0)+2,6)</f>
        <v>6</v>
      </c>
      <c r="BR696" s="114">
        <f t="shared" si="284"/>
        <v>0</v>
      </c>
      <c r="BS696">
        <f t="shared" si="260"/>
        <v>0</v>
      </c>
      <c r="BU696">
        <f>IFERROR(8-VLOOKUP(U696,'Dados de consulta'!$A:$D,3,0),8)</f>
        <v>8</v>
      </c>
      <c r="BV696">
        <f>IFERROR(8-VLOOKUP(V696,'Dados de consulta'!$A:$D,3,0),8)</f>
        <v>8</v>
      </c>
      <c r="BW696">
        <f t="shared" si="285"/>
        <v>16</v>
      </c>
    </row>
    <row r="697" spans="1:75" ht="15" hidden="1" x14ac:dyDescent="0.2">
      <c r="A697" s="98">
        <v>42820</v>
      </c>
      <c r="B697" s="129" t="str">
        <f t="shared" si="262"/>
        <v>dom</v>
      </c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>
        <v>101</v>
      </c>
      <c r="N697" s="132"/>
      <c r="O697" s="132"/>
      <c r="P697" s="132"/>
      <c r="Q697" s="132"/>
      <c r="R697" s="132"/>
      <c r="S697" s="132"/>
      <c r="T697" s="132"/>
      <c r="U697" s="151"/>
      <c r="V697" s="151"/>
      <c r="W697" s="307" t="s">
        <v>193</v>
      </c>
      <c r="X697" s="308"/>
      <c r="Y697" s="38">
        <f t="shared" si="263"/>
        <v>0</v>
      </c>
      <c r="Z697" s="38">
        <f t="shared" si="264"/>
        <v>0</v>
      </c>
      <c r="AA697" s="38">
        <f t="shared" si="261"/>
        <v>0</v>
      </c>
      <c r="AB697" s="38">
        <f t="shared" si="272"/>
        <v>0</v>
      </c>
      <c r="AC697" s="38">
        <f t="shared" si="273"/>
        <v>0</v>
      </c>
      <c r="AD697" s="38">
        <f t="shared" si="274"/>
        <v>0</v>
      </c>
      <c r="AE697" s="38">
        <f t="shared" si="275"/>
        <v>0</v>
      </c>
      <c r="AF697" s="38">
        <f t="shared" si="276"/>
        <v>0</v>
      </c>
      <c r="AG697" s="33">
        <f t="shared" si="277"/>
        <v>0</v>
      </c>
      <c r="AH697" s="33">
        <f t="shared" si="278"/>
        <v>0</v>
      </c>
      <c r="AI697" s="33">
        <f t="shared" si="279"/>
        <v>0</v>
      </c>
      <c r="AJ697" s="33">
        <f t="shared" si="280"/>
        <v>0</v>
      </c>
      <c r="AK697" s="34">
        <f t="shared" si="281"/>
        <v>0</v>
      </c>
      <c r="AL697" s="35">
        <f t="shared" si="282"/>
        <v>0</v>
      </c>
      <c r="AM697" s="34">
        <f t="shared" si="265"/>
        <v>0</v>
      </c>
      <c r="AN697" s="36">
        <f t="shared" si="283"/>
        <v>0</v>
      </c>
      <c r="AO697" s="6">
        <f t="shared" si="266"/>
        <v>0</v>
      </c>
      <c r="AP697">
        <f t="shared" si="267"/>
        <v>8</v>
      </c>
      <c r="AQ697" s="6">
        <f t="shared" si="268"/>
        <v>0</v>
      </c>
      <c r="AR697" s="6">
        <f t="shared" si="269"/>
        <v>0</v>
      </c>
      <c r="AS697" s="6"/>
      <c r="AX697" s="95">
        <f t="shared" si="270"/>
        <v>42820</v>
      </c>
      <c r="AY697" s="96" t="str">
        <f t="shared" si="271"/>
        <v>dom</v>
      </c>
      <c r="AZ697" s="97">
        <f>IF(OR(AY697="SÁB",AY697="DOM"),0,IFERROR(8-VLOOKUP(C697,'Dados de consulta'!$A$2:$C$38,3,0),8))</f>
        <v>0</v>
      </c>
      <c r="BA697" s="97">
        <f>IF(OR(AY697="SÁB",AY697="DOM"),0,IFERROR(8-VLOOKUP(D697,'Dados de consulta'!$A$2:$C$38,3,0),8))</f>
        <v>0</v>
      </c>
      <c r="BB697" s="97">
        <f>IF(OR(AY697="SÁB",AY697="DOM"),0,IFERROR(8-VLOOKUP(E697,'Dados de consulta'!$A$2:$C$38,3,0),8))</f>
        <v>0</v>
      </c>
      <c r="BC697" s="97">
        <f>IF(OR(AY697="SÁB",AY697="DOM"),0,IFERROR(8-VLOOKUP(F697,'Dados de consulta'!$A$2:$C$38,3,0),8))</f>
        <v>0</v>
      </c>
      <c r="BD697" s="97">
        <f>IF(OR(AY697="SÁB",AY697="DOM"),0,IFERROR(8-VLOOKUP(G697,'Dados de consulta'!$A$2:$C$38,3,0),8))</f>
        <v>0</v>
      </c>
      <c r="BE697" s="97">
        <f>IF(OR(AY697="SÁB",AY697="DOM"),0,IFERROR(8-VLOOKUP(H697,'Dados de consulta'!$A$2:$C$38,3,0),8))</f>
        <v>0</v>
      </c>
      <c r="BF697" s="97">
        <f>IF(OR(AY697="SÁB",AY697="DOM"),0,IFERROR(8-VLOOKUP(I697,'Dados de consulta'!$A$2:$C$38,3,0),8))</f>
        <v>0</v>
      </c>
      <c r="BG697" s="97">
        <f>IF(OR(AY697="SÁB",AY697="DOM"),0,IFERROR(8-VLOOKUP(J697,'Dados de consulta'!$A$2:$C$38,3,0),8))</f>
        <v>0</v>
      </c>
      <c r="BH697" s="97">
        <f>IF(OR(AY697="SÁB",AY697="DOM"),0,IFERROR(8-VLOOKUP(K697,'Dados de consulta'!$A$2:$C$38,3,0),8))</f>
        <v>0</v>
      </c>
      <c r="BI697" s="97">
        <f>IF(OR(AY697="SÁB",AY697="DOM"),0,IFERROR(8-VLOOKUP(L697,'Dados de consulta'!$A$2:$C$38,3,0),8))</f>
        <v>0</v>
      </c>
      <c r="BJ697" s="97">
        <f>IF(OR(AY697="SÁB",AY697="DOM"),0,IFERROR(8-VLOOKUP(M697,'Dados de consulta'!$A$2:$C$38,3,0),8))</f>
        <v>0</v>
      </c>
      <c r="BK697" s="97">
        <f>IF(OR(AY697="SÁB",AY697="DOM"),0,IFERROR(8-VLOOKUP(N697,'Dados de consulta'!$A$2:$C$38,3,0),8))</f>
        <v>0</v>
      </c>
      <c r="BL697" s="97">
        <f>IF(OR(AY697="SÁB",AY697="DOM"),0,IFERROR(8-VLOOKUP(O697,'Dados de consulta'!$A$2:$C$38,3,0),8))</f>
        <v>0</v>
      </c>
      <c r="BM697" s="97">
        <f>IF(OR(AY697="SÁB",AY697="DOM"),0,IFERROR(8-VLOOKUP(P697,'Dados de consulta'!$A$2:$C$38,3,0),8))</f>
        <v>0</v>
      </c>
      <c r="BN697" s="97">
        <f>IF(OR(AY697="SÁB",AY697="DOM"),0,IFERROR(8-VLOOKUP(Q697,'Dados de consulta'!$A$2:$C$38,3,0),8))</f>
        <v>0</v>
      </c>
      <c r="BO697" s="97">
        <f>IF(OR(AY697="SÁB",AY697="DOM"),0,IFERROR(8-VLOOKUP(R697,'Dados de consulta'!$A$2:$C$38,3,0),8))</f>
        <v>0</v>
      </c>
      <c r="BP697" s="97">
        <f>IF(OR(AY697="SÁB",AY697="DOM"),0,IFERROR(8-VLOOKUP(S697,'Dados de consulta'!$A$2:$C$38,3,0),8))</f>
        <v>0</v>
      </c>
      <c r="BQ697" s="113">
        <f>IFERROR(6-VLOOKUP(T697,'Dados de consulta'!$A$2:$C$38,3,0)+2,6)</f>
        <v>6</v>
      </c>
      <c r="BR697" s="114">
        <f t="shared" si="284"/>
        <v>0</v>
      </c>
      <c r="BS697">
        <f t="shared" si="260"/>
        <v>0</v>
      </c>
      <c r="BU697">
        <f>IFERROR(8-VLOOKUP(U697,'Dados de consulta'!$A:$D,3,0),8)</f>
        <v>8</v>
      </c>
      <c r="BV697">
        <f>IFERROR(8-VLOOKUP(V697,'Dados de consulta'!$A:$D,3,0),8)</f>
        <v>8</v>
      </c>
      <c r="BW697">
        <f t="shared" si="285"/>
        <v>16</v>
      </c>
    </row>
    <row r="698" spans="1:75" ht="15" hidden="1" x14ac:dyDescent="0.2">
      <c r="A698" s="98">
        <v>42821</v>
      </c>
      <c r="B698" s="129" t="str">
        <f t="shared" si="262"/>
        <v>seg</v>
      </c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>
        <v>101</v>
      </c>
      <c r="N698" s="132"/>
      <c r="O698" s="132"/>
      <c r="P698" s="132"/>
      <c r="Q698" s="132"/>
      <c r="R698" s="132"/>
      <c r="S698" s="132"/>
      <c r="T698" s="132"/>
      <c r="U698" s="151"/>
      <c r="V698" s="151"/>
      <c r="W698" s="307" t="s">
        <v>193</v>
      </c>
      <c r="X698" s="308"/>
      <c r="Y698" s="38">
        <f t="shared" si="263"/>
        <v>0</v>
      </c>
      <c r="Z698" s="38">
        <f t="shared" si="264"/>
        <v>0</v>
      </c>
      <c r="AA698" s="38">
        <f t="shared" si="261"/>
        <v>0</v>
      </c>
      <c r="AB698" s="38">
        <f t="shared" si="272"/>
        <v>0</v>
      </c>
      <c r="AC698" s="38">
        <f t="shared" si="273"/>
        <v>0</v>
      </c>
      <c r="AD698" s="38">
        <f t="shared" si="274"/>
        <v>0</v>
      </c>
      <c r="AE698" s="38">
        <f t="shared" si="275"/>
        <v>0</v>
      </c>
      <c r="AF698" s="38">
        <f t="shared" si="276"/>
        <v>0</v>
      </c>
      <c r="AG698" s="33">
        <f t="shared" si="277"/>
        <v>0</v>
      </c>
      <c r="AH698" s="33">
        <f t="shared" si="278"/>
        <v>0</v>
      </c>
      <c r="AI698" s="33">
        <f t="shared" si="279"/>
        <v>0</v>
      </c>
      <c r="AJ698" s="33">
        <f t="shared" si="280"/>
        <v>0</v>
      </c>
      <c r="AK698" s="34">
        <f t="shared" si="281"/>
        <v>0</v>
      </c>
      <c r="AL698" s="35">
        <f t="shared" si="282"/>
        <v>0</v>
      </c>
      <c r="AM698" s="34">
        <f t="shared" si="265"/>
        <v>0</v>
      </c>
      <c r="AN698" s="36">
        <f t="shared" si="283"/>
        <v>0</v>
      </c>
      <c r="AO698" s="6">
        <f t="shared" si="266"/>
        <v>0</v>
      </c>
      <c r="AP698">
        <f t="shared" si="267"/>
        <v>8</v>
      </c>
      <c r="AQ698" s="6">
        <f t="shared" si="268"/>
        <v>0</v>
      </c>
      <c r="AR698" s="6">
        <f t="shared" si="269"/>
        <v>0</v>
      </c>
      <c r="AS698" s="6"/>
      <c r="AX698" s="95">
        <f t="shared" si="270"/>
        <v>42821</v>
      </c>
      <c r="AY698" s="96" t="str">
        <f t="shared" si="271"/>
        <v>seg</v>
      </c>
      <c r="AZ698" s="97">
        <f>IF(OR(AY698="SÁB",AY698="DOM"),0,IFERROR(8-VLOOKUP(C698,'Dados de consulta'!$A$2:$C$38,3,0),8))</f>
        <v>8</v>
      </c>
      <c r="BA698" s="97">
        <f>IF(OR(AY698="SÁB",AY698="DOM"),0,IFERROR(8-VLOOKUP(D698,'Dados de consulta'!$A$2:$C$38,3,0),8))</f>
        <v>8</v>
      </c>
      <c r="BB698" s="97">
        <f>IF(OR(AY698="SÁB",AY698="DOM"),0,IFERROR(8-VLOOKUP(E698,'Dados de consulta'!$A$2:$C$38,3,0),8))</f>
        <v>8</v>
      </c>
      <c r="BC698" s="97">
        <f>IF(OR(AY698="SÁB",AY698="DOM"),0,IFERROR(8-VLOOKUP(F698,'Dados de consulta'!$A$2:$C$38,3,0),8))</f>
        <v>8</v>
      </c>
      <c r="BD698" s="97">
        <f>IF(OR(AY698="SÁB",AY698="DOM"),0,IFERROR(8-VLOOKUP(G698,'Dados de consulta'!$A$2:$C$38,3,0),8))</f>
        <v>8</v>
      </c>
      <c r="BE698" s="97">
        <f>IF(OR(AY698="SÁB",AY698="DOM"),0,IFERROR(8-VLOOKUP(H698,'Dados de consulta'!$A$2:$C$38,3,0),8))</f>
        <v>8</v>
      </c>
      <c r="BF698" s="97">
        <f>IF(OR(AY698="SÁB",AY698="DOM"),0,IFERROR(8-VLOOKUP(I698,'Dados de consulta'!$A$2:$C$38,3,0),8))</f>
        <v>8</v>
      </c>
      <c r="BG698" s="97">
        <f>IF(OR(AY698="SÁB",AY698="DOM"),0,IFERROR(8-VLOOKUP(J698,'Dados de consulta'!$A$2:$C$38,3,0),8))</f>
        <v>8</v>
      </c>
      <c r="BH698" s="97">
        <f>IF(OR(AY698="SÁB",AY698="DOM"),0,IFERROR(8-VLOOKUP(K698,'Dados de consulta'!$A$2:$C$38,3,0),8))</f>
        <v>8</v>
      </c>
      <c r="BI698" s="97">
        <f>IF(OR(AY698="SÁB",AY698="DOM"),0,IFERROR(8-VLOOKUP(L698,'Dados de consulta'!$A$2:$C$38,3,0),8))</f>
        <v>8</v>
      </c>
      <c r="BJ698" s="97">
        <f>IF(OR(AY698="SÁB",AY698="DOM"),0,IFERROR(8-VLOOKUP(M698,'Dados de consulta'!$A$2:$C$38,3,0),8))</f>
        <v>0</v>
      </c>
      <c r="BK698" s="97">
        <f>IF(OR(AY698="SÁB",AY698="DOM"),0,IFERROR(8-VLOOKUP(N698,'Dados de consulta'!$A$2:$C$38,3,0),8))</f>
        <v>8</v>
      </c>
      <c r="BL698" s="97">
        <f>IF(OR(AY698="SÁB",AY698="DOM"),0,IFERROR(8-VLOOKUP(O698,'Dados de consulta'!$A$2:$C$38,3,0),8))</f>
        <v>8</v>
      </c>
      <c r="BM698" s="97">
        <f>IF(OR(AY698="SÁB",AY698="DOM"),0,IFERROR(8-VLOOKUP(P698,'Dados de consulta'!$A$2:$C$38,3,0),8))</f>
        <v>8</v>
      </c>
      <c r="BN698" s="97">
        <f>IF(OR(AY698="SÁB",AY698="DOM"),0,IFERROR(8-VLOOKUP(Q698,'Dados de consulta'!$A$2:$C$38,3,0),8))</f>
        <v>8</v>
      </c>
      <c r="BO698" s="97">
        <f>IF(OR(AY698="SÁB",AY698="DOM"),0,IFERROR(8-VLOOKUP(R698,'Dados de consulta'!$A$2:$C$38,3,0),8))</f>
        <v>8</v>
      </c>
      <c r="BP698" s="97">
        <f>IF(OR(AY698="SÁB",AY698="DOM"),0,IFERROR(8-VLOOKUP(S698,'Dados de consulta'!$A$2:$C$38,3,0),8))</f>
        <v>8</v>
      </c>
      <c r="BQ698" s="113">
        <f>IFERROR(6-VLOOKUP(T698,'Dados de consulta'!$A$2:$C$38,3,0)+2,6)</f>
        <v>6</v>
      </c>
      <c r="BR698" s="114">
        <f t="shared" si="284"/>
        <v>134</v>
      </c>
      <c r="BS698">
        <f t="shared" si="260"/>
        <v>134</v>
      </c>
      <c r="BU698">
        <f>IFERROR(8-VLOOKUP(U698,'Dados de consulta'!$A:$D,3,0),8)</f>
        <v>8</v>
      </c>
      <c r="BV698">
        <f>IFERROR(8-VLOOKUP(V698,'Dados de consulta'!$A:$D,3,0),8)</f>
        <v>8</v>
      </c>
      <c r="BW698">
        <f t="shared" si="285"/>
        <v>16</v>
      </c>
    </row>
    <row r="699" spans="1:75" ht="15" hidden="1" x14ac:dyDescent="0.2">
      <c r="A699" s="98">
        <v>42822</v>
      </c>
      <c r="B699" s="129" t="str">
        <f t="shared" si="262"/>
        <v>ter</v>
      </c>
      <c r="C699" s="132"/>
      <c r="D699" s="132"/>
      <c r="E699" s="132"/>
      <c r="F699" s="132"/>
      <c r="G699" s="132"/>
      <c r="H699" s="132"/>
      <c r="I699" s="132"/>
      <c r="J699" s="132"/>
      <c r="K699" s="132">
        <v>18</v>
      </c>
      <c r="L699" s="132"/>
      <c r="M699" s="132">
        <v>101</v>
      </c>
      <c r="N699" s="132"/>
      <c r="O699" s="132"/>
      <c r="P699" s="132"/>
      <c r="Q699" s="132"/>
      <c r="R699" s="132"/>
      <c r="S699" s="132"/>
      <c r="T699" s="132"/>
      <c r="U699" s="151"/>
      <c r="V699" s="151"/>
      <c r="W699" s="307" t="s">
        <v>193</v>
      </c>
      <c r="X699" s="308"/>
      <c r="Y699" s="38">
        <f t="shared" si="263"/>
        <v>0</v>
      </c>
      <c r="Z699" s="38">
        <f t="shared" si="264"/>
        <v>8</v>
      </c>
      <c r="AA699" s="38">
        <f t="shared" si="261"/>
        <v>0</v>
      </c>
      <c r="AB699" s="38">
        <f t="shared" si="272"/>
        <v>0</v>
      </c>
      <c r="AC699" s="38">
        <f t="shared" si="273"/>
        <v>0</v>
      </c>
      <c r="AD699" s="38">
        <f t="shared" si="274"/>
        <v>0</v>
      </c>
      <c r="AE699" s="38">
        <f t="shared" si="275"/>
        <v>0</v>
      </c>
      <c r="AF699" s="38">
        <f t="shared" si="276"/>
        <v>0</v>
      </c>
      <c r="AG699" s="33">
        <f t="shared" si="277"/>
        <v>0</v>
      </c>
      <c r="AH699" s="33">
        <f t="shared" si="278"/>
        <v>8</v>
      </c>
      <c r="AI699" s="33">
        <f t="shared" si="279"/>
        <v>0</v>
      </c>
      <c r="AJ699" s="33">
        <f t="shared" si="280"/>
        <v>0</v>
      </c>
      <c r="AK699" s="34">
        <f t="shared" si="281"/>
        <v>0</v>
      </c>
      <c r="AL699" s="35">
        <f t="shared" si="282"/>
        <v>5.6338028169014086E-2</v>
      </c>
      <c r="AM699" s="34">
        <f t="shared" si="265"/>
        <v>0</v>
      </c>
      <c r="AN699" s="36">
        <f t="shared" si="283"/>
        <v>0</v>
      </c>
      <c r="AO699" s="6">
        <f t="shared" si="266"/>
        <v>0</v>
      </c>
      <c r="AP699">
        <f t="shared" si="267"/>
        <v>8</v>
      </c>
      <c r="AQ699" s="6">
        <f t="shared" si="268"/>
        <v>0</v>
      </c>
      <c r="AR699" s="6">
        <f t="shared" si="269"/>
        <v>0</v>
      </c>
      <c r="AS699" s="6"/>
      <c r="AX699" s="95">
        <f t="shared" si="270"/>
        <v>42822</v>
      </c>
      <c r="AY699" s="96" t="str">
        <f t="shared" si="271"/>
        <v>ter</v>
      </c>
      <c r="AZ699" s="97">
        <f>IF(OR(AY699="SÁB",AY699="DOM"),0,IFERROR(8-VLOOKUP(C699,'Dados de consulta'!$A$2:$C$38,3,0),8))</f>
        <v>8</v>
      </c>
      <c r="BA699" s="97">
        <f>IF(OR(AY699="SÁB",AY699="DOM"),0,IFERROR(8-VLOOKUP(D699,'Dados de consulta'!$A$2:$C$38,3,0),8))</f>
        <v>8</v>
      </c>
      <c r="BB699" s="97">
        <f>IF(OR(AY699="SÁB",AY699="DOM"),0,IFERROR(8-VLOOKUP(E699,'Dados de consulta'!$A$2:$C$38,3,0),8))</f>
        <v>8</v>
      </c>
      <c r="BC699" s="97">
        <f>IF(OR(AY699="SÁB",AY699="DOM"),0,IFERROR(8-VLOOKUP(F699,'Dados de consulta'!$A$2:$C$38,3,0),8))</f>
        <v>8</v>
      </c>
      <c r="BD699" s="97">
        <f>IF(OR(AY699="SÁB",AY699="DOM"),0,IFERROR(8-VLOOKUP(G699,'Dados de consulta'!$A$2:$C$38,3,0),8))</f>
        <v>8</v>
      </c>
      <c r="BE699" s="97">
        <f>IF(OR(AY699="SÁB",AY699="DOM"),0,IFERROR(8-VLOOKUP(H699,'Dados de consulta'!$A$2:$C$38,3,0),8))</f>
        <v>8</v>
      </c>
      <c r="BF699" s="97">
        <f>IF(OR(AY699="SÁB",AY699="DOM"),0,IFERROR(8-VLOOKUP(I699,'Dados de consulta'!$A$2:$C$38,3,0),8))</f>
        <v>8</v>
      </c>
      <c r="BG699" s="97">
        <f>IF(OR(AY699="SÁB",AY699="DOM"),0,IFERROR(8-VLOOKUP(J699,'Dados de consulta'!$A$2:$C$38,3,0),8))</f>
        <v>8</v>
      </c>
      <c r="BH699" s="97">
        <f>IF(OR(AY699="SÁB",AY699="DOM"),0,IFERROR(8-VLOOKUP(K699,'Dados de consulta'!$A$2:$C$38,3,0),8))</f>
        <v>0</v>
      </c>
      <c r="BI699" s="97">
        <f>IF(OR(AY699="SÁB",AY699="DOM"),0,IFERROR(8-VLOOKUP(L699,'Dados de consulta'!$A$2:$C$38,3,0),8))</f>
        <v>8</v>
      </c>
      <c r="BJ699" s="97">
        <f>IF(OR(AY699="SÁB",AY699="DOM"),0,IFERROR(8-VLOOKUP(M699,'Dados de consulta'!$A$2:$C$38,3,0),8))</f>
        <v>0</v>
      </c>
      <c r="BK699" s="97">
        <f>IF(OR(AY699="SÁB",AY699="DOM"),0,IFERROR(8-VLOOKUP(N699,'Dados de consulta'!$A$2:$C$38,3,0),8))</f>
        <v>8</v>
      </c>
      <c r="BL699" s="97">
        <f>IF(OR(AY699="SÁB",AY699="DOM"),0,IFERROR(8-VLOOKUP(O699,'Dados de consulta'!$A$2:$C$38,3,0),8))</f>
        <v>8</v>
      </c>
      <c r="BM699" s="97">
        <f>IF(OR(AY699="SÁB",AY699="DOM"),0,IFERROR(8-VLOOKUP(P699,'Dados de consulta'!$A$2:$C$38,3,0),8))</f>
        <v>8</v>
      </c>
      <c r="BN699" s="97">
        <f>IF(OR(AY699="SÁB",AY699="DOM"),0,IFERROR(8-VLOOKUP(Q699,'Dados de consulta'!$A$2:$C$38,3,0),8))</f>
        <v>8</v>
      </c>
      <c r="BO699" s="97">
        <f>IF(OR(AY699="SÁB",AY699="DOM"),0,IFERROR(8-VLOOKUP(R699,'Dados de consulta'!$A$2:$C$38,3,0),8))</f>
        <v>8</v>
      </c>
      <c r="BP699" s="97">
        <f>IF(OR(AY699="SÁB",AY699="DOM"),0,IFERROR(8-VLOOKUP(S699,'Dados de consulta'!$A$2:$C$38,3,0),8))</f>
        <v>8</v>
      </c>
      <c r="BQ699" s="113">
        <f>IFERROR(6-VLOOKUP(T699,'Dados de consulta'!$A$2:$C$38,3,0)+2,6)</f>
        <v>6</v>
      </c>
      <c r="BR699" s="114">
        <f t="shared" si="284"/>
        <v>126</v>
      </c>
      <c r="BS699">
        <f t="shared" si="260"/>
        <v>134</v>
      </c>
      <c r="BU699">
        <f>IFERROR(8-VLOOKUP(U699,'Dados de consulta'!$A:$D,3,0),8)</f>
        <v>8</v>
      </c>
      <c r="BV699">
        <f>IFERROR(8-VLOOKUP(V699,'Dados de consulta'!$A:$D,3,0),8)</f>
        <v>8</v>
      </c>
      <c r="BW699">
        <f t="shared" si="285"/>
        <v>16</v>
      </c>
    </row>
    <row r="700" spans="1:75" ht="15" hidden="1" x14ac:dyDescent="0.2">
      <c r="A700" s="98">
        <v>42823</v>
      </c>
      <c r="B700" s="129" t="str">
        <f t="shared" si="262"/>
        <v>qua</v>
      </c>
      <c r="C700" s="132"/>
      <c r="D700" s="132"/>
      <c r="E700" s="132"/>
      <c r="F700" s="132"/>
      <c r="G700" s="132"/>
      <c r="H700" s="132"/>
      <c r="I700" s="132"/>
      <c r="J700" s="132"/>
      <c r="K700" s="132">
        <v>18</v>
      </c>
      <c r="L700" s="132"/>
      <c r="M700" s="132">
        <v>101</v>
      </c>
      <c r="N700" s="132"/>
      <c r="O700" s="132"/>
      <c r="P700" s="132"/>
      <c r="Q700" s="132"/>
      <c r="R700" s="132"/>
      <c r="S700" s="132"/>
      <c r="T700" s="132"/>
      <c r="U700" s="151"/>
      <c r="V700" s="151"/>
      <c r="W700" s="307" t="s">
        <v>193</v>
      </c>
      <c r="X700" s="308"/>
      <c r="Y700" s="38">
        <f t="shared" si="263"/>
        <v>0</v>
      </c>
      <c r="Z700" s="38">
        <f t="shared" si="264"/>
        <v>8</v>
      </c>
      <c r="AA700" s="38">
        <f t="shared" si="261"/>
        <v>0</v>
      </c>
      <c r="AB700" s="38">
        <f t="shared" si="272"/>
        <v>0</v>
      </c>
      <c r="AC700" s="38">
        <f t="shared" si="273"/>
        <v>0</v>
      </c>
      <c r="AD700" s="38">
        <f t="shared" si="274"/>
        <v>0</v>
      </c>
      <c r="AE700" s="38">
        <f t="shared" si="275"/>
        <v>0</v>
      </c>
      <c r="AF700" s="38">
        <f t="shared" si="276"/>
        <v>0</v>
      </c>
      <c r="AG700" s="33">
        <f t="shared" si="277"/>
        <v>0</v>
      </c>
      <c r="AH700" s="33">
        <f t="shared" si="278"/>
        <v>8</v>
      </c>
      <c r="AI700" s="33">
        <f t="shared" si="279"/>
        <v>0</v>
      </c>
      <c r="AJ700" s="33">
        <f t="shared" si="280"/>
        <v>0</v>
      </c>
      <c r="AK700" s="34">
        <f t="shared" si="281"/>
        <v>0</v>
      </c>
      <c r="AL700" s="35">
        <f t="shared" si="282"/>
        <v>5.6338028169014086E-2</v>
      </c>
      <c r="AM700" s="34">
        <f t="shared" si="265"/>
        <v>0</v>
      </c>
      <c r="AN700" s="36">
        <f t="shared" si="283"/>
        <v>0</v>
      </c>
      <c r="AO700" s="6">
        <f t="shared" si="266"/>
        <v>0</v>
      </c>
      <c r="AP700">
        <f t="shared" si="267"/>
        <v>8</v>
      </c>
      <c r="AQ700" s="6">
        <f t="shared" si="268"/>
        <v>0</v>
      </c>
      <c r="AR700" s="6">
        <f t="shared" si="269"/>
        <v>0</v>
      </c>
      <c r="AS700" s="6"/>
      <c r="AX700" s="95">
        <f t="shared" si="270"/>
        <v>42823</v>
      </c>
      <c r="AY700" s="96" t="str">
        <f t="shared" si="271"/>
        <v>qua</v>
      </c>
      <c r="AZ700" s="97">
        <f>IF(OR(AY700="SÁB",AY700="DOM"),0,IFERROR(8-VLOOKUP(C700,'Dados de consulta'!$A$2:$C$38,3,0),8))</f>
        <v>8</v>
      </c>
      <c r="BA700" s="97">
        <f>IF(OR(AY700="SÁB",AY700="DOM"),0,IFERROR(8-VLOOKUP(D700,'Dados de consulta'!$A$2:$C$38,3,0),8))</f>
        <v>8</v>
      </c>
      <c r="BB700" s="97">
        <f>IF(OR(AY700="SÁB",AY700="DOM"),0,IFERROR(8-VLOOKUP(E700,'Dados de consulta'!$A$2:$C$38,3,0),8))</f>
        <v>8</v>
      </c>
      <c r="BC700" s="97">
        <f>IF(OR(AY700="SÁB",AY700="DOM"),0,IFERROR(8-VLOOKUP(F700,'Dados de consulta'!$A$2:$C$38,3,0),8))</f>
        <v>8</v>
      </c>
      <c r="BD700" s="97">
        <f>IF(OR(AY700="SÁB",AY700="DOM"),0,IFERROR(8-VLOOKUP(G700,'Dados de consulta'!$A$2:$C$38,3,0),8))</f>
        <v>8</v>
      </c>
      <c r="BE700" s="97">
        <f>IF(OR(AY700="SÁB",AY700="DOM"),0,IFERROR(8-VLOOKUP(H700,'Dados de consulta'!$A$2:$C$38,3,0),8))</f>
        <v>8</v>
      </c>
      <c r="BF700" s="97">
        <f>IF(OR(AY700="SÁB",AY700="DOM"),0,IFERROR(8-VLOOKUP(I700,'Dados de consulta'!$A$2:$C$38,3,0),8))</f>
        <v>8</v>
      </c>
      <c r="BG700" s="97">
        <f>IF(OR(AY700="SÁB",AY700="DOM"),0,IFERROR(8-VLOOKUP(J700,'Dados de consulta'!$A$2:$C$38,3,0),8))</f>
        <v>8</v>
      </c>
      <c r="BH700" s="97">
        <f>IF(OR(AY700="SÁB",AY700="DOM"),0,IFERROR(8-VLOOKUP(K700,'Dados de consulta'!$A$2:$C$38,3,0),8))</f>
        <v>0</v>
      </c>
      <c r="BI700" s="97">
        <f>IF(OR(AY700="SÁB",AY700="DOM"),0,IFERROR(8-VLOOKUP(L700,'Dados de consulta'!$A$2:$C$38,3,0),8))</f>
        <v>8</v>
      </c>
      <c r="BJ700" s="97">
        <f>IF(OR(AY700="SÁB",AY700="DOM"),0,IFERROR(8-VLOOKUP(M700,'Dados de consulta'!$A$2:$C$38,3,0),8))</f>
        <v>0</v>
      </c>
      <c r="BK700" s="97">
        <f>IF(OR(AY700="SÁB",AY700="DOM"),0,IFERROR(8-VLOOKUP(N700,'Dados de consulta'!$A$2:$C$38,3,0),8))</f>
        <v>8</v>
      </c>
      <c r="BL700" s="97">
        <f>IF(OR(AY700="SÁB",AY700="DOM"),0,IFERROR(8-VLOOKUP(O700,'Dados de consulta'!$A$2:$C$38,3,0),8))</f>
        <v>8</v>
      </c>
      <c r="BM700" s="97">
        <f>IF(OR(AY700="SÁB",AY700="DOM"),0,IFERROR(8-VLOOKUP(P700,'Dados de consulta'!$A$2:$C$38,3,0),8))</f>
        <v>8</v>
      </c>
      <c r="BN700" s="97">
        <f>IF(OR(AY700="SÁB",AY700="DOM"),0,IFERROR(8-VLOOKUP(Q700,'Dados de consulta'!$A$2:$C$38,3,0),8))</f>
        <v>8</v>
      </c>
      <c r="BO700" s="97">
        <f>IF(OR(AY700="SÁB",AY700="DOM"),0,IFERROR(8-VLOOKUP(R700,'Dados de consulta'!$A$2:$C$38,3,0),8))</f>
        <v>8</v>
      </c>
      <c r="BP700" s="97">
        <f>IF(OR(AY700="SÁB",AY700="DOM"),0,IFERROR(8-VLOOKUP(S700,'Dados de consulta'!$A$2:$C$38,3,0),8))</f>
        <v>8</v>
      </c>
      <c r="BQ700" s="113">
        <f>IFERROR(6-VLOOKUP(T700,'Dados de consulta'!$A$2:$C$38,3,0)+2,6)</f>
        <v>6</v>
      </c>
      <c r="BR700" s="114">
        <f t="shared" si="284"/>
        <v>126</v>
      </c>
      <c r="BS700">
        <f t="shared" si="260"/>
        <v>134</v>
      </c>
      <c r="BU700">
        <f>IFERROR(8-VLOOKUP(U700,'Dados de consulta'!$A:$D,3,0),8)</f>
        <v>8</v>
      </c>
      <c r="BV700">
        <f>IFERROR(8-VLOOKUP(V700,'Dados de consulta'!$A:$D,3,0),8)</f>
        <v>8</v>
      </c>
      <c r="BW700">
        <f t="shared" si="285"/>
        <v>16</v>
      </c>
    </row>
    <row r="701" spans="1:75" ht="15" hidden="1" x14ac:dyDescent="0.2">
      <c r="A701" s="99">
        <v>42824</v>
      </c>
      <c r="B701" s="130" t="str">
        <f t="shared" si="262"/>
        <v>qui</v>
      </c>
      <c r="C701" s="132"/>
      <c r="D701" s="132"/>
      <c r="E701" s="132"/>
      <c r="F701" s="132"/>
      <c r="G701" s="132"/>
      <c r="H701" s="132"/>
      <c r="I701" s="132"/>
      <c r="J701" s="132"/>
      <c r="K701" s="132">
        <v>18</v>
      </c>
      <c r="L701" s="132"/>
      <c r="M701" s="132">
        <v>101</v>
      </c>
      <c r="N701" s="132"/>
      <c r="O701" s="132"/>
      <c r="P701" s="132"/>
      <c r="Q701" s="132"/>
      <c r="R701" s="132"/>
      <c r="S701" s="132"/>
      <c r="T701" s="132"/>
      <c r="U701" s="151"/>
      <c r="V701" s="151"/>
      <c r="W701" s="307" t="s">
        <v>193</v>
      </c>
      <c r="X701" s="308"/>
      <c r="Y701" s="38">
        <f t="shared" si="263"/>
        <v>0</v>
      </c>
      <c r="Z701" s="38">
        <f t="shared" si="264"/>
        <v>8</v>
      </c>
      <c r="AA701" s="38">
        <f t="shared" si="261"/>
        <v>0</v>
      </c>
      <c r="AB701" s="38">
        <f t="shared" si="272"/>
        <v>0</v>
      </c>
      <c r="AC701" s="38">
        <f t="shared" si="273"/>
        <v>0</v>
      </c>
      <c r="AD701" s="38">
        <f t="shared" si="274"/>
        <v>0</v>
      </c>
      <c r="AE701" s="38">
        <f t="shared" si="275"/>
        <v>0</v>
      </c>
      <c r="AF701" s="38">
        <f t="shared" si="276"/>
        <v>0</v>
      </c>
      <c r="AG701" s="33">
        <f t="shared" si="277"/>
        <v>0</v>
      </c>
      <c r="AH701" s="33">
        <f t="shared" si="278"/>
        <v>8</v>
      </c>
      <c r="AI701" s="33">
        <f t="shared" si="279"/>
        <v>0</v>
      </c>
      <c r="AJ701" s="33">
        <f t="shared" si="280"/>
        <v>0</v>
      </c>
      <c r="AK701" s="34">
        <f t="shared" si="281"/>
        <v>0</v>
      </c>
      <c r="AL701" s="35">
        <f t="shared" si="282"/>
        <v>5.6338028169014086E-2</v>
      </c>
      <c r="AM701" s="34">
        <f t="shared" si="265"/>
        <v>0</v>
      </c>
      <c r="AN701" s="36">
        <f t="shared" si="283"/>
        <v>0</v>
      </c>
      <c r="AO701" s="6">
        <f t="shared" si="266"/>
        <v>0</v>
      </c>
      <c r="AP701">
        <f t="shared" si="267"/>
        <v>8</v>
      </c>
      <c r="AQ701" s="6">
        <f t="shared" si="268"/>
        <v>0</v>
      </c>
      <c r="AR701" s="6">
        <f t="shared" si="269"/>
        <v>0</v>
      </c>
      <c r="AS701" s="6"/>
      <c r="AX701" s="95">
        <f t="shared" si="270"/>
        <v>42824</v>
      </c>
      <c r="AY701" s="96" t="str">
        <f t="shared" si="271"/>
        <v>qui</v>
      </c>
      <c r="AZ701" s="97">
        <f>IF(OR(AY701="SÁB",AY701="DOM"),0,IFERROR(8-VLOOKUP(C701,'Dados de consulta'!$A$2:$C$38,3,0),8))</f>
        <v>8</v>
      </c>
      <c r="BA701" s="97">
        <f>IF(OR(AY701="SÁB",AY701="DOM"),0,IFERROR(8-VLOOKUP(D701,'Dados de consulta'!$A$2:$C$38,3,0),8))</f>
        <v>8</v>
      </c>
      <c r="BB701" s="97">
        <f>IF(OR(AY701="SÁB",AY701="DOM"),0,IFERROR(8-VLOOKUP(E701,'Dados de consulta'!$A$2:$C$38,3,0),8))</f>
        <v>8</v>
      </c>
      <c r="BC701" s="97">
        <f>IF(OR(AY701="SÁB",AY701="DOM"),0,IFERROR(8-VLOOKUP(F701,'Dados de consulta'!$A$2:$C$38,3,0),8))</f>
        <v>8</v>
      </c>
      <c r="BD701" s="97">
        <f>IF(OR(AY701="SÁB",AY701="DOM"),0,IFERROR(8-VLOOKUP(G701,'Dados de consulta'!$A$2:$C$38,3,0),8))</f>
        <v>8</v>
      </c>
      <c r="BE701" s="97">
        <f>IF(OR(AY701="SÁB",AY701="DOM"),0,IFERROR(8-VLOOKUP(H701,'Dados de consulta'!$A$2:$C$38,3,0),8))</f>
        <v>8</v>
      </c>
      <c r="BF701" s="97">
        <f>IF(OR(AY701="SÁB",AY701="DOM"),0,IFERROR(8-VLOOKUP(I701,'Dados de consulta'!$A$2:$C$38,3,0),8))</f>
        <v>8</v>
      </c>
      <c r="BG701" s="97">
        <f>IF(OR(AY701="SÁB",AY701="DOM"),0,IFERROR(8-VLOOKUP(J701,'Dados de consulta'!$A$2:$C$38,3,0),8))</f>
        <v>8</v>
      </c>
      <c r="BH701" s="97">
        <f>IF(OR(AY701="SÁB",AY701="DOM"),0,IFERROR(8-VLOOKUP(K701,'Dados de consulta'!$A$2:$C$38,3,0),8))</f>
        <v>0</v>
      </c>
      <c r="BI701" s="97">
        <f>IF(OR(AY701="SÁB",AY701="DOM"),0,IFERROR(8-VLOOKUP(L701,'Dados de consulta'!$A$2:$C$38,3,0),8))</f>
        <v>8</v>
      </c>
      <c r="BJ701" s="97">
        <f>IF(OR(AY701="SÁB",AY701="DOM"),0,IFERROR(8-VLOOKUP(M701,'Dados de consulta'!$A$2:$C$38,3,0),8))</f>
        <v>0</v>
      </c>
      <c r="BK701" s="97">
        <f>IF(OR(AY701="SÁB",AY701="DOM"),0,IFERROR(8-VLOOKUP(N701,'Dados de consulta'!$A$2:$C$38,3,0),8))</f>
        <v>8</v>
      </c>
      <c r="BL701" s="97">
        <f>IF(OR(AY701="SÁB",AY701="DOM"),0,IFERROR(8-VLOOKUP(O701,'Dados de consulta'!$A$2:$C$38,3,0),8))</f>
        <v>8</v>
      </c>
      <c r="BM701" s="97">
        <f>IF(OR(AY701="SÁB",AY701="DOM"),0,IFERROR(8-VLOOKUP(P701,'Dados de consulta'!$A$2:$C$38,3,0),8))</f>
        <v>8</v>
      </c>
      <c r="BN701" s="97">
        <f>IF(OR(AY701="SÁB",AY701="DOM"),0,IFERROR(8-VLOOKUP(Q701,'Dados de consulta'!$A$2:$C$38,3,0),8))</f>
        <v>8</v>
      </c>
      <c r="BO701" s="97">
        <f>IF(OR(AY701="SÁB",AY701="DOM"),0,IFERROR(8-VLOOKUP(R701,'Dados de consulta'!$A$2:$C$38,3,0),8))</f>
        <v>8</v>
      </c>
      <c r="BP701" s="97">
        <f>IF(OR(AY701="SÁB",AY701="DOM"),0,IFERROR(8-VLOOKUP(S701,'Dados de consulta'!$A$2:$C$38,3,0),8))</f>
        <v>8</v>
      </c>
      <c r="BQ701" s="113">
        <f>IFERROR(6-VLOOKUP(T701,'Dados de consulta'!$A$2:$C$38,3,0)+2,6)</f>
        <v>6</v>
      </c>
      <c r="BR701" s="114">
        <f t="shared" si="284"/>
        <v>126</v>
      </c>
      <c r="BS701">
        <f t="shared" si="260"/>
        <v>134</v>
      </c>
      <c r="BU701">
        <f>IFERROR(8-VLOOKUP(U701,'Dados de consulta'!$A:$D,3,0),8)</f>
        <v>8</v>
      </c>
      <c r="BV701">
        <f>IFERROR(8-VLOOKUP(V701,'Dados de consulta'!$A:$D,3,0),8)</f>
        <v>8</v>
      </c>
      <c r="BW701">
        <f t="shared" si="285"/>
        <v>16</v>
      </c>
    </row>
  </sheetData>
  <sheetProtection selectLockedCells="1"/>
  <autoFilter ref="A1:T701" xr:uid="{00000000-0009-0000-0000-00000C000000}">
    <filterColumn colId="0">
      <filters>
        <dateGroupItem year="2016" month="6" dateTimeGrouping="month"/>
      </filters>
    </filterColumn>
  </autoFilter>
  <dataConsolidate function="var">
    <dataRefs count="1">
      <dataRef name="$A$4;'Dados de consulta'!$A$8;'Dados de consulta'!$A$9;'Dados de consulta'!$A$14"/>
    </dataRefs>
  </dataConsolidate>
  <customSheetViews>
    <customSheetView guid="{FC643F0B-3E44-4304-9C6C-EBD35A45B8FD}" scale="85" showGridLines="0" filter="1" showAutoFilter="1">
      <pane ySplit="31" topLeftCell="A33" activePane="bottomLeft" state="frozen"/>
      <selection pane="bottomLeft" activeCell="AH324" sqref="AH324"/>
      <pageMargins left="0" right="0" top="0" bottom="0" header="0" footer="0"/>
      <pageSetup paperSize="9" orientation="portrait" horizontalDpi="4294967294" verticalDpi="4294967294" r:id="rId1"/>
      <autoFilter ref="A1:T701" xr:uid="{95F2A23A-4010-41B9-A8CD-E6550DAC457A}">
        <filterColumn colId="0">
          <filters>
            <dateGroupItem year="2016" month="3" dateTimeGrouping="month"/>
          </filters>
        </filterColumn>
      </autoFilter>
    </customSheetView>
    <customSheetView guid="{ECC56881-4CE2-4FBF-815D-85F544F885E8}" scale="85" showGridLines="0" filter="1" showAutoFilter="1">
      <pane ySplit="31" topLeftCell="A33" activePane="bottomLeft" state="frozen"/>
      <selection pane="bottomLeft" activeCell="D99" sqref="D99"/>
      <pageMargins left="0" right="0" top="0" bottom="0" header="0" footer="0"/>
      <pageSetup paperSize="9" orientation="portrait" horizontalDpi="4294967294" verticalDpi="4294967294" r:id="rId2"/>
      <autoFilter ref="A1:T701" xr:uid="{AD2B50B3-D5E7-4C41-9075-3BD9E3005E9F}">
        <filterColumn colId="0">
          <filters>
            <dateGroupItem year="2015" month="6" dateTimeGrouping="month"/>
          </filters>
        </filterColumn>
      </autoFilter>
    </customSheetView>
    <customSheetView guid="{40F11FFD-627B-4157-AFFE-E57E44CED524}" scale="85" showGridLines="0" filter="1" showAutoFilter="1">
      <pane ySplit="31" topLeftCell="A33" activePane="bottomLeft" state="frozen"/>
      <selection pane="bottomLeft" activeCell="AH324" sqref="AH324"/>
      <pageMargins left="0" right="0" top="0" bottom="0" header="0" footer="0"/>
      <pageSetup paperSize="9" orientation="portrait" horizontalDpi="4294967294" verticalDpi="4294967294" r:id="rId3"/>
      <autoFilter ref="A1:T701" xr:uid="{24845DD9-A6EE-46E6-8F82-4326CB4432DF}">
        <filterColumn colId="0">
          <filters>
            <dateGroupItem year="2016" month="3" dateTimeGrouping="month"/>
          </filters>
        </filterColumn>
      </autoFilter>
    </customSheetView>
  </customSheetViews>
  <mergeCells count="701">
    <mergeCell ref="W130:X130"/>
    <mergeCell ref="W131:X131"/>
    <mergeCell ref="W132:X132"/>
    <mergeCell ref="W133:X133"/>
    <mergeCell ref="W134:X134"/>
    <mergeCell ref="W135:X135"/>
    <mergeCell ref="W125:X125"/>
    <mergeCell ref="W126:X126"/>
    <mergeCell ref="W127:X127"/>
    <mergeCell ref="W128:X128"/>
    <mergeCell ref="W129:X129"/>
    <mergeCell ref="W142:X142"/>
    <mergeCell ref="W143:X143"/>
    <mergeCell ref="W144:X144"/>
    <mergeCell ref="W145:X145"/>
    <mergeCell ref="W146:X146"/>
    <mergeCell ref="W147:X147"/>
    <mergeCell ref="W136:X136"/>
    <mergeCell ref="W137:X137"/>
    <mergeCell ref="W138:X138"/>
    <mergeCell ref="W139:X139"/>
    <mergeCell ref="W140:X140"/>
    <mergeCell ref="W141:X141"/>
    <mergeCell ref="W154:X154"/>
    <mergeCell ref="W155:X155"/>
    <mergeCell ref="W156:X156"/>
    <mergeCell ref="W157:X157"/>
    <mergeCell ref="W158:X158"/>
    <mergeCell ref="W159:X159"/>
    <mergeCell ref="W148:X148"/>
    <mergeCell ref="W149:X149"/>
    <mergeCell ref="W150:X150"/>
    <mergeCell ref="W151:X151"/>
    <mergeCell ref="W152:X152"/>
    <mergeCell ref="W153:X153"/>
    <mergeCell ref="W166:X166"/>
    <mergeCell ref="W167:X167"/>
    <mergeCell ref="W168:X168"/>
    <mergeCell ref="W169:X169"/>
    <mergeCell ref="W170:X170"/>
    <mergeCell ref="W171:X171"/>
    <mergeCell ref="W160:X160"/>
    <mergeCell ref="W161:X161"/>
    <mergeCell ref="W162:X162"/>
    <mergeCell ref="W163:X163"/>
    <mergeCell ref="W164:X164"/>
    <mergeCell ref="W165:X165"/>
    <mergeCell ref="W178:X178"/>
    <mergeCell ref="W179:X179"/>
    <mergeCell ref="W180:X180"/>
    <mergeCell ref="W181:X181"/>
    <mergeCell ref="W182:X182"/>
    <mergeCell ref="W183:X183"/>
    <mergeCell ref="W172:X172"/>
    <mergeCell ref="W173:X173"/>
    <mergeCell ref="W174:X174"/>
    <mergeCell ref="W175:X175"/>
    <mergeCell ref="W176:X176"/>
    <mergeCell ref="W177:X177"/>
    <mergeCell ref="W190:X190"/>
    <mergeCell ref="W191:X191"/>
    <mergeCell ref="W192:X192"/>
    <mergeCell ref="W193:X193"/>
    <mergeCell ref="W194:X194"/>
    <mergeCell ref="W195:X195"/>
    <mergeCell ref="W184:X184"/>
    <mergeCell ref="W185:X185"/>
    <mergeCell ref="W186:X186"/>
    <mergeCell ref="W187:X187"/>
    <mergeCell ref="W188:X188"/>
    <mergeCell ref="W189:X189"/>
    <mergeCell ref="W202:X202"/>
    <mergeCell ref="W203:X203"/>
    <mergeCell ref="W204:X204"/>
    <mergeCell ref="W205:X205"/>
    <mergeCell ref="W206:X206"/>
    <mergeCell ref="W207:X207"/>
    <mergeCell ref="W196:X196"/>
    <mergeCell ref="W197:X197"/>
    <mergeCell ref="W198:X198"/>
    <mergeCell ref="W199:X199"/>
    <mergeCell ref="W200:X200"/>
    <mergeCell ref="W201:X201"/>
    <mergeCell ref="W214:X214"/>
    <mergeCell ref="W215:X215"/>
    <mergeCell ref="W216:X216"/>
    <mergeCell ref="W217:X217"/>
    <mergeCell ref="W218:X218"/>
    <mergeCell ref="W219:X219"/>
    <mergeCell ref="W208:X208"/>
    <mergeCell ref="W209:X209"/>
    <mergeCell ref="W210:X210"/>
    <mergeCell ref="W211:X211"/>
    <mergeCell ref="W212:X212"/>
    <mergeCell ref="W213:X213"/>
    <mergeCell ref="W226:X226"/>
    <mergeCell ref="W227:X227"/>
    <mergeCell ref="W228:X228"/>
    <mergeCell ref="W229:X229"/>
    <mergeCell ref="W230:X230"/>
    <mergeCell ref="W231:X231"/>
    <mergeCell ref="W220:X220"/>
    <mergeCell ref="W221:X221"/>
    <mergeCell ref="W222:X222"/>
    <mergeCell ref="W223:X223"/>
    <mergeCell ref="W224:X224"/>
    <mergeCell ref="W225:X225"/>
    <mergeCell ref="W238:X238"/>
    <mergeCell ref="W239:X239"/>
    <mergeCell ref="W240:X240"/>
    <mergeCell ref="W241:X241"/>
    <mergeCell ref="W242:X242"/>
    <mergeCell ref="W243:X243"/>
    <mergeCell ref="W232:X232"/>
    <mergeCell ref="W233:X233"/>
    <mergeCell ref="W234:X234"/>
    <mergeCell ref="W235:X235"/>
    <mergeCell ref="W236:X236"/>
    <mergeCell ref="W237:X237"/>
    <mergeCell ref="W250:X250"/>
    <mergeCell ref="W251:X251"/>
    <mergeCell ref="W252:X252"/>
    <mergeCell ref="W253:X253"/>
    <mergeCell ref="W254:X254"/>
    <mergeCell ref="W255:X255"/>
    <mergeCell ref="W244:X244"/>
    <mergeCell ref="W245:X245"/>
    <mergeCell ref="W246:X246"/>
    <mergeCell ref="W247:X247"/>
    <mergeCell ref="W248:X248"/>
    <mergeCell ref="W249:X249"/>
    <mergeCell ref="W262:X262"/>
    <mergeCell ref="W263:X263"/>
    <mergeCell ref="W264:X264"/>
    <mergeCell ref="W265:X265"/>
    <mergeCell ref="W266:X266"/>
    <mergeCell ref="W267:X267"/>
    <mergeCell ref="W256:X256"/>
    <mergeCell ref="W257:X257"/>
    <mergeCell ref="W258:X258"/>
    <mergeCell ref="W259:X259"/>
    <mergeCell ref="W260:X260"/>
    <mergeCell ref="W261:X261"/>
    <mergeCell ref="W274:X274"/>
    <mergeCell ref="W275:X275"/>
    <mergeCell ref="W276:X276"/>
    <mergeCell ref="W277:X277"/>
    <mergeCell ref="W278:X278"/>
    <mergeCell ref="W279:X279"/>
    <mergeCell ref="W268:X268"/>
    <mergeCell ref="W269:X269"/>
    <mergeCell ref="W270:X270"/>
    <mergeCell ref="W271:X271"/>
    <mergeCell ref="W272:X272"/>
    <mergeCell ref="W273:X273"/>
    <mergeCell ref="W286:X286"/>
    <mergeCell ref="W287:X287"/>
    <mergeCell ref="W288:X288"/>
    <mergeCell ref="W289:X289"/>
    <mergeCell ref="W290:X290"/>
    <mergeCell ref="W291:X291"/>
    <mergeCell ref="W280:X280"/>
    <mergeCell ref="W281:X281"/>
    <mergeCell ref="W282:X282"/>
    <mergeCell ref="W283:X283"/>
    <mergeCell ref="W284:X284"/>
    <mergeCell ref="W285:X285"/>
    <mergeCell ref="W298:X298"/>
    <mergeCell ref="W299:X299"/>
    <mergeCell ref="W300:X300"/>
    <mergeCell ref="W301:X301"/>
    <mergeCell ref="W302:X302"/>
    <mergeCell ref="W303:X303"/>
    <mergeCell ref="W292:X292"/>
    <mergeCell ref="W293:X293"/>
    <mergeCell ref="W294:X294"/>
    <mergeCell ref="W295:X295"/>
    <mergeCell ref="W296:X296"/>
    <mergeCell ref="W297:X297"/>
    <mergeCell ref="W310:X310"/>
    <mergeCell ref="W311:X311"/>
    <mergeCell ref="W312:X312"/>
    <mergeCell ref="W313:X313"/>
    <mergeCell ref="W314:X314"/>
    <mergeCell ref="W315:X315"/>
    <mergeCell ref="W304:X304"/>
    <mergeCell ref="W305:X305"/>
    <mergeCell ref="W306:X306"/>
    <mergeCell ref="W307:X307"/>
    <mergeCell ref="W308:X308"/>
    <mergeCell ref="W309:X309"/>
    <mergeCell ref="W322:X322"/>
    <mergeCell ref="W323:X323"/>
    <mergeCell ref="W324:X324"/>
    <mergeCell ref="W325:X325"/>
    <mergeCell ref="W326:X326"/>
    <mergeCell ref="W327:X327"/>
    <mergeCell ref="W316:X316"/>
    <mergeCell ref="W317:X317"/>
    <mergeCell ref="W318:X318"/>
    <mergeCell ref="W319:X319"/>
    <mergeCell ref="W320:X320"/>
    <mergeCell ref="W321:X321"/>
    <mergeCell ref="W334:X334"/>
    <mergeCell ref="W335:X335"/>
    <mergeCell ref="W336:X336"/>
    <mergeCell ref="W337:X337"/>
    <mergeCell ref="W338:X338"/>
    <mergeCell ref="W339:X339"/>
    <mergeCell ref="W328:X328"/>
    <mergeCell ref="W329:X329"/>
    <mergeCell ref="W330:X330"/>
    <mergeCell ref="W331:X331"/>
    <mergeCell ref="W332:X332"/>
    <mergeCell ref="W333:X333"/>
    <mergeCell ref="W346:X346"/>
    <mergeCell ref="W347:X347"/>
    <mergeCell ref="W348:X348"/>
    <mergeCell ref="W349:X349"/>
    <mergeCell ref="W350:X350"/>
    <mergeCell ref="W351:X351"/>
    <mergeCell ref="W340:X340"/>
    <mergeCell ref="W341:X341"/>
    <mergeCell ref="W342:X342"/>
    <mergeCell ref="W343:X343"/>
    <mergeCell ref="W344:X344"/>
    <mergeCell ref="W345:X345"/>
    <mergeCell ref="W358:X358"/>
    <mergeCell ref="W359:X359"/>
    <mergeCell ref="W360:X360"/>
    <mergeCell ref="W361:X361"/>
    <mergeCell ref="W362:X362"/>
    <mergeCell ref="W363:X363"/>
    <mergeCell ref="W352:X352"/>
    <mergeCell ref="W353:X353"/>
    <mergeCell ref="W354:X354"/>
    <mergeCell ref="W355:X355"/>
    <mergeCell ref="W356:X356"/>
    <mergeCell ref="W357:X357"/>
    <mergeCell ref="W370:X370"/>
    <mergeCell ref="W371:X371"/>
    <mergeCell ref="W372:X372"/>
    <mergeCell ref="W373:X373"/>
    <mergeCell ref="W374:X374"/>
    <mergeCell ref="W375:X375"/>
    <mergeCell ref="W364:X364"/>
    <mergeCell ref="W365:X365"/>
    <mergeCell ref="W366:X366"/>
    <mergeCell ref="W367:X367"/>
    <mergeCell ref="W368:X368"/>
    <mergeCell ref="W369:X369"/>
    <mergeCell ref="W382:X382"/>
    <mergeCell ref="W383:X383"/>
    <mergeCell ref="W384:X384"/>
    <mergeCell ref="W385:X385"/>
    <mergeCell ref="W386:X386"/>
    <mergeCell ref="W387:X387"/>
    <mergeCell ref="W376:X376"/>
    <mergeCell ref="W377:X377"/>
    <mergeCell ref="W378:X378"/>
    <mergeCell ref="W379:X379"/>
    <mergeCell ref="W380:X380"/>
    <mergeCell ref="W381:X381"/>
    <mergeCell ref="W394:X394"/>
    <mergeCell ref="W395:X395"/>
    <mergeCell ref="W396:X396"/>
    <mergeCell ref="W397:X397"/>
    <mergeCell ref="W398:X398"/>
    <mergeCell ref="W399:X399"/>
    <mergeCell ref="W388:X388"/>
    <mergeCell ref="W389:X389"/>
    <mergeCell ref="W390:X390"/>
    <mergeCell ref="W391:X391"/>
    <mergeCell ref="W392:X392"/>
    <mergeCell ref="W393:X393"/>
    <mergeCell ref="W406:X406"/>
    <mergeCell ref="W407:X407"/>
    <mergeCell ref="W408:X408"/>
    <mergeCell ref="W409:X409"/>
    <mergeCell ref="W410:X410"/>
    <mergeCell ref="W411:X411"/>
    <mergeCell ref="W400:X400"/>
    <mergeCell ref="W401:X401"/>
    <mergeCell ref="W402:X402"/>
    <mergeCell ref="W403:X403"/>
    <mergeCell ref="W404:X404"/>
    <mergeCell ref="W405:X405"/>
    <mergeCell ref="W418:X418"/>
    <mergeCell ref="W419:X419"/>
    <mergeCell ref="W420:X420"/>
    <mergeCell ref="W421:X421"/>
    <mergeCell ref="W422:X422"/>
    <mergeCell ref="W423:X423"/>
    <mergeCell ref="W412:X412"/>
    <mergeCell ref="W413:X413"/>
    <mergeCell ref="W414:X414"/>
    <mergeCell ref="W415:X415"/>
    <mergeCell ref="W416:X416"/>
    <mergeCell ref="W417:X417"/>
    <mergeCell ref="W430:X430"/>
    <mergeCell ref="W431:X431"/>
    <mergeCell ref="W432:X432"/>
    <mergeCell ref="W433:X433"/>
    <mergeCell ref="W434:X434"/>
    <mergeCell ref="W435:X435"/>
    <mergeCell ref="W424:X424"/>
    <mergeCell ref="W425:X425"/>
    <mergeCell ref="W426:X426"/>
    <mergeCell ref="W427:X427"/>
    <mergeCell ref="W428:X428"/>
    <mergeCell ref="W429:X429"/>
    <mergeCell ref="W442:X442"/>
    <mergeCell ref="W443:X443"/>
    <mergeCell ref="W444:X444"/>
    <mergeCell ref="W445:X445"/>
    <mergeCell ref="W446:X446"/>
    <mergeCell ref="W447:X447"/>
    <mergeCell ref="W436:X436"/>
    <mergeCell ref="W437:X437"/>
    <mergeCell ref="W438:X438"/>
    <mergeCell ref="W439:X439"/>
    <mergeCell ref="W440:X440"/>
    <mergeCell ref="W441:X441"/>
    <mergeCell ref="W454:X454"/>
    <mergeCell ref="W455:X455"/>
    <mergeCell ref="W456:X456"/>
    <mergeCell ref="W457:X457"/>
    <mergeCell ref="W458:X458"/>
    <mergeCell ref="W459:X459"/>
    <mergeCell ref="W448:X448"/>
    <mergeCell ref="W449:X449"/>
    <mergeCell ref="W450:X450"/>
    <mergeCell ref="W451:X451"/>
    <mergeCell ref="W452:X452"/>
    <mergeCell ref="W453:X453"/>
    <mergeCell ref="W466:X466"/>
    <mergeCell ref="W467:X467"/>
    <mergeCell ref="W468:X468"/>
    <mergeCell ref="W469:X469"/>
    <mergeCell ref="W470:X470"/>
    <mergeCell ref="W471:X471"/>
    <mergeCell ref="W460:X460"/>
    <mergeCell ref="W461:X461"/>
    <mergeCell ref="W462:X462"/>
    <mergeCell ref="W463:X463"/>
    <mergeCell ref="W464:X464"/>
    <mergeCell ref="W465:X465"/>
    <mergeCell ref="W478:X478"/>
    <mergeCell ref="W479:X479"/>
    <mergeCell ref="W480:X480"/>
    <mergeCell ref="W481:X481"/>
    <mergeCell ref="W482:X482"/>
    <mergeCell ref="W483:X483"/>
    <mergeCell ref="W472:X472"/>
    <mergeCell ref="W473:X473"/>
    <mergeCell ref="W474:X474"/>
    <mergeCell ref="W475:X475"/>
    <mergeCell ref="W476:X476"/>
    <mergeCell ref="W477:X477"/>
    <mergeCell ref="W490:X490"/>
    <mergeCell ref="W491:X491"/>
    <mergeCell ref="W492:X492"/>
    <mergeCell ref="W493:X493"/>
    <mergeCell ref="W494:X494"/>
    <mergeCell ref="W495:X495"/>
    <mergeCell ref="W484:X484"/>
    <mergeCell ref="W485:X485"/>
    <mergeCell ref="W486:X486"/>
    <mergeCell ref="W487:X487"/>
    <mergeCell ref="W488:X488"/>
    <mergeCell ref="W489:X489"/>
    <mergeCell ref="W502:X502"/>
    <mergeCell ref="W503:X503"/>
    <mergeCell ref="W504:X504"/>
    <mergeCell ref="W505:X505"/>
    <mergeCell ref="W506:X506"/>
    <mergeCell ref="W507:X507"/>
    <mergeCell ref="W496:X496"/>
    <mergeCell ref="W497:X497"/>
    <mergeCell ref="W498:X498"/>
    <mergeCell ref="W499:X499"/>
    <mergeCell ref="W500:X500"/>
    <mergeCell ref="W501:X501"/>
    <mergeCell ref="W514:X514"/>
    <mergeCell ref="W515:X515"/>
    <mergeCell ref="W516:X516"/>
    <mergeCell ref="W517:X517"/>
    <mergeCell ref="W518:X518"/>
    <mergeCell ref="W519:X519"/>
    <mergeCell ref="W508:X508"/>
    <mergeCell ref="W509:X509"/>
    <mergeCell ref="W510:X510"/>
    <mergeCell ref="W511:X511"/>
    <mergeCell ref="W512:X512"/>
    <mergeCell ref="W513:X513"/>
    <mergeCell ref="W526:X526"/>
    <mergeCell ref="W527:X527"/>
    <mergeCell ref="W528:X528"/>
    <mergeCell ref="W529:X529"/>
    <mergeCell ref="W530:X530"/>
    <mergeCell ref="W531:X531"/>
    <mergeCell ref="W520:X520"/>
    <mergeCell ref="W521:X521"/>
    <mergeCell ref="W522:X522"/>
    <mergeCell ref="W523:X523"/>
    <mergeCell ref="W524:X524"/>
    <mergeCell ref="W525:X525"/>
    <mergeCell ref="W538:X538"/>
    <mergeCell ref="W539:X539"/>
    <mergeCell ref="W540:X540"/>
    <mergeCell ref="W541:X541"/>
    <mergeCell ref="W542:X542"/>
    <mergeCell ref="W543:X543"/>
    <mergeCell ref="W532:X532"/>
    <mergeCell ref="W533:X533"/>
    <mergeCell ref="W534:X534"/>
    <mergeCell ref="W535:X535"/>
    <mergeCell ref="W536:X536"/>
    <mergeCell ref="W537:X537"/>
    <mergeCell ref="W550:X550"/>
    <mergeCell ref="W551:X551"/>
    <mergeCell ref="W552:X552"/>
    <mergeCell ref="W553:X553"/>
    <mergeCell ref="W554:X554"/>
    <mergeCell ref="W555:X555"/>
    <mergeCell ref="W544:X544"/>
    <mergeCell ref="W545:X545"/>
    <mergeCell ref="W546:X546"/>
    <mergeCell ref="W547:X547"/>
    <mergeCell ref="W548:X548"/>
    <mergeCell ref="W549:X549"/>
    <mergeCell ref="W562:X562"/>
    <mergeCell ref="W563:X563"/>
    <mergeCell ref="W564:X564"/>
    <mergeCell ref="W565:X565"/>
    <mergeCell ref="W566:X566"/>
    <mergeCell ref="W567:X567"/>
    <mergeCell ref="W556:X556"/>
    <mergeCell ref="W557:X557"/>
    <mergeCell ref="W558:X558"/>
    <mergeCell ref="W559:X559"/>
    <mergeCell ref="W560:X560"/>
    <mergeCell ref="W561:X561"/>
    <mergeCell ref="W574:X574"/>
    <mergeCell ref="W575:X575"/>
    <mergeCell ref="W576:X576"/>
    <mergeCell ref="W577:X577"/>
    <mergeCell ref="W578:X578"/>
    <mergeCell ref="W579:X579"/>
    <mergeCell ref="W568:X568"/>
    <mergeCell ref="W569:X569"/>
    <mergeCell ref="W570:X570"/>
    <mergeCell ref="W571:X571"/>
    <mergeCell ref="W572:X572"/>
    <mergeCell ref="W573:X573"/>
    <mergeCell ref="W588:X588"/>
    <mergeCell ref="W589:X589"/>
    <mergeCell ref="W590:X590"/>
    <mergeCell ref="W591:X591"/>
    <mergeCell ref="W580:X580"/>
    <mergeCell ref="W581:X581"/>
    <mergeCell ref="W582:X582"/>
    <mergeCell ref="W583:X583"/>
    <mergeCell ref="W584:X584"/>
    <mergeCell ref="W585:X585"/>
    <mergeCell ref="W1:X1"/>
    <mergeCell ref="W610:X610"/>
    <mergeCell ref="W611:X611"/>
    <mergeCell ref="W612:X612"/>
    <mergeCell ref="W604:X604"/>
    <mergeCell ref="W605:X605"/>
    <mergeCell ref="W606:X606"/>
    <mergeCell ref="W607:X607"/>
    <mergeCell ref="W608:X608"/>
    <mergeCell ref="W609:X609"/>
    <mergeCell ref="W598:X598"/>
    <mergeCell ref="W599:X599"/>
    <mergeCell ref="W600:X600"/>
    <mergeCell ref="W601:X601"/>
    <mergeCell ref="W602:X602"/>
    <mergeCell ref="W603:X603"/>
    <mergeCell ref="W592:X592"/>
    <mergeCell ref="W593:X593"/>
    <mergeCell ref="W594:X594"/>
    <mergeCell ref="W595:X595"/>
    <mergeCell ref="W596:X596"/>
    <mergeCell ref="W597:X597"/>
    <mergeCell ref="W586:X586"/>
    <mergeCell ref="W587:X587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W101:X101"/>
    <mergeCell ref="W102:X102"/>
    <mergeCell ref="W103:X103"/>
    <mergeCell ref="W104:X104"/>
    <mergeCell ref="W105:X105"/>
    <mergeCell ref="W106:X106"/>
    <mergeCell ref="W107:X107"/>
    <mergeCell ref="W108:X108"/>
    <mergeCell ref="W109:X109"/>
    <mergeCell ref="W119:X119"/>
    <mergeCell ref="W120:X120"/>
    <mergeCell ref="W121:X121"/>
    <mergeCell ref="W122:X122"/>
    <mergeCell ref="W123:X123"/>
    <mergeCell ref="W124:X124"/>
    <mergeCell ref="W110:X110"/>
    <mergeCell ref="W111:X111"/>
    <mergeCell ref="W112:X112"/>
    <mergeCell ref="W113:X113"/>
    <mergeCell ref="W114:X114"/>
    <mergeCell ref="W115:X115"/>
    <mergeCell ref="W116:X116"/>
    <mergeCell ref="W117:X117"/>
    <mergeCell ref="W118:X118"/>
    <mergeCell ref="W613:X613"/>
    <mergeCell ref="W614:X614"/>
    <mergeCell ref="W615:X615"/>
    <mergeCell ref="W616:X616"/>
    <mergeCell ref="W617:X617"/>
    <mergeCell ref="W618:X618"/>
    <mergeCell ref="W619:X619"/>
    <mergeCell ref="W620:X620"/>
    <mergeCell ref="W621:X621"/>
    <mergeCell ref="W622:X622"/>
    <mergeCell ref="W623:X623"/>
    <mergeCell ref="W624:X624"/>
    <mergeCell ref="W625:X625"/>
    <mergeCell ref="W626:X626"/>
    <mergeCell ref="W627:X627"/>
    <mergeCell ref="W628:X628"/>
    <mergeCell ref="W629:X629"/>
    <mergeCell ref="W630:X630"/>
    <mergeCell ref="W631:X631"/>
    <mergeCell ref="W632:X632"/>
    <mergeCell ref="W633:X633"/>
    <mergeCell ref="W634:X634"/>
    <mergeCell ref="W635:X635"/>
    <mergeCell ref="W636:X636"/>
    <mergeCell ref="W637:X637"/>
    <mergeCell ref="W638:X638"/>
    <mergeCell ref="W639:X639"/>
    <mergeCell ref="W640:X640"/>
    <mergeCell ref="W641:X641"/>
    <mergeCell ref="W642:X642"/>
    <mergeCell ref="W643:X643"/>
    <mergeCell ref="W644:X644"/>
    <mergeCell ref="W645:X645"/>
    <mergeCell ref="W646:X646"/>
    <mergeCell ref="W647:X647"/>
    <mergeCell ref="W648:X648"/>
    <mergeCell ref="W649:X649"/>
    <mergeCell ref="W650:X650"/>
    <mergeCell ref="W651:X651"/>
    <mergeCell ref="W652:X652"/>
    <mergeCell ref="W653:X653"/>
    <mergeCell ref="W654:X654"/>
    <mergeCell ref="W655:X655"/>
    <mergeCell ref="W656:X656"/>
    <mergeCell ref="W657:X657"/>
    <mergeCell ref="W658:X658"/>
    <mergeCell ref="W659:X659"/>
    <mergeCell ref="W660:X660"/>
    <mergeCell ref="W661:X661"/>
    <mergeCell ref="W662:X662"/>
    <mergeCell ref="W663:X663"/>
    <mergeCell ref="W664:X664"/>
    <mergeCell ref="W665:X665"/>
    <mergeCell ref="W666:X666"/>
    <mergeCell ref="W667:X667"/>
    <mergeCell ref="W668:X668"/>
    <mergeCell ref="W669:X669"/>
    <mergeCell ref="W670:X670"/>
    <mergeCell ref="W671:X671"/>
    <mergeCell ref="W672:X672"/>
    <mergeCell ref="W673:X673"/>
    <mergeCell ref="W674:X674"/>
    <mergeCell ref="W675:X675"/>
    <mergeCell ref="W676:X676"/>
    <mergeCell ref="W677:X677"/>
    <mergeCell ref="W678:X678"/>
    <mergeCell ref="W679:X679"/>
    <mergeCell ref="W680:X680"/>
    <mergeCell ref="W681:X681"/>
    <mergeCell ref="W682:X682"/>
    <mergeCell ref="W683:X683"/>
    <mergeCell ref="W684:X684"/>
    <mergeCell ref="W694:X694"/>
    <mergeCell ref="W695:X695"/>
    <mergeCell ref="W696:X696"/>
    <mergeCell ref="W697:X697"/>
    <mergeCell ref="W698:X698"/>
    <mergeCell ref="W699:X699"/>
    <mergeCell ref="W700:X700"/>
    <mergeCell ref="W701:X701"/>
    <mergeCell ref="W685:X685"/>
    <mergeCell ref="W686:X686"/>
    <mergeCell ref="W687:X687"/>
    <mergeCell ref="W688:X688"/>
    <mergeCell ref="W689:X689"/>
    <mergeCell ref="W690:X690"/>
    <mergeCell ref="W691:X691"/>
    <mergeCell ref="W692:X692"/>
    <mergeCell ref="W693:X693"/>
  </mergeCells>
  <conditionalFormatting sqref="B2:B701">
    <cfRule type="containsText" dxfId="30" priority="521" operator="containsText" text="sáb">
      <formula>NOT(ISERROR(SEARCH("sáb",B2)))</formula>
    </cfRule>
    <cfRule type="containsText" dxfId="29" priority="522" operator="containsText" text="dom">
      <formula>NOT(ISERROR(SEARCH("dom",B2)))</formula>
    </cfRule>
  </conditionalFormatting>
  <conditionalFormatting sqref="C2:V59 C60:Q62 S60:V62 R61:R62 C63:V701">
    <cfRule type="cellIs" dxfId="28" priority="25" stopIfTrue="1" operator="between">
      <formula>1</formula>
      <formula>3</formula>
    </cfRule>
    <cfRule type="cellIs" dxfId="27" priority="26" stopIfTrue="1" operator="equal">
      <formula>4</formula>
    </cfRule>
    <cfRule type="cellIs" dxfId="26" priority="27" stopIfTrue="1" operator="equal">
      <formula>5</formula>
    </cfRule>
    <cfRule type="cellIs" dxfId="25" priority="28" stopIfTrue="1" operator="between">
      <formula>6</formula>
      <formula>7</formula>
    </cfRule>
    <cfRule type="cellIs" dxfId="24" priority="29" stopIfTrue="1" operator="equal">
      <formula>"6P"</formula>
    </cfRule>
    <cfRule type="cellIs" dxfId="23" priority="30" stopIfTrue="1" operator="between">
      <formula>8</formula>
      <formula>9</formula>
    </cfRule>
    <cfRule type="cellIs" dxfId="22" priority="31" stopIfTrue="1" operator="between">
      <formula>"8P"</formula>
      <formula>"9P"</formula>
    </cfRule>
    <cfRule type="cellIs" dxfId="21" priority="33" stopIfTrue="1" operator="equal">
      <formula>10</formula>
    </cfRule>
    <cfRule type="cellIs" dxfId="20" priority="34" stopIfTrue="1" operator="between">
      <formula>11</formula>
      <formula>12</formula>
    </cfRule>
    <cfRule type="cellIs" dxfId="19" priority="35" stopIfTrue="1" operator="equal">
      <formula>13</formula>
    </cfRule>
    <cfRule type="cellIs" dxfId="18" priority="36" stopIfTrue="1" operator="equal">
      <formula>"13P"</formula>
    </cfRule>
    <cfRule type="cellIs" dxfId="17" priority="37" stopIfTrue="1" operator="equal">
      <formula>14</formula>
    </cfRule>
    <cfRule type="cellIs" dxfId="16" priority="38" stopIfTrue="1" operator="between">
      <formula>15</formula>
      <formula>16</formula>
    </cfRule>
    <cfRule type="cellIs" dxfId="15" priority="39" stopIfTrue="1" operator="equal">
      <formula>17</formula>
    </cfRule>
    <cfRule type="cellIs" dxfId="14" priority="40" stopIfTrue="1" operator="equal">
      <formula>18</formula>
    </cfRule>
    <cfRule type="cellIs" dxfId="13" priority="41" stopIfTrue="1" operator="equal">
      <formula>19</formula>
    </cfRule>
    <cfRule type="cellIs" dxfId="12" priority="42" stopIfTrue="1" operator="between">
      <formula>20</formula>
      <formula>26</formula>
    </cfRule>
    <cfRule type="cellIs" dxfId="11" priority="43" stopIfTrue="1" operator="equal">
      <formula>27</formula>
    </cfRule>
    <cfRule type="cellIs" dxfId="10" priority="44" stopIfTrue="1" operator="between">
      <formula>28</formula>
      <formula>29</formula>
    </cfRule>
    <cfRule type="cellIs" dxfId="9" priority="45" stopIfTrue="1" operator="equal">
      <formula>"28P"</formula>
    </cfRule>
    <cfRule type="cellIs" dxfId="8" priority="47" stopIfTrue="1" operator="equal">
      <formula>99</formula>
    </cfRule>
    <cfRule type="cellIs" dxfId="7" priority="48" stopIfTrue="1" operator="between">
      <formula>100</formula>
      <formula>101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4"/>
  <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'Dados de consulta'!$A:$A</xm:f>
          </x14:formula1>
          <xm:sqref>R2:R59 E2:Q357 R61:R357 S2:V357 C2:D701 E358:V701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4">
    <tabColor theme="6" tint="0.59999389629810485"/>
  </sheetPr>
  <dimension ref="A1:S38"/>
  <sheetViews>
    <sheetView workbookViewId="0">
      <selection activeCell="M2" sqref="M2:M26"/>
    </sheetView>
  </sheetViews>
  <sheetFormatPr defaultRowHeight="12.75" x14ac:dyDescent="0.2"/>
  <cols>
    <col min="2" max="2" width="39.7109375" bestFit="1" customWidth="1"/>
    <col min="3" max="3" width="6.7109375" bestFit="1" customWidth="1"/>
    <col min="4" max="4" width="6.7109375" customWidth="1"/>
    <col min="5" max="6" width="9.140625" customWidth="1"/>
    <col min="7" max="7" width="3" customWidth="1"/>
    <col min="8" max="8" width="12.7109375" bestFit="1" customWidth="1"/>
    <col min="9" max="12" width="9.140625" customWidth="1"/>
    <col min="13" max="13" width="24.28515625" customWidth="1"/>
    <col min="14" max="14" width="18.7109375" bestFit="1" customWidth="1"/>
    <col min="18" max="18" width="4.42578125" bestFit="1" customWidth="1"/>
    <col min="19" max="22" width="39.7109375" customWidth="1"/>
  </cols>
  <sheetData>
    <row r="1" spans="1:19" x14ac:dyDescent="0.2">
      <c r="A1" t="s">
        <v>199</v>
      </c>
      <c r="B1" t="s">
        <v>200</v>
      </c>
      <c r="C1" t="s">
        <v>201</v>
      </c>
      <c r="H1" t="s">
        <v>202</v>
      </c>
    </row>
    <row r="2" spans="1:19" x14ac:dyDescent="0.2">
      <c r="A2" s="5">
        <v>1</v>
      </c>
      <c r="B2" s="141" t="s">
        <v>203</v>
      </c>
      <c r="C2" s="5">
        <v>8</v>
      </c>
      <c r="D2" s="5">
        <v>2</v>
      </c>
      <c r="E2" s="140">
        <v>1</v>
      </c>
      <c r="F2" s="2" t="s">
        <v>204</v>
      </c>
      <c r="G2" s="78"/>
      <c r="H2" s="78" t="s">
        <v>205</v>
      </c>
      <c r="I2" s="78">
        <v>1</v>
      </c>
      <c r="J2" s="78"/>
      <c r="K2" s="78"/>
      <c r="M2" s="1"/>
      <c r="R2" s="78"/>
      <c r="S2" s="78"/>
    </row>
    <row r="3" spans="1:19" x14ac:dyDescent="0.2">
      <c r="A3" s="5">
        <v>2</v>
      </c>
      <c r="B3" s="141" t="s">
        <v>206</v>
      </c>
      <c r="C3" s="5">
        <v>8</v>
      </c>
      <c r="D3" s="5">
        <v>2</v>
      </c>
      <c r="E3" s="78">
        <v>2</v>
      </c>
      <c r="F3" s="3" t="s">
        <v>207</v>
      </c>
      <c r="G3" s="78"/>
      <c r="H3" s="78" t="s">
        <v>208</v>
      </c>
      <c r="I3" s="78">
        <v>2</v>
      </c>
      <c r="J3" s="78"/>
      <c r="K3" s="78"/>
      <c r="M3" s="1"/>
      <c r="R3" s="78"/>
      <c r="S3" s="78"/>
    </row>
    <row r="4" spans="1:19" x14ac:dyDescent="0.2">
      <c r="A4" s="5">
        <v>3</v>
      </c>
      <c r="B4" s="141" t="s">
        <v>210</v>
      </c>
      <c r="C4" s="5">
        <v>8</v>
      </c>
      <c r="D4" s="5">
        <v>2</v>
      </c>
      <c r="E4" s="78">
        <v>3</v>
      </c>
      <c r="F4" s="3" t="s">
        <v>211</v>
      </c>
      <c r="G4" s="78"/>
      <c r="H4" s="78" t="s">
        <v>212</v>
      </c>
      <c r="I4" s="78">
        <v>3</v>
      </c>
      <c r="J4" s="78"/>
      <c r="K4" s="78"/>
      <c r="M4" s="1"/>
      <c r="R4" s="78"/>
      <c r="S4" s="78"/>
    </row>
    <row r="5" spans="1:19" x14ac:dyDescent="0.2">
      <c r="A5" s="5">
        <v>4</v>
      </c>
      <c r="B5" s="142" t="s">
        <v>213</v>
      </c>
      <c r="C5" s="5">
        <v>8</v>
      </c>
      <c r="D5" s="5">
        <v>1</v>
      </c>
      <c r="E5" s="78">
        <v>4</v>
      </c>
      <c r="F5" s="3" t="s">
        <v>214</v>
      </c>
      <c r="G5" s="78"/>
      <c r="H5" s="78" t="s">
        <v>215</v>
      </c>
      <c r="I5" s="78">
        <v>4</v>
      </c>
      <c r="J5" s="78"/>
      <c r="K5" s="78"/>
      <c r="M5" s="1"/>
      <c r="R5" s="78"/>
      <c r="S5" s="78"/>
    </row>
    <row r="6" spans="1:19" x14ac:dyDescent="0.2">
      <c r="A6" s="5">
        <v>5</v>
      </c>
      <c r="B6" s="141" t="s">
        <v>216</v>
      </c>
      <c r="C6" s="5">
        <v>8</v>
      </c>
      <c r="D6" s="5">
        <v>2</v>
      </c>
      <c r="E6" s="78">
        <v>5</v>
      </c>
      <c r="F6" s="3" t="s">
        <v>217</v>
      </c>
      <c r="G6" s="78"/>
      <c r="H6" s="78" t="s">
        <v>218</v>
      </c>
      <c r="I6" s="78">
        <v>5</v>
      </c>
      <c r="J6" s="78"/>
      <c r="K6" s="78"/>
      <c r="M6" s="1"/>
      <c r="R6" s="78"/>
      <c r="S6" s="78"/>
    </row>
    <row r="7" spans="1:19" x14ac:dyDescent="0.2">
      <c r="A7" s="5">
        <v>6</v>
      </c>
      <c r="B7" s="143" t="s">
        <v>209</v>
      </c>
      <c r="C7" s="5">
        <v>8</v>
      </c>
      <c r="D7" s="5">
        <v>4</v>
      </c>
      <c r="E7" s="78">
        <v>6</v>
      </c>
      <c r="F7" s="3" t="s">
        <v>151</v>
      </c>
      <c r="G7" s="78"/>
      <c r="H7" s="78" t="s">
        <v>219</v>
      </c>
      <c r="I7" s="78">
        <v>6</v>
      </c>
      <c r="J7" s="78"/>
      <c r="K7" s="78"/>
      <c r="M7" s="1"/>
      <c r="R7" s="78"/>
      <c r="S7" s="78"/>
    </row>
    <row r="8" spans="1:19" x14ac:dyDescent="0.2">
      <c r="A8" s="5" t="s">
        <v>195</v>
      </c>
      <c r="B8" s="143" t="s">
        <v>209</v>
      </c>
      <c r="C8" s="5">
        <v>4</v>
      </c>
      <c r="D8" s="5">
        <v>4</v>
      </c>
      <c r="E8" s="134">
        <v>7</v>
      </c>
      <c r="F8" s="4" t="s">
        <v>221</v>
      </c>
      <c r="G8" s="78"/>
      <c r="H8" s="78" t="s">
        <v>222</v>
      </c>
      <c r="I8" s="78">
        <v>7</v>
      </c>
      <c r="J8" s="78"/>
      <c r="K8" s="78"/>
      <c r="M8" s="1"/>
      <c r="R8" s="78"/>
      <c r="S8" s="78"/>
    </row>
    <row r="9" spans="1:19" x14ac:dyDescent="0.2">
      <c r="A9" s="5">
        <v>7</v>
      </c>
      <c r="B9" s="143" t="s">
        <v>223</v>
      </c>
      <c r="C9" s="5">
        <v>8</v>
      </c>
      <c r="D9" s="5">
        <v>4</v>
      </c>
      <c r="H9" s="78" t="s">
        <v>224</v>
      </c>
      <c r="I9" s="78">
        <v>8</v>
      </c>
      <c r="M9" s="1"/>
      <c r="R9" s="78"/>
      <c r="S9" s="78"/>
    </row>
    <row r="10" spans="1:19" x14ac:dyDescent="0.2">
      <c r="A10" s="5">
        <v>8</v>
      </c>
      <c r="B10" s="142" t="s">
        <v>225</v>
      </c>
      <c r="C10" s="5">
        <v>8</v>
      </c>
      <c r="D10" s="5">
        <v>1</v>
      </c>
      <c r="H10" s="78" t="s">
        <v>226</v>
      </c>
      <c r="I10" s="78">
        <v>11</v>
      </c>
      <c r="M10" s="1"/>
      <c r="N10" s="9"/>
      <c r="R10" s="78"/>
      <c r="S10" s="78"/>
    </row>
    <row r="11" spans="1:19" x14ac:dyDescent="0.2">
      <c r="A11" s="5" t="s">
        <v>198</v>
      </c>
      <c r="B11" s="142" t="s">
        <v>225</v>
      </c>
      <c r="C11" s="5">
        <v>4</v>
      </c>
      <c r="D11" s="5">
        <v>1</v>
      </c>
      <c r="H11" s="78" t="s">
        <v>227</v>
      </c>
      <c r="I11" s="78">
        <v>12</v>
      </c>
      <c r="M11" s="1"/>
      <c r="N11" s="9"/>
      <c r="R11" s="78"/>
      <c r="S11" s="78"/>
    </row>
    <row r="12" spans="1:19" x14ac:dyDescent="0.2">
      <c r="A12" s="5">
        <v>9</v>
      </c>
      <c r="B12" s="142" t="s">
        <v>228</v>
      </c>
      <c r="C12" s="5">
        <v>8</v>
      </c>
      <c r="D12" s="5">
        <v>1</v>
      </c>
      <c r="H12" s="78" t="s">
        <v>229</v>
      </c>
      <c r="I12" s="78">
        <v>13</v>
      </c>
      <c r="M12" s="1"/>
      <c r="R12" s="78"/>
      <c r="S12" s="78"/>
    </row>
    <row r="13" spans="1:19" x14ac:dyDescent="0.2">
      <c r="A13" s="5" t="s">
        <v>194</v>
      </c>
      <c r="B13" s="142" t="s">
        <v>228</v>
      </c>
      <c r="C13" s="5">
        <v>4</v>
      </c>
      <c r="D13" s="5">
        <v>1</v>
      </c>
      <c r="H13" s="78" t="s">
        <v>230</v>
      </c>
      <c r="I13" s="78">
        <v>14</v>
      </c>
      <c r="M13" s="1"/>
      <c r="R13" s="78"/>
      <c r="S13" s="78"/>
    </row>
    <row r="14" spans="1:19" x14ac:dyDescent="0.2">
      <c r="A14" s="5">
        <v>10</v>
      </c>
      <c r="B14" s="141" t="s">
        <v>231</v>
      </c>
      <c r="C14" s="5">
        <v>8</v>
      </c>
      <c r="D14" s="5">
        <v>2</v>
      </c>
      <c r="H14" s="78" t="s">
        <v>232</v>
      </c>
      <c r="I14" s="78">
        <v>15</v>
      </c>
      <c r="M14" s="1"/>
      <c r="R14" s="78"/>
      <c r="S14" s="78"/>
    </row>
    <row r="15" spans="1:19" x14ac:dyDescent="0.2">
      <c r="A15" s="5">
        <v>11</v>
      </c>
      <c r="B15" s="143" t="s">
        <v>233</v>
      </c>
      <c r="C15" s="5">
        <v>8</v>
      </c>
      <c r="D15" s="5">
        <v>4</v>
      </c>
      <c r="H15" s="78" t="s">
        <v>234</v>
      </c>
      <c r="I15" s="78">
        <v>16</v>
      </c>
      <c r="M15" s="1"/>
      <c r="R15" s="78"/>
      <c r="S15" s="78"/>
    </row>
    <row r="16" spans="1:19" x14ac:dyDescent="0.2">
      <c r="A16" s="5">
        <v>12</v>
      </c>
      <c r="B16" s="143" t="s">
        <v>235</v>
      </c>
      <c r="C16" s="5">
        <v>8</v>
      </c>
      <c r="D16" s="5">
        <v>4</v>
      </c>
      <c r="H16" s="78" t="s">
        <v>236</v>
      </c>
      <c r="I16" s="78">
        <v>17</v>
      </c>
      <c r="M16" s="1"/>
      <c r="R16" s="78"/>
      <c r="S16" s="78"/>
    </row>
    <row r="17" spans="1:19" x14ac:dyDescent="0.2">
      <c r="A17" s="5">
        <v>13</v>
      </c>
      <c r="B17" s="141" t="s">
        <v>237</v>
      </c>
      <c r="C17" s="5">
        <v>8</v>
      </c>
      <c r="D17" s="5">
        <v>2</v>
      </c>
      <c r="H17" s="78" t="s">
        <v>238</v>
      </c>
      <c r="I17" s="78">
        <v>18</v>
      </c>
      <c r="M17" s="1"/>
      <c r="R17" s="78"/>
      <c r="S17" s="78"/>
    </row>
    <row r="18" spans="1:19" x14ac:dyDescent="0.2">
      <c r="A18" s="5" t="s">
        <v>197</v>
      </c>
      <c r="B18" s="141" t="s">
        <v>237</v>
      </c>
      <c r="C18" s="5">
        <v>4</v>
      </c>
      <c r="D18" s="5">
        <v>2</v>
      </c>
      <c r="H18" s="78" t="s">
        <v>239</v>
      </c>
      <c r="I18" s="78">
        <v>21</v>
      </c>
      <c r="M18" s="1"/>
      <c r="R18" s="78"/>
      <c r="S18" s="78"/>
    </row>
    <row r="19" spans="1:19" x14ac:dyDescent="0.2">
      <c r="A19" s="5">
        <v>14</v>
      </c>
      <c r="B19" s="142" t="s">
        <v>240</v>
      </c>
      <c r="C19" s="5">
        <v>8</v>
      </c>
      <c r="D19" s="5">
        <v>1</v>
      </c>
      <c r="H19" s="78" t="s">
        <v>241</v>
      </c>
      <c r="I19" s="78">
        <v>22</v>
      </c>
      <c r="M19" s="1"/>
      <c r="R19" s="78"/>
      <c r="S19" s="78"/>
    </row>
    <row r="20" spans="1:19" x14ac:dyDescent="0.2">
      <c r="A20" s="5">
        <v>15</v>
      </c>
      <c r="B20" s="141" t="s">
        <v>242</v>
      </c>
      <c r="C20" s="5">
        <v>8</v>
      </c>
      <c r="D20" s="5">
        <v>2</v>
      </c>
      <c r="H20" s="78" t="s">
        <v>243</v>
      </c>
      <c r="I20" s="78">
        <v>23</v>
      </c>
      <c r="M20" s="1"/>
    </row>
    <row r="21" spans="1:19" x14ac:dyDescent="0.2">
      <c r="A21" s="5">
        <v>16</v>
      </c>
      <c r="B21" s="141" t="s">
        <v>244</v>
      </c>
      <c r="C21" s="5">
        <v>8</v>
      </c>
      <c r="D21" s="5">
        <v>2</v>
      </c>
      <c r="H21" s="78" t="s">
        <v>245</v>
      </c>
      <c r="I21" s="78">
        <v>24</v>
      </c>
      <c r="M21" s="1"/>
    </row>
    <row r="22" spans="1:19" x14ac:dyDescent="0.2">
      <c r="A22" s="5">
        <v>17</v>
      </c>
      <c r="B22" s="144" t="s">
        <v>220</v>
      </c>
      <c r="C22" s="5">
        <v>8</v>
      </c>
      <c r="D22" s="5"/>
      <c r="H22" s="78" t="s">
        <v>246</v>
      </c>
      <c r="I22" s="78">
        <v>25</v>
      </c>
      <c r="M22" s="1"/>
    </row>
    <row r="23" spans="1:19" x14ac:dyDescent="0.2">
      <c r="A23" s="5">
        <v>18</v>
      </c>
      <c r="B23" s="141" t="s">
        <v>247</v>
      </c>
      <c r="C23" s="5">
        <v>8</v>
      </c>
      <c r="D23" s="5">
        <v>2</v>
      </c>
      <c r="H23" s="78" t="s">
        <v>248</v>
      </c>
      <c r="I23" s="78">
        <v>26</v>
      </c>
      <c r="M23" s="1"/>
    </row>
    <row r="24" spans="1:19" x14ac:dyDescent="0.2">
      <c r="A24" s="5">
        <v>19</v>
      </c>
      <c r="B24" s="145" t="s">
        <v>249</v>
      </c>
      <c r="C24" s="5">
        <v>8</v>
      </c>
      <c r="D24" s="5">
        <v>4</v>
      </c>
      <c r="H24" s="78" t="s">
        <v>250</v>
      </c>
      <c r="I24" s="78">
        <v>27</v>
      </c>
      <c r="M24" s="1"/>
    </row>
    <row r="25" spans="1:19" x14ac:dyDescent="0.2">
      <c r="A25" s="5">
        <v>20</v>
      </c>
      <c r="B25" s="141" t="s">
        <v>251</v>
      </c>
      <c r="C25" s="5">
        <v>8</v>
      </c>
      <c r="D25" s="5">
        <v>2</v>
      </c>
      <c r="H25" s="78" t="s">
        <v>252</v>
      </c>
      <c r="I25" s="78">
        <v>28</v>
      </c>
      <c r="M25" s="1"/>
    </row>
    <row r="26" spans="1:19" x14ac:dyDescent="0.2">
      <c r="A26" s="5">
        <v>21</v>
      </c>
      <c r="B26" s="141" t="s">
        <v>253</v>
      </c>
      <c r="C26" s="5">
        <v>8</v>
      </c>
      <c r="D26" s="5">
        <v>2</v>
      </c>
      <c r="M26" s="1"/>
    </row>
    <row r="27" spans="1:19" x14ac:dyDescent="0.2">
      <c r="A27" s="5">
        <v>22</v>
      </c>
      <c r="B27" s="141" t="s">
        <v>254</v>
      </c>
      <c r="C27" s="5">
        <v>8</v>
      </c>
      <c r="D27" s="5">
        <v>2</v>
      </c>
    </row>
    <row r="28" spans="1:19" x14ac:dyDescent="0.2">
      <c r="A28" s="5">
        <v>23</v>
      </c>
      <c r="B28" s="141" t="s">
        <v>255</v>
      </c>
      <c r="C28" s="5">
        <v>8</v>
      </c>
      <c r="D28" s="5">
        <v>2</v>
      </c>
    </row>
    <row r="29" spans="1:19" x14ac:dyDescent="0.2">
      <c r="A29" s="5">
        <v>24</v>
      </c>
      <c r="B29" s="141" t="s">
        <v>256</v>
      </c>
      <c r="C29" s="5">
        <v>8</v>
      </c>
      <c r="D29" s="5">
        <v>2</v>
      </c>
    </row>
    <row r="30" spans="1:19" x14ac:dyDescent="0.2">
      <c r="A30" s="5">
        <v>25</v>
      </c>
      <c r="B30" s="141" t="s">
        <v>257</v>
      </c>
      <c r="C30" s="5">
        <v>8</v>
      </c>
      <c r="D30" s="5">
        <v>2</v>
      </c>
    </row>
    <row r="31" spans="1:19" x14ac:dyDescent="0.2">
      <c r="A31" s="5">
        <v>26</v>
      </c>
      <c r="B31" s="141" t="s">
        <v>258</v>
      </c>
      <c r="C31" s="5">
        <v>8</v>
      </c>
      <c r="D31" s="5">
        <v>2</v>
      </c>
    </row>
    <row r="32" spans="1:19" x14ac:dyDescent="0.2">
      <c r="A32" s="5">
        <v>27</v>
      </c>
      <c r="B32" s="146" t="s">
        <v>259</v>
      </c>
      <c r="C32" s="5">
        <v>8</v>
      </c>
      <c r="D32" s="5"/>
    </row>
    <row r="33" spans="1:4" x14ac:dyDescent="0.2">
      <c r="A33" s="5">
        <v>28</v>
      </c>
      <c r="B33" s="147" t="s">
        <v>260</v>
      </c>
      <c r="C33" s="5">
        <v>8</v>
      </c>
      <c r="D33" s="5">
        <v>3</v>
      </c>
    </row>
    <row r="34" spans="1:4" x14ac:dyDescent="0.2">
      <c r="A34" s="5" t="s">
        <v>196</v>
      </c>
      <c r="B34" s="147" t="s">
        <v>260</v>
      </c>
      <c r="C34" s="5">
        <v>4</v>
      </c>
      <c r="D34" s="5">
        <v>3</v>
      </c>
    </row>
    <row r="35" spans="1:4" x14ac:dyDescent="0.2">
      <c r="A35" s="5">
        <v>29</v>
      </c>
      <c r="B35" s="147" t="s">
        <v>261</v>
      </c>
      <c r="C35" s="5">
        <v>8</v>
      </c>
      <c r="D35" s="5">
        <v>3</v>
      </c>
    </row>
    <row r="36" spans="1:4" x14ac:dyDescent="0.2">
      <c r="A36" s="5">
        <v>99</v>
      </c>
      <c r="B36" s="141" t="s">
        <v>262</v>
      </c>
      <c r="C36" s="5">
        <v>8</v>
      </c>
      <c r="D36" s="5">
        <v>2</v>
      </c>
    </row>
    <row r="37" spans="1:4" x14ac:dyDescent="0.2">
      <c r="A37" s="5">
        <v>100</v>
      </c>
      <c r="B37" s="148" t="s">
        <v>263</v>
      </c>
      <c r="C37" s="5">
        <v>8</v>
      </c>
      <c r="D37" s="5">
        <v>100</v>
      </c>
    </row>
    <row r="38" spans="1:4" x14ac:dyDescent="0.2">
      <c r="A38" s="5">
        <v>101</v>
      </c>
      <c r="B38" s="148" t="s">
        <v>264</v>
      </c>
      <c r="C38" s="5">
        <v>8</v>
      </c>
      <c r="D38" s="5">
        <v>101</v>
      </c>
    </row>
  </sheetData>
  <sheetProtection selectLockedCells="1"/>
  <customSheetViews>
    <customSheetView guid="{FC643F0B-3E44-4304-9C6C-EBD35A45B8FD}">
      <selection activeCell="A28" sqref="A28:XFD28"/>
      <pageMargins left="0" right="0" top="0" bottom="0" header="0" footer="0"/>
    </customSheetView>
    <customSheetView guid="{ECC56881-4CE2-4FBF-815D-85F544F885E8}">
      <pageMargins left="0" right="0" top="0" bottom="0" header="0" footer="0"/>
    </customSheetView>
    <customSheetView guid="{40F11FFD-627B-4157-AFFE-E57E44CED524}">
      <selection activeCell="A28" sqref="A28:XFD28"/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C19"/>
  <sheetViews>
    <sheetView showGridLines="0" workbookViewId="0">
      <selection activeCell="A2" sqref="A2"/>
    </sheetView>
  </sheetViews>
  <sheetFormatPr defaultRowHeight="12.75" x14ac:dyDescent="0.2"/>
  <cols>
    <col min="1" max="1" width="9.7109375" bestFit="1" customWidth="1"/>
    <col min="2" max="2" width="5.7109375" customWidth="1"/>
    <col min="3" max="4" width="2.85546875" customWidth="1"/>
    <col min="5" max="5" width="5.7109375" customWidth="1"/>
    <col min="6" max="7" width="2.85546875" customWidth="1"/>
    <col min="8" max="8" width="5.7109375" customWidth="1"/>
    <col min="9" max="10" width="2.85546875" customWidth="1"/>
    <col min="11" max="11" width="5.7109375" customWidth="1"/>
    <col min="12" max="13" width="2.85546875" customWidth="1"/>
    <col min="14" max="14" width="5.7109375" customWidth="1"/>
    <col min="15" max="16" width="2.85546875" customWidth="1"/>
    <col min="17" max="17" width="5.7109375" customWidth="1"/>
    <col min="18" max="19" width="2.85546875" customWidth="1"/>
    <col min="20" max="20" width="5.7109375" customWidth="1"/>
    <col min="21" max="22" width="2.85546875" customWidth="1"/>
    <col min="23" max="23" width="5.7109375" customWidth="1"/>
    <col min="24" max="25" width="2.85546875" customWidth="1"/>
    <col min="26" max="26" width="5.7109375" customWidth="1"/>
    <col min="27" max="28" width="2.85546875" customWidth="1"/>
    <col min="29" max="29" width="5.7109375" customWidth="1"/>
    <col min="30" max="31" width="2.85546875" customWidth="1"/>
    <col min="32" max="32" width="5.7109375" customWidth="1"/>
    <col min="33" max="34" width="2.85546875" customWidth="1"/>
    <col min="35" max="35" width="5.7109375" customWidth="1"/>
    <col min="36" max="37" width="2.85546875" customWidth="1"/>
    <col min="38" max="38" width="5.7109375" customWidth="1"/>
    <col min="39" max="40" width="2.85546875" customWidth="1"/>
    <col min="41" max="41" width="5.7109375" customWidth="1"/>
    <col min="42" max="43" width="2.85546875" customWidth="1"/>
    <col min="44" max="44" width="5.7109375" customWidth="1"/>
    <col min="45" max="46" width="2.85546875" customWidth="1"/>
    <col min="47" max="47" width="5.7109375" customWidth="1"/>
    <col min="48" max="49" width="2.85546875" customWidth="1"/>
    <col min="50" max="53" width="8.5703125" customWidth="1"/>
    <col min="54" max="54" width="15.5703125" customWidth="1"/>
    <col min="55" max="55" width="13.7109375" customWidth="1"/>
  </cols>
  <sheetData>
    <row r="2" spans="1:55" ht="28.5" customHeight="1" x14ac:dyDescent="0.2">
      <c r="B2" s="311">
        <v>1</v>
      </c>
      <c r="C2" s="312"/>
      <c r="D2" s="313"/>
      <c r="E2" s="314">
        <v>2</v>
      </c>
      <c r="F2" s="315"/>
      <c r="G2" s="316"/>
      <c r="H2" s="311">
        <v>3</v>
      </c>
      <c r="I2" s="312"/>
      <c r="J2" s="313"/>
      <c r="K2" s="314">
        <v>4</v>
      </c>
      <c r="L2" s="315"/>
      <c r="M2" s="316"/>
      <c r="N2" s="311">
        <v>5</v>
      </c>
      <c r="O2" s="312"/>
      <c r="P2" s="313"/>
      <c r="Q2" s="314">
        <v>6</v>
      </c>
      <c r="R2" s="315"/>
      <c r="S2" s="316"/>
      <c r="T2" s="311">
        <v>7</v>
      </c>
      <c r="U2" s="312"/>
      <c r="V2" s="313"/>
      <c r="W2" s="314">
        <v>8</v>
      </c>
      <c r="X2" s="315"/>
      <c r="Y2" s="316"/>
      <c r="Z2" s="311">
        <v>9</v>
      </c>
      <c r="AA2" s="312"/>
      <c r="AB2" s="313"/>
      <c r="AC2" s="314">
        <v>10</v>
      </c>
      <c r="AD2" s="315"/>
      <c r="AE2" s="316"/>
      <c r="AF2" s="311">
        <v>11</v>
      </c>
      <c r="AG2" s="312"/>
      <c r="AH2" s="313"/>
      <c r="AI2" s="314">
        <v>12</v>
      </c>
      <c r="AJ2" s="315"/>
      <c r="AK2" s="316"/>
      <c r="AL2" s="311">
        <v>13</v>
      </c>
      <c r="AM2" s="312"/>
      <c r="AN2" s="313"/>
      <c r="AO2" s="314">
        <v>14</v>
      </c>
      <c r="AP2" s="315"/>
      <c r="AQ2" s="316"/>
      <c r="AR2" s="311">
        <v>15</v>
      </c>
      <c r="AS2" s="312"/>
      <c r="AT2" s="313"/>
      <c r="AU2" s="314">
        <v>16</v>
      </c>
      <c r="AV2" s="315"/>
      <c r="AW2" s="316"/>
      <c r="AX2" s="319" t="s">
        <v>265</v>
      </c>
      <c r="AY2" s="319" t="s">
        <v>266</v>
      </c>
      <c r="AZ2" s="321" t="s">
        <v>267</v>
      </c>
      <c r="BA2" s="321" t="s">
        <v>268</v>
      </c>
      <c r="BB2" s="318" t="s">
        <v>269</v>
      </c>
      <c r="BC2" s="317" t="s">
        <v>270</v>
      </c>
    </row>
    <row r="3" spans="1:55" ht="22.5" customHeight="1" x14ac:dyDescent="0.2">
      <c r="B3" s="186" t="s">
        <v>271</v>
      </c>
      <c r="C3" s="186" t="s">
        <v>272</v>
      </c>
      <c r="D3" s="186" t="s">
        <v>273</v>
      </c>
      <c r="E3" s="188" t="s">
        <v>271</v>
      </c>
      <c r="F3" s="188" t="s">
        <v>272</v>
      </c>
      <c r="G3" s="188" t="s">
        <v>273</v>
      </c>
      <c r="H3" s="186" t="s">
        <v>271</v>
      </c>
      <c r="I3" s="186" t="s">
        <v>272</v>
      </c>
      <c r="J3" s="186" t="s">
        <v>273</v>
      </c>
      <c r="K3" s="188" t="s">
        <v>271</v>
      </c>
      <c r="L3" s="188" t="s">
        <v>272</v>
      </c>
      <c r="M3" s="188" t="s">
        <v>273</v>
      </c>
      <c r="N3" s="186" t="s">
        <v>271</v>
      </c>
      <c r="O3" s="186" t="s">
        <v>272</v>
      </c>
      <c r="P3" s="186" t="s">
        <v>273</v>
      </c>
      <c r="Q3" s="188" t="s">
        <v>271</v>
      </c>
      <c r="R3" s="188" t="s">
        <v>272</v>
      </c>
      <c r="S3" s="188" t="s">
        <v>273</v>
      </c>
      <c r="T3" s="186" t="s">
        <v>271</v>
      </c>
      <c r="U3" s="186" t="s">
        <v>272</v>
      </c>
      <c r="V3" s="186" t="s">
        <v>273</v>
      </c>
      <c r="W3" s="188" t="s">
        <v>271</v>
      </c>
      <c r="X3" s="188" t="s">
        <v>272</v>
      </c>
      <c r="Y3" s="188" t="s">
        <v>273</v>
      </c>
      <c r="Z3" s="186" t="s">
        <v>271</v>
      </c>
      <c r="AA3" s="186" t="s">
        <v>272</v>
      </c>
      <c r="AB3" s="186" t="s">
        <v>273</v>
      </c>
      <c r="AC3" s="188" t="s">
        <v>271</v>
      </c>
      <c r="AD3" s="188" t="s">
        <v>272</v>
      </c>
      <c r="AE3" s="188" t="s">
        <v>273</v>
      </c>
      <c r="AF3" s="186" t="s">
        <v>271</v>
      </c>
      <c r="AG3" s="186" t="s">
        <v>272</v>
      </c>
      <c r="AH3" s="186" t="s">
        <v>273</v>
      </c>
      <c r="AI3" s="188" t="s">
        <v>271</v>
      </c>
      <c r="AJ3" s="188" t="s">
        <v>272</v>
      </c>
      <c r="AK3" s="188" t="s">
        <v>273</v>
      </c>
      <c r="AL3" s="186" t="s">
        <v>271</v>
      </c>
      <c r="AM3" s="186" t="s">
        <v>272</v>
      </c>
      <c r="AN3" s="186" t="s">
        <v>273</v>
      </c>
      <c r="AO3" s="188" t="s">
        <v>271</v>
      </c>
      <c r="AP3" s="188" t="s">
        <v>272</v>
      </c>
      <c r="AQ3" s="188" t="s">
        <v>273</v>
      </c>
      <c r="AR3" s="186" t="s">
        <v>271</v>
      </c>
      <c r="AS3" s="186" t="s">
        <v>272</v>
      </c>
      <c r="AT3" s="186" t="s">
        <v>273</v>
      </c>
      <c r="AU3" s="188" t="s">
        <v>271</v>
      </c>
      <c r="AV3" s="188" t="s">
        <v>272</v>
      </c>
      <c r="AW3" s="188" t="s">
        <v>273</v>
      </c>
      <c r="AX3" s="320"/>
      <c r="AY3" s="320"/>
      <c r="AZ3" s="322"/>
      <c r="BA3" s="322"/>
      <c r="BB3" s="318"/>
      <c r="BC3" s="317"/>
    </row>
    <row r="4" spans="1:55" ht="23.45" customHeight="1" x14ac:dyDescent="0.2">
      <c r="A4" s="195">
        <v>42370</v>
      </c>
      <c r="B4" s="193"/>
      <c r="C4" s="187"/>
      <c r="D4" s="196"/>
      <c r="E4" s="194"/>
      <c r="F4" s="189"/>
      <c r="G4" s="197"/>
      <c r="H4" s="193"/>
      <c r="I4" s="187"/>
      <c r="J4" s="196"/>
      <c r="K4" s="194" t="s">
        <v>274</v>
      </c>
      <c r="L4" s="189">
        <f>6+6-16</f>
        <v>-4</v>
      </c>
      <c r="M4" s="190"/>
      <c r="N4" s="193" t="s">
        <v>275</v>
      </c>
      <c r="O4" s="187"/>
      <c r="P4" s="196"/>
      <c r="Q4" s="194"/>
      <c r="R4" s="189"/>
      <c r="S4" s="197"/>
      <c r="T4" s="193"/>
      <c r="U4" s="187"/>
      <c r="V4" s="196"/>
      <c r="W4" s="194"/>
      <c r="X4" s="189"/>
      <c r="Y4" s="197"/>
      <c r="Z4" s="193"/>
      <c r="AA4" s="187"/>
      <c r="AB4" s="196"/>
      <c r="AC4" s="194"/>
      <c r="AD4" s="189"/>
      <c r="AE4" s="197"/>
      <c r="AF4" s="193"/>
      <c r="AG4" s="187"/>
      <c r="AH4" s="196"/>
      <c r="AI4" s="194"/>
      <c r="AJ4" s="189"/>
      <c r="AK4" s="197"/>
      <c r="AL4" s="193"/>
      <c r="AM4" s="187"/>
      <c r="AN4" s="196"/>
      <c r="AO4" s="194"/>
      <c r="AP4" s="189"/>
      <c r="AQ4" s="197"/>
      <c r="AR4" s="193"/>
      <c r="AS4" s="187"/>
      <c r="AT4" s="196"/>
      <c r="AU4" s="194"/>
      <c r="AV4" s="189"/>
      <c r="AW4" s="197"/>
      <c r="AX4" s="197"/>
      <c r="AY4" s="192">
        <f>D4+G4+J4+M4+P4+S4+V4+Y4+AB4+AE4+AH4+AK4+AN4+AQ4+AT4+AW4</f>
        <v>0</v>
      </c>
      <c r="AZ4" s="197"/>
      <c r="BA4" s="191">
        <f>C4+F4+I4+L4+O4+R4+U4+X4+AA4+AD4+AG4+AJ4+AM4+AP4+AS4+AV4</f>
        <v>-4</v>
      </c>
      <c r="BB4" s="198"/>
      <c r="BC4" s="198"/>
    </row>
    <row r="5" spans="1:55" ht="23.45" customHeight="1" x14ac:dyDescent="0.2">
      <c r="A5" s="195">
        <v>42401</v>
      </c>
      <c r="B5" s="193" t="s">
        <v>276</v>
      </c>
      <c r="C5" s="187"/>
      <c r="D5" s="196">
        <v>14</v>
      </c>
      <c r="E5" s="194" t="s">
        <v>275</v>
      </c>
      <c r="F5" s="189"/>
      <c r="G5" s="197"/>
      <c r="H5" s="193" t="s">
        <v>275</v>
      </c>
      <c r="I5" s="187"/>
      <c r="J5" s="196"/>
      <c r="K5" s="194" t="s">
        <v>274</v>
      </c>
      <c r="L5" s="189">
        <f>L4+6-8</f>
        <v>-6</v>
      </c>
      <c r="M5" s="190"/>
      <c r="N5" s="193" t="s">
        <v>275</v>
      </c>
      <c r="O5" s="187"/>
      <c r="P5" s="196"/>
      <c r="Q5" s="194" t="s">
        <v>275</v>
      </c>
      <c r="R5" s="189"/>
      <c r="S5" s="197"/>
      <c r="T5" s="193" t="s">
        <v>276</v>
      </c>
      <c r="U5" s="187"/>
      <c r="V5" s="196">
        <v>18</v>
      </c>
      <c r="W5" s="194" t="s">
        <v>276</v>
      </c>
      <c r="X5" s="189"/>
      <c r="Y5" s="197">
        <v>16</v>
      </c>
      <c r="Z5" s="193" t="s">
        <v>276</v>
      </c>
      <c r="AA5" s="187"/>
      <c r="AB5" s="196">
        <v>8</v>
      </c>
      <c r="AC5" s="194" t="s">
        <v>276</v>
      </c>
      <c r="AD5" s="189"/>
      <c r="AE5" s="197">
        <v>18</v>
      </c>
      <c r="AF5" s="193" t="s">
        <v>276</v>
      </c>
      <c r="AG5" s="187"/>
      <c r="AH5" s="196">
        <v>18</v>
      </c>
      <c r="AI5" s="194" t="s">
        <v>275</v>
      </c>
      <c r="AJ5" s="189"/>
      <c r="AK5" s="197"/>
      <c r="AL5" s="193" t="s">
        <v>274</v>
      </c>
      <c r="AM5" s="187">
        <v>24</v>
      </c>
      <c r="AN5" s="196"/>
      <c r="AO5" s="194" t="s">
        <v>275</v>
      </c>
      <c r="AP5" s="189"/>
      <c r="AQ5" s="197"/>
      <c r="AR5" s="193" t="s">
        <v>275</v>
      </c>
      <c r="AS5" s="187"/>
      <c r="AT5" s="196"/>
      <c r="AU5" s="194" t="s">
        <v>276</v>
      </c>
      <c r="AV5" s="189"/>
      <c r="AW5" s="197">
        <v>12</v>
      </c>
      <c r="AX5" s="197">
        <v>7</v>
      </c>
      <c r="AY5" s="192">
        <f t="shared" ref="AY5:AY15" si="0">D5+G5+J5+M5+P5+S5+V5+Y5+AB5+AE5+AH5+AK5+AN5+AQ5+AT5+AW5</f>
        <v>104</v>
      </c>
      <c r="AZ5" s="197">
        <f>IF(AX5="","",COUNTA($B$2:$AW$2)-AX5)</f>
        <v>9</v>
      </c>
      <c r="BA5" s="191">
        <f t="shared" ref="BA5:BA15" si="1">C5+F5+I5+L5+O5+R5+U5+X5+AA5+AD5+AG5+AJ5+AM5+AP5+AS5+AV5</f>
        <v>18</v>
      </c>
      <c r="BB5" s="198">
        <f>IFERROR((COUNTIF(B5:AW5,"Normal")+COUNTIF(B5:AW5,"Comp"))/AZ5,"")</f>
        <v>1</v>
      </c>
      <c r="BC5" s="198">
        <f>IFERROR(COUNTIF(B5:AW5,"Extra")/AX5,"")</f>
        <v>1</v>
      </c>
    </row>
    <row r="6" spans="1:55" s="78" customFormat="1" ht="23.45" customHeight="1" x14ac:dyDescent="0.2">
      <c r="A6" s="195">
        <v>42430</v>
      </c>
      <c r="B6" s="193" t="s">
        <v>276</v>
      </c>
      <c r="C6" s="187"/>
      <c r="D6" s="196">
        <v>12</v>
      </c>
      <c r="E6" s="194" t="s">
        <v>275</v>
      </c>
      <c r="F6" s="189"/>
      <c r="G6" s="197"/>
      <c r="H6" s="193" t="s">
        <v>275</v>
      </c>
      <c r="I6" s="187"/>
      <c r="J6" s="196"/>
      <c r="K6" s="194" t="s">
        <v>274</v>
      </c>
      <c r="L6" s="189">
        <f>L5+6</f>
        <v>0</v>
      </c>
      <c r="M6" s="190"/>
      <c r="N6" s="193" t="s">
        <v>275</v>
      </c>
      <c r="O6" s="187"/>
      <c r="P6" s="196"/>
      <c r="Q6" s="194" t="s">
        <v>275</v>
      </c>
      <c r="R6" s="189"/>
      <c r="S6" s="197"/>
      <c r="T6" s="193" t="s">
        <v>276</v>
      </c>
      <c r="U6" s="187"/>
      <c r="V6" s="196">
        <v>12</v>
      </c>
      <c r="W6" s="194" t="s">
        <v>276</v>
      </c>
      <c r="X6" s="189"/>
      <c r="Y6" s="197">
        <v>6</v>
      </c>
      <c r="Z6" s="193" t="s">
        <v>275</v>
      </c>
      <c r="AA6" s="187"/>
      <c r="AB6" s="196"/>
      <c r="AC6" s="194" t="s">
        <v>276</v>
      </c>
      <c r="AD6" s="189"/>
      <c r="AE6" s="197">
        <v>12</v>
      </c>
      <c r="AF6" s="193" t="s">
        <v>276</v>
      </c>
      <c r="AG6" s="187"/>
      <c r="AH6" s="196">
        <v>12</v>
      </c>
      <c r="AI6" s="194" t="s">
        <v>275</v>
      </c>
      <c r="AJ6" s="189"/>
      <c r="AK6" s="197"/>
      <c r="AL6" s="193" t="s">
        <v>275</v>
      </c>
      <c r="AM6" s="187"/>
      <c r="AN6" s="196"/>
      <c r="AO6" s="194" t="s">
        <v>275</v>
      </c>
      <c r="AP6" s="189"/>
      <c r="AQ6" s="197"/>
      <c r="AR6" s="193" t="s">
        <v>275</v>
      </c>
      <c r="AS6" s="187"/>
      <c r="AT6" s="196"/>
      <c r="AU6" s="194" t="s">
        <v>275</v>
      </c>
      <c r="AV6" s="189"/>
      <c r="AW6" s="197"/>
      <c r="AX6" s="197">
        <v>5</v>
      </c>
      <c r="AY6" s="192">
        <f t="shared" si="0"/>
        <v>54</v>
      </c>
      <c r="AZ6" s="197">
        <f t="shared" ref="AZ6:AZ15" si="2">IF(AX6="","",COUNTA($B$2:$AW$2)-AX6)</f>
        <v>11</v>
      </c>
      <c r="BA6" s="191">
        <f t="shared" si="1"/>
        <v>0</v>
      </c>
      <c r="BB6" s="198">
        <f t="shared" ref="BB6:BB15" si="3">IFERROR((COUNTIF(B6:AW6,"Normal")+COUNTIF(B6:AW6,"Comp"))/AZ6,"")</f>
        <v>1</v>
      </c>
      <c r="BC6" s="198">
        <f t="shared" ref="BC6:BC15" si="4">IFERROR(COUNTIF(B6:AW6,"Extra")/AX6,"")</f>
        <v>1</v>
      </c>
    </row>
    <row r="7" spans="1:55" s="78" customFormat="1" ht="23.45" customHeight="1" x14ac:dyDescent="0.2">
      <c r="A7" s="195">
        <v>42461</v>
      </c>
      <c r="B7" s="193" t="s">
        <v>276</v>
      </c>
      <c r="C7" s="187"/>
      <c r="D7" s="196">
        <v>18</v>
      </c>
      <c r="E7" s="194" t="s">
        <v>275</v>
      </c>
      <c r="F7" s="189"/>
      <c r="G7" s="197"/>
      <c r="H7" s="193" t="s">
        <v>275</v>
      </c>
      <c r="I7" s="187"/>
      <c r="J7" s="196"/>
      <c r="K7" s="194" t="s">
        <v>275</v>
      </c>
      <c r="L7" s="189"/>
      <c r="M7" s="211"/>
      <c r="N7" s="193" t="s">
        <v>276</v>
      </c>
      <c r="O7" s="187"/>
      <c r="P7" s="196">
        <v>12</v>
      </c>
      <c r="Q7" s="194" t="s">
        <v>276</v>
      </c>
      <c r="R7" s="189"/>
      <c r="S7" s="197">
        <v>6</v>
      </c>
      <c r="T7" s="193" t="s">
        <v>276</v>
      </c>
      <c r="U7" s="187"/>
      <c r="V7" s="196">
        <v>12</v>
      </c>
      <c r="W7" s="194" t="s">
        <v>276</v>
      </c>
      <c r="X7" s="189"/>
      <c r="Y7" s="197">
        <v>6</v>
      </c>
      <c r="Z7" s="193" t="s">
        <v>275</v>
      </c>
      <c r="AA7" s="187"/>
      <c r="AB7" s="196"/>
      <c r="AC7" s="194" t="s">
        <v>276</v>
      </c>
      <c r="AD7" s="189"/>
      <c r="AE7" s="197">
        <v>12</v>
      </c>
      <c r="AF7" s="193" t="s">
        <v>276</v>
      </c>
      <c r="AG7" s="187"/>
      <c r="AH7" s="196">
        <v>18</v>
      </c>
      <c r="AI7" s="194" t="s">
        <v>275</v>
      </c>
      <c r="AJ7" s="189"/>
      <c r="AK7" s="197"/>
      <c r="AL7" s="193" t="s">
        <v>274</v>
      </c>
      <c r="AM7" s="187">
        <v>8</v>
      </c>
      <c r="AN7" s="196"/>
      <c r="AO7" s="194" t="s">
        <v>275</v>
      </c>
      <c r="AP7" s="189"/>
      <c r="AQ7" s="197"/>
      <c r="AR7" s="193" t="s">
        <v>275</v>
      </c>
      <c r="AS7" s="187"/>
      <c r="AT7" s="196"/>
      <c r="AU7" s="194" t="s">
        <v>276</v>
      </c>
      <c r="AV7" s="189"/>
      <c r="AW7" s="197">
        <v>12</v>
      </c>
      <c r="AX7" s="197">
        <v>8</v>
      </c>
      <c r="AY7" s="192">
        <f t="shared" si="0"/>
        <v>96</v>
      </c>
      <c r="AZ7" s="197">
        <f t="shared" si="2"/>
        <v>8</v>
      </c>
      <c r="BA7" s="191">
        <f t="shared" si="1"/>
        <v>8</v>
      </c>
      <c r="BB7" s="198">
        <f t="shared" si="3"/>
        <v>1</v>
      </c>
      <c r="BC7" s="198">
        <f t="shared" si="4"/>
        <v>1</v>
      </c>
    </row>
    <row r="8" spans="1:55" s="78" customFormat="1" ht="23.45" customHeight="1" x14ac:dyDescent="0.2">
      <c r="A8" s="195">
        <v>42491</v>
      </c>
      <c r="B8" s="193" t="s">
        <v>276</v>
      </c>
      <c r="C8" s="187"/>
      <c r="D8" s="196">
        <f>6+10</f>
        <v>16</v>
      </c>
      <c r="E8" s="194"/>
      <c r="F8" s="189"/>
      <c r="G8" s="197"/>
      <c r="H8" s="193"/>
      <c r="I8" s="187"/>
      <c r="J8" s="196"/>
      <c r="K8" s="194"/>
      <c r="L8" s="189"/>
      <c r="M8" s="190"/>
      <c r="N8" s="193" t="s">
        <v>276</v>
      </c>
      <c r="O8" s="187"/>
      <c r="P8" s="196">
        <v>6</v>
      </c>
      <c r="Q8" s="194"/>
      <c r="R8" s="189"/>
      <c r="S8" s="197"/>
      <c r="T8" s="193"/>
      <c r="U8" s="187"/>
      <c r="V8" s="196"/>
      <c r="W8" s="194"/>
      <c r="X8" s="189"/>
      <c r="Y8" s="197"/>
      <c r="Z8" s="193"/>
      <c r="AA8" s="187"/>
      <c r="AB8" s="196"/>
      <c r="AC8" s="194" t="s">
        <v>276</v>
      </c>
      <c r="AD8" s="189"/>
      <c r="AE8" s="197">
        <v>6</v>
      </c>
      <c r="AF8" s="193" t="s">
        <v>276</v>
      </c>
      <c r="AG8" s="187"/>
      <c r="AH8" s="196">
        <v>6</v>
      </c>
      <c r="AI8" s="194"/>
      <c r="AJ8" s="189"/>
      <c r="AK8" s="197"/>
      <c r="AL8" s="193"/>
      <c r="AM8" s="187"/>
      <c r="AN8" s="196"/>
      <c r="AO8" s="194"/>
      <c r="AP8" s="189"/>
      <c r="AQ8" s="197"/>
      <c r="AR8" s="193"/>
      <c r="AS8" s="187"/>
      <c r="AT8" s="196"/>
      <c r="AU8" s="194" t="s">
        <v>276</v>
      </c>
      <c r="AV8" s="189"/>
      <c r="AW8" s="197">
        <v>6</v>
      </c>
      <c r="AX8" s="197"/>
      <c r="AY8" s="192">
        <f t="shared" si="0"/>
        <v>40</v>
      </c>
      <c r="AZ8" s="197" t="str">
        <f t="shared" si="2"/>
        <v/>
      </c>
      <c r="BA8" s="191">
        <f t="shared" si="1"/>
        <v>0</v>
      </c>
      <c r="BB8" s="198" t="str">
        <f t="shared" si="3"/>
        <v/>
      </c>
      <c r="BC8" s="198" t="str">
        <f t="shared" si="4"/>
        <v/>
      </c>
    </row>
    <row r="9" spans="1:55" s="78" customFormat="1" ht="23.45" customHeight="1" x14ac:dyDescent="0.2">
      <c r="A9" s="195">
        <v>42522</v>
      </c>
      <c r="B9" s="193"/>
      <c r="C9" s="187"/>
      <c r="D9" s="196"/>
      <c r="E9" s="194"/>
      <c r="F9" s="189"/>
      <c r="G9" s="197"/>
      <c r="H9" s="193"/>
      <c r="I9" s="187"/>
      <c r="J9" s="196"/>
      <c r="K9" s="194"/>
      <c r="L9" s="189"/>
      <c r="M9" s="190"/>
      <c r="N9" s="193"/>
      <c r="O9" s="187"/>
      <c r="P9" s="196"/>
      <c r="Q9" s="194"/>
      <c r="R9" s="189"/>
      <c r="S9" s="197"/>
      <c r="T9" s="193"/>
      <c r="U9" s="187"/>
      <c r="V9" s="196"/>
      <c r="W9" s="194"/>
      <c r="X9" s="189"/>
      <c r="Y9" s="197"/>
      <c r="Z9" s="193"/>
      <c r="AA9" s="187"/>
      <c r="AB9" s="196"/>
      <c r="AC9" s="194"/>
      <c r="AD9" s="189"/>
      <c r="AE9" s="197"/>
      <c r="AF9" s="193"/>
      <c r="AG9" s="187"/>
      <c r="AH9" s="196"/>
      <c r="AI9" s="194"/>
      <c r="AJ9" s="189"/>
      <c r="AK9" s="197"/>
      <c r="AL9" s="193"/>
      <c r="AM9" s="187"/>
      <c r="AN9" s="196"/>
      <c r="AO9" s="194"/>
      <c r="AP9" s="189"/>
      <c r="AQ9" s="197"/>
      <c r="AR9" s="193"/>
      <c r="AS9" s="187"/>
      <c r="AT9" s="196"/>
      <c r="AU9" s="194"/>
      <c r="AV9" s="189"/>
      <c r="AW9" s="197"/>
      <c r="AX9" s="197"/>
      <c r="AY9" s="192">
        <f t="shared" si="0"/>
        <v>0</v>
      </c>
      <c r="AZ9" s="197" t="str">
        <f t="shared" si="2"/>
        <v/>
      </c>
      <c r="BA9" s="191">
        <f t="shared" si="1"/>
        <v>0</v>
      </c>
      <c r="BB9" s="198" t="str">
        <f t="shared" si="3"/>
        <v/>
      </c>
      <c r="BC9" s="198" t="str">
        <f t="shared" si="4"/>
        <v/>
      </c>
    </row>
    <row r="10" spans="1:55" s="78" customFormat="1" ht="23.45" customHeight="1" x14ac:dyDescent="0.2">
      <c r="A10" s="195">
        <v>42552</v>
      </c>
      <c r="B10" s="193"/>
      <c r="C10" s="187"/>
      <c r="D10" s="196"/>
      <c r="E10" s="194"/>
      <c r="F10" s="189"/>
      <c r="G10" s="197"/>
      <c r="H10" s="193"/>
      <c r="I10" s="187"/>
      <c r="J10" s="196"/>
      <c r="K10" s="194"/>
      <c r="L10" s="189"/>
      <c r="M10" s="190"/>
      <c r="N10" s="193"/>
      <c r="O10" s="187"/>
      <c r="P10" s="196"/>
      <c r="Q10" s="194"/>
      <c r="R10" s="189"/>
      <c r="S10" s="197"/>
      <c r="T10" s="193"/>
      <c r="U10" s="187"/>
      <c r="V10" s="196"/>
      <c r="W10" s="194"/>
      <c r="X10" s="189"/>
      <c r="Y10" s="197"/>
      <c r="Z10" s="193"/>
      <c r="AA10" s="187"/>
      <c r="AB10" s="196"/>
      <c r="AC10" s="194"/>
      <c r="AD10" s="189"/>
      <c r="AE10" s="197"/>
      <c r="AF10" s="193"/>
      <c r="AG10" s="187"/>
      <c r="AH10" s="196"/>
      <c r="AI10" s="194"/>
      <c r="AJ10" s="189"/>
      <c r="AK10" s="197"/>
      <c r="AL10" s="193"/>
      <c r="AM10" s="187"/>
      <c r="AN10" s="196"/>
      <c r="AO10" s="194"/>
      <c r="AP10" s="189"/>
      <c r="AQ10" s="197"/>
      <c r="AR10" s="193"/>
      <c r="AS10" s="187"/>
      <c r="AT10" s="196"/>
      <c r="AU10" s="194"/>
      <c r="AV10" s="189"/>
      <c r="AW10" s="197"/>
      <c r="AX10" s="197"/>
      <c r="AY10" s="192">
        <f t="shared" si="0"/>
        <v>0</v>
      </c>
      <c r="AZ10" s="197" t="str">
        <f t="shared" si="2"/>
        <v/>
      </c>
      <c r="BA10" s="191">
        <f t="shared" si="1"/>
        <v>0</v>
      </c>
      <c r="BB10" s="198" t="str">
        <f t="shared" si="3"/>
        <v/>
      </c>
      <c r="BC10" s="198" t="str">
        <f t="shared" si="4"/>
        <v/>
      </c>
    </row>
    <row r="11" spans="1:55" s="78" customFormat="1" ht="23.45" customHeight="1" x14ac:dyDescent="0.2">
      <c r="A11" s="195">
        <v>42583</v>
      </c>
      <c r="B11" s="193"/>
      <c r="C11" s="187"/>
      <c r="D11" s="196"/>
      <c r="E11" s="194"/>
      <c r="F11" s="189"/>
      <c r="G11" s="197"/>
      <c r="H11" s="193"/>
      <c r="I11" s="187"/>
      <c r="J11" s="196"/>
      <c r="K11" s="194"/>
      <c r="L11" s="189"/>
      <c r="M11" s="190"/>
      <c r="N11" s="193"/>
      <c r="O11" s="187"/>
      <c r="P11" s="196"/>
      <c r="Q11" s="194"/>
      <c r="R11" s="189"/>
      <c r="S11" s="197"/>
      <c r="T11" s="193"/>
      <c r="U11" s="187"/>
      <c r="V11" s="196"/>
      <c r="W11" s="194"/>
      <c r="X11" s="189"/>
      <c r="Y11" s="197"/>
      <c r="Z11" s="193"/>
      <c r="AA11" s="187"/>
      <c r="AB11" s="196"/>
      <c r="AC11" s="194"/>
      <c r="AD11" s="189"/>
      <c r="AE11" s="197"/>
      <c r="AF11" s="193"/>
      <c r="AG11" s="187"/>
      <c r="AH11" s="196"/>
      <c r="AI11" s="194"/>
      <c r="AJ11" s="189"/>
      <c r="AK11" s="197"/>
      <c r="AL11" s="193"/>
      <c r="AM11" s="187"/>
      <c r="AN11" s="196"/>
      <c r="AO11" s="194"/>
      <c r="AP11" s="189"/>
      <c r="AQ11" s="197"/>
      <c r="AR11" s="193"/>
      <c r="AS11" s="187"/>
      <c r="AT11" s="196"/>
      <c r="AU11" s="194"/>
      <c r="AV11" s="189"/>
      <c r="AW11" s="197"/>
      <c r="AX11" s="197"/>
      <c r="AY11" s="192">
        <f t="shared" si="0"/>
        <v>0</v>
      </c>
      <c r="AZ11" s="197" t="str">
        <f t="shared" si="2"/>
        <v/>
      </c>
      <c r="BA11" s="191">
        <f t="shared" si="1"/>
        <v>0</v>
      </c>
      <c r="BB11" s="198" t="str">
        <f t="shared" si="3"/>
        <v/>
      </c>
      <c r="BC11" s="198" t="str">
        <f t="shared" si="4"/>
        <v/>
      </c>
    </row>
    <row r="12" spans="1:55" s="78" customFormat="1" ht="23.45" customHeight="1" x14ac:dyDescent="0.2">
      <c r="A12" s="195">
        <v>42614</v>
      </c>
      <c r="B12" s="193"/>
      <c r="C12" s="187"/>
      <c r="D12" s="196"/>
      <c r="E12" s="194"/>
      <c r="F12" s="189"/>
      <c r="G12" s="197"/>
      <c r="H12" s="193"/>
      <c r="I12" s="187"/>
      <c r="J12" s="196"/>
      <c r="K12" s="194"/>
      <c r="L12" s="189"/>
      <c r="M12" s="190"/>
      <c r="N12" s="193"/>
      <c r="O12" s="187"/>
      <c r="P12" s="196"/>
      <c r="Q12" s="194"/>
      <c r="R12" s="189"/>
      <c r="S12" s="197"/>
      <c r="T12" s="193"/>
      <c r="U12" s="187"/>
      <c r="V12" s="196"/>
      <c r="W12" s="194"/>
      <c r="X12" s="189"/>
      <c r="Y12" s="197"/>
      <c r="Z12" s="193"/>
      <c r="AA12" s="187"/>
      <c r="AB12" s="196"/>
      <c r="AC12" s="194"/>
      <c r="AD12" s="189"/>
      <c r="AE12" s="197"/>
      <c r="AF12" s="193"/>
      <c r="AG12" s="187"/>
      <c r="AH12" s="196"/>
      <c r="AI12" s="194"/>
      <c r="AJ12" s="189"/>
      <c r="AK12" s="197"/>
      <c r="AL12" s="193"/>
      <c r="AM12" s="187"/>
      <c r="AN12" s="196"/>
      <c r="AO12" s="194"/>
      <c r="AP12" s="189"/>
      <c r="AQ12" s="197"/>
      <c r="AR12" s="193"/>
      <c r="AS12" s="187"/>
      <c r="AT12" s="196"/>
      <c r="AU12" s="194"/>
      <c r="AV12" s="189"/>
      <c r="AW12" s="197"/>
      <c r="AX12" s="197"/>
      <c r="AY12" s="192">
        <f t="shared" si="0"/>
        <v>0</v>
      </c>
      <c r="AZ12" s="197" t="str">
        <f t="shared" si="2"/>
        <v/>
      </c>
      <c r="BA12" s="191">
        <f t="shared" si="1"/>
        <v>0</v>
      </c>
      <c r="BB12" s="198" t="str">
        <f t="shared" si="3"/>
        <v/>
      </c>
      <c r="BC12" s="198" t="str">
        <f t="shared" si="4"/>
        <v/>
      </c>
    </row>
    <row r="13" spans="1:55" s="78" customFormat="1" ht="23.45" customHeight="1" x14ac:dyDescent="0.2">
      <c r="A13" s="195">
        <v>42644</v>
      </c>
      <c r="B13" s="193"/>
      <c r="C13" s="187"/>
      <c r="D13" s="196"/>
      <c r="E13" s="194"/>
      <c r="F13" s="189"/>
      <c r="G13" s="197"/>
      <c r="H13" s="193"/>
      <c r="I13" s="187"/>
      <c r="J13" s="196"/>
      <c r="K13" s="194"/>
      <c r="L13" s="189"/>
      <c r="M13" s="190"/>
      <c r="N13" s="193"/>
      <c r="O13" s="187"/>
      <c r="P13" s="196"/>
      <c r="Q13" s="194"/>
      <c r="R13" s="189"/>
      <c r="S13" s="197"/>
      <c r="T13" s="193"/>
      <c r="U13" s="187"/>
      <c r="V13" s="196"/>
      <c r="W13" s="194"/>
      <c r="X13" s="189"/>
      <c r="Y13" s="197"/>
      <c r="Z13" s="193"/>
      <c r="AA13" s="187"/>
      <c r="AB13" s="196"/>
      <c r="AC13" s="194"/>
      <c r="AD13" s="189"/>
      <c r="AE13" s="197"/>
      <c r="AF13" s="193"/>
      <c r="AG13" s="187"/>
      <c r="AH13" s="196"/>
      <c r="AI13" s="194"/>
      <c r="AJ13" s="189"/>
      <c r="AK13" s="197"/>
      <c r="AL13" s="193"/>
      <c r="AM13" s="187"/>
      <c r="AN13" s="196"/>
      <c r="AO13" s="194"/>
      <c r="AP13" s="189"/>
      <c r="AQ13" s="197"/>
      <c r="AR13" s="193"/>
      <c r="AS13" s="187"/>
      <c r="AT13" s="196"/>
      <c r="AU13" s="194"/>
      <c r="AV13" s="189"/>
      <c r="AW13" s="197"/>
      <c r="AX13" s="197"/>
      <c r="AY13" s="192">
        <f t="shared" si="0"/>
        <v>0</v>
      </c>
      <c r="AZ13" s="197" t="str">
        <f t="shared" si="2"/>
        <v/>
      </c>
      <c r="BA13" s="191">
        <f t="shared" si="1"/>
        <v>0</v>
      </c>
      <c r="BB13" s="198" t="str">
        <f t="shared" si="3"/>
        <v/>
      </c>
      <c r="BC13" s="198" t="str">
        <f t="shared" si="4"/>
        <v/>
      </c>
    </row>
    <row r="14" spans="1:55" s="78" customFormat="1" ht="23.45" customHeight="1" x14ac:dyDescent="0.2">
      <c r="A14" s="195">
        <v>42675</v>
      </c>
      <c r="B14" s="193"/>
      <c r="C14" s="187"/>
      <c r="D14" s="196"/>
      <c r="E14" s="194"/>
      <c r="F14" s="189"/>
      <c r="G14" s="197"/>
      <c r="H14" s="193"/>
      <c r="I14" s="187"/>
      <c r="J14" s="196"/>
      <c r="K14" s="194"/>
      <c r="L14" s="189"/>
      <c r="M14" s="190"/>
      <c r="N14" s="193"/>
      <c r="O14" s="187"/>
      <c r="P14" s="196"/>
      <c r="Q14" s="194"/>
      <c r="R14" s="189"/>
      <c r="S14" s="197"/>
      <c r="T14" s="193"/>
      <c r="U14" s="187"/>
      <c r="V14" s="196"/>
      <c r="W14" s="194"/>
      <c r="X14" s="189"/>
      <c r="Y14" s="197"/>
      <c r="Z14" s="193"/>
      <c r="AA14" s="187"/>
      <c r="AB14" s="196"/>
      <c r="AC14" s="194"/>
      <c r="AD14" s="189"/>
      <c r="AE14" s="197"/>
      <c r="AF14" s="193"/>
      <c r="AG14" s="187"/>
      <c r="AH14" s="196"/>
      <c r="AI14" s="194"/>
      <c r="AJ14" s="189"/>
      <c r="AK14" s="197"/>
      <c r="AL14" s="193"/>
      <c r="AM14" s="187"/>
      <c r="AN14" s="196"/>
      <c r="AO14" s="194"/>
      <c r="AP14" s="189"/>
      <c r="AQ14" s="197"/>
      <c r="AR14" s="193"/>
      <c r="AS14" s="187"/>
      <c r="AT14" s="196"/>
      <c r="AU14" s="194"/>
      <c r="AV14" s="189"/>
      <c r="AW14" s="197"/>
      <c r="AX14" s="197"/>
      <c r="AY14" s="192">
        <f t="shared" si="0"/>
        <v>0</v>
      </c>
      <c r="AZ14" s="197" t="str">
        <f t="shared" si="2"/>
        <v/>
      </c>
      <c r="BA14" s="191">
        <f t="shared" si="1"/>
        <v>0</v>
      </c>
      <c r="BB14" s="198" t="str">
        <f t="shared" si="3"/>
        <v/>
      </c>
      <c r="BC14" s="198" t="str">
        <f t="shared" si="4"/>
        <v/>
      </c>
    </row>
    <row r="15" spans="1:55" s="78" customFormat="1" ht="23.45" customHeight="1" x14ac:dyDescent="0.2">
      <c r="A15" s="195">
        <v>42705</v>
      </c>
      <c r="B15" s="193"/>
      <c r="C15" s="187"/>
      <c r="D15" s="196"/>
      <c r="E15" s="194"/>
      <c r="F15" s="189"/>
      <c r="G15" s="197"/>
      <c r="H15" s="193"/>
      <c r="I15" s="187"/>
      <c r="J15" s="196"/>
      <c r="K15" s="194"/>
      <c r="L15" s="189"/>
      <c r="M15" s="190"/>
      <c r="N15" s="193"/>
      <c r="O15" s="187"/>
      <c r="P15" s="196"/>
      <c r="Q15" s="194"/>
      <c r="R15" s="189"/>
      <c r="S15" s="197"/>
      <c r="T15" s="193"/>
      <c r="U15" s="187"/>
      <c r="V15" s="196"/>
      <c r="W15" s="194"/>
      <c r="X15" s="189"/>
      <c r="Y15" s="197"/>
      <c r="Z15" s="193"/>
      <c r="AA15" s="187"/>
      <c r="AB15" s="196"/>
      <c r="AC15" s="194"/>
      <c r="AD15" s="189"/>
      <c r="AE15" s="197"/>
      <c r="AF15" s="193"/>
      <c r="AG15" s="187"/>
      <c r="AH15" s="196"/>
      <c r="AI15" s="194"/>
      <c r="AJ15" s="189"/>
      <c r="AK15" s="197"/>
      <c r="AL15" s="193"/>
      <c r="AM15" s="187"/>
      <c r="AN15" s="196"/>
      <c r="AO15" s="194"/>
      <c r="AP15" s="189"/>
      <c r="AQ15" s="197"/>
      <c r="AR15" s="193"/>
      <c r="AS15" s="187"/>
      <c r="AT15" s="196"/>
      <c r="AU15" s="194"/>
      <c r="AV15" s="189"/>
      <c r="AW15" s="197"/>
      <c r="AX15" s="197"/>
      <c r="AY15" s="192">
        <f t="shared" si="0"/>
        <v>0</v>
      </c>
      <c r="AZ15" s="197" t="str">
        <f t="shared" si="2"/>
        <v/>
      </c>
      <c r="BA15" s="191">
        <f t="shared" si="1"/>
        <v>0</v>
      </c>
      <c r="BB15" s="198" t="str">
        <f t="shared" si="3"/>
        <v/>
      </c>
      <c r="BC15" s="198" t="str">
        <f t="shared" si="4"/>
        <v/>
      </c>
    </row>
    <row r="19" spans="44:44" x14ac:dyDescent="0.2">
      <c r="AR19" s="199" t="s">
        <v>154</v>
      </c>
    </row>
  </sheetData>
  <mergeCells count="22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L2:AN2"/>
    <mergeCell ref="AO2:AQ2"/>
    <mergeCell ref="AR2:AT2"/>
    <mergeCell ref="AU2:AW2"/>
    <mergeCell ref="BC2:BC3"/>
    <mergeCell ref="BB2:BB3"/>
    <mergeCell ref="AY2:AY3"/>
    <mergeCell ref="BA2:BA3"/>
    <mergeCell ref="AX2:AX3"/>
    <mergeCell ref="AZ2:AZ3"/>
  </mergeCells>
  <conditionalFormatting sqref="B4:AW15">
    <cfRule type="cellIs" dxfId="6" priority="1" operator="equal">
      <formula>"Finaliz."</formula>
    </cfRule>
    <cfRule type="cellIs" dxfId="5" priority="2" operator="equal">
      <formula>"Normal"</formula>
    </cfRule>
    <cfRule type="cellIs" dxfId="4" priority="3" operator="equal">
      <formula>"Comp"</formula>
    </cfRule>
    <cfRule type="cellIs" dxfId="3" priority="17" operator="equal">
      <formula>"Extra"</formula>
    </cfRule>
  </conditionalFormatting>
  <conditionalFormatting sqref="AZ4:AZ15 B4:AX15">
    <cfRule type="cellIs" dxfId="2" priority="15" operator="equal">
      <formula>"Ext Com"</formula>
    </cfRule>
  </conditionalFormatting>
  <conditionalFormatting sqref="BB4:BB15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{ECC2EA2D-5B9E-4DD0-9A6B-4E0518E1DAA2}</x14:id>
        </ext>
      </extLst>
    </cfRule>
    <cfRule type="cellIs" dxfId="1" priority="9" operator="equal">
      <formula>1</formula>
    </cfRule>
  </conditionalFormatting>
  <conditionalFormatting sqref="BC4:BC15">
    <cfRule type="dataBar" priority="4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{BEFE82B2-9AD6-4C87-B67B-9AE188791DF1}</x14:id>
        </ext>
      </extLst>
    </cfRule>
    <cfRule type="cellIs" dxfId="0" priority="6" operator="equal">
      <formula>1</formula>
    </cfRule>
  </conditionalFormatting>
  <dataValidations count="1">
    <dataValidation type="list" allowBlank="1" showInputMessage="1" showErrorMessage="1" sqref="E4:E15 B4:B15 K4:K15 Q4:Q15 W4:W15 AC4:AC15 AI4:AI15 AO4:AO15 AU4:AU15 H4:H15 N4:N15 T4:T15 Z4:Z15 AF4:AF15 AL4:AL15 AR4:AR15" xr:uid="{00000000-0002-0000-0E00-000000000000}">
      <formula1>"Extra,Normal,Comp,Ext Com,Finaliz."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C2EA2D-5B9E-4DD0-9A6B-4E0518E1DA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BB4:BB15</xm:sqref>
        </x14:conditionalFormatting>
        <x14:conditionalFormatting xmlns:xm="http://schemas.microsoft.com/office/excel/2006/main">
          <x14:cfRule type="dataBar" id="{BEFE82B2-9AD6-4C87-B67B-9AE188791DF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BC4:BC15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BE478"/>
  <sheetViews>
    <sheetView zoomScaleNormal="100" workbookViewId="0">
      <pane ySplit="1" topLeftCell="A2" activePane="bottomLeft" state="frozen"/>
      <selection pane="bottomLeft" activeCell="V234" sqref="V234"/>
    </sheetView>
  </sheetViews>
  <sheetFormatPr defaultRowHeight="12.75" x14ac:dyDescent="0.2"/>
  <cols>
    <col min="1" max="1" width="10.42578125" style="202" bestFit="1" customWidth="1"/>
    <col min="2" max="22" width="7.140625" style="78" customWidth="1"/>
    <col min="23" max="25" width="7.140625" customWidth="1"/>
    <col min="26" max="26" width="4.28515625" customWidth="1"/>
    <col min="27" max="27" width="10.42578125" bestFit="1" customWidth="1"/>
    <col min="49" max="49" width="9.140625" customWidth="1"/>
    <col min="53" max="53" width="10.42578125" bestFit="1" customWidth="1"/>
    <col min="56" max="57" width="8.28515625" customWidth="1"/>
    <col min="58" max="58" width="9" customWidth="1"/>
  </cols>
  <sheetData>
    <row r="1" spans="1:57" s="160" customFormat="1" ht="63.75" customHeight="1" x14ac:dyDescent="0.2">
      <c r="A1" s="169" t="s">
        <v>170</v>
      </c>
      <c r="B1" s="102" t="s">
        <v>277</v>
      </c>
      <c r="C1" s="102">
        <v>1</v>
      </c>
      <c r="D1" s="102">
        <v>2</v>
      </c>
      <c r="E1" s="102">
        <v>3</v>
      </c>
      <c r="F1" s="102">
        <v>4</v>
      </c>
      <c r="G1" s="102">
        <v>5</v>
      </c>
      <c r="H1" s="102">
        <v>6</v>
      </c>
      <c r="I1" s="102">
        <v>7</v>
      </c>
      <c r="J1" s="102">
        <v>8</v>
      </c>
      <c r="K1" s="102">
        <v>9</v>
      </c>
      <c r="L1" s="102">
        <v>10</v>
      </c>
      <c r="M1" s="102">
        <v>11</v>
      </c>
      <c r="N1" s="102">
        <v>12</v>
      </c>
      <c r="O1" s="102">
        <v>13</v>
      </c>
      <c r="P1" s="102">
        <v>14</v>
      </c>
      <c r="Q1" s="102">
        <v>15</v>
      </c>
      <c r="R1" s="102">
        <v>16</v>
      </c>
      <c r="S1" s="102">
        <v>17</v>
      </c>
      <c r="T1" s="102" t="s">
        <v>304</v>
      </c>
      <c r="U1" s="102">
        <v>18</v>
      </c>
      <c r="V1" s="102">
        <v>19</v>
      </c>
      <c r="W1" s="102" t="s">
        <v>15</v>
      </c>
      <c r="X1" s="102" t="s">
        <v>278</v>
      </c>
      <c r="Y1" s="102" t="s">
        <v>279</v>
      </c>
      <c r="AA1" s="169" t="s">
        <v>170</v>
      </c>
      <c r="AB1" s="102" t="s">
        <v>277</v>
      </c>
      <c r="AC1" s="102" t="s">
        <v>106</v>
      </c>
      <c r="AD1" s="102" t="s">
        <v>110</v>
      </c>
      <c r="AE1" s="102" t="s">
        <v>172</v>
      </c>
      <c r="AF1" s="102" t="s">
        <v>112</v>
      </c>
      <c r="AG1" s="102" t="s">
        <v>94</v>
      </c>
      <c r="AH1" s="102" t="s">
        <v>98</v>
      </c>
      <c r="AI1" s="102" t="s">
        <v>113</v>
      </c>
      <c r="AJ1" s="102" t="s">
        <v>100</v>
      </c>
      <c r="AK1" s="102" t="s">
        <v>107</v>
      </c>
      <c r="AL1" s="102" t="s">
        <v>99</v>
      </c>
      <c r="AM1" s="102" t="s">
        <v>173</v>
      </c>
      <c r="AN1" s="102" t="s">
        <v>103</v>
      </c>
      <c r="AO1" s="102" t="s">
        <v>102</v>
      </c>
      <c r="AP1" s="102" t="s">
        <v>101</v>
      </c>
      <c r="AQ1" s="102" t="s">
        <v>111</v>
      </c>
      <c r="AR1" s="102" t="s">
        <v>174</v>
      </c>
      <c r="AS1" s="102" t="s">
        <v>108</v>
      </c>
      <c r="AT1" s="102" t="s">
        <v>175</v>
      </c>
      <c r="AU1" s="102" t="s">
        <v>104</v>
      </c>
      <c r="AV1" s="102" t="s">
        <v>105</v>
      </c>
      <c r="AW1" s="102" t="s">
        <v>15</v>
      </c>
      <c r="AX1" s="102" t="s">
        <v>278</v>
      </c>
      <c r="AY1" s="102" t="s">
        <v>280</v>
      </c>
      <c r="BB1" s="102" t="s">
        <v>15</v>
      </c>
    </row>
    <row r="2" spans="1:57" hidden="1" x14ac:dyDescent="0.2">
      <c r="A2" s="202">
        <v>42259</v>
      </c>
      <c r="B2" s="78" t="s">
        <v>281</v>
      </c>
      <c r="C2" s="78" t="s">
        <v>219</v>
      </c>
      <c r="L2" s="78" t="s">
        <v>219</v>
      </c>
      <c r="W2">
        <f>AW2</f>
        <v>12</v>
      </c>
      <c r="X2">
        <f>AX2</f>
        <v>0</v>
      </c>
      <c r="Y2">
        <f>AY2</f>
        <v>0</v>
      </c>
      <c r="AA2" s="202">
        <v>42259</v>
      </c>
      <c r="AB2" s="78" t="s">
        <v>281</v>
      </c>
      <c r="AC2">
        <f>IF(C2="",0,VLOOKUP(C2,'Dados de consulta'!$H$2:$I$25,2,0))</f>
        <v>6</v>
      </c>
      <c r="AD2">
        <f>IF(D2="",0,VLOOKUP(D2,'Dados de consulta'!$H$2:$I$25,2,0))</f>
        <v>0</v>
      </c>
      <c r="AE2">
        <f>IF(E2="",0,VLOOKUP(E2,'Dados de consulta'!$H$2:$I$25,2,0))</f>
        <v>0</v>
      </c>
      <c r="AF2">
        <f>IF(F2="",0,VLOOKUP(F2,'Dados de consulta'!$H$2:$I$25,2,0))</f>
        <v>0</v>
      </c>
      <c r="AG2">
        <f>IF(G2="",0,VLOOKUP(G2,'Dados de consulta'!$H$2:$I$25,2,0))</f>
        <v>0</v>
      </c>
      <c r="AH2">
        <f>IF(H2="",0,VLOOKUP(H2,'Dados de consulta'!$H$2:$I$25,2,0))</f>
        <v>0</v>
      </c>
      <c r="AI2">
        <f>IF(I2="",0,VLOOKUP(I2,'Dados de consulta'!$H$2:$I$25,2,0))</f>
        <v>0</v>
      </c>
      <c r="AJ2">
        <f>IF(J2="",0,VLOOKUP(J2,'Dados de consulta'!$H$2:$I$25,2,0))</f>
        <v>0</v>
      </c>
      <c r="AK2">
        <f>IF(K2="",0,VLOOKUP(K2,'Dados de consulta'!$H$2:$I$25,2,0))</f>
        <v>0</v>
      </c>
      <c r="AL2">
        <f>IF(L2="",0,VLOOKUP(L2,'Dados de consulta'!$H$2:$I$25,2,0))</f>
        <v>6</v>
      </c>
      <c r="AM2">
        <f>IF(M2="",0,VLOOKUP(M2,'Dados de consulta'!$H$2:$I$25,2,0))</f>
        <v>0</v>
      </c>
      <c r="AN2">
        <f>IF(N2="",0,VLOOKUP(N2,'Dados de consulta'!$H$2:$I$25,2,0))</f>
        <v>0</v>
      </c>
      <c r="AO2">
        <f>IF(O2="",0,VLOOKUP(O2,'Dados de consulta'!$H$2:$I$25,2,0))</f>
        <v>0</v>
      </c>
      <c r="AP2">
        <f>IF(P2="",0,VLOOKUP(P2,'Dados de consulta'!$H$2:$I$25,2,0))</f>
        <v>0</v>
      </c>
      <c r="AQ2">
        <f>IF(Q2="",0,VLOOKUP(Q2,'Dados de consulta'!$H$2:$I$25,2,0))</f>
        <v>0</v>
      </c>
      <c r="AR2">
        <f>IF(R2="",0,VLOOKUP(R2,'Dados de consulta'!$H$2:$I$25,2,0))</f>
        <v>0</v>
      </c>
      <c r="AS2">
        <f>IF(S2="",0,VLOOKUP(S2,'Dados de consulta'!$H$2:$I$25,2,0))</f>
        <v>0</v>
      </c>
      <c r="AT2">
        <f>IF(T2="",0,VLOOKUP(T2,'Dados de consulta'!$H$2:$I$25,2,0))</f>
        <v>0</v>
      </c>
      <c r="AU2">
        <f>IF(U2="",0,VLOOKUP(U2,'Dados de consulta'!$H$2:$I$25,2,0))</f>
        <v>0</v>
      </c>
      <c r="AV2">
        <f>IF(V2="",0,VLOOKUP(V2,'Dados de consulta'!$H$2:$I$25,2,0))</f>
        <v>0</v>
      </c>
      <c r="AW2">
        <f>SUMIF(AC2:AV2,"&lt;"&amp;9,AC2:AV2)</f>
        <v>12</v>
      </c>
      <c r="AX2">
        <f>SUMIFS(AC2:AV2,AC2:AV2,"&gt;"&amp;8,AC2:AV2,"&lt;"&amp;19)-COUNTIFS(AC2:AV2,"&gt;"&amp;8,AC2:AV2,"&lt;"&amp;19)*10</f>
        <v>0</v>
      </c>
      <c r="AY2">
        <f>SUMIFS(AC2:AV2,AC2:AV2,"&gt;"&amp;20,AC2:AV2,"&lt;"&amp;29)-COUNTIFS(AC2:AV2,"&gt;"&amp;20,AC2:AV2,"&lt;"&amp;29)*20</f>
        <v>0</v>
      </c>
      <c r="BA2" s="27">
        <v>42248</v>
      </c>
      <c r="BB2">
        <f>SUMIFS(W:W,A:A,"&gt;="&amp;BA2,A:A,"&lt;"&amp;BA3)</f>
        <v>24</v>
      </c>
    </row>
    <row r="3" spans="1:57" hidden="1" x14ac:dyDescent="0.2">
      <c r="A3" s="202">
        <v>42260</v>
      </c>
      <c r="B3" s="78" t="s">
        <v>282</v>
      </c>
      <c r="W3">
        <f t="shared" ref="W3:W66" si="0">AW3</f>
        <v>0</v>
      </c>
      <c r="X3">
        <f t="shared" ref="X3:X66" si="1">AX3</f>
        <v>0</v>
      </c>
      <c r="Y3">
        <f t="shared" ref="Y3:Y66" si="2">AY3</f>
        <v>0</v>
      </c>
      <c r="AA3" s="202">
        <v>42260</v>
      </c>
      <c r="AB3" s="78" t="s">
        <v>282</v>
      </c>
      <c r="AC3">
        <f>IF(C3="",0,VLOOKUP(C3,'Dados de consulta'!$H$2:$I$25,2,0))</f>
        <v>0</v>
      </c>
      <c r="AD3">
        <f>IF(D3="",0,VLOOKUP(D3,'Dados de consulta'!$H$2:$I$25,2,0))</f>
        <v>0</v>
      </c>
      <c r="AE3">
        <f>IF(E3="",0,VLOOKUP(E3,'Dados de consulta'!$H$2:$I$25,2,0))</f>
        <v>0</v>
      </c>
      <c r="AF3">
        <f>IF(F3="",0,VLOOKUP(F3,'Dados de consulta'!$H$2:$I$25,2,0))</f>
        <v>0</v>
      </c>
      <c r="AG3">
        <f>IF(G3="",0,VLOOKUP(G3,'Dados de consulta'!$H$2:$I$25,2,0))</f>
        <v>0</v>
      </c>
      <c r="AH3">
        <f>IF(H3="",0,VLOOKUP(H3,'Dados de consulta'!$H$2:$I$25,2,0))</f>
        <v>0</v>
      </c>
      <c r="AI3">
        <f>IF(I3="",0,VLOOKUP(I3,'Dados de consulta'!$H$2:$I$25,2,0))</f>
        <v>0</v>
      </c>
      <c r="AJ3">
        <f>IF(J3="",0,VLOOKUP(J3,'Dados de consulta'!$H$2:$I$25,2,0))</f>
        <v>0</v>
      </c>
      <c r="AK3">
        <f>IF(K3="",0,VLOOKUP(K3,'Dados de consulta'!$H$2:$I$25,2,0))</f>
        <v>0</v>
      </c>
      <c r="AL3">
        <f>IF(L3="",0,VLOOKUP(L3,'Dados de consulta'!$H$2:$I$25,2,0))</f>
        <v>0</v>
      </c>
      <c r="AM3">
        <f>IF(M3="",0,VLOOKUP(M3,'Dados de consulta'!$H$2:$I$25,2,0))</f>
        <v>0</v>
      </c>
      <c r="AN3">
        <f>IF(N3="",0,VLOOKUP(N3,'Dados de consulta'!$H$2:$I$25,2,0))</f>
        <v>0</v>
      </c>
      <c r="AO3">
        <f>IF(O3="",0,VLOOKUP(O3,'Dados de consulta'!$H$2:$I$25,2,0))</f>
        <v>0</v>
      </c>
      <c r="AP3">
        <f>IF(P3="",0,VLOOKUP(P3,'Dados de consulta'!$H$2:$I$25,2,0))</f>
        <v>0</v>
      </c>
      <c r="AQ3">
        <f>IF(Q3="",0,VLOOKUP(Q3,'Dados de consulta'!$H$2:$I$25,2,0))</f>
        <v>0</v>
      </c>
      <c r="AR3">
        <f>IF(R3="",0,VLOOKUP(R3,'Dados de consulta'!$H$2:$I$25,2,0))</f>
        <v>0</v>
      </c>
      <c r="AS3">
        <f>IF(S3="",0,VLOOKUP(S3,'Dados de consulta'!$H$2:$I$25,2,0))</f>
        <v>0</v>
      </c>
      <c r="AT3">
        <f>IF(T3="",0,VLOOKUP(T3,'Dados de consulta'!$H$2:$I$25,2,0))</f>
        <v>0</v>
      </c>
      <c r="AU3">
        <f>IF(U3="",0,VLOOKUP(U3,'Dados de consulta'!$H$2:$I$25,2,0))</f>
        <v>0</v>
      </c>
      <c r="AV3">
        <f>IF(V3="",0,VLOOKUP(V3,'Dados de consulta'!$H$2:$I$25,2,0))</f>
        <v>0</v>
      </c>
      <c r="AW3">
        <f t="shared" ref="AW3:AW66" si="3">SUMIF(AC3:AV3,"&lt;"&amp;9,AC3:AV3)</f>
        <v>0</v>
      </c>
      <c r="AX3">
        <f t="shared" ref="AX3:AX66" si="4">SUMIFS(AC3:AV3,AC3:AV3,"&gt;"&amp;8,AC3:AV3,"&lt;"&amp;19)-COUNTIFS(AC3:AV3,"&gt;"&amp;8,AC3:AV3,"&lt;"&amp;19)*10</f>
        <v>0</v>
      </c>
      <c r="AY3">
        <f t="shared" ref="AY3:AY66" si="5">SUMIFS(AC3:AV3,AC3:AV3,"&gt;"&amp;20,AC3:AV3,"&lt;"&amp;29)-COUNTIFS(AC3:AV3,"&gt;"&amp;20,AC3:AV3,"&lt;"&amp;29)*20</f>
        <v>0</v>
      </c>
      <c r="BA3" s="27">
        <v>42278</v>
      </c>
      <c r="BB3">
        <f t="shared" ref="BB3:BB66" si="6">SUMIFS(W:W,A:A,"&gt;="&amp;BA3,A:A,"&lt;"&amp;BA4)</f>
        <v>102</v>
      </c>
    </row>
    <row r="4" spans="1:57" hidden="1" x14ac:dyDescent="0.2">
      <c r="A4" s="202">
        <v>42261</v>
      </c>
      <c r="B4" s="78" t="s">
        <v>283</v>
      </c>
      <c r="W4">
        <f t="shared" si="0"/>
        <v>0</v>
      </c>
      <c r="X4">
        <f t="shared" si="1"/>
        <v>0</v>
      </c>
      <c r="Y4">
        <f t="shared" si="2"/>
        <v>0</v>
      </c>
      <c r="AA4" s="202">
        <v>42261</v>
      </c>
      <c r="AB4" s="78" t="s">
        <v>283</v>
      </c>
      <c r="AC4">
        <f>IF(C4="",0,VLOOKUP(C4,'Dados de consulta'!$H$2:$I$25,2,0))</f>
        <v>0</v>
      </c>
      <c r="AD4">
        <f>IF(D4="",0,VLOOKUP(D4,'Dados de consulta'!$H$2:$I$25,2,0))</f>
        <v>0</v>
      </c>
      <c r="AE4">
        <f>IF(E4="",0,VLOOKUP(E4,'Dados de consulta'!$H$2:$I$25,2,0))</f>
        <v>0</v>
      </c>
      <c r="AF4">
        <f>IF(F4="",0,VLOOKUP(F4,'Dados de consulta'!$H$2:$I$25,2,0))</f>
        <v>0</v>
      </c>
      <c r="AG4">
        <f>IF(G4="",0,VLOOKUP(G4,'Dados de consulta'!$H$2:$I$25,2,0))</f>
        <v>0</v>
      </c>
      <c r="AH4">
        <f>IF(H4="",0,VLOOKUP(H4,'Dados de consulta'!$H$2:$I$25,2,0))</f>
        <v>0</v>
      </c>
      <c r="AI4">
        <f>IF(I4="",0,VLOOKUP(I4,'Dados de consulta'!$H$2:$I$25,2,0))</f>
        <v>0</v>
      </c>
      <c r="AJ4">
        <f>IF(J4="",0,VLOOKUP(J4,'Dados de consulta'!$H$2:$I$25,2,0))</f>
        <v>0</v>
      </c>
      <c r="AK4">
        <f>IF(K4="",0,VLOOKUP(K4,'Dados de consulta'!$H$2:$I$25,2,0))</f>
        <v>0</v>
      </c>
      <c r="AL4">
        <f>IF(L4="",0,VLOOKUP(L4,'Dados de consulta'!$H$2:$I$25,2,0))</f>
        <v>0</v>
      </c>
      <c r="AM4">
        <f>IF(M4="",0,VLOOKUP(M4,'Dados de consulta'!$H$2:$I$25,2,0))</f>
        <v>0</v>
      </c>
      <c r="AN4">
        <f>IF(N4="",0,VLOOKUP(N4,'Dados de consulta'!$H$2:$I$25,2,0))</f>
        <v>0</v>
      </c>
      <c r="AO4">
        <f>IF(O4="",0,VLOOKUP(O4,'Dados de consulta'!$H$2:$I$25,2,0))</f>
        <v>0</v>
      </c>
      <c r="AP4">
        <f>IF(P4="",0,VLOOKUP(P4,'Dados de consulta'!$H$2:$I$25,2,0))</f>
        <v>0</v>
      </c>
      <c r="AQ4">
        <f>IF(Q4="",0,VLOOKUP(Q4,'Dados de consulta'!$H$2:$I$25,2,0))</f>
        <v>0</v>
      </c>
      <c r="AR4">
        <f>IF(R4="",0,VLOOKUP(R4,'Dados de consulta'!$H$2:$I$25,2,0))</f>
        <v>0</v>
      </c>
      <c r="AS4">
        <f>IF(S4="",0,VLOOKUP(S4,'Dados de consulta'!$H$2:$I$25,2,0))</f>
        <v>0</v>
      </c>
      <c r="AT4">
        <f>IF(T4="",0,VLOOKUP(T4,'Dados de consulta'!$H$2:$I$25,2,0))</f>
        <v>0</v>
      </c>
      <c r="AU4">
        <f>IF(U4="",0,VLOOKUP(U4,'Dados de consulta'!$H$2:$I$25,2,0))</f>
        <v>0</v>
      </c>
      <c r="AV4">
        <f>IF(V4="",0,VLOOKUP(V4,'Dados de consulta'!$H$2:$I$25,2,0))</f>
        <v>0</v>
      </c>
      <c r="AW4">
        <f t="shared" si="3"/>
        <v>0</v>
      </c>
      <c r="AX4">
        <f t="shared" si="4"/>
        <v>0</v>
      </c>
      <c r="AY4">
        <f t="shared" si="5"/>
        <v>0</v>
      </c>
      <c r="BA4" s="27">
        <v>42309</v>
      </c>
      <c r="BB4">
        <f t="shared" si="6"/>
        <v>174</v>
      </c>
    </row>
    <row r="5" spans="1:57" hidden="1" x14ac:dyDescent="0.2">
      <c r="A5" s="202">
        <v>42262</v>
      </c>
      <c r="B5" s="78" t="s">
        <v>284</v>
      </c>
      <c r="W5">
        <f t="shared" si="0"/>
        <v>0</v>
      </c>
      <c r="X5">
        <f t="shared" si="1"/>
        <v>0</v>
      </c>
      <c r="Y5">
        <f t="shared" si="2"/>
        <v>0</v>
      </c>
      <c r="AA5" s="202">
        <v>42262</v>
      </c>
      <c r="AB5" s="78" t="s">
        <v>284</v>
      </c>
      <c r="AC5">
        <f>IF(C5="",0,VLOOKUP(C5,'Dados de consulta'!$H$2:$I$25,2,0))</f>
        <v>0</v>
      </c>
      <c r="AD5">
        <f>IF(D5="",0,VLOOKUP(D5,'Dados de consulta'!$H$2:$I$25,2,0))</f>
        <v>0</v>
      </c>
      <c r="AE5">
        <f>IF(E5="",0,VLOOKUP(E5,'Dados de consulta'!$H$2:$I$25,2,0))</f>
        <v>0</v>
      </c>
      <c r="AF5">
        <f>IF(F5="",0,VLOOKUP(F5,'Dados de consulta'!$H$2:$I$25,2,0))</f>
        <v>0</v>
      </c>
      <c r="AG5">
        <f>IF(G5="",0,VLOOKUP(G5,'Dados de consulta'!$H$2:$I$25,2,0))</f>
        <v>0</v>
      </c>
      <c r="AH5">
        <f>IF(H5="",0,VLOOKUP(H5,'Dados de consulta'!$H$2:$I$25,2,0))</f>
        <v>0</v>
      </c>
      <c r="AI5">
        <f>IF(I5="",0,VLOOKUP(I5,'Dados de consulta'!$H$2:$I$25,2,0))</f>
        <v>0</v>
      </c>
      <c r="AJ5">
        <f>IF(J5="",0,VLOOKUP(J5,'Dados de consulta'!$H$2:$I$25,2,0))</f>
        <v>0</v>
      </c>
      <c r="AK5">
        <f>IF(K5="",0,VLOOKUP(K5,'Dados de consulta'!$H$2:$I$25,2,0))</f>
        <v>0</v>
      </c>
      <c r="AL5">
        <f>IF(L5="",0,VLOOKUP(L5,'Dados de consulta'!$H$2:$I$25,2,0))</f>
        <v>0</v>
      </c>
      <c r="AM5">
        <f>IF(M5="",0,VLOOKUP(M5,'Dados de consulta'!$H$2:$I$25,2,0))</f>
        <v>0</v>
      </c>
      <c r="AN5">
        <f>IF(N5="",0,VLOOKUP(N5,'Dados de consulta'!$H$2:$I$25,2,0))</f>
        <v>0</v>
      </c>
      <c r="AO5">
        <f>IF(O5="",0,VLOOKUP(O5,'Dados de consulta'!$H$2:$I$25,2,0))</f>
        <v>0</v>
      </c>
      <c r="AP5">
        <f>IF(P5="",0,VLOOKUP(P5,'Dados de consulta'!$H$2:$I$25,2,0))</f>
        <v>0</v>
      </c>
      <c r="AQ5">
        <f>IF(Q5="",0,VLOOKUP(Q5,'Dados de consulta'!$H$2:$I$25,2,0))</f>
        <v>0</v>
      </c>
      <c r="AR5">
        <f>IF(R5="",0,VLOOKUP(R5,'Dados de consulta'!$H$2:$I$25,2,0))</f>
        <v>0</v>
      </c>
      <c r="AS5">
        <f>IF(S5="",0,VLOOKUP(S5,'Dados de consulta'!$H$2:$I$25,2,0))</f>
        <v>0</v>
      </c>
      <c r="AT5">
        <f>IF(T5="",0,VLOOKUP(T5,'Dados de consulta'!$H$2:$I$25,2,0))</f>
        <v>0</v>
      </c>
      <c r="AU5">
        <f>IF(U5="",0,VLOOKUP(U5,'Dados de consulta'!$H$2:$I$25,2,0))</f>
        <v>0</v>
      </c>
      <c r="AV5">
        <f>IF(V5="",0,VLOOKUP(V5,'Dados de consulta'!$H$2:$I$25,2,0))</f>
        <v>0</v>
      </c>
      <c r="AW5">
        <f t="shared" si="3"/>
        <v>0</v>
      </c>
      <c r="AX5">
        <f t="shared" si="4"/>
        <v>0</v>
      </c>
      <c r="AY5">
        <f t="shared" si="5"/>
        <v>0</v>
      </c>
      <c r="BA5" s="27">
        <v>42339</v>
      </c>
      <c r="BB5">
        <f t="shared" si="6"/>
        <v>78</v>
      </c>
    </row>
    <row r="6" spans="1:57" hidden="1" x14ac:dyDescent="0.2">
      <c r="A6" s="202">
        <v>42263</v>
      </c>
      <c r="B6" s="78" t="s">
        <v>285</v>
      </c>
      <c r="W6">
        <f t="shared" si="0"/>
        <v>0</v>
      </c>
      <c r="X6">
        <f t="shared" si="1"/>
        <v>0</v>
      </c>
      <c r="Y6">
        <f t="shared" si="2"/>
        <v>0</v>
      </c>
      <c r="AA6" s="202">
        <v>42263</v>
      </c>
      <c r="AB6" s="78" t="s">
        <v>285</v>
      </c>
      <c r="AC6">
        <f>IF(C6="",0,VLOOKUP(C6,'Dados de consulta'!$H$2:$I$25,2,0))</f>
        <v>0</v>
      </c>
      <c r="AD6">
        <f>IF(D6="",0,VLOOKUP(D6,'Dados de consulta'!$H$2:$I$25,2,0))</f>
        <v>0</v>
      </c>
      <c r="AE6">
        <f>IF(E6="",0,VLOOKUP(E6,'Dados de consulta'!$H$2:$I$25,2,0))</f>
        <v>0</v>
      </c>
      <c r="AF6">
        <f>IF(F6="",0,VLOOKUP(F6,'Dados de consulta'!$H$2:$I$25,2,0))</f>
        <v>0</v>
      </c>
      <c r="AG6">
        <f>IF(G6="",0,VLOOKUP(G6,'Dados de consulta'!$H$2:$I$25,2,0))</f>
        <v>0</v>
      </c>
      <c r="AH6">
        <f>IF(H6="",0,VLOOKUP(H6,'Dados de consulta'!$H$2:$I$25,2,0))</f>
        <v>0</v>
      </c>
      <c r="AI6">
        <f>IF(I6="",0,VLOOKUP(I6,'Dados de consulta'!$H$2:$I$25,2,0))</f>
        <v>0</v>
      </c>
      <c r="AJ6">
        <f>IF(J6="",0,VLOOKUP(J6,'Dados de consulta'!$H$2:$I$25,2,0))</f>
        <v>0</v>
      </c>
      <c r="AK6">
        <f>IF(K6="",0,VLOOKUP(K6,'Dados de consulta'!$H$2:$I$25,2,0))</f>
        <v>0</v>
      </c>
      <c r="AL6">
        <f>IF(L6="",0,VLOOKUP(L6,'Dados de consulta'!$H$2:$I$25,2,0))</f>
        <v>0</v>
      </c>
      <c r="AM6">
        <f>IF(M6="",0,VLOOKUP(M6,'Dados de consulta'!$H$2:$I$25,2,0))</f>
        <v>0</v>
      </c>
      <c r="AN6">
        <f>IF(N6="",0,VLOOKUP(N6,'Dados de consulta'!$H$2:$I$25,2,0))</f>
        <v>0</v>
      </c>
      <c r="AO6">
        <f>IF(O6="",0,VLOOKUP(O6,'Dados de consulta'!$H$2:$I$25,2,0))</f>
        <v>0</v>
      </c>
      <c r="AP6">
        <f>IF(P6="",0,VLOOKUP(P6,'Dados de consulta'!$H$2:$I$25,2,0))</f>
        <v>0</v>
      </c>
      <c r="AQ6">
        <f>IF(Q6="",0,VLOOKUP(Q6,'Dados de consulta'!$H$2:$I$25,2,0))</f>
        <v>0</v>
      </c>
      <c r="AR6">
        <f>IF(R6="",0,VLOOKUP(R6,'Dados de consulta'!$H$2:$I$25,2,0))</f>
        <v>0</v>
      </c>
      <c r="AS6">
        <f>IF(S6="",0,VLOOKUP(S6,'Dados de consulta'!$H$2:$I$25,2,0))</f>
        <v>0</v>
      </c>
      <c r="AT6">
        <f>IF(T6="",0,VLOOKUP(T6,'Dados de consulta'!$H$2:$I$25,2,0))</f>
        <v>0</v>
      </c>
      <c r="AU6">
        <f>IF(U6="",0,VLOOKUP(U6,'Dados de consulta'!$H$2:$I$25,2,0))</f>
        <v>0</v>
      </c>
      <c r="AV6">
        <f>IF(V6="",0,VLOOKUP(V6,'Dados de consulta'!$H$2:$I$25,2,0))</f>
        <v>0</v>
      </c>
      <c r="AW6">
        <f t="shared" si="3"/>
        <v>0</v>
      </c>
      <c r="AX6">
        <f t="shared" si="4"/>
        <v>0</v>
      </c>
      <c r="AY6">
        <f t="shared" si="5"/>
        <v>0</v>
      </c>
      <c r="BA6" s="27">
        <v>42370</v>
      </c>
      <c r="BB6">
        <f t="shared" si="6"/>
        <v>72</v>
      </c>
    </row>
    <row r="7" spans="1:57" hidden="1" x14ac:dyDescent="0.2">
      <c r="A7" s="202">
        <v>42264</v>
      </c>
      <c r="B7" s="78" t="s">
        <v>286</v>
      </c>
      <c r="W7">
        <f t="shared" si="0"/>
        <v>0</v>
      </c>
      <c r="X7">
        <f t="shared" si="1"/>
        <v>0</v>
      </c>
      <c r="Y7">
        <f t="shared" si="2"/>
        <v>0</v>
      </c>
      <c r="AA7" s="202">
        <v>42264</v>
      </c>
      <c r="AB7" s="78" t="s">
        <v>286</v>
      </c>
      <c r="AC7">
        <f>IF(C7="",0,VLOOKUP(C7,'Dados de consulta'!$H$2:$I$25,2,0))</f>
        <v>0</v>
      </c>
      <c r="AD7">
        <f>IF(D7="",0,VLOOKUP(D7,'Dados de consulta'!$H$2:$I$25,2,0))</f>
        <v>0</v>
      </c>
      <c r="AE7">
        <f>IF(E7="",0,VLOOKUP(E7,'Dados de consulta'!$H$2:$I$25,2,0))</f>
        <v>0</v>
      </c>
      <c r="AF7">
        <f>IF(F7="",0,VLOOKUP(F7,'Dados de consulta'!$H$2:$I$25,2,0))</f>
        <v>0</v>
      </c>
      <c r="AG7">
        <f>IF(G7="",0,VLOOKUP(G7,'Dados de consulta'!$H$2:$I$25,2,0))</f>
        <v>0</v>
      </c>
      <c r="AH7">
        <f>IF(H7="",0,VLOOKUP(H7,'Dados de consulta'!$H$2:$I$25,2,0))</f>
        <v>0</v>
      </c>
      <c r="AI7">
        <f>IF(I7="",0,VLOOKUP(I7,'Dados de consulta'!$H$2:$I$25,2,0))</f>
        <v>0</v>
      </c>
      <c r="AJ7">
        <f>IF(J7="",0,VLOOKUP(J7,'Dados de consulta'!$H$2:$I$25,2,0))</f>
        <v>0</v>
      </c>
      <c r="AK7">
        <f>IF(K7="",0,VLOOKUP(K7,'Dados de consulta'!$H$2:$I$25,2,0))</f>
        <v>0</v>
      </c>
      <c r="AL7">
        <f>IF(L7="",0,VLOOKUP(L7,'Dados de consulta'!$H$2:$I$25,2,0))</f>
        <v>0</v>
      </c>
      <c r="AM7">
        <f>IF(M7="",0,VLOOKUP(M7,'Dados de consulta'!$H$2:$I$25,2,0))</f>
        <v>0</v>
      </c>
      <c r="AN7">
        <f>IF(N7="",0,VLOOKUP(N7,'Dados de consulta'!$H$2:$I$25,2,0))</f>
        <v>0</v>
      </c>
      <c r="AO7">
        <f>IF(O7="",0,VLOOKUP(O7,'Dados de consulta'!$H$2:$I$25,2,0))</f>
        <v>0</v>
      </c>
      <c r="AP7">
        <f>IF(P7="",0,VLOOKUP(P7,'Dados de consulta'!$H$2:$I$25,2,0))</f>
        <v>0</v>
      </c>
      <c r="AQ7">
        <f>IF(Q7="",0,VLOOKUP(Q7,'Dados de consulta'!$H$2:$I$25,2,0))</f>
        <v>0</v>
      </c>
      <c r="AR7">
        <f>IF(R7="",0,VLOOKUP(R7,'Dados de consulta'!$H$2:$I$25,2,0))</f>
        <v>0</v>
      </c>
      <c r="AS7">
        <f>IF(S7="",0,VLOOKUP(S7,'Dados de consulta'!$H$2:$I$25,2,0))</f>
        <v>0</v>
      </c>
      <c r="AT7">
        <f>IF(T7="",0,VLOOKUP(T7,'Dados de consulta'!$H$2:$I$25,2,0))</f>
        <v>0</v>
      </c>
      <c r="AU7">
        <f>IF(U7="",0,VLOOKUP(U7,'Dados de consulta'!$H$2:$I$25,2,0))</f>
        <v>0</v>
      </c>
      <c r="AV7">
        <f>IF(V7="",0,VLOOKUP(V7,'Dados de consulta'!$H$2:$I$25,2,0))</f>
        <v>0</v>
      </c>
      <c r="AW7">
        <f t="shared" si="3"/>
        <v>0</v>
      </c>
      <c r="AX7">
        <f t="shared" si="4"/>
        <v>0</v>
      </c>
      <c r="AY7">
        <f t="shared" si="5"/>
        <v>0</v>
      </c>
      <c r="BA7" s="27">
        <v>42401</v>
      </c>
      <c r="BB7">
        <f t="shared" si="6"/>
        <v>100</v>
      </c>
    </row>
    <row r="8" spans="1:57" hidden="1" x14ac:dyDescent="0.2">
      <c r="A8" s="202">
        <v>42265</v>
      </c>
      <c r="B8" s="78" t="s">
        <v>287</v>
      </c>
      <c r="W8">
        <f t="shared" si="0"/>
        <v>0</v>
      </c>
      <c r="X8">
        <f t="shared" si="1"/>
        <v>0</v>
      </c>
      <c r="Y8">
        <f t="shared" si="2"/>
        <v>0</v>
      </c>
      <c r="AA8" s="202">
        <v>42265</v>
      </c>
      <c r="AB8" s="78" t="s">
        <v>287</v>
      </c>
      <c r="AC8">
        <f>IF(C8="",0,VLOOKUP(C8,'Dados de consulta'!$H$2:$I$25,2,0))</f>
        <v>0</v>
      </c>
      <c r="AD8">
        <f>IF(D8="",0,VLOOKUP(D8,'Dados de consulta'!$H$2:$I$25,2,0))</f>
        <v>0</v>
      </c>
      <c r="AE8">
        <f>IF(E8="",0,VLOOKUP(E8,'Dados de consulta'!$H$2:$I$25,2,0))</f>
        <v>0</v>
      </c>
      <c r="AF8">
        <f>IF(F8="",0,VLOOKUP(F8,'Dados de consulta'!$H$2:$I$25,2,0))</f>
        <v>0</v>
      </c>
      <c r="AG8">
        <f>IF(G8="",0,VLOOKUP(G8,'Dados de consulta'!$H$2:$I$25,2,0))</f>
        <v>0</v>
      </c>
      <c r="AH8">
        <f>IF(H8="",0,VLOOKUP(H8,'Dados de consulta'!$H$2:$I$25,2,0))</f>
        <v>0</v>
      </c>
      <c r="AI8">
        <f>IF(I8="",0,VLOOKUP(I8,'Dados de consulta'!$H$2:$I$25,2,0))</f>
        <v>0</v>
      </c>
      <c r="AJ8">
        <f>IF(J8="",0,VLOOKUP(J8,'Dados de consulta'!$H$2:$I$25,2,0))</f>
        <v>0</v>
      </c>
      <c r="AK8">
        <f>IF(K8="",0,VLOOKUP(K8,'Dados de consulta'!$H$2:$I$25,2,0))</f>
        <v>0</v>
      </c>
      <c r="AL8">
        <f>IF(L8="",0,VLOOKUP(L8,'Dados de consulta'!$H$2:$I$25,2,0))</f>
        <v>0</v>
      </c>
      <c r="AM8">
        <f>IF(M8="",0,VLOOKUP(M8,'Dados de consulta'!$H$2:$I$25,2,0))</f>
        <v>0</v>
      </c>
      <c r="AN8">
        <f>IF(N8="",0,VLOOKUP(N8,'Dados de consulta'!$H$2:$I$25,2,0))</f>
        <v>0</v>
      </c>
      <c r="AO8">
        <f>IF(O8="",0,VLOOKUP(O8,'Dados de consulta'!$H$2:$I$25,2,0))</f>
        <v>0</v>
      </c>
      <c r="AP8">
        <f>IF(P8="",0,VLOOKUP(P8,'Dados de consulta'!$H$2:$I$25,2,0))</f>
        <v>0</v>
      </c>
      <c r="AQ8">
        <f>IF(Q8="",0,VLOOKUP(Q8,'Dados de consulta'!$H$2:$I$25,2,0))</f>
        <v>0</v>
      </c>
      <c r="AR8">
        <f>IF(R8="",0,VLOOKUP(R8,'Dados de consulta'!$H$2:$I$25,2,0))</f>
        <v>0</v>
      </c>
      <c r="AS8">
        <f>IF(S8="",0,VLOOKUP(S8,'Dados de consulta'!$H$2:$I$25,2,0))</f>
        <v>0</v>
      </c>
      <c r="AT8">
        <f>IF(T8="",0,VLOOKUP(T8,'Dados de consulta'!$H$2:$I$25,2,0))</f>
        <v>0</v>
      </c>
      <c r="AU8">
        <f>IF(U8="",0,VLOOKUP(U8,'Dados de consulta'!$H$2:$I$25,2,0))</f>
        <v>0</v>
      </c>
      <c r="AV8">
        <f>IF(V8="",0,VLOOKUP(V8,'Dados de consulta'!$H$2:$I$25,2,0))</f>
        <v>0</v>
      </c>
      <c r="AW8">
        <f t="shared" si="3"/>
        <v>0</v>
      </c>
      <c r="AX8">
        <f t="shared" si="4"/>
        <v>0</v>
      </c>
      <c r="AY8">
        <f t="shared" si="5"/>
        <v>0</v>
      </c>
      <c r="BA8" s="27">
        <v>42430</v>
      </c>
      <c r="BB8">
        <f t="shared" si="6"/>
        <v>54</v>
      </c>
    </row>
    <row r="9" spans="1:57" hidden="1" x14ac:dyDescent="0.2">
      <c r="A9" s="202">
        <v>42266</v>
      </c>
      <c r="B9" s="78" t="s">
        <v>281</v>
      </c>
      <c r="W9">
        <f t="shared" si="0"/>
        <v>0</v>
      </c>
      <c r="X9">
        <f t="shared" si="1"/>
        <v>0</v>
      </c>
      <c r="Y9">
        <f t="shared" si="2"/>
        <v>0</v>
      </c>
      <c r="AA9" s="202">
        <v>42266</v>
      </c>
      <c r="AB9" s="78" t="s">
        <v>281</v>
      </c>
      <c r="AC9">
        <f>IF(C9="",0,VLOOKUP(C9,'Dados de consulta'!$H$2:$I$25,2,0))</f>
        <v>0</v>
      </c>
      <c r="AD9">
        <f>IF(D9="",0,VLOOKUP(D9,'Dados de consulta'!$H$2:$I$25,2,0))</f>
        <v>0</v>
      </c>
      <c r="AE9">
        <f>IF(E9="",0,VLOOKUP(E9,'Dados de consulta'!$H$2:$I$25,2,0))</f>
        <v>0</v>
      </c>
      <c r="AF9">
        <f>IF(F9="",0,VLOOKUP(F9,'Dados de consulta'!$H$2:$I$25,2,0))</f>
        <v>0</v>
      </c>
      <c r="AG9">
        <f>IF(G9="",0,VLOOKUP(G9,'Dados de consulta'!$H$2:$I$25,2,0))</f>
        <v>0</v>
      </c>
      <c r="AH9">
        <f>IF(H9="",0,VLOOKUP(H9,'Dados de consulta'!$H$2:$I$25,2,0))</f>
        <v>0</v>
      </c>
      <c r="AI9">
        <f>IF(I9="",0,VLOOKUP(I9,'Dados de consulta'!$H$2:$I$25,2,0))</f>
        <v>0</v>
      </c>
      <c r="AJ9">
        <f>IF(J9="",0,VLOOKUP(J9,'Dados de consulta'!$H$2:$I$25,2,0))</f>
        <v>0</v>
      </c>
      <c r="AK9">
        <f>IF(K9="",0,VLOOKUP(K9,'Dados de consulta'!$H$2:$I$25,2,0))</f>
        <v>0</v>
      </c>
      <c r="AL9">
        <f>IF(L9="",0,VLOOKUP(L9,'Dados de consulta'!$H$2:$I$25,2,0))</f>
        <v>0</v>
      </c>
      <c r="AM9">
        <f>IF(M9="",0,VLOOKUP(M9,'Dados de consulta'!$H$2:$I$25,2,0))</f>
        <v>0</v>
      </c>
      <c r="AN9">
        <f>IF(N9="",0,VLOOKUP(N9,'Dados de consulta'!$H$2:$I$25,2,0))</f>
        <v>0</v>
      </c>
      <c r="AO9">
        <f>IF(O9="",0,VLOOKUP(O9,'Dados de consulta'!$H$2:$I$25,2,0))</f>
        <v>0</v>
      </c>
      <c r="AP9">
        <f>IF(P9="",0,VLOOKUP(P9,'Dados de consulta'!$H$2:$I$25,2,0))</f>
        <v>0</v>
      </c>
      <c r="AQ9">
        <f>IF(Q9="",0,VLOOKUP(Q9,'Dados de consulta'!$H$2:$I$25,2,0))</f>
        <v>0</v>
      </c>
      <c r="AR9">
        <f>IF(R9="",0,VLOOKUP(R9,'Dados de consulta'!$H$2:$I$25,2,0))</f>
        <v>0</v>
      </c>
      <c r="AS9">
        <f>IF(S9="",0,VLOOKUP(S9,'Dados de consulta'!$H$2:$I$25,2,0))</f>
        <v>0</v>
      </c>
      <c r="AT9">
        <f>IF(T9="",0,VLOOKUP(T9,'Dados de consulta'!$H$2:$I$25,2,0))</f>
        <v>0</v>
      </c>
      <c r="AU9">
        <f>IF(U9="",0,VLOOKUP(U9,'Dados de consulta'!$H$2:$I$25,2,0))</f>
        <v>0</v>
      </c>
      <c r="AV9">
        <f>IF(V9="",0,VLOOKUP(V9,'Dados de consulta'!$H$2:$I$25,2,0))</f>
        <v>0</v>
      </c>
      <c r="AW9">
        <f t="shared" si="3"/>
        <v>0</v>
      </c>
      <c r="AX9">
        <f t="shared" si="4"/>
        <v>0</v>
      </c>
      <c r="AY9">
        <f t="shared" si="5"/>
        <v>0</v>
      </c>
      <c r="BA9" s="27">
        <v>42461</v>
      </c>
      <c r="BB9">
        <f t="shared" si="6"/>
        <v>84</v>
      </c>
    </row>
    <row r="10" spans="1:57" hidden="1" x14ac:dyDescent="0.2">
      <c r="A10" s="202">
        <v>42267</v>
      </c>
      <c r="B10" s="78" t="s">
        <v>282</v>
      </c>
      <c r="W10">
        <f t="shared" si="0"/>
        <v>0</v>
      </c>
      <c r="X10">
        <f t="shared" si="1"/>
        <v>0</v>
      </c>
      <c r="Y10">
        <f t="shared" si="2"/>
        <v>0</v>
      </c>
      <c r="AA10" s="202">
        <v>42267</v>
      </c>
      <c r="AB10" s="78" t="s">
        <v>282</v>
      </c>
      <c r="AC10">
        <f>IF(C10="",0,VLOOKUP(C10,'Dados de consulta'!$H$2:$I$25,2,0))</f>
        <v>0</v>
      </c>
      <c r="AD10">
        <f>IF(D10="",0,VLOOKUP(D10,'Dados de consulta'!$H$2:$I$25,2,0))</f>
        <v>0</v>
      </c>
      <c r="AE10">
        <f>IF(E10="",0,VLOOKUP(E10,'Dados de consulta'!$H$2:$I$25,2,0))</f>
        <v>0</v>
      </c>
      <c r="AF10">
        <f>IF(F10="",0,VLOOKUP(F10,'Dados de consulta'!$H$2:$I$25,2,0))</f>
        <v>0</v>
      </c>
      <c r="AG10">
        <f>IF(G10="",0,VLOOKUP(G10,'Dados de consulta'!$H$2:$I$25,2,0))</f>
        <v>0</v>
      </c>
      <c r="AH10">
        <f>IF(H10="",0,VLOOKUP(H10,'Dados de consulta'!$H$2:$I$25,2,0))</f>
        <v>0</v>
      </c>
      <c r="AI10">
        <f>IF(I10="",0,VLOOKUP(I10,'Dados de consulta'!$H$2:$I$25,2,0))</f>
        <v>0</v>
      </c>
      <c r="AJ10">
        <f>IF(J10="",0,VLOOKUP(J10,'Dados de consulta'!$H$2:$I$25,2,0))</f>
        <v>0</v>
      </c>
      <c r="AK10">
        <f>IF(K10="",0,VLOOKUP(K10,'Dados de consulta'!$H$2:$I$25,2,0))</f>
        <v>0</v>
      </c>
      <c r="AL10">
        <f>IF(L10="",0,VLOOKUP(L10,'Dados de consulta'!$H$2:$I$25,2,0))</f>
        <v>0</v>
      </c>
      <c r="AM10">
        <f>IF(M10="",0,VLOOKUP(M10,'Dados de consulta'!$H$2:$I$25,2,0))</f>
        <v>0</v>
      </c>
      <c r="AN10">
        <f>IF(N10="",0,VLOOKUP(N10,'Dados de consulta'!$H$2:$I$25,2,0))</f>
        <v>0</v>
      </c>
      <c r="AO10">
        <f>IF(O10="",0,VLOOKUP(O10,'Dados de consulta'!$H$2:$I$25,2,0))</f>
        <v>0</v>
      </c>
      <c r="AP10">
        <f>IF(P10="",0,VLOOKUP(P10,'Dados de consulta'!$H$2:$I$25,2,0))</f>
        <v>0</v>
      </c>
      <c r="AQ10">
        <f>IF(Q10="",0,VLOOKUP(Q10,'Dados de consulta'!$H$2:$I$25,2,0))</f>
        <v>0</v>
      </c>
      <c r="AR10">
        <f>IF(R10="",0,VLOOKUP(R10,'Dados de consulta'!$H$2:$I$25,2,0))</f>
        <v>0</v>
      </c>
      <c r="AS10">
        <f>IF(S10="",0,VLOOKUP(S10,'Dados de consulta'!$H$2:$I$25,2,0))</f>
        <v>0</v>
      </c>
      <c r="AT10">
        <f>IF(T10="",0,VLOOKUP(T10,'Dados de consulta'!$H$2:$I$25,2,0))</f>
        <v>0</v>
      </c>
      <c r="AU10">
        <f>IF(U10="",0,VLOOKUP(U10,'Dados de consulta'!$H$2:$I$25,2,0))</f>
        <v>0</v>
      </c>
      <c r="AV10">
        <f>IF(V10="",0,VLOOKUP(V10,'Dados de consulta'!$H$2:$I$25,2,0))</f>
        <v>0</v>
      </c>
      <c r="AW10">
        <f t="shared" si="3"/>
        <v>0</v>
      </c>
      <c r="AX10">
        <f t="shared" si="4"/>
        <v>0</v>
      </c>
      <c r="AY10">
        <f t="shared" si="5"/>
        <v>0</v>
      </c>
      <c r="BA10" s="27">
        <v>42491</v>
      </c>
      <c r="BB10">
        <f t="shared" si="6"/>
        <v>40</v>
      </c>
    </row>
    <row r="11" spans="1:57" hidden="1" x14ac:dyDescent="0.2">
      <c r="A11" s="202">
        <v>42268</v>
      </c>
      <c r="B11" s="78" t="s">
        <v>283</v>
      </c>
      <c r="W11">
        <f t="shared" si="0"/>
        <v>0</v>
      </c>
      <c r="X11">
        <f t="shared" si="1"/>
        <v>0</v>
      </c>
      <c r="Y11">
        <f t="shared" si="2"/>
        <v>0</v>
      </c>
      <c r="AA11" s="202">
        <v>42268</v>
      </c>
      <c r="AB11" s="78" t="s">
        <v>283</v>
      </c>
      <c r="AC11">
        <f>IF(C11="",0,VLOOKUP(C11,'Dados de consulta'!$H$2:$I$25,2,0))</f>
        <v>0</v>
      </c>
      <c r="AD11">
        <f>IF(D11="",0,VLOOKUP(D11,'Dados de consulta'!$H$2:$I$25,2,0))</f>
        <v>0</v>
      </c>
      <c r="AE11">
        <f>IF(E11="",0,VLOOKUP(E11,'Dados de consulta'!$H$2:$I$25,2,0))</f>
        <v>0</v>
      </c>
      <c r="AF11">
        <f>IF(F11="",0,VLOOKUP(F11,'Dados de consulta'!$H$2:$I$25,2,0))</f>
        <v>0</v>
      </c>
      <c r="AG11">
        <f>IF(G11="",0,VLOOKUP(G11,'Dados de consulta'!$H$2:$I$25,2,0))</f>
        <v>0</v>
      </c>
      <c r="AH11">
        <f>IF(H11="",0,VLOOKUP(H11,'Dados de consulta'!$H$2:$I$25,2,0))</f>
        <v>0</v>
      </c>
      <c r="AI11">
        <f>IF(I11="",0,VLOOKUP(I11,'Dados de consulta'!$H$2:$I$25,2,0))</f>
        <v>0</v>
      </c>
      <c r="AJ11">
        <f>IF(J11="",0,VLOOKUP(J11,'Dados de consulta'!$H$2:$I$25,2,0))</f>
        <v>0</v>
      </c>
      <c r="AK11">
        <f>IF(K11="",0,VLOOKUP(K11,'Dados de consulta'!$H$2:$I$25,2,0))</f>
        <v>0</v>
      </c>
      <c r="AL11">
        <f>IF(L11="",0,VLOOKUP(L11,'Dados de consulta'!$H$2:$I$25,2,0))</f>
        <v>0</v>
      </c>
      <c r="AM11">
        <f>IF(M11="",0,VLOOKUP(M11,'Dados de consulta'!$H$2:$I$25,2,0))</f>
        <v>0</v>
      </c>
      <c r="AN11">
        <f>IF(N11="",0,VLOOKUP(N11,'Dados de consulta'!$H$2:$I$25,2,0))</f>
        <v>0</v>
      </c>
      <c r="AO11">
        <f>IF(O11="",0,VLOOKUP(O11,'Dados de consulta'!$H$2:$I$25,2,0))</f>
        <v>0</v>
      </c>
      <c r="AP11">
        <f>IF(P11="",0,VLOOKUP(P11,'Dados de consulta'!$H$2:$I$25,2,0))</f>
        <v>0</v>
      </c>
      <c r="AQ11">
        <f>IF(Q11="",0,VLOOKUP(Q11,'Dados de consulta'!$H$2:$I$25,2,0))</f>
        <v>0</v>
      </c>
      <c r="AR11">
        <f>IF(R11="",0,VLOOKUP(R11,'Dados de consulta'!$H$2:$I$25,2,0))</f>
        <v>0</v>
      </c>
      <c r="AS11">
        <f>IF(S11="",0,VLOOKUP(S11,'Dados de consulta'!$H$2:$I$25,2,0))</f>
        <v>0</v>
      </c>
      <c r="AT11">
        <f>IF(T11="",0,VLOOKUP(T11,'Dados de consulta'!$H$2:$I$25,2,0))</f>
        <v>0</v>
      </c>
      <c r="AU11">
        <f>IF(U11="",0,VLOOKUP(U11,'Dados de consulta'!$H$2:$I$25,2,0))</f>
        <v>0</v>
      </c>
      <c r="AV11">
        <f>IF(V11="",0,VLOOKUP(V11,'Dados de consulta'!$H$2:$I$25,2,0))</f>
        <v>0</v>
      </c>
      <c r="AW11">
        <f t="shared" si="3"/>
        <v>0</v>
      </c>
      <c r="AX11">
        <f t="shared" si="4"/>
        <v>0</v>
      </c>
      <c r="AY11">
        <f t="shared" si="5"/>
        <v>0</v>
      </c>
      <c r="BA11" s="27">
        <v>42522</v>
      </c>
      <c r="BB11">
        <f t="shared" si="6"/>
        <v>0</v>
      </c>
    </row>
    <row r="12" spans="1:57" hidden="1" x14ac:dyDescent="0.2">
      <c r="A12" s="202">
        <v>42269</v>
      </c>
      <c r="B12" s="78" t="s">
        <v>284</v>
      </c>
      <c r="W12">
        <f t="shared" si="0"/>
        <v>0</v>
      </c>
      <c r="X12">
        <f t="shared" si="1"/>
        <v>0</v>
      </c>
      <c r="Y12">
        <f t="shared" si="2"/>
        <v>0</v>
      </c>
      <c r="AA12" s="202">
        <v>42269</v>
      </c>
      <c r="AB12" s="78" t="s">
        <v>284</v>
      </c>
      <c r="AC12">
        <f>IF(C12="",0,VLOOKUP(C12,'Dados de consulta'!$H$2:$I$25,2,0))</f>
        <v>0</v>
      </c>
      <c r="AD12">
        <f>IF(D12="",0,VLOOKUP(D12,'Dados de consulta'!$H$2:$I$25,2,0))</f>
        <v>0</v>
      </c>
      <c r="AE12">
        <f>IF(E12="",0,VLOOKUP(E12,'Dados de consulta'!$H$2:$I$25,2,0))</f>
        <v>0</v>
      </c>
      <c r="AF12">
        <f>IF(F12="",0,VLOOKUP(F12,'Dados de consulta'!$H$2:$I$25,2,0))</f>
        <v>0</v>
      </c>
      <c r="AG12">
        <f>IF(G12="",0,VLOOKUP(G12,'Dados de consulta'!$H$2:$I$25,2,0))</f>
        <v>0</v>
      </c>
      <c r="AH12">
        <f>IF(H12="",0,VLOOKUP(H12,'Dados de consulta'!$H$2:$I$25,2,0))</f>
        <v>0</v>
      </c>
      <c r="AI12">
        <f>IF(I12="",0,VLOOKUP(I12,'Dados de consulta'!$H$2:$I$25,2,0))</f>
        <v>0</v>
      </c>
      <c r="AJ12">
        <f>IF(J12="",0,VLOOKUP(J12,'Dados de consulta'!$H$2:$I$25,2,0))</f>
        <v>0</v>
      </c>
      <c r="AK12">
        <f>IF(K12="",0,VLOOKUP(K12,'Dados de consulta'!$H$2:$I$25,2,0))</f>
        <v>0</v>
      </c>
      <c r="AL12">
        <f>IF(L12="",0,VLOOKUP(L12,'Dados de consulta'!$H$2:$I$25,2,0))</f>
        <v>0</v>
      </c>
      <c r="AM12">
        <f>IF(M12="",0,VLOOKUP(M12,'Dados de consulta'!$H$2:$I$25,2,0))</f>
        <v>0</v>
      </c>
      <c r="AN12">
        <f>IF(N12="",0,VLOOKUP(N12,'Dados de consulta'!$H$2:$I$25,2,0))</f>
        <v>0</v>
      </c>
      <c r="AO12">
        <f>IF(O12="",0,VLOOKUP(O12,'Dados de consulta'!$H$2:$I$25,2,0))</f>
        <v>0</v>
      </c>
      <c r="AP12">
        <f>IF(P12="",0,VLOOKUP(P12,'Dados de consulta'!$H$2:$I$25,2,0))</f>
        <v>0</v>
      </c>
      <c r="AQ12">
        <f>IF(Q12="",0,VLOOKUP(Q12,'Dados de consulta'!$H$2:$I$25,2,0))</f>
        <v>0</v>
      </c>
      <c r="AR12">
        <f>IF(R12="",0,VLOOKUP(R12,'Dados de consulta'!$H$2:$I$25,2,0))</f>
        <v>0</v>
      </c>
      <c r="AS12">
        <f>IF(S12="",0,VLOOKUP(S12,'Dados de consulta'!$H$2:$I$25,2,0))</f>
        <v>0</v>
      </c>
      <c r="AT12">
        <f>IF(T12="",0,VLOOKUP(T12,'Dados de consulta'!$H$2:$I$25,2,0))</f>
        <v>0</v>
      </c>
      <c r="AU12">
        <f>IF(U12="",0,VLOOKUP(U12,'Dados de consulta'!$H$2:$I$25,2,0))</f>
        <v>0</v>
      </c>
      <c r="AV12">
        <f>IF(V12="",0,VLOOKUP(V12,'Dados de consulta'!$H$2:$I$25,2,0))</f>
        <v>0</v>
      </c>
      <c r="AW12">
        <f t="shared" si="3"/>
        <v>0</v>
      </c>
      <c r="AX12">
        <f t="shared" si="4"/>
        <v>0</v>
      </c>
      <c r="AY12">
        <f t="shared" si="5"/>
        <v>0</v>
      </c>
      <c r="BA12" s="27">
        <v>42552</v>
      </c>
      <c r="BB12">
        <f t="shared" si="6"/>
        <v>0</v>
      </c>
    </row>
    <row r="13" spans="1:57" hidden="1" x14ac:dyDescent="0.2">
      <c r="A13" s="202">
        <v>42270</v>
      </c>
      <c r="B13" s="78" t="s">
        <v>285</v>
      </c>
      <c r="W13">
        <f t="shared" si="0"/>
        <v>0</v>
      </c>
      <c r="X13">
        <f t="shared" si="1"/>
        <v>0</v>
      </c>
      <c r="Y13">
        <f t="shared" si="2"/>
        <v>0</v>
      </c>
      <c r="AA13" s="202">
        <v>42270</v>
      </c>
      <c r="AB13" s="78" t="s">
        <v>285</v>
      </c>
      <c r="AC13">
        <f>IF(C13="",0,VLOOKUP(C13,'Dados de consulta'!$H$2:$I$25,2,0))</f>
        <v>0</v>
      </c>
      <c r="AD13">
        <f>IF(D13="",0,VLOOKUP(D13,'Dados de consulta'!$H$2:$I$25,2,0))</f>
        <v>0</v>
      </c>
      <c r="AE13">
        <f>IF(E13="",0,VLOOKUP(E13,'Dados de consulta'!$H$2:$I$25,2,0))</f>
        <v>0</v>
      </c>
      <c r="AF13">
        <f>IF(F13="",0,VLOOKUP(F13,'Dados de consulta'!$H$2:$I$25,2,0))</f>
        <v>0</v>
      </c>
      <c r="AG13">
        <f>IF(G13="",0,VLOOKUP(G13,'Dados de consulta'!$H$2:$I$25,2,0))</f>
        <v>0</v>
      </c>
      <c r="AH13">
        <f>IF(H13="",0,VLOOKUP(H13,'Dados de consulta'!$H$2:$I$25,2,0))</f>
        <v>0</v>
      </c>
      <c r="AI13">
        <f>IF(I13="",0,VLOOKUP(I13,'Dados de consulta'!$H$2:$I$25,2,0))</f>
        <v>0</v>
      </c>
      <c r="AJ13">
        <f>IF(J13="",0,VLOOKUP(J13,'Dados de consulta'!$H$2:$I$25,2,0))</f>
        <v>0</v>
      </c>
      <c r="AK13">
        <f>IF(K13="",0,VLOOKUP(K13,'Dados de consulta'!$H$2:$I$25,2,0))</f>
        <v>0</v>
      </c>
      <c r="AL13">
        <f>IF(L13="",0,VLOOKUP(L13,'Dados de consulta'!$H$2:$I$25,2,0))</f>
        <v>0</v>
      </c>
      <c r="AM13">
        <f>IF(M13="",0,VLOOKUP(M13,'Dados de consulta'!$H$2:$I$25,2,0))</f>
        <v>0</v>
      </c>
      <c r="AN13">
        <f>IF(N13="",0,VLOOKUP(N13,'Dados de consulta'!$H$2:$I$25,2,0))</f>
        <v>0</v>
      </c>
      <c r="AO13">
        <f>IF(O13="",0,VLOOKUP(O13,'Dados de consulta'!$H$2:$I$25,2,0))</f>
        <v>0</v>
      </c>
      <c r="AP13">
        <f>IF(P13="",0,VLOOKUP(P13,'Dados de consulta'!$H$2:$I$25,2,0))</f>
        <v>0</v>
      </c>
      <c r="AQ13">
        <f>IF(Q13="",0,VLOOKUP(Q13,'Dados de consulta'!$H$2:$I$25,2,0))</f>
        <v>0</v>
      </c>
      <c r="AR13">
        <f>IF(R13="",0,VLOOKUP(R13,'Dados de consulta'!$H$2:$I$25,2,0))</f>
        <v>0</v>
      </c>
      <c r="AS13">
        <f>IF(S13="",0,VLOOKUP(S13,'Dados de consulta'!$H$2:$I$25,2,0))</f>
        <v>0</v>
      </c>
      <c r="AT13">
        <f>IF(T13="",0,VLOOKUP(T13,'Dados de consulta'!$H$2:$I$25,2,0))</f>
        <v>0</v>
      </c>
      <c r="AU13">
        <f>IF(U13="",0,VLOOKUP(U13,'Dados de consulta'!$H$2:$I$25,2,0))</f>
        <v>0</v>
      </c>
      <c r="AV13">
        <f>IF(V13="",0,VLOOKUP(V13,'Dados de consulta'!$H$2:$I$25,2,0))</f>
        <v>0</v>
      </c>
      <c r="AW13">
        <f t="shared" si="3"/>
        <v>0</v>
      </c>
      <c r="AX13">
        <f t="shared" si="4"/>
        <v>0</v>
      </c>
      <c r="AY13">
        <f t="shared" si="5"/>
        <v>0</v>
      </c>
      <c r="BA13" s="27">
        <v>42583</v>
      </c>
      <c r="BB13">
        <f t="shared" si="6"/>
        <v>0</v>
      </c>
    </row>
    <row r="14" spans="1:57" hidden="1" x14ac:dyDescent="0.2">
      <c r="A14" s="202">
        <v>42271</v>
      </c>
      <c r="B14" s="78" t="s">
        <v>286</v>
      </c>
      <c r="W14">
        <f t="shared" si="0"/>
        <v>0</v>
      </c>
      <c r="X14">
        <f t="shared" si="1"/>
        <v>0</v>
      </c>
      <c r="Y14">
        <f t="shared" si="2"/>
        <v>0</v>
      </c>
      <c r="AA14" s="202">
        <v>42271</v>
      </c>
      <c r="AB14" s="78" t="s">
        <v>286</v>
      </c>
      <c r="AC14">
        <f>IF(C14="",0,VLOOKUP(C14,'Dados de consulta'!$H$2:$I$25,2,0))</f>
        <v>0</v>
      </c>
      <c r="AD14">
        <f>IF(D14="",0,VLOOKUP(D14,'Dados de consulta'!$H$2:$I$25,2,0))</f>
        <v>0</v>
      </c>
      <c r="AE14">
        <f>IF(E14="",0,VLOOKUP(E14,'Dados de consulta'!$H$2:$I$25,2,0))</f>
        <v>0</v>
      </c>
      <c r="AF14">
        <f>IF(F14="",0,VLOOKUP(F14,'Dados de consulta'!$H$2:$I$25,2,0))</f>
        <v>0</v>
      </c>
      <c r="AG14">
        <f>IF(G14="",0,VLOOKUP(G14,'Dados de consulta'!$H$2:$I$25,2,0))</f>
        <v>0</v>
      </c>
      <c r="AH14">
        <f>IF(H14="",0,VLOOKUP(H14,'Dados de consulta'!$H$2:$I$25,2,0))</f>
        <v>0</v>
      </c>
      <c r="AI14">
        <f>IF(I14="",0,VLOOKUP(I14,'Dados de consulta'!$H$2:$I$25,2,0))</f>
        <v>0</v>
      </c>
      <c r="AJ14">
        <f>IF(J14="",0,VLOOKUP(J14,'Dados de consulta'!$H$2:$I$25,2,0))</f>
        <v>0</v>
      </c>
      <c r="AK14">
        <f>IF(K14="",0,VLOOKUP(K14,'Dados de consulta'!$H$2:$I$25,2,0))</f>
        <v>0</v>
      </c>
      <c r="AL14">
        <f>IF(L14="",0,VLOOKUP(L14,'Dados de consulta'!$H$2:$I$25,2,0))</f>
        <v>0</v>
      </c>
      <c r="AM14">
        <f>IF(M14="",0,VLOOKUP(M14,'Dados de consulta'!$H$2:$I$25,2,0))</f>
        <v>0</v>
      </c>
      <c r="AN14">
        <f>IF(N14="",0,VLOOKUP(N14,'Dados de consulta'!$H$2:$I$25,2,0))</f>
        <v>0</v>
      </c>
      <c r="AO14">
        <f>IF(O14="",0,VLOOKUP(O14,'Dados de consulta'!$H$2:$I$25,2,0))</f>
        <v>0</v>
      </c>
      <c r="AP14">
        <f>IF(P14="",0,VLOOKUP(P14,'Dados de consulta'!$H$2:$I$25,2,0))</f>
        <v>0</v>
      </c>
      <c r="AQ14">
        <f>IF(Q14="",0,VLOOKUP(Q14,'Dados de consulta'!$H$2:$I$25,2,0))</f>
        <v>0</v>
      </c>
      <c r="AR14">
        <f>IF(R14="",0,VLOOKUP(R14,'Dados de consulta'!$H$2:$I$25,2,0))</f>
        <v>0</v>
      </c>
      <c r="AS14">
        <f>IF(S14="",0,VLOOKUP(S14,'Dados de consulta'!$H$2:$I$25,2,0))</f>
        <v>0</v>
      </c>
      <c r="AT14">
        <f>IF(T14="",0,VLOOKUP(T14,'Dados de consulta'!$H$2:$I$25,2,0))</f>
        <v>0</v>
      </c>
      <c r="AU14">
        <f>IF(U14="",0,VLOOKUP(U14,'Dados de consulta'!$H$2:$I$25,2,0))</f>
        <v>0</v>
      </c>
      <c r="AV14">
        <f>IF(V14="",0,VLOOKUP(V14,'Dados de consulta'!$H$2:$I$25,2,0))</f>
        <v>0</v>
      </c>
      <c r="AW14">
        <f t="shared" si="3"/>
        <v>0</v>
      </c>
      <c r="AX14">
        <f t="shared" si="4"/>
        <v>0</v>
      </c>
      <c r="AY14">
        <f t="shared" si="5"/>
        <v>0</v>
      </c>
      <c r="BA14" s="27">
        <v>42614</v>
      </c>
      <c r="BB14">
        <f t="shared" si="6"/>
        <v>0</v>
      </c>
    </row>
    <row r="15" spans="1:57" hidden="1" x14ac:dyDescent="0.2">
      <c r="A15" s="202">
        <v>42272</v>
      </c>
      <c r="B15" s="78" t="s">
        <v>287</v>
      </c>
      <c r="W15">
        <f t="shared" si="0"/>
        <v>0</v>
      </c>
      <c r="X15">
        <f t="shared" si="1"/>
        <v>0</v>
      </c>
      <c r="Y15">
        <f t="shared" si="2"/>
        <v>0</v>
      </c>
      <c r="AA15" s="202">
        <v>42272</v>
      </c>
      <c r="AB15" s="78" t="s">
        <v>287</v>
      </c>
      <c r="AC15">
        <f>IF(C15="",0,VLOOKUP(C15,'Dados de consulta'!$H$2:$I$25,2,0))</f>
        <v>0</v>
      </c>
      <c r="AD15">
        <f>IF(D15="",0,VLOOKUP(D15,'Dados de consulta'!$H$2:$I$25,2,0))</f>
        <v>0</v>
      </c>
      <c r="AE15">
        <f>IF(E15="",0,VLOOKUP(E15,'Dados de consulta'!$H$2:$I$25,2,0))</f>
        <v>0</v>
      </c>
      <c r="AF15">
        <f>IF(F15="",0,VLOOKUP(F15,'Dados de consulta'!$H$2:$I$25,2,0))</f>
        <v>0</v>
      </c>
      <c r="AG15">
        <f>IF(G15="",0,VLOOKUP(G15,'Dados de consulta'!$H$2:$I$25,2,0))</f>
        <v>0</v>
      </c>
      <c r="AH15">
        <f>IF(H15="",0,VLOOKUP(H15,'Dados de consulta'!$H$2:$I$25,2,0))</f>
        <v>0</v>
      </c>
      <c r="AI15">
        <f>IF(I15="",0,VLOOKUP(I15,'Dados de consulta'!$H$2:$I$25,2,0))</f>
        <v>0</v>
      </c>
      <c r="AJ15">
        <f>IF(J15="",0,VLOOKUP(J15,'Dados de consulta'!$H$2:$I$25,2,0))</f>
        <v>0</v>
      </c>
      <c r="AK15">
        <f>IF(K15="",0,VLOOKUP(K15,'Dados de consulta'!$H$2:$I$25,2,0))</f>
        <v>0</v>
      </c>
      <c r="AL15">
        <f>IF(L15="",0,VLOOKUP(L15,'Dados de consulta'!$H$2:$I$25,2,0))</f>
        <v>0</v>
      </c>
      <c r="AM15">
        <f>IF(M15="",0,VLOOKUP(M15,'Dados de consulta'!$H$2:$I$25,2,0))</f>
        <v>0</v>
      </c>
      <c r="AN15">
        <f>IF(N15="",0,VLOOKUP(N15,'Dados de consulta'!$H$2:$I$25,2,0))</f>
        <v>0</v>
      </c>
      <c r="AO15">
        <f>IF(O15="",0,VLOOKUP(O15,'Dados de consulta'!$H$2:$I$25,2,0))</f>
        <v>0</v>
      </c>
      <c r="AP15">
        <f>IF(P15="",0,VLOOKUP(P15,'Dados de consulta'!$H$2:$I$25,2,0))</f>
        <v>0</v>
      </c>
      <c r="AQ15">
        <f>IF(Q15="",0,VLOOKUP(Q15,'Dados de consulta'!$H$2:$I$25,2,0))</f>
        <v>0</v>
      </c>
      <c r="AR15">
        <f>IF(R15="",0,VLOOKUP(R15,'Dados de consulta'!$H$2:$I$25,2,0))</f>
        <v>0</v>
      </c>
      <c r="AS15">
        <f>IF(S15="",0,VLOOKUP(S15,'Dados de consulta'!$H$2:$I$25,2,0))</f>
        <v>0</v>
      </c>
      <c r="AT15">
        <f>IF(T15="",0,VLOOKUP(T15,'Dados de consulta'!$H$2:$I$25,2,0))</f>
        <v>0</v>
      </c>
      <c r="AU15">
        <f>IF(U15="",0,VLOOKUP(U15,'Dados de consulta'!$H$2:$I$25,2,0))</f>
        <v>0</v>
      </c>
      <c r="AV15">
        <f>IF(V15="",0,VLOOKUP(V15,'Dados de consulta'!$H$2:$I$25,2,0))</f>
        <v>0</v>
      </c>
      <c r="AW15">
        <f t="shared" si="3"/>
        <v>0</v>
      </c>
      <c r="AX15">
        <f t="shared" si="4"/>
        <v>0</v>
      </c>
      <c r="AY15">
        <f t="shared" si="5"/>
        <v>0</v>
      </c>
      <c r="BA15" s="27">
        <v>42644</v>
      </c>
      <c r="BB15">
        <f t="shared" si="6"/>
        <v>0</v>
      </c>
      <c r="BD15" s="159"/>
      <c r="BE15" s="159"/>
    </row>
    <row r="16" spans="1:57" hidden="1" x14ac:dyDescent="0.2">
      <c r="A16" s="202">
        <v>42273</v>
      </c>
      <c r="B16" s="78" t="s">
        <v>281</v>
      </c>
      <c r="C16" s="78" t="s">
        <v>219</v>
      </c>
      <c r="L16" s="78" t="s">
        <v>219</v>
      </c>
      <c r="W16">
        <f t="shared" si="0"/>
        <v>12</v>
      </c>
      <c r="X16">
        <f t="shared" si="1"/>
        <v>0</v>
      </c>
      <c r="Y16">
        <f t="shared" si="2"/>
        <v>0</v>
      </c>
      <c r="AA16" s="202">
        <v>42273</v>
      </c>
      <c r="AB16" s="78" t="s">
        <v>281</v>
      </c>
      <c r="AC16">
        <f>IF(C16="",0,VLOOKUP(C16,'Dados de consulta'!$H$2:$I$25,2,0))</f>
        <v>6</v>
      </c>
      <c r="AD16">
        <f>IF(D16="",0,VLOOKUP(D16,'Dados de consulta'!$H$2:$I$25,2,0))</f>
        <v>0</v>
      </c>
      <c r="AE16">
        <f>IF(E16="",0,VLOOKUP(E16,'Dados de consulta'!$H$2:$I$25,2,0))</f>
        <v>0</v>
      </c>
      <c r="AF16">
        <f>IF(F16="",0,VLOOKUP(F16,'Dados de consulta'!$H$2:$I$25,2,0))</f>
        <v>0</v>
      </c>
      <c r="AG16">
        <f>IF(G16="",0,VLOOKUP(G16,'Dados de consulta'!$H$2:$I$25,2,0))</f>
        <v>0</v>
      </c>
      <c r="AH16">
        <f>IF(H16="",0,VLOOKUP(H16,'Dados de consulta'!$H$2:$I$25,2,0))</f>
        <v>0</v>
      </c>
      <c r="AI16">
        <f>IF(I16="",0,VLOOKUP(I16,'Dados de consulta'!$H$2:$I$25,2,0))</f>
        <v>0</v>
      </c>
      <c r="AJ16">
        <f>IF(J16="",0,VLOOKUP(J16,'Dados de consulta'!$H$2:$I$25,2,0))</f>
        <v>0</v>
      </c>
      <c r="AK16">
        <f>IF(K16="",0,VLOOKUP(K16,'Dados de consulta'!$H$2:$I$25,2,0))</f>
        <v>0</v>
      </c>
      <c r="AL16">
        <f>IF(L16="",0,VLOOKUP(L16,'Dados de consulta'!$H$2:$I$25,2,0))</f>
        <v>6</v>
      </c>
      <c r="AM16">
        <f>IF(M16="",0,VLOOKUP(M16,'Dados de consulta'!$H$2:$I$25,2,0))</f>
        <v>0</v>
      </c>
      <c r="AN16">
        <f>IF(N16="",0,VLOOKUP(N16,'Dados de consulta'!$H$2:$I$25,2,0))</f>
        <v>0</v>
      </c>
      <c r="AO16">
        <f>IF(O16="",0,VLOOKUP(O16,'Dados de consulta'!$H$2:$I$25,2,0))</f>
        <v>0</v>
      </c>
      <c r="AP16">
        <f>IF(P16="",0,VLOOKUP(P16,'Dados de consulta'!$H$2:$I$25,2,0))</f>
        <v>0</v>
      </c>
      <c r="AQ16">
        <f>IF(Q16="",0,VLOOKUP(Q16,'Dados de consulta'!$H$2:$I$25,2,0))</f>
        <v>0</v>
      </c>
      <c r="AR16">
        <f>IF(R16="",0,VLOOKUP(R16,'Dados de consulta'!$H$2:$I$25,2,0))</f>
        <v>0</v>
      </c>
      <c r="AS16">
        <f>IF(S16="",0,VLOOKUP(S16,'Dados de consulta'!$H$2:$I$25,2,0))</f>
        <v>0</v>
      </c>
      <c r="AT16">
        <f>IF(T16="",0,VLOOKUP(T16,'Dados de consulta'!$H$2:$I$25,2,0))</f>
        <v>0</v>
      </c>
      <c r="AU16">
        <f>IF(U16="",0,VLOOKUP(U16,'Dados de consulta'!$H$2:$I$25,2,0))</f>
        <v>0</v>
      </c>
      <c r="AV16">
        <f>IF(V16="",0,VLOOKUP(V16,'Dados de consulta'!$H$2:$I$25,2,0))</f>
        <v>0</v>
      </c>
      <c r="AW16">
        <f t="shared" si="3"/>
        <v>12</v>
      </c>
      <c r="AX16">
        <f t="shared" si="4"/>
        <v>0</v>
      </c>
      <c r="AY16">
        <f t="shared" si="5"/>
        <v>0</v>
      </c>
      <c r="BA16" s="27">
        <v>42675</v>
      </c>
      <c r="BB16">
        <f t="shared" si="6"/>
        <v>0</v>
      </c>
    </row>
    <row r="17" spans="1:54" hidden="1" x14ac:dyDescent="0.2">
      <c r="A17" s="202">
        <v>42274</v>
      </c>
      <c r="B17" s="78" t="s">
        <v>282</v>
      </c>
      <c r="W17">
        <f t="shared" si="0"/>
        <v>0</v>
      </c>
      <c r="X17">
        <f t="shared" si="1"/>
        <v>0</v>
      </c>
      <c r="Y17">
        <f t="shared" si="2"/>
        <v>0</v>
      </c>
      <c r="AA17" s="202">
        <v>42274</v>
      </c>
      <c r="AB17" s="78" t="s">
        <v>282</v>
      </c>
      <c r="AC17">
        <f>IF(C17="",0,VLOOKUP(C17,'Dados de consulta'!$H$2:$I$25,2,0))</f>
        <v>0</v>
      </c>
      <c r="AD17">
        <f>IF(D17="",0,VLOOKUP(D17,'Dados de consulta'!$H$2:$I$25,2,0))</f>
        <v>0</v>
      </c>
      <c r="AE17">
        <f>IF(E17="",0,VLOOKUP(E17,'Dados de consulta'!$H$2:$I$25,2,0))</f>
        <v>0</v>
      </c>
      <c r="AF17">
        <f>IF(F17="",0,VLOOKUP(F17,'Dados de consulta'!$H$2:$I$25,2,0))</f>
        <v>0</v>
      </c>
      <c r="AG17">
        <f>IF(G17="",0,VLOOKUP(G17,'Dados de consulta'!$H$2:$I$25,2,0))</f>
        <v>0</v>
      </c>
      <c r="AH17">
        <f>IF(H17="",0,VLOOKUP(H17,'Dados de consulta'!$H$2:$I$25,2,0))</f>
        <v>0</v>
      </c>
      <c r="AI17">
        <f>IF(I17="",0,VLOOKUP(I17,'Dados de consulta'!$H$2:$I$25,2,0))</f>
        <v>0</v>
      </c>
      <c r="AJ17">
        <f>IF(J17="",0,VLOOKUP(J17,'Dados de consulta'!$H$2:$I$25,2,0))</f>
        <v>0</v>
      </c>
      <c r="AK17">
        <f>IF(K17="",0,VLOOKUP(K17,'Dados de consulta'!$H$2:$I$25,2,0))</f>
        <v>0</v>
      </c>
      <c r="AL17">
        <f>IF(L17="",0,VLOOKUP(L17,'Dados de consulta'!$H$2:$I$25,2,0))</f>
        <v>0</v>
      </c>
      <c r="AM17">
        <f>IF(M17="",0,VLOOKUP(M17,'Dados de consulta'!$H$2:$I$25,2,0))</f>
        <v>0</v>
      </c>
      <c r="AN17">
        <f>IF(N17="",0,VLOOKUP(N17,'Dados de consulta'!$H$2:$I$25,2,0))</f>
        <v>0</v>
      </c>
      <c r="AO17">
        <f>IF(O17="",0,VLOOKUP(O17,'Dados de consulta'!$H$2:$I$25,2,0))</f>
        <v>0</v>
      </c>
      <c r="AP17">
        <f>IF(P17="",0,VLOOKUP(P17,'Dados de consulta'!$H$2:$I$25,2,0))</f>
        <v>0</v>
      </c>
      <c r="AQ17">
        <f>IF(Q17="",0,VLOOKUP(Q17,'Dados de consulta'!$H$2:$I$25,2,0))</f>
        <v>0</v>
      </c>
      <c r="AR17">
        <f>IF(R17="",0,VLOOKUP(R17,'Dados de consulta'!$H$2:$I$25,2,0))</f>
        <v>0</v>
      </c>
      <c r="AS17">
        <f>IF(S17="",0,VLOOKUP(S17,'Dados de consulta'!$H$2:$I$25,2,0))</f>
        <v>0</v>
      </c>
      <c r="AT17">
        <f>IF(T17="",0,VLOOKUP(T17,'Dados de consulta'!$H$2:$I$25,2,0))</f>
        <v>0</v>
      </c>
      <c r="AU17">
        <f>IF(U17="",0,VLOOKUP(U17,'Dados de consulta'!$H$2:$I$25,2,0))</f>
        <v>0</v>
      </c>
      <c r="AV17">
        <f>IF(V17="",0,VLOOKUP(V17,'Dados de consulta'!$H$2:$I$25,2,0))</f>
        <v>0</v>
      </c>
      <c r="AW17">
        <f t="shared" si="3"/>
        <v>0</v>
      </c>
      <c r="AX17">
        <f t="shared" si="4"/>
        <v>0</v>
      </c>
      <c r="AY17">
        <f t="shared" si="5"/>
        <v>0</v>
      </c>
      <c r="BA17" s="27">
        <v>42705</v>
      </c>
      <c r="BB17">
        <f t="shared" si="6"/>
        <v>0</v>
      </c>
    </row>
    <row r="18" spans="1:54" hidden="1" x14ac:dyDescent="0.2">
      <c r="A18" s="202">
        <v>42275</v>
      </c>
      <c r="B18" s="78" t="s">
        <v>283</v>
      </c>
      <c r="W18">
        <f t="shared" si="0"/>
        <v>0</v>
      </c>
      <c r="X18">
        <f t="shared" si="1"/>
        <v>0</v>
      </c>
      <c r="Y18">
        <f t="shared" si="2"/>
        <v>0</v>
      </c>
      <c r="AA18" s="202">
        <v>42275</v>
      </c>
      <c r="AB18" s="78" t="s">
        <v>283</v>
      </c>
      <c r="AC18">
        <f>IF(C18="",0,VLOOKUP(C18,'Dados de consulta'!$H$2:$I$25,2,0))</f>
        <v>0</v>
      </c>
      <c r="AD18">
        <f>IF(D18="",0,VLOOKUP(D18,'Dados de consulta'!$H$2:$I$25,2,0))</f>
        <v>0</v>
      </c>
      <c r="AE18">
        <f>IF(E18="",0,VLOOKUP(E18,'Dados de consulta'!$H$2:$I$25,2,0))</f>
        <v>0</v>
      </c>
      <c r="AF18">
        <f>IF(F18="",0,VLOOKUP(F18,'Dados de consulta'!$H$2:$I$25,2,0))</f>
        <v>0</v>
      </c>
      <c r="AG18">
        <f>IF(G18="",0,VLOOKUP(G18,'Dados de consulta'!$H$2:$I$25,2,0))</f>
        <v>0</v>
      </c>
      <c r="AH18">
        <f>IF(H18="",0,VLOOKUP(H18,'Dados de consulta'!$H$2:$I$25,2,0))</f>
        <v>0</v>
      </c>
      <c r="AI18">
        <f>IF(I18="",0,VLOOKUP(I18,'Dados de consulta'!$H$2:$I$25,2,0))</f>
        <v>0</v>
      </c>
      <c r="AJ18">
        <f>IF(J18="",0,VLOOKUP(J18,'Dados de consulta'!$H$2:$I$25,2,0))</f>
        <v>0</v>
      </c>
      <c r="AK18">
        <f>IF(K18="",0,VLOOKUP(K18,'Dados de consulta'!$H$2:$I$25,2,0))</f>
        <v>0</v>
      </c>
      <c r="AL18">
        <f>IF(L18="",0,VLOOKUP(L18,'Dados de consulta'!$H$2:$I$25,2,0))</f>
        <v>0</v>
      </c>
      <c r="AM18">
        <f>IF(M18="",0,VLOOKUP(M18,'Dados de consulta'!$H$2:$I$25,2,0))</f>
        <v>0</v>
      </c>
      <c r="AN18">
        <f>IF(N18="",0,VLOOKUP(N18,'Dados de consulta'!$H$2:$I$25,2,0))</f>
        <v>0</v>
      </c>
      <c r="AO18">
        <f>IF(O18="",0,VLOOKUP(O18,'Dados de consulta'!$H$2:$I$25,2,0))</f>
        <v>0</v>
      </c>
      <c r="AP18">
        <f>IF(P18="",0,VLOOKUP(P18,'Dados de consulta'!$H$2:$I$25,2,0))</f>
        <v>0</v>
      </c>
      <c r="AQ18">
        <f>IF(Q18="",0,VLOOKUP(Q18,'Dados de consulta'!$H$2:$I$25,2,0))</f>
        <v>0</v>
      </c>
      <c r="AR18">
        <f>IF(R18="",0,VLOOKUP(R18,'Dados de consulta'!$H$2:$I$25,2,0))</f>
        <v>0</v>
      </c>
      <c r="AS18">
        <f>IF(S18="",0,VLOOKUP(S18,'Dados de consulta'!$H$2:$I$25,2,0))</f>
        <v>0</v>
      </c>
      <c r="AT18">
        <f>IF(T18="",0,VLOOKUP(T18,'Dados de consulta'!$H$2:$I$25,2,0))</f>
        <v>0</v>
      </c>
      <c r="AU18">
        <f>IF(U18="",0,VLOOKUP(U18,'Dados de consulta'!$H$2:$I$25,2,0))</f>
        <v>0</v>
      </c>
      <c r="AV18">
        <f>IF(V18="",0,VLOOKUP(V18,'Dados de consulta'!$H$2:$I$25,2,0))</f>
        <v>0</v>
      </c>
      <c r="AW18">
        <f t="shared" si="3"/>
        <v>0</v>
      </c>
      <c r="AX18">
        <f t="shared" si="4"/>
        <v>0</v>
      </c>
      <c r="AY18">
        <f t="shared" si="5"/>
        <v>0</v>
      </c>
      <c r="BA18" s="27">
        <v>42736</v>
      </c>
      <c r="BB18">
        <f t="shared" si="6"/>
        <v>0</v>
      </c>
    </row>
    <row r="19" spans="1:54" hidden="1" x14ac:dyDescent="0.2">
      <c r="A19" s="202">
        <v>42276</v>
      </c>
      <c r="B19" s="78" t="s">
        <v>284</v>
      </c>
      <c r="W19">
        <f t="shared" si="0"/>
        <v>0</v>
      </c>
      <c r="X19">
        <f t="shared" si="1"/>
        <v>0</v>
      </c>
      <c r="Y19">
        <f t="shared" si="2"/>
        <v>0</v>
      </c>
      <c r="AA19" s="202">
        <v>42276</v>
      </c>
      <c r="AB19" s="78" t="s">
        <v>284</v>
      </c>
      <c r="AC19">
        <f>IF(C19="",0,VLOOKUP(C19,'Dados de consulta'!$H$2:$I$25,2,0))</f>
        <v>0</v>
      </c>
      <c r="AD19">
        <f>IF(D19="",0,VLOOKUP(D19,'Dados de consulta'!$H$2:$I$25,2,0))</f>
        <v>0</v>
      </c>
      <c r="AE19">
        <f>IF(E19="",0,VLOOKUP(E19,'Dados de consulta'!$H$2:$I$25,2,0))</f>
        <v>0</v>
      </c>
      <c r="AF19">
        <f>IF(F19="",0,VLOOKUP(F19,'Dados de consulta'!$H$2:$I$25,2,0))</f>
        <v>0</v>
      </c>
      <c r="AG19">
        <f>IF(G19="",0,VLOOKUP(G19,'Dados de consulta'!$H$2:$I$25,2,0))</f>
        <v>0</v>
      </c>
      <c r="AH19">
        <f>IF(H19="",0,VLOOKUP(H19,'Dados de consulta'!$H$2:$I$25,2,0))</f>
        <v>0</v>
      </c>
      <c r="AI19">
        <f>IF(I19="",0,VLOOKUP(I19,'Dados de consulta'!$H$2:$I$25,2,0))</f>
        <v>0</v>
      </c>
      <c r="AJ19">
        <f>IF(J19="",0,VLOOKUP(J19,'Dados de consulta'!$H$2:$I$25,2,0))</f>
        <v>0</v>
      </c>
      <c r="AK19">
        <f>IF(K19="",0,VLOOKUP(K19,'Dados de consulta'!$H$2:$I$25,2,0))</f>
        <v>0</v>
      </c>
      <c r="AL19">
        <f>IF(L19="",0,VLOOKUP(L19,'Dados de consulta'!$H$2:$I$25,2,0))</f>
        <v>0</v>
      </c>
      <c r="AM19">
        <f>IF(M19="",0,VLOOKUP(M19,'Dados de consulta'!$H$2:$I$25,2,0))</f>
        <v>0</v>
      </c>
      <c r="AN19">
        <f>IF(N19="",0,VLOOKUP(N19,'Dados de consulta'!$H$2:$I$25,2,0))</f>
        <v>0</v>
      </c>
      <c r="AO19">
        <f>IF(O19="",0,VLOOKUP(O19,'Dados de consulta'!$H$2:$I$25,2,0))</f>
        <v>0</v>
      </c>
      <c r="AP19">
        <f>IF(P19="",0,VLOOKUP(P19,'Dados de consulta'!$H$2:$I$25,2,0))</f>
        <v>0</v>
      </c>
      <c r="AQ19">
        <f>IF(Q19="",0,VLOOKUP(Q19,'Dados de consulta'!$H$2:$I$25,2,0))</f>
        <v>0</v>
      </c>
      <c r="AR19">
        <f>IF(R19="",0,VLOOKUP(R19,'Dados de consulta'!$H$2:$I$25,2,0))</f>
        <v>0</v>
      </c>
      <c r="AS19">
        <f>IF(S19="",0,VLOOKUP(S19,'Dados de consulta'!$H$2:$I$25,2,0))</f>
        <v>0</v>
      </c>
      <c r="AT19">
        <f>IF(T19="",0,VLOOKUP(T19,'Dados de consulta'!$H$2:$I$25,2,0))</f>
        <v>0</v>
      </c>
      <c r="AU19">
        <f>IF(U19="",0,VLOOKUP(U19,'Dados de consulta'!$H$2:$I$25,2,0))</f>
        <v>0</v>
      </c>
      <c r="AV19">
        <f>IF(V19="",0,VLOOKUP(V19,'Dados de consulta'!$H$2:$I$25,2,0))</f>
        <v>0</v>
      </c>
      <c r="AW19">
        <f t="shared" si="3"/>
        <v>0</v>
      </c>
      <c r="AX19">
        <f t="shared" si="4"/>
        <v>0</v>
      </c>
      <c r="AY19">
        <f t="shared" si="5"/>
        <v>0</v>
      </c>
      <c r="BA19" s="27">
        <v>42767</v>
      </c>
      <c r="BB19">
        <f t="shared" si="6"/>
        <v>0</v>
      </c>
    </row>
    <row r="20" spans="1:54" hidden="1" x14ac:dyDescent="0.2">
      <c r="A20" s="202">
        <v>42277</v>
      </c>
      <c r="B20" s="78" t="s">
        <v>285</v>
      </c>
      <c r="W20">
        <f t="shared" si="0"/>
        <v>0</v>
      </c>
      <c r="X20">
        <f t="shared" si="1"/>
        <v>0</v>
      </c>
      <c r="Y20">
        <f t="shared" si="2"/>
        <v>0</v>
      </c>
      <c r="AA20" s="202">
        <v>42277</v>
      </c>
      <c r="AB20" s="78" t="s">
        <v>285</v>
      </c>
      <c r="AC20">
        <f>IF(C20="",0,VLOOKUP(C20,'Dados de consulta'!$H$2:$I$25,2,0))</f>
        <v>0</v>
      </c>
      <c r="AD20">
        <f>IF(D20="",0,VLOOKUP(D20,'Dados de consulta'!$H$2:$I$25,2,0))</f>
        <v>0</v>
      </c>
      <c r="AE20">
        <f>IF(E20="",0,VLOOKUP(E20,'Dados de consulta'!$H$2:$I$25,2,0))</f>
        <v>0</v>
      </c>
      <c r="AF20">
        <f>IF(F20="",0,VLOOKUP(F20,'Dados de consulta'!$H$2:$I$25,2,0))</f>
        <v>0</v>
      </c>
      <c r="AG20">
        <f>IF(G20="",0,VLOOKUP(G20,'Dados de consulta'!$H$2:$I$25,2,0))</f>
        <v>0</v>
      </c>
      <c r="AH20">
        <f>IF(H20="",0,VLOOKUP(H20,'Dados de consulta'!$H$2:$I$25,2,0))</f>
        <v>0</v>
      </c>
      <c r="AI20">
        <f>IF(I20="",0,VLOOKUP(I20,'Dados de consulta'!$H$2:$I$25,2,0))</f>
        <v>0</v>
      </c>
      <c r="AJ20">
        <f>IF(J20="",0,VLOOKUP(J20,'Dados de consulta'!$H$2:$I$25,2,0))</f>
        <v>0</v>
      </c>
      <c r="AK20">
        <f>IF(K20="",0,VLOOKUP(K20,'Dados de consulta'!$H$2:$I$25,2,0))</f>
        <v>0</v>
      </c>
      <c r="AL20">
        <f>IF(L20="",0,VLOOKUP(L20,'Dados de consulta'!$H$2:$I$25,2,0))</f>
        <v>0</v>
      </c>
      <c r="AM20">
        <f>IF(M20="",0,VLOOKUP(M20,'Dados de consulta'!$H$2:$I$25,2,0))</f>
        <v>0</v>
      </c>
      <c r="AN20">
        <f>IF(N20="",0,VLOOKUP(N20,'Dados de consulta'!$H$2:$I$25,2,0))</f>
        <v>0</v>
      </c>
      <c r="AO20">
        <f>IF(O20="",0,VLOOKUP(O20,'Dados de consulta'!$H$2:$I$25,2,0))</f>
        <v>0</v>
      </c>
      <c r="AP20">
        <f>IF(P20="",0,VLOOKUP(P20,'Dados de consulta'!$H$2:$I$25,2,0))</f>
        <v>0</v>
      </c>
      <c r="AQ20">
        <f>IF(Q20="",0,VLOOKUP(Q20,'Dados de consulta'!$H$2:$I$25,2,0))</f>
        <v>0</v>
      </c>
      <c r="AR20">
        <f>IF(R20="",0,VLOOKUP(R20,'Dados de consulta'!$H$2:$I$25,2,0))</f>
        <v>0</v>
      </c>
      <c r="AS20">
        <f>IF(S20="",0,VLOOKUP(S20,'Dados de consulta'!$H$2:$I$25,2,0))</f>
        <v>0</v>
      </c>
      <c r="AT20">
        <f>IF(T20="",0,VLOOKUP(T20,'Dados de consulta'!$H$2:$I$25,2,0))</f>
        <v>0</v>
      </c>
      <c r="AU20">
        <f>IF(U20="",0,VLOOKUP(U20,'Dados de consulta'!$H$2:$I$25,2,0))</f>
        <v>0</v>
      </c>
      <c r="AV20">
        <f>IF(V20="",0,VLOOKUP(V20,'Dados de consulta'!$H$2:$I$25,2,0))</f>
        <v>0</v>
      </c>
      <c r="AW20">
        <f t="shared" si="3"/>
        <v>0</v>
      </c>
      <c r="AX20">
        <f t="shared" si="4"/>
        <v>0</v>
      </c>
      <c r="AY20">
        <f t="shared" si="5"/>
        <v>0</v>
      </c>
      <c r="BA20" s="27">
        <v>42795</v>
      </c>
      <c r="BB20">
        <f t="shared" si="6"/>
        <v>0</v>
      </c>
    </row>
    <row r="21" spans="1:54" hidden="1" x14ac:dyDescent="0.2">
      <c r="A21" s="202">
        <v>42278</v>
      </c>
      <c r="B21" s="78" t="s">
        <v>286</v>
      </c>
      <c r="W21">
        <f t="shared" si="0"/>
        <v>0</v>
      </c>
      <c r="X21">
        <f t="shared" si="1"/>
        <v>0</v>
      </c>
      <c r="Y21">
        <f t="shared" si="2"/>
        <v>0</v>
      </c>
      <c r="AA21" s="202">
        <v>42278</v>
      </c>
      <c r="AB21" s="78" t="s">
        <v>286</v>
      </c>
      <c r="AC21">
        <f>IF(C21="",0,VLOOKUP(C21,'Dados de consulta'!$H$2:$I$25,2,0))</f>
        <v>0</v>
      </c>
      <c r="AD21">
        <f>IF(D21="",0,VLOOKUP(D21,'Dados de consulta'!$H$2:$I$25,2,0))</f>
        <v>0</v>
      </c>
      <c r="AE21">
        <f>IF(E21="",0,VLOOKUP(E21,'Dados de consulta'!$H$2:$I$25,2,0))</f>
        <v>0</v>
      </c>
      <c r="AF21">
        <f>IF(F21="",0,VLOOKUP(F21,'Dados de consulta'!$H$2:$I$25,2,0))</f>
        <v>0</v>
      </c>
      <c r="AG21">
        <f>IF(G21="",0,VLOOKUP(G21,'Dados de consulta'!$H$2:$I$25,2,0))</f>
        <v>0</v>
      </c>
      <c r="AH21">
        <f>IF(H21="",0,VLOOKUP(H21,'Dados de consulta'!$H$2:$I$25,2,0))</f>
        <v>0</v>
      </c>
      <c r="AI21">
        <f>IF(I21="",0,VLOOKUP(I21,'Dados de consulta'!$H$2:$I$25,2,0))</f>
        <v>0</v>
      </c>
      <c r="AJ21">
        <f>IF(J21="",0,VLOOKUP(J21,'Dados de consulta'!$H$2:$I$25,2,0))</f>
        <v>0</v>
      </c>
      <c r="AK21">
        <f>IF(K21="",0,VLOOKUP(K21,'Dados de consulta'!$H$2:$I$25,2,0))</f>
        <v>0</v>
      </c>
      <c r="AL21">
        <f>IF(L21="",0,VLOOKUP(L21,'Dados de consulta'!$H$2:$I$25,2,0))</f>
        <v>0</v>
      </c>
      <c r="AM21">
        <f>IF(M21="",0,VLOOKUP(M21,'Dados de consulta'!$H$2:$I$25,2,0))</f>
        <v>0</v>
      </c>
      <c r="AN21">
        <f>IF(N21="",0,VLOOKUP(N21,'Dados de consulta'!$H$2:$I$25,2,0))</f>
        <v>0</v>
      </c>
      <c r="AO21">
        <f>IF(O21="",0,VLOOKUP(O21,'Dados de consulta'!$H$2:$I$25,2,0))</f>
        <v>0</v>
      </c>
      <c r="AP21">
        <f>IF(P21="",0,VLOOKUP(P21,'Dados de consulta'!$H$2:$I$25,2,0))</f>
        <v>0</v>
      </c>
      <c r="AQ21">
        <f>IF(Q21="",0,VLOOKUP(Q21,'Dados de consulta'!$H$2:$I$25,2,0))</f>
        <v>0</v>
      </c>
      <c r="AR21">
        <f>IF(R21="",0,VLOOKUP(R21,'Dados de consulta'!$H$2:$I$25,2,0))</f>
        <v>0</v>
      </c>
      <c r="AS21">
        <f>IF(S21="",0,VLOOKUP(S21,'Dados de consulta'!$H$2:$I$25,2,0))</f>
        <v>0</v>
      </c>
      <c r="AT21">
        <f>IF(T21="",0,VLOOKUP(T21,'Dados de consulta'!$H$2:$I$25,2,0))</f>
        <v>0</v>
      </c>
      <c r="AU21">
        <f>IF(U21="",0,VLOOKUP(U21,'Dados de consulta'!$H$2:$I$25,2,0))</f>
        <v>0</v>
      </c>
      <c r="AV21">
        <f>IF(V21="",0,VLOOKUP(V21,'Dados de consulta'!$H$2:$I$25,2,0))</f>
        <v>0</v>
      </c>
      <c r="AW21">
        <f t="shared" si="3"/>
        <v>0</v>
      </c>
      <c r="AX21">
        <f t="shared" si="4"/>
        <v>0</v>
      </c>
      <c r="AY21">
        <f t="shared" si="5"/>
        <v>0</v>
      </c>
      <c r="BA21" s="27">
        <v>42826</v>
      </c>
      <c r="BB21">
        <f t="shared" si="6"/>
        <v>0</v>
      </c>
    </row>
    <row r="22" spans="1:54" hidden="1" x14ac:dyDescent="0.2">
      <c r="A22" s="202">
        <v>42279</v>
      </c>
      <c r="B22" s="78" t="s">
        <v>287</v>
      </c>
      <c r="W22">
        <f t="shared" si="0"/>
        <v>0</v>
      </c>
      <c r="X22">
        <f t="shared" si="1"/>
        <v>0</v>
      </c>
      <c r="Y22">
        <f t="shared" si="2"/>
        <v>0</v>
      </c>
      <c r="AA22" s="202">
        <v>42279</v>
      </c>
      <c r="AB22" s="78" t="s">
        <v>287</v>
      </c>
      <c r="AC22">
        <f>IF(C22="",0,VLOOKUP(C22,'Dados de consulta'!$H$2:$I$25,2,0))</f>
        <v>0</v>
      </c>
      <c r="AD22">
        <f>IF(D22="",0,VLOOKUP(D22,'Dados de consulta'!$H$2:$I$25,2,0))</f>
        <v>0</v>
      </c>
      <c r="AE22">
        <f>IF(E22="",0,VLOOKUP(E22,'Dados de consulta'!$H$2:$I$25,2,0))</f>
        <v>0</v>
      </c>
      <c r="AF22">
        <f>IF(F22="",0,VLOOKUP(F22,'Dados de consulta'!$H$2:$I$25,2,0))</f>
        <v>0</v>
      </c>
      <c r="AG22">
        <f>IF(G22="",0,VLOOKUP(G22,'Dados de consulta'!$H$2:$I$25,2,0))</f>
        <v>0</v>
      </c>
      <c r="AH22">
        <f>IF(H22="",0,VLOOKUP(H22,'Dados de consulta'!$H$2:$I$25,2,0))</f>
        <v>0</v>
      </c>
      <c r="AI22">
        <f>IF(I22="",0,VLOOKUP(I22,'Dados de consulta'!$H$2:$I$25,2,0))</f>
        <v>0</v>
      </c>
      <c r="AJ22">
        <f>IF(J22="",0,VLOOKUP(J22,'Dados de consulta'!$H$2:$I$25,2,0))</f>
        <v>0</v>
      </c>
      <c r="AK22">
        <f>IF(K22="",0,VLOOKUP(K22,'Dados de consulta'!$H$2:$I$25,2,0))</f>
        <v>0</v>
      </c>
      <c r="AL22">
        <f>IF(L22="",0,VLOOKUP(L22,'Dados de consulta'!$H$2:$I$25,2,0))</f>
        <v>0</v>
      </c>
      <c r="AM22">
        <f>IF(M22="",0,VLOOKUP(M22,'Dados de consulta'!$H$2:$I$25,2,0))</f>
        <v>0</v>
      </c>
      <c r="AN22">
        <f>IF(N22="",0,VLOOKUP(N22,'Dados de consulta'!$H$2:$I$25,2,0))</f>
        <v>0</v>
      </c>
      <c r="AO22">
        <f>IF(O22="",0,VLOOKUP(O22,'Dados de consulta'!$H$2:$I$25,2,0))</f>
        <v>0</v>
      </c>
      <c r="AP22">
        <f>IF(P22="",0,VLOOKUP(P22,'Dados de consulta'!$H$2:$I$25,2,0))</f>
        <v>0</v>
      </c>
      <c r="AQ22">
        <f>IF(Q22="",0,VLOOKUP(Q22,'Dados de consulta'!$H$2:$I$25,2,0))</f>
        <v>0</v>
      </c>
      <c r="AR22">
        <f>IF(R22="",0,VLOOKUP(R22,'Dados de consulta'!$H$2:$I$25,2,0))</f>
        <v>0</v>
      </c>
      <c r="AS22">
        <f>IF(S22="",0,VLOOKUP(S22,'Dados de consulta'!$H$2:$I$25,2,0))</f>
        <v>0</v>
      </c>
      <c r="AT22">
        <f>IF(T22="",0,VLOOKUP(T22,'Dados de consulta'!$H$2:$I$25,2,0))</f>
        <v>0</v>
      </c>
      <c r="AU22">
        <f>IF(U22="",0,VLOOKUP(U22,'Dados de consulta'!$H$2:$I$25,2,0))</f>
        <v>0</v>
      </c>
      <c r="AV22">
        <f>IF(V22="",0,VLOOKUP(V22,'Dados de consulta'!$H$2:$I$25,2,0))</f>
        <v>0</v>
      </c>
      <c r="AW22">
        <f t="shared" si="3"/>
        <v>0</v>
      </c>
      <c r="AX22">
        <f t="shared" si="4"/>
        <v>0</v>
      </c>
      <c r="AY22">
        <f t="shared" si="5"/>
        <v>0</v>
      </c>
      <c r="BA22" s="27">
        <v>42856</v>
      </c>
      <c r="BB22">
        <f t="shared" si="6"/>
        <v>0</v>
      </c>
    </row>
    <row r="23" spans="1:54" hidden="1" x14ac:dyDescent="0.2">
      <c r="A23" s="202">
        <v>42280</v>
      </c>
      <c r="B23" s="78" t="s">
        <v>281</v>
      </c>
      <c r="W23">
        <f t="shared" si="0"/>
        <v>0</v>
      </c>
      <c r="X23">
        <f t="shared" si="1"/>
        <v>0</v>
      </c>
      <c r="Y23">
        <f t="shared" si="2"/>
        <v>0</v>
      </c>
      <c r="AA23" s="202">
        <v>42280</v>
      </c>
      <c r="AB23" s="78" t="s">
        <v>281</v>
      </c>
      <c r="AC23">
        <f>IF(C23="",0,VLOOKUP(C23,'Dados de consulta'!$H$2:$I$25,2,0))</f>
        <v>0</v>
      </c>
      <c r="AD23">
        <f>IF(D23="",0,VLOOKUP(D23,'Dados de consulta'!$H$2:$I$25,2,0))</f>
        <v>0</v>
      </c>
      <c r="AE23">
        <f>IF(E23="",0,VLOOKUP(E23,'Dados de consulta'!$H$2:$I$25,2,0))</f>
        <v>0</v>
      </c>
      <c r="AF23">
        <f>IF(F23="",0,VLOOKUP(F23,'Dados de consulta'!$H$2:$I$25,2,0))</f>
        <v>0</v>
      </c>
      <c r="AG23">
        <f>IF(G23="",0,VLOOKUP(G23,'Dados de consulta'!$H$2:$I$25,2,0))</f>
        <v>0</v>
      </c>
      <c r="AH23">
        <f>IF(H23="",0,VLOOKUP(H23,'Dados de consulta'!$H$2:$I$25,2,0))</f>
        <v>0</v>
      </c>
      <c r="AI23">
        <f>IF(I23="",0,VLOOKUP(I23,'Dados de consulta'!$H$2:$I$25,2,0))</f>
        <v>0</v>
      </c>
      <c r="AJ23">
        <f>IF(J23="",0,VLOOKUP(J23,'Dados de consulta'!$H$2:$I$25,2,0))</f>
        <v>0</v>
      </c>
      <c r="AK23">
        <f>IF(K23="",0,VLOOKUP(K23,'Dados de consulta'!$H$2:$I$25,2,0))</f>
        <v>0</v>
      </c>
      <c r="AL23">
        <f>IF(L23="",0,VLOOKUP(L23,'Dados de consulta'!$H$2:$I$25,2,0))</f>
        <v>0</v>
      </c>
      <c r="AM23">
        <f>IF(M23="",0,VLOOKUP(M23,'Dados de consulta'!$H$2:$I$25,2,0))</f>
        <v>0</v>
      </c>
      <c r="AN23">
        <f>IF(N23="",0,VLOOKUP(N23,'Dados de consulta'!$H$2:$I$25,2,0))</f>
        <v>0</v>
      </c>
      <c r="AO23">
        <f>IF(O23="",0,VLOOKUP(O23,'Dados de consulta'!$H$2:$I$25,2,0))</f>
        <v>0</v>
      </c>
      <c r="AP23">
        <f>IF(P23="",0,VLOOKUP(P23,'Dados de consulta'!$H$2:$I$25,2,0))</f>
        <v>0</v>
      </c>
      <c r="AQ23">
        <f>IF(Q23="",0,VLOOKUP(Q23,'Dados de consulta'!$H$2:$I$25,2,0))</f>
        <v>0</v>
      </c>
      <c r="AR23">
        <f>IF(R23="",0,VLOOKUP(R23,'Dados de consulta'!$H$2:$I$25,2,0))</f>
        <v>0</v>
      </c>
      <c r="AS23">
        <f>IF(S23="",0,VLOOKUP(S23,'Dados de consulta'!$H$2:$I$25,2,0))</f>
        <v>0</v>
      </c>
      <c r="AT23">
        <f>IF(T23="",0,VLOOKUP(T23,'Dados de consulta'!$H$2:$I$25,2,0))</f>
        <v>0</v>
      </c>
      <c r="AU23">
        <f>IF(U23="",0,VLOOKUP(U23,'Dados de consulta'!$H$2:$I$25,2,0))</f>
        <v>0</v>
      </c>
      <c r="AV23">
        <f>IF(V23="",0,VLOOKUP(V23,'Dados de consulta'!$H$2:$I$25,2,0))</f>
        <v>0</v>
      </c>
      <c r="AW23">
        <f t="shared" si="3"/>
        <v>0</v>
      </c>
      <c r="AX23">
        <f t="shared" si="4"/>
        <v>0</v>
      </c>
      <c r="AY23">
        <f t="shared" si="5"/>
        <v>0</v>
      </c>
      <c r="BA23" s="27">
        <v>42887</v>
      </c>
      <c r="BB23">
        <f t="shared" si="6"/>
        <v>0</v>
      </c>
    </row>
    <row r="24" spans="1:54" hidden="1" x14ac:dyDescent="0.2">
      <c r="A24" s="202">
        <v>42281</v>
      </c>
      <c r="B24" s="78" t="s">
        <v>282</v>
      </c>
      <c r="W24">
        <f t="shared" si="0"/>
        <v>0</v>
      </c>
      <c r="X24">
        <f t="shared" si="1"/>
        <v>0</v>
      </c>
      <c r="Y24">
        <f t="shared" si="2"/>
        <v>0</v>
      </c>
      <c r="AA24" s="202">
        <v>42281</v>
      </c>
      <c r="AB24" s="78" t="s">
        <v>282</v>
      </c>
      <c r="AC24">
        <f>IF(C24="",0,VLOOKUP(C24,'Dados de consulta'!$H$2:$I$25,2,0))</f>
        <v>0</v>
      </c>
      <c r="AD24">
        <f>IF(D24="",0,VLOOKUP(D24,'Dados de consulta'!$H$2:$I$25,2,0))</f>
        <v>0</v>
      </c>
      <c r="AE24">
        <f>IF(E24="",0,VLOOKUP(E24,'Dados de consulta'!$H$2:$I$25,2,0))</f>
        <v>0</v>
      </c>
      <c r="AF24">
        <f>IF(F24="",0,VLOOKUP(F24,'Dados de consulta'!$H$2:$I$25,2,0))</f>
        <v>0</v>
      </c>
      <c r="AG24">
        <f>IF(G24="",0,VLOOKUP(G24,'Dados de consulta'!$H$2:$I$25,2,0))</f>
        <v>0</v>
      </c>
      <c r="AH24">
        <f>IF(H24="",0,VLOOKUP(H24,'Dados de consulta'!$H$2:$I$25,2,0))</f>
        <v>0</v>
      </c>
      <c r="AI24">
        <f>IF(I24="",0,VLOOKUP(I24,'Dados de consulta'!$H$2:$I$25,2,0))</f>
        <v>0</v>
      </c>
      <c r="AJ24">
        <f>IF(J24="",0,VLOOKUP(J24,'Dados de consulta'!$H$2:$I$25,2,0))</f>
        <v>0</v>
      </c>
      <c r="AK24">
        <f>IF(K24="",0,VLOOKUP(K24,'Dados de consulta'!$H$2:$I$25,2,0))</f>
        <v>0</v>
      </c>
      <c r="AL24">
        <f>IF(L24="",0,VLOOKUP(L24,'Dados de consulta'!$H$2:$I$25,2,0))</f>
        <v>0</v>
      </c>
      <c r="AM24">
        <f>IF(M24="",0,VLOOKUP(M24,'Dados de consulta'!$H$2:$I$25,2,0))</f>
        <v>0</v>
      </c>
      <c r="AN24">
        <f>IF(N24="",0,VLOOKUP(N24,'Dados de consulta'!$H$2:$I$25,2,0))</f>
        <v>0</v>
      </c>
      <c r="AO24">
        <f>IF(O24="",0,VLOOKUP(O24,'Dados de consulta'!$H$2:$I$25,2,0))</f>
        <v>0</v>
      </c>
      <c r="AP24">
        <f>IF(P24="",0,VLOOKUP(P24,'Dados de consulta'!$H$2:$I$25,2,0))</f>
        <v>0</v>
      </c>
      <c r="AQ24">
        <f>IF(Q24="",0,VLOOKUP(Q24,'Dados de consulta'!$H$2:$I$25,2,0))</f>
        <v>0</v>
      </c>
      <c r="AR24">
        <f>IF(R24="",0,VLOOKUP(R24,'Dados de consulta'!$H$2:$I$25,2,0))</f>
        <v>0</v>
      </c>
      <c r="AS24">
        <f>IF(S24="",0,VLOOKUP(S24,'Dados de consulta'!$H$2:$I$25,2,0))</f>
        <v>0</v>
      </c>
      <c r="AT24">
        <f>IF(T24="",0,VLOOKUP(T24,'Dados de consulta'!$H$2:$I$25,2,0))</f>
        <v>0</v>
      </c>
      <c r="AU24">
        <f>IF(U24="",0,VLOOKUP(U24,'Dados de consulta'!$H$2:$I$25,2,0))</f>
        <v>0</v>
      </c>
      <c r="AV24">
        <f>IF(V24="",0,VLOOKUP(V24,'Dados de consulta'!$H$2:$I$25,2,0))</f>
        <v>0</v>
      </c>
      <c r="AW24">
        <f t="shared" si="3"/>
        <v>0</v>
      </c>
      <c r="AX24">
        <f t="shared" si="4"/>
        <v>0</v>
      </c>
      <c r="AY24">
        <f t="shared" si="5"/>
        <v>0</v>
      </c>
      <c r="BA24" s="27">
        <v>42917</v>
      </c>
      <c r="BB24">
        <f t="shared" si="6"/>
        <v>0</v>
      </c>
    </row>
    <row r="25" spans="1:54" hidden="1" x14ac:dyDescent="0.2">
      <c r="A25" s="202">
        <v>42282</v>
      </c>
      <c r="B25" s="78" t="s">
        <v>283</v>
      </c>
      <c r="W25">
        <f t="shared" si="0"/>
        <v>0</v>
      </c>
      <c r="X25">
        <f t="shared" si="1"/>
        <v>0</v>
      </c>
      <c r="Y25">
        <f t="shared" si="2"/>
        <v>0</v>
      </c>
      <c r="AA25" s="202">
        <v>42282</v>
      </c>
      <c r="AB25" s="78" t="s">
        <v>283</v>
      </c>
      <c r="AC25">
        <f>IF(C25="",0,VLOOKUP(C25,'Dados de consulta'!$H$2:$I$25,2,0))</f>
        <v>0</v>
      </c>
      <c r="AD25">
        <f>IF(D25="",0,VLOOKUP(D25,'Dados de consulta'!$H$2:$I$25,2,0))</f>
        <v>0</v>
      </c>
      <c r="AE25">
        <f>IF(E25="",0,VLOOKUP(E25,'Dados de consulta'!$H$2:$I$25,2,0))</f>
        <v>0</v>
      </c>
      <c r="AF25">
        <f>IF(F25="",0,VLOOKUP(F25,'Dados de consulta'!$H$2:$I$25,2,0))</f>
        <v>0</v>
      </c>
      <c r="AG25">
        <f>IF(G25="",0,VLOOKUP(G25,'Dados de consulta'!$H$2:$I$25,2,0))</f>
        <v>0</v>
      </c>
      <c r="AH25">
        <f>IF(H25="",0,VLOOKUP(H25,'Dados de consulta'!$H$2:$I$25,2,0))</f>
        <v>0</v>
      </c>
      <c r="AI25">
        <f>IF(I25="",0,VLOOKUP(I25,'Dados de consulta'!$H$2:$I$25,2,0))</f>
        <v>0</v>
      </c>
      <c r="AJ25">
        <f>IF(J25="",0,VLOOKUP(J25,'Dados de consulta'!$H$2:$I$25,2,0))</f>
        <v>0</v>
      </c>
      <c r="AK25">
        <f>IF(K25="",0,VLOOKUP(K25,'Dados de consulta'!$H$2:$I$25,2,0))</f>
        <v>0</v>
      </c>
      <c r="AL25">
        <f>IF(L25="",0,VLOOKUP(L25,'Dados de consulta'!$H$2:$I$25,2,0))</f>
        <v>0</v>
      </c>
      <c r="AM25">
        <f>IF(M25="",0,VLOOKUP(M25,'Dados de consulta'!$H$2:$I$25,2,0))</f>
        <v>0</v>
      </c>
      <c r="AN25">
        <f>IF(N25="",0,VLOOKUP(N25,'Dados de consulta'!$H$2:$I$25,2,0))</f>
        <v>0</v>
      </c>
      <c r="AO25">
        <f>IF(O25="",0,VLOOKUP(O25,'Dados de consulta'!$H$2:$I$25,2,0))</f>
        <v>0</v>
      </c>
      <c r="AP25">
        <f>IF(P25="",0,VLOOKUP(P25,'Dados de consulta'!$H$2:$I$25,2,0))</f>
        <v>0</v>
      </c>
      <c r="AQ25">
        <f>IF(Q25="",0,VLOOKUP(Q25,'Dados de consulta'!$H$2:$I$25,2,0))</f>
        <v>0</v>
      </c>
      <c r="AR25">
        <f>IF(R25="",0,VLOOKUP(R25,'Dados de consulta'!$H$2:$I$25,2,0))</f>
        <v>0</v>
      </c>
      <c r="AS25">
        <f>IF(S25="",0,VLOOKUP(S25,'Dados de consulta'!$H$2:$I$25,2,0))</f>
        <v>0</v>
      </c>
      <c r="AT25">
        <f>IF(T25="",0,VLOOKUP(T25,'Dados de consulta'!$H$2:$I$25,2,0))</f>
        <v>0</v>
      </c>
      <c r="AU25">
        <f>IF(U25="",0,VLOOKUP(U25,'Dados de consulta'!$H$2:$I$25,2,0))</f>
        <v>0</v>
      </c>
      <c r="AV25">
        <f>IF(V25="",0,VLOOKUP(V25,'Dados de consulta'!$H$2:$I$25,2,0))</f>
        <v>0</v>
      </c>
      <c r="AW25">
        <f t="shared" si="3"/>
        <v>0</v>
      </c>
      <c r="AX25">
        <f t="shared" si="4"/>
        <v>0</v>
      </c>
      <c r="AY25">
        <f t="shared" si="5"/>
        <v>0</v>
      </c>
      <c r="BA25" s="27">
        <v>42948</v>
      </c>
      <c r="BB25">
        <f t="shared" si="6"/>
        <v>0</v>
      </c>
    </row>
    <row r="26" spans="1:54" hidden="1" x14ac:dyDescent="0.2">
      <c r="A26" s="202">
        <v>42283</v>
      </c>
      <c r="B26" s="78" t="s">
        <v>284</v>
      </c>
      <c r="W26">
        <f t="shared" si="0"/>
        <v>0</v>
      </c>
      <c r="X26">
        <f t="shared" si="1"/>
        <v>0</v>
      </c>
      <c r="Y26">
        <f t="shared" si="2"/>
        <v>0</v>
      </c>
      <c r="AA26" s="202">
        <v>42283</v>
      </c>
      <c r="AB26" s="78" t="s">
        <v>284</v>
      </c>
      <c r="AC26">
        <f>IF(C26="",0,VLOOKUP(C26,'Dados de consulta'!$H$2:$I$25,2,0))</f>
        <v>0</v>
      </c>
      <c r="AD26">
        <f>IF(D26="",0,VLOOKUP(D26,'Dados de consulta'!$H$2:$I$25,2,0))</f>
        <v>0</v>
      </c>
      <c r="AE26">
        <f>IF(E26="",0,VLOOKUP(E26,'Dados de consulta'!$H$2:$I$25,2,0))</f>
        <v>0</v>
      </c>
      <c r="AF26">
        <f>IF(F26="",0,VLOOKUP(F26,'Dados de consulta'!$H$2:$I$25,2,0))</f>
        <v>0</v>
      </c>
      <c r="AG26">
        <f>IF(G26="",0,VLOOKUP(G26,'Dados de consulta'!$H$2:$I$25,2,0))</f>
        <v>0</v>
      </c>
      <c r="AH26">
        <f>IF(H26="",0,VLOOKUP(H26,'Dados de consulta'!$H$2:$I$25,2,0))</f>
        <v>0</v>
      </c>
      <c r="AI26">
        <f>IF(I26="",0,VLOOKUP(I26,'Dados de consulta'!$H$2:$I$25,2,0))</f>
        <v>0</v>
      </c>
      <c r="AJ26">
        <f>IF(J26="",0,VLOOKUP(J26,'Dados de consulta'!$H$2:$I$25,2,0))</f>
        <v>0</v>
      </c>
      <c r="AK26">
        <f>IF(K26="",0,VLOOKUP(K26,'Dados de consulta'!$H$2:$I$25,2,0))</f>
        <v>0</v>
      </c>
      <c r="AL26">
        <f>IF(L26="",0,VLOOKUP(L26,'Dados de consulta'!$H$2:$I$25,2,0))</f>
        <v>0</v>
      </c>
      <c r="AM26">
        <f>IF(M26="",0,VLOOKUP(M26,'Dados de consulta'!$H$2:$I$25,2,0))</f>
        <v>0</v>
      </c>
      <c r="AN26">
        <f>IF(N26="",0,VLOOKUP(N26,'Dados de consulta'!$H$2:$I$25,2,0))</f>
        <v>0</v>
      </c>
      <c r="AO26">
        <f>IF(O26="",0,VLOOKUP(O26,'Dados de consulta'!$H$2:$I$25,2,0))</f>
        <v>0</v>
      </c>
      <c r="AP26">
        <f>IF(P26="",0,VLOOKUP(P26,'Dados de consulta'!$H$2:$I$25,2,0))</f>
        <v>0</v>
      </c>
      <c r="AQ26">
        <f>IF(Q26="",0,VLOOKUP(Q26,'Dados de consulta'!$H$2:$I$25,2,0))</f>
        <v>0</v>
      </c>
      <c r="AR26">
        <f>IF(R26="",0,VLOOKUP(R26,'Dados de consulta'!$H$2:$I$25,2,0))</f>
        <v>0</v>
      </c>
      <c r="AS26">
        <f>IF(S26="",0,VLOOKUP(S26,'Dados de consulta'!$H$2:$I$25,2,0))</f>
        <v>0</v>
      </c>
      <c r="AT26">
        <f>IF(T26="",0,VLOOKUP(T26,'Dados de consulta'!$H$2:$I$25,2,0))</f>
        <v>0</v>
      </c>
      <c r="AU26">
        <f>IF(U26="",0,VLOOKUP(U26,'Dados de consulta'!$H$2:$I$25,2,0))</f>
        <v>0</v>
      </c>
      <c r="AV26">
        <f>IF(V26="",0,VLOOKUP(V26,'Dados de consulta'!$H$2:$I$25,2,0))</f>
        <v>0</v>
      </c>
      <c r="AW26">
        <f t="shared" si="3"/>
        <v>0</v>
      </c>
      <c r="AX26">
        <f t="shared" si="4"/>
        <v>0</v>
      </c>
      <c r="AY26">
        <f t="shared" si="5"/>
        <v>0</v>
      </c>
      <c r="BA26" s="27">
        <v>42979</v>
      </c>
      <c r="BB26">
        <f t="shared" si="6"/>
        <v>0</v>
      </c>
    </row>
    <row r="27" spans="1:54" hidden="1" x14ac:dyDescent="0.2">
      <c r="A27" s="202">
        <v>42284</v>
      </c>
      <c r="B27" s="78" t="s">
        <v>285</v>
      </c>
      <c r="W27">
        <f t="shared" si="0"/>
        <v>0</v>
      </c>
      <c r="X27">
        <f t="shared" si="1"/>
        <v>0</v>
      </c>
      <c r="Y27">
        <f t="shared" si="2"/>
        <v>0</v>
      </c>
      <c r="AA27" s="202">
        <v>42284</v>
      </c>
      <c r="AB27" s="78" t="s">
        <v>285</v>
      </c>
      <c r="AC27">
        <f>IF(C27="",0,VLOOKUP(C27,'Dados de consulta'!$H$2:$I$25,2,0))</f>
        <v>0</v>
      </c>
      <c r="AD27">
        <f>IF(D27="",0,VLOOKUP(D27,'Dados de consulta'!$H$2:$I$25,2,0))</f>
        <v>0</v>
      </c>
      <c r="AE27">
        <f>IF(E27="",0,VLOOKUP(E27,'Dados de consulta'!$H$2:$I$25,2,0))</f>
        <v>0</v>
      </c>
      <c r="AF27">
        <f>IF(F27="",0,VLOOKUP(F27,'Dados de consulta'!$H$2:$I$25,2,0))</f>
        <v>0</v>
      </c>
      <c r="AG27">
        <f>IF(G27="",0,VLOOKUP(G27,'Dados de consulta'!$H$2:$I$25,2,0))</f>
        <v>0</v>
      </c>
      <c r="AH27">
        <f>IF(H27="",0,VLOOKUP(H27,'Dados de consulta'!$H$2:$I$25,2,0))</f>
        <v>0</v>
      </c>
      <c r="AI27">
        <f>IF(I27="",0,VLOOKUP(I27,'Dados de consulta'!$H$2:$I$25,2,0))</f>
        <v>0</v>
      </c>
      <c r="AJ27">
        <f>IF(J27="",0,VLOOKUP(J27,'Dados de consulta'!$H$2:$I$25,2,0))</f>
        <v>0</v>
      </c>
      <c r="AK27">
        <f>IF(K27="",0,VLOOKUP(K27,'Dados de consulta'!$H$2:$I$25,2,0))</f>
        <v>0</v>
      </c>
      <c r="AL27">
        <f>IF(L27="",0,VLOOKUP(L27,'Dados de consulta'!$H$2:$I$25,2,0))</f>
        <v>0</v>
      </c>
      <c r="AM27">
        <f>IF(M27="",0,VLOOKUP(M27,'Dados de consulta'!$H$2:$I$25,2,0))</f>
        <v>0</v>
      </c>
      <c r="AN27">
        <f>IF(N27="",0,VLOOKUP(N27,'Dados de consulta'!$H$2:$I$25,2,0))</f>
        <v>0</v>
      </c>
      <c r="AO27">
        <f>IF(O27="",0,VLOOKUP(O27,'Dados de consulta'!$H$2:$I$25,2,0))</f>
        <v>0</v>
      </c>
      <c r="AP27">
        <f>IF(P27="",0,VLOOKUP(P27,'Dados de consulta'!$H$2:$I$25,2,0))</f>
        <v>0</v>
      </c>
      <c r="AQ27">
        <f>IF(Q27="",0,VLOOKUP(Q27,'Dados de consulta'!$H$2:$I$25,2,0))</f>
        <v>0</v>
      </c>
      <c r="AR27">
        <f>IF(R27="",0,VLOOKUP(R27,'Dados de consulta'!$H$2:$I$25,2,0))</f>
        <v>0</v>
      </c>
      <c r="AS27">
        <f>IF(S27="",0,VLOOKUP(S27,'Dados de consulta'!$H$2:$I$25,2,0))</f>
        <v>0</v>
      </c>
      <c r="AT27">
        <f>IF(T27="",0,VLOOKUP(T27,'Dados de consulta'!$H$2:$I$25,2,0))</f>
        <v>0</v>
      </c>
      <c r="AU27">
        <f>IF(U27="",0,VLOOKUP(U27,'Dados de consulta'!$H$2:$I$25,2,0))</f>
        <v>0</v>
      </c>
      <c r="AV27">
        <f>IF(V27="",0,VLOOKUP(V27,'Dados de consulta'!$H$2:$I$25,2,0))</f>
        <v>0</v>
      </c>
      <c r="AW27">
        <f t="shared" si="3"/>
        <v>0</v>
      </c>
      <c r="AX27">
        <f t="shared" si="4"/>
        <v>0</v>
      </c>
      <c r="AY27">
        <f t="shared" si="5"/>
        <v>0</v>
      </c>
      <c r="BA27" s="27">
        <v>43009</v>
      </c>
      <c r="BB27">
        <f t="shared" si="6"/>
        <v>0</v>
      </c>
    </row>
    <row r="28" spans="1:54" hidden="1" x14ac:dyDescent="0.2">
      <c r="A28" s="202">
        <v>42285</v>
      </c>
      <c r="B28" s="78" t="s">
        <v>286</v>
      </c>
      <c r="W28">
        <f t="shared" si="0"/>
        <v>0</v>
      </c>
      <c r="X28">
        <f t="shared" si="1"/>
        <v>0</v>
      </c>
      <c r="Y28">
        <f t="shared" si="2"/>
        <v>0</v>
      </c>
      <c r="AA28" s="202">
        <v>42285</v>
      </c>
      <c r="AB28" s="78" t="s">
        <v>286</v>
      </c>
      <c r="AC28">
        <f>IF(C28="",0,VLOOKUP(C28,'Dados de consulta'!$H$2:$I$25,2,0))</f>
        <v>0</v>
      </c>
      <c r="AD28">
        <f>IF(D28="",0,VLOOKUP(D28,'Dados de consulta'!$H$2:$I$25,2,0))</f>
        <v>0</v>
      </c>
      <c r="AE28">
        <f>IF(E28="",0,VLOOKUP(E28,'Dados de consulta'!$H$2:$I$25,2,0))</f>
        <v>0</v>
      </c>
      <c r="AF28">
        <f>IF(F28="",0,VLOOKUP(F28,'Dados de consulta'!$H$2:$I$25,2,0))</f>
        <v>0</v>
      </c>
      <c r="AG28">
        <f>IF(G28="",0,VLOOKUP(G28,'Dados de consulta'!$H$2:$I$25,2,0))</f>
        <v>0</v>
      </c>
      <c r="AH28">
        <f>IF(H28="",0,VLOOKUP(H28,'Dados de consulta'!$H$2:$I$25,2,0))</f>
        <v>0</v>
      </c>
      <c r="AI28">
        <f>IF(I28="",0,VLOOKUP(I28,'Dados de consulta'!$H$2:$I$25,2,0))</f>
        <v>0</v>
      </c>
      <c r="AJ28">
        <f>IF(J28="",0,VLOOKUP(J28,'Dados de consulta'!$H$2:$I$25,2,0))</f>
        <v>0</v>
      </c>
      <c r="AK28">
        <f>IF(K28="",0,VLOOKUP(K28,'Dados de consulta'!$H$2:$I$25,2,0))</f>
        <v>0</v>
      </c>
      <c r="AL28">
        <f>IF(L28="",0,VLOOKUP(L28,'Dados de consulta'!$H$2:$I$25,2,0))</f>
        <v>0</v>
      </c>
      <c r="AM28">
        <f>IF(M28="",0,VLOOKUP(M28,'Dados de consulta'!$H$2:$I$25,2,0))</f>
        <v>0</v>
      </c>
      <c r="AN28">
        <f>IF(N28="",0,VLOOKUP(N28,'Dados de consulta'!$H$2:$I$25,2,0))</f>
        <v>0</v>
      </c>
      <c r="AO28">
        <f>IF(O28="",0,VLOOKUP(O28,'Dados de consulta'!$H$2:$I$25,2,0))</f>
        <v>0</v>
      </c>
      <c r="AP28">
        <f>IF(P28="",0,VLOOKUP(P28,'Dados de consulta'!$H$2:$I$25,2,0))</f>
        <v>0</v>
      </c>
      <c r="AQ28">
        <f>IF(Q28="",0,VLOOKUP(Q28,'Dados de consulta'!$H$2:$I$25,2,0))</f>
        <v>0</v>
      </c>
      <c r="AR28">
        <f>IF(R28="",0,VLOOKUP(R28,'Dados de consulta'!$H$2:$I$25,2,0))</f>
        <v>0</v>
      </c>
      <c r="AS28">
        <f>IF(S28="",0,VLOOKUP(S28,'Dados de consulta'!$H$2:$I$25,2,0))</f>
        <v>0</v>
      </c>
      <c r="AT28">
        <f>IF(T28="",0,VLOOKUP(T28,'Dados de consulta'!$H$2:$I$25,2,0))</f>
        <v>0</v>
      </c>
      <c r="AU28">
        <f>IF(U28="",0,VLOOKUP(U28,'Dados de consulta'!$H$2:$I$25,2,0))</f>
        <v>0</v>
      </c>
      <c r="AV28">
        <f>IF(V28="",0,VLOOKUP(V28,'Dados de consulta'!$H$2:$I$25,2,0))</f>
        <v>0</v>
      </c>
      <c r="AW28">
        <f t="shared" si="3"/>
        <v>0</v>
      </c>
      <c r="AX28">
        <f t="shared" si="4"/>
        <v>0</v>
      </c>
      <c r="AY28">
        <f t="shared" si="5"/>
        <v>0</v>
      </c>
      <c r="BA28" s="27">
        <v>43040</v>
      </c>
      <c r="BB28">
        <f t="shared" si="6"/>
        <v>0</v>
      </c>
    </row>
    <row r="29" spans="1:54" hidden="1" x14ac:dyDescent="0.2">
      <c r="A29" s="202">
        <v>42286</v>
      </c>
      <c r="B29" s="78" t="s">
        <v>287</v>
      </c>
      <c r="W29">
        <f t="shared" si="0"/>
        <v>0</v>
      </c>
      <c r="X29">
        <f t="shared" si="1"/>
        <v>0</v>
      </c>
      <c r="Y29">
        <f t="shared" si="2"/>
        <v>0</v>
      </c>
      <c r="AA29" s="202">
        <v>42286</v>
      </c>
      <c r="AB29" s="78" t="s">
        <v>287</v>
      </c>
      <c r="AC29">
        <f>IF(C29="",0,VLOOKUP(C29,'Dados de consulta'!$H$2:$I$25,2,0))</f>
        <v>0</v>
      </c>
      <c r="AD29">
        <f>IF(D29="",0,VLOOKUP(D29,'Dados de consulta'!$H$2:$I$25,2,0))</f>
        <v>0</v>
      </c>
      <c r="AE29">
        <f>IF(E29="",0,VLOOKUP(E29,'Dados de consulta'!$H$2:$I$25,2,0))</f>
        <v>0</v>
      </c>
      <c r="AF29">
        <f>IF(F29="",0,VLOOKUP(F29,'Dados de consulta'!$H$2:$I$25,2,0))</f>
        <v>0</v>
      </c>
      <c r="AG29">
        <f>IF(G29="",0,VLOOKUP(G29,'Dados de consulta'!$H$2:$I$25,2,0))</f>
        <v>0</v>
      </c>
      <c r="AH29">
        <f>IF(H29="",0,VLOOKUP(H29,'Dados de consulta'!$H$2:$I$25,2,0))</f>
        <v>0</v>
      </c>
      <c r="AI29">
        <f>IF(I29="",0,VLOOKUP(I29,'Dados de consulta'!$H$2:$I$25,2,0))</f>
        <v>0</v>
      </c>
      <c r="AJ29">
        <f>IF(J29="",0,VLOOKUP(J29,'Dados de consulta'!$H$2:$I$25,2,0))</f>
        <v>0</v>
      </c>
      <c r="AK29">
        <f>IF(K29="",0,VLOOKUP(K29,'Dados de consulta'!$H$2:$I$25,2,0))</f>
        <v>0</v>
      </c>
      <c r="AL29">
        <f>IF(L29="",0,VLOOKUP(L29,'Dados de consulta'!$H$2:$I$25,2,0))</f>
        <v>0</v>
      </c>
      <c r="AM29">
        <f>IF(M29="",0,VLOOKUP(M29,'Dados de consulta'!$H$2:$I$25,2,0))</f>
        <v>0</v>
      </c>
      <c r="AN29">
        <f>IF(N29="",0,VLOOKUP(N29,'Dados de consulta'!$H$2:$I$25,2,0))</f>
        <v>0</v>
      </c>
      <c r="AO29">
        <f>IF(O29="",0,VLOOKUP(O29,'Dados de consulta'!$H$2:$I$25,2,0))</f>
        <v>0</v>
      </c>
      <c r="AP29">
        <f>IF(P29="",0,VLOOKUP(P29,'Dados de consulta'!$H$2:$I$25,2,0))</f>
        <v>0</v>
      </c>
      <c r="AQ29">
        <f>IF(Q29="",0,VLOOKUP(Q29,'Dados de consulta'!$H$2:$I$25,2,0))</f>
        <v>0</v>
      </c>
      <c r="AR29">
        <f>IF(R29="",0,VLOOKUP(R29,'Dados de consulta'!$H$2:$I$25,2,0))</f>
        <v>0</v>
      </c>
      <c r="AS29">
        <f>IF(S29="",0,VLOOKUP(S29,'Dados de consulta'!$H$2:$I$25,2,0))</f>
        <v>0</v>
      </c>
      <c r="AT29">
        <f>IF(T29="",0,VLOOKUP(T29,'Dados de consulta'!$H$2:$I$25,2,0))</f>
        <v>0</v>
      </c>
      <c r="AU29">
        <f>IF(U29="",0,VLOOKUP(U29,'Dados de consulta'!$H$2:$I$25,2,0))</f>
        <v>0</v>
      </c>
      <c r="AV29">
        <f>IF(V29="",0,VLOOKUP(V29,'Dados de consulta'!$H$2:$I$25,2,0))</f>
        <v>0</v>
      </c>
      <c r="AW29">
        <f t="shared" si="3"/>
        <v>0</v>
      </c>
      <c r="AX29">
        <f t="shared" si="4"/>
        <v>0</v>
      </c>
      <c r="AY29">
        <f t="shared" si="5"/>
        <v>0</v>
      </c>
      <c r="BA29" s="27">
        <v>43070</v>
      </c>
      <c r="BB29">
        <f t="shared" si="6"/>
        <v>0</v>
      </c>
    </row>
    <row r="30" spans="1:54" hidden="1" x14ac:dyDescent="0.2">
      <c r="A30" s="202">
        <v>42287</v>
      </c>
      <c r="B30" s="78" t="s">
        <v>281</v>
      </c>
      <c r="L30" s="78" t="s">
        <v>219</v>
      </c>
      <c r="P30" s="78" t="s">
        <v>219</v>
      </c>
      <c r="W30">
        <f t="shared" si="0"/>
        <v>12</v>
      </c>
      <c r="X30">
        <f t="shared" si="1"/>
        <v>0</v>
      </c>
      <c r="Y30">
        <f t="shared" si="2"/>
        <v>0</v>
      </c>
      <c r="AA30" s="202">
        <v>42287</v>
      </c>
      <c r="AB30" s="78" t="s">
        <v>281</v>
      </c>
      <c r="AC30">
        <f>IF(C30="",0,VLOOKUP(C30,'Dados de consulta'!$H$2:$I$25,2,0))</f>
        <v>0</v>
      </c>
      <c r="AD30">
        <f>IF(D30="",0,VLOOKUP(D30,'Dados de consulta'!$H$2:$I$25,2,0))</f>
        <v>0</v>
      </c>
      <c r="AE30">
        <f>IF(E30="",0,VLOOKUP(E30,'Dados de consulta'!$H$2:$I$25,2,0))</f>
        <v>0</v>
      </c>
      <c r="AF30">
        <f>IF(F30="",0,VLOOKUP(F30,'Dados de consulta'!$H$2:$I$25,2,0))</f>
        <v>0</v>
      </c>
      <c r="AG30">
        <f>IF(G30="",0,VLOOKUP(G30,'Dados de consulta'!$H$2:$I$25,2,0))</f>
        <v>0</v>
      </c>
      <c r="AH30">
        <f>IF(H30="",0,VLOOKUP(H30,'Dados de consulta'!$H$2:$I$25,2,0))</f>
        <v>0</v>
      </c>
      <c r="AI30">
        <f>IF(I30="",0,VLOOKUP(I30,'Dados de consulta'!$H$2:$I$25,2,0))</f>
        <v>0</v>
      </c>
      <c r="AJ30">
        <f>IF(J30="",0,VLOOKUP(J30,'Dados de consulta'!$H$2:$I$25,2,0))</f>
        <v>0</v>
      </c>
      <c r="AK30">
        <f>IF(K30="",0,VLOOKUP(K30,'Dados de consulta'!$H$2:$I$25,2,0))</f>
        <v>0</v>
      </c>
      <c r="AL30">
        <f>IF(L30="",0,VLOOKUP(L30,'Dados de consulta'!$H$2:$I$25,2,0))</f>
        <v>6</v>
      </c>
      <c r="AM30">
        <f>IF(M30="",0,VLOOKUP(M30,'Dados de consulta'!$H$2:$I$25,2,0))</f>
        <v>0</v>
      </c>
      <c r="AN30">
        <f>IF(N30="",0,VLOOKUP(N30,'Dados de consulta'!$H$2:$I$25,2,0))</f>
        <v>0</v>
      </c>
      <c r="AO30">
        <f>IF(O30="",0,VLOOKUP(O30,'Dados de consulta'!$H$2:$I$25,2,0))</f>
        <v>0</v>
      </c>
      <c r="AP30">
        <f>IF(P30="",0,VLOOKUP(P30,'Dados de consulta'!$H$2:$I$25,2,0))</f>
        <v>6</v>
      </c>
      <c r="AQ30">
        <f>IF(Q30="",0,VLOOKUP(Q30,'Dados de consulta'!$H$2:$I$25,2,0))</f>
        <v>0</v>
      </c>
      <c r="AR30">
        <f>IF(R30="",0,VLOOKUP(R30,'Dados de consulta'!$H$2:$I$25,2,0))</f>
        <v>0</v>
      </c>
      <c r="AS30">
        <f>IF(S30="",0,VLOOKUP(S30,'Dados de consulta'!$H$2:$I$25,2,0))</f>
        <v>0</v>
      </c>
      <c r="AT30">
        <f>IF(T30="",0,VLOOKUP(T30,'Dados de consulta'!$H$2:$I$25,2,0))</f>
        <v>0</v>
      </c>
      <c r="AU30">
        <f>IF(U30="",0,VLOOKUP(U30,'Dados de consulta'!$H$2:$I$25,2,0))</f>
        <v>0</v>
      </c>
      <c r="AV30">
        <f>IF(V30="",0,VLOOKUP(V30,'Dados de consulta'!$H$2:$I$25,2,0))</f>
        <v>0</v>
      </c>
      <c r="AW30">
        <f t="shared" si="3"/>
        <v>12</v>
      </c>
      <c r="AX30">
        <f t="shared" si="4"/>
        <v>0</v>
      </c>
      <c r="AY30">
        <f t="shared" si="5"/>
        <v>0</v>
      </c>
      <c r="BA30" s="27">
        <v>43101</v>
      </c>
      <c r="BB30">
        <f t="shared" si="6"/>
        <v>0</v>
      </c>
    </row>
    <row r="31" spans="1:54" hidden="1" x14ac:dyDescent="0.2">
      <c r="A31" s="202">
        <v>42288</v>
      </c>
      <c r="B31" s="78" t="s">
        <v>282</v>
      </c>
      <c r="W31">
        <f t="shared" si="0"/>
        <v>0</v>
      </c>
      <c r="X31">
        <f t="shared" si="1"/>
        <v>0</v>
      </c>
      <c r="Y31">
        <f t="shared" si="2"/>
        <v>0</v>
      </c>
      <c r="AA31" s="202">
        <v>42288</v>
      </c>
      <c r="AB31" s="78" t="s">
        <v>282</v>
      </c>
      <c r="AC31">
        <f>IF(C31="",0,VLOOKUP(C31,'Dados de consulta'!$H$2:$I$25,2,0))</f>
        <v>0</v>
      </c>
      <c r="AD31">
        <f>IF(D31="",0,VLOOKUP(D31,'Dados de consulta'!$H$2:$I$25,2,0))</f>
        <v>0</v>
      </c>
      <c r="AE31">
        <f>IF(E31="",0,VLOOKUP(E31,'Dados de consulta'!$H$2:$I$25,2,0))</f>
        <v>0</v>
      </c>
      <c r="AF31">
        <f>IF(F31="",0,VLOOKUP(F31,'Dados de consulta'!$H$2:$I$25,2,0))</f>
        <v>0</v>
      </c>
      <c r="AG31">
        <f>IF(G31="",0,VLOOKUP(G31,'Dados de consulta'!$H$2:$I$25,2,0))</f>
        <v>0</v>
      </c>
      <c r="AH31">
        <f>IF(H31="",0,VLOOKUP(H31,'Dados de consulta'!$H$2:$I$25,2,0))</f>
        <v>0</v>
      </c>
      <c r="AI31">
        <f>IF(I31="",0,VLOOKUP(I31,'Dados de consulta'!$H$2:$I$25,2,0))</f>
        <v>0</v>
      </c>
      <c r="AJ31">
        <f>IF(J31="",0,VLOOKUP(J31,'Dados de consulta'!$H$2:$I$25,2,0))</f>
        <v>0</v>
      </c>
      <c r="AK31">
        <f>IF(K31="",0,VLOOKUP(K31,'Dados de consulta'!$H$2:$I$25,2,0))</f>
        <v>0</v>
      </c>
      <c r="AL31">
        <f>IF(L31="",0,VLOOKUP(L31,'Dados de consulta'!$H$2:$I$25,2,0))</f>
        <v>0</v>
      </c>
      <c r="AM31">
        <f>IF(M31="",0,VLOOKUP(M31,'Dados de consulta'!$H$2:$I$25,2,0))</f>
        <v>0</v>
      </c>
      <c r="AN31">
        <f>IF(N31="",0,VLOOKUP(N31,'Dados de consulta'!$H$2:$I$25,2,0))</f>
        <v>0</v>
      </c>
      <c r="AO31">
        <f>IF(O31="",0,VLOOKUP(O31,'Dados de consulta'!$H$2:$I$25,2,0))</f>
        <v>0</v>
      </c>
      <c r="AP31">
        <f>IF(P31="",0,VLOOKUP(P31,'Dados de consulta'!$H$2:$I$25,2,0))</f>
        <v>0</v>
      </c>
      <c r="AQ31">
        <f>IF(Q31="",0,VLOOKUP(Q31,'Dados de consulta'!$H$2:$I$25,2,0))</f>
        <v>0</v>
      </c>
      <c r="AR31">
        <f>IF(R31="",0,VLOOKUP(R31,'Dados de consulta'!$H$2:$I$25,2,0))</f>
        <v>0</v>
      </c>
      <c r="AS31">
        <f>IF(S31="",0,VLOOKUP(S31,'Dados de consulta'!$H$2:$I$25,2,0))</f>
        <v>0</v>
      </c>
      <c r="AT31">
        <f>IF(T31="",0,VLOOKUP(T31,'Dados de consulta'!$H$2:$I$25,2,0))</f>
        <v>0</v>
      </c>
      <c r="AU31">
        <f>IF(U31="",0,VLOOKUP(U31,'Dados de consulta'!$H$2:$I$25,2,0))</f>
        <v>0</v>
      </c>
      <c r="AV31">
        <f>IF(V31="",0,VLOOKUP(V31,'Dados de consulta'!$H$2:$I$25,2,0))</f>
        <v>0</v>
      </c>
      <c r="AW31">
        <f t="shared" si="3"/>
        <v>0</v>
      </c>
      <c r="AX31">
        <f t="shared" si="4"/>
        <v>0</v>
      </c>
      <c r="AY31">
        <f t="shared" si="5"/>
        <v>0</v>
      </c>
      <c r="BA31" s="27">
        <v>43132</v>
      </c>
      <c r="BB31">
        <f t="shared" si="6"/>
        <v>0</v>
      </c>
    </row>
    <row r="32" spans="1:54" hidden="1" x14ac:dyDescent="0.2">
      <c r="A32" s="202">
        <v>42289</v>
      </c>
      <c r="B32" s="78" t="s">
        <v>283</v>
      </c>
      <c r="W32">
        <f t="shared" si="0"/>
        <v>0</v>
      </c>
      <c r="X32">
        <f t="shared" si="1"/>
        <v>0</v>
      </c>
      <c r="Y32">
        <f t="shared" si="2"/>
        <v>0</v>
      </c>
      <c r="AA32" s="202">
        <v>42289</v>
      </c>
      <c r="AB32" s="78" t="s">
        <v>283</v>
      </c>
      <c r="AC32">
        <f>IF(C32="",0,VLOOKUP(C32,'Dados de consulta'!$H$2:$I$25,2,0))</f>
        <v>0</v>
      </c>
      <c r="AD32">
        <f>IF(D32="",0,VLOOKUP(D32,'Dados de consulta'!$H$2:$I$25,2,0))</f>
        <v>0</v>
      </c>
      <c r="AE32">
        <f>IF(E32="",0,VLOOKUP(E32,'Dados de consulta'!$H$2:$I$25,2,0))</f>
        <v>0</v>
      </c>
      <c r="AF32">
        <f>IF(F32="",0,VLOOKUP(F32,'Dados de consulta'!$H$2:$I$25,2,0))</f>
        <v>0</v>
      </c>
      <c r="AG32">
        <f>IF(G32="",0,VLOOKUP(G32,'Dados de consulta'!$H$2:$I$25,2,0))</f>
        <v>0</v>
      </c>
      <c r="AH32">
        <f>IF(H32="",0,VLOOKUP(H32,'Dados de consulta'!$H$2:$I$25,2,0))</f>
        <v>0</v>
      </c>
      <c r="AI32">
        <f>IF(I32="",0,VLOOKUP(I32,'Dados de consulta'!$H$2:$I$25,2,0))</f>
        <v>0</v>
      </c>
      <c r="AJ32">
        <f>IF(J32="",0,VLOOKUP(J32,'Dados de consulta'!$H$2:$I$25,2,0))</f>
        <v>0</v>
      </c>
      <c r="AK32">
        <f>IF(K32="",0,VLOOKUP(K32,'Dados de consulta'!$H$2:$I$25,2,0))</f>
        <v>0</v>
      </c>
      <c r="AL32">
        <f>IF(L32="",0,VLOOKUP(L32,'Dados de consulta'!$H$2:$I$25,2,0))</f>
        <v>0</v>
      </c>
      <c r="AM32">
        <f>IF(M32="",0,VLOOKUP(M32,'Dados de consulta'!$H$2:$I$25,2,0))</f>
        <v>0</v>
      </c>
      <c r="AN32">
        <f>IF(N32="",0,VLOOKUP(N32,'Dados de consulta'!$H$2:$I$25,2,0))</f>
        <v>0</v>
      </c>
      <c r="AO32">
        <f>IF(O32="",0,VLOOKUP(O32,'Dados de consulta'!$H$2:$I$25,2,0))</f>
        <v>0</v>
      </c>
      <c r="AP32">
        <f>IF(P32="",0,VLOOKUP(P32,'Dados de consulta'!$H$2:$I$25,2,0))</f>
        <v>0</v>
      </c>
      <c r="AQ32">
        <f>IF(Q32="",0,VLOOKUP(Q32,'Dados de consulta'!$H$2:$I$25,2,0))</f>
        <v>0</v>
      </c>
      <c r="AR32">
        <f>IF(R32="",0,VLOOKUP(R32,'Dados de consulta'!$H$2:$I$25,2,0))</f>
        <v>0</v>
      </c>
      <c r="AS32">
        <f>IF(S32="",0,VLOOKUP(S32,'Dados de consulta'!$H$2:$I$25,2,0))</f>
        <v>0</v>
      </c>
      <c r="AT32">
        <f>IF(T32="",0,VLOOKUP(T32,'Dados de consulta'!$H$2:$I$25,2,0))</f>
        <v>0</v>
      </c>
      <c r="AU32">
        <f>IF(U32="",0,VLOOKUP(U32,'Dados de consulta'!$H$2:$I$25,2,0))</f>
        <v>0</v>
      </c>
      <c r="AV32">
        <f>IF(V32="",0,VLOOKUP(V32,'Dados de consulta'!$H$2:$I$25,2,0))</f>
        <v>0</v>
      </c>
      <c r="AW32">
        <f t="shared" si="3"/>
        <v>0</v>
      </c>
      <c r="AX32">
        <f t="shared" si="4"/>
        <v>0</v>
      </c>
      <c r="AY32">
        <f t="shared" si="5"/>
        <v>0</v>
      </c>
      <c r="BA32" s="27">
        <v>43160</v>
      </c>
      <c r="BB32">
        <f t="shared" si="6"/>
        <v>0</v>
      </c>
    </row>
    <row r="33" spans="1:54" hidden="1" x14ac:dyDescent="0.2">
      <c r="A33" s="202">
        <v>42290</v>
      </c>
      <c r="B33" s="78" t="s">
        <v>284</v>
      </c>
      <c r="W33">
        <f t="shared" si="0"/>
        <v>0</v>
      </c>
      <c r="X33">
        <f t="shared" si="1"/>
        <v>0</v>
      </c>
      <c r="Y33">
        <f t="shared" si="2"/>
        <v>0</v>
      </c>
      <c r="AA33" s="202">
        <v>42290</v>
      </c>
      <c r="AB33" s="78" t="s">
        <v>284</v>
      </c>
      <c r="AC33">
        <f>IF(C33="",0,VLOOKUP(C33,'Dados de consulta'!$H$2:$I$25,2,0))</f>
        <v>0</v>
      </c>
      <c r="AD33">
        <f>IF(D33="",0,VLOOKUP(D33,'Dados de consulta'!$H$2:$I$25,2,0))</f>
        <v>0</v>
      </c>
      <c r="AE33">
        <f>IF(E33="",0,VLOOKUP(E33,'Dados de consulta'!$H$2:$I$25,2,0))</f>
        <v>0</v>
      </c>
      <c r="AF33">
        <f>IF(F33="",0,VLOOKUP(F33,'Dados de consulta'!$H$2:$I$25,2,0))</f>
        <v>0</v>
      </c>
      <c r="AG33">
        <f>IF(G33="",0,VLOOKUP(G33,'Dados de consulta'!$H$2:$I$25,2,0))</f>
        <v>0</v>
      </c>
      <c r="AH33">
        <f>IF(H33="",0,VLOOKUP(H33,'Dados de consulta'!$H$2:$I$25,2,0))</f>
        <v>0</v>
      </c>
      <c r="AI33">
        <f>IF(I33="",0,VLOOKUP(I33,'Dados de consulta'!$H$2:$I$25,2,0))</f>
        <v>0</v>
      </c>
      <c r="AJ33">
        <f>IF(J33="",0,VLOOKUP(J33,'Dados de consulta'!$H$2:$I$25,2,0))</f>
        <v>0</v>
      </c>
      <c r="AK33">
        <f>IF(K33="",0,VLOOKUP(K33,'Dados de consulta'!$H$2:$I$25,2,0))</f>
        <v>0</v>
      </c>
      <c r="AL33">
        <f>IF(L33="",0,VLOOKUP(L33,'Dados de consulta'!$H$2:$I$25,2,0))</f>
        <v>0</v>
      </c>
      <c r="AM33">
        <f>IF(M33="",0,VLOOKUP(M33,'Dados de consulta'!$H$2:$I$25,2,0))</f>
        <v>0</v>
      </c>
      <c r="AN33">
        <f>IF(N33="",0,VLOOKUP(N33,'Dados de consulta'!$H$2:$I$25,2,0))</f>
        <v>0</v>
      </c>
      <c r="AO33">
        <f>IF(O33="",0,VLOOKUP(O33,'Dados de consulta'!$H$2:$I$25,2,0))</f>
        <v>0</v>
      </c>
      <c r="AP33">
        <f>IF(P33="",0,VLOOKUP(P33,'Dados de consulta'!$H$2:$I$25,2,0))</f>
        <v>0</v>
      </c>
      <c r="AQ33">
        <f>IF(Q33="",0,VLOOKUP(Q33,'Dados de consulta'!$H$2:$I$25,2,0))</f>
        <v>0</v>
      </c>
      <c r="AR33">
        <f>IF(R33="",0,VLOOKUP(R33,'Dados de consulta'!$H$2:$I$25,2,0))</f>
        <v>0</v>
      </c>
      <c r="AS33">
        <f>IF(S33="",0,VLOOKUP(S33,'Dados de consulta'!$H$2:$I$25,2,0))</f>
        <v>0</v>
      </c>
      <c r="AT33">
        <f>IF(T33="",0,VLOOKUP(T33,'Dados de consulta'!$H$2:$I$25,2,0))</f>
        <v>0</v>
      </c>
      <c r="AU33">
        <f>IF(U33="",0,VLOOKUP(U33,'Dados de consulta'!$H$2:$I$25,2,0))</f>
        <v>0</v>
      </c>
      <c r="AV33">
        <f>IF(V33="",0,VLOOKUP(V33,'Dados de consulta'!$H$2:$I$25,2,0))</f>
        <v>0</v>
      </c>
      <c r="AW33">
        <f t="shared" si="3"/>
        <v>0</v>
      </c>
      <c r="AX33">
        <f t="shared" si="4"/>
        <v>0</v>
      </c>
      <c r="AY33">
        <f t="shared" si="5"/>
        <v>0</v>
      </c>
      <c r="BA33" s="27">
        <v>43191</v>
      </c>
      <c r="BB33">
        <f t="shared" si="6"/>
        <v>0</v>
      </c>
    </row>
    <row r="34" spans="1:54" hidden="1" x14ac:dyDescent="0.2">
      <c r="A34" s="202">
        <v>42291</v>
      </c>
      <c r="B34" s="78" t="s">
        <v>285</v>
      </c>
      <c r="W34">
        <f t="shared" si="0"/>
        <v>0</v>
      </c>
      <c r="X34">
        <f t="shared" si="1"/>
        <v>0</v>
      </c>
      <c r="Y34">
        <f t="shared" si="2"/>
        <v>0</v>
      </c>
      <c r="AA34" s="202">
        <v>42291</v>
      </c>
      <c r="AB34" s="78" t="s">
        <v>285</v>
      </c>
      <c r="AC34">
        <f>IF(C34="",0,VLOOKUP(C34,'Dados de consulta'!$H$2:$I$25,2,0))</f>
        <v>0</v>
      </c>
      <c r="AD34">
        <f>IF(D34="",0,VLOOKUP(D34,'Dados de consulta'!$H$2:$I$25,2,0))</f>
        <v>0</v>
      </c>
      <c r="AE34">
        <f>IF(E34="",0,VLOOKUP(E34,'Dados de consulta'!$H$2:$I$25,2,0))</f>
        <v>0</v>
      </c>
      <c r="AF34">
        <f>IF(F34="",0,VLOOKUP(F34,'Dados de consulta'!$H$2:$I$25,2,0))</f>
        <v>0</v>
      </c>
      <c r="AG34">
        <f>IF(G34="",0,VLOOKUP(G34,'Dados de consulta'!$H$2:$I$25,2,0))</f>
        <v>0</v>
      </c>
      <c r="AH34">
        <f>IF(H34="",0,VLOOKUP(H34,'Dados de consulta'!$H$2:$I$25,2,0))</f>
        <v>0</v>
      </c>
      <c r="AI34">
        <f>IF(I34="",0,VLOOKUP(I34,'Dados de consulta'!$H$2:$I$25,2,0))</f>
        <v>0</v>
      </c>
      <c r="AJ34">
        <f>IF(J34="",0,VLOOKUP(J34,'Dados de consulta'!$H$2:$I$25,2,0))</f>
        <v>0</v>
      </c>
      <c r="AK34">
        <f>IF(K34="",0,VLOOKUP(K34,'Dados de consulta'!$H$2:$I$25,2,0))</f>
        <v>0</v>
      </c>
      <c r="AL34">
        <f>IF(L34="",0,VLOOKUP(L34,'Dados de consulta'!$H$2:$I$25,2,0))</f>
        <v>0</v>
      </c>
      <c r="AM34">
        <f>IF(M34="",0,VLOOKUP(M34,'Dados de consulta'!$H$2:$I$25,2,0))</f>
        <v>0</v>
      </c>
      <c r="AN34">
        <f>IF(N34="",0,VLOOKUP(N34,'Dados de consulta'!$H$2:$I$25,2,0))</f>
        <v>0</v>
      </c>
      <c r="AO34">
        <f>IF(O34="",0,VLOOKUP(O34,'Dados de consulta'!$H$2:$I$25,2,0))</f>
        <v>0</v>
      </c>
      <c r="AP34">
        <f>IF(P34="",0,VLOOKUP(P34,'Dados de consulta'!$H$2:$I$25,2,0))</f>
        <v>0</v>
      </c>
      <c r="AQ34">
        <f>IF(Q34="",0,VLOOKUP(Q34,'Dados de consulta'!$H$2:$I$25,2,0))</f>
        <v>0</v>
      </c>
      <c r="AR34">
        <f>IF(R34="",0,VLOOKUP(R34,'Dados de consulta'!$H$2:$I$25,2,0))</f>
        <v>0</v>
      </c>
      <c r="AS34">
        <f>IF(S34="",0,VLOOKUP(S34,'Dados de consulta'!$H$2:$I$25,2,0))</f>
        <v>0</v>
      </c>
      <c r="AT34">
        <f>IF(T34="",0,VLOOKUP(T34,'Dados de consulta'!$H$2:$I$25,2,0))</f>
        <v>0</v>
      </c>
      <c r="AU34">
        <f>IF(U34="",0,VLOOKUP(U34,'Dados de consulta'!$H$2:$I$25,2,0))</f>
        <v>0</v>
      </c>
      <c r="AV34">
        <f>IF(V34="",0,VLOOKUP(V34,'Dados de consulta'!$H$2:$I$25,2,0))</f>
        <v>0</v>
      </c>
      <c r="AW34">
        <f t="shared" si="3"/>
        <v>0</v>
      </c>
      <c r="AX34">
        <f t="shared" si="4"/>
        <v>0</v>
      </c>
      <c r="AY34">
        <f t="shared" si="5"/>
        <v>0</v>
      </c>
      <c r="BA34" s="27">
        <v>43221</v>
      </c>
      <c r="BB34">
        <f t="shared" si="6"/>
        <v>0</v>
      </c>
    </row>
    <row r="35" spans="1:54" hidden="1" x14ac:dyDescent="0.2">
      <c r="A35" s="202">
        <v>42292</v>
      </c>
      <c r="B35" s="78" t="s">
        <v>286</v>
      </c>
      <c r="W35">
        <f t="shared" si="0"/>
        <v>0</v>
      </c>
      <c r="X35">
        <f t="shared" si="1"/>
        <v>0</v>
      </c>
      <c r="Y35">
        <f t="shared" si="2"/>
        <v>0</v>
      </c>
      <c r="AA35" s="202">
        <v>42292</v>
      </c>
      <c r="AB35" s="78" t="s">
        <v>286</v>
      </c>
      <c r="AC35">
        <f>IF(C35="",0,VLOOKUP(C35,'Dados de consulta'!$H$2:$I$25,2,0))</f>
        <v>0</v>
      </c>
      <c r="AD35">
        <f>IF(D35="",0,VLOOKUP(D35,'Dados de consulta'!$H$2:$I$25,2,0))</f>
        <v>0</v>
      </c>
      <c r="AE35">
        <f>IF(E35="",0,VLOOKUP(E35,'Dados de consulta'!$H$2:$I$25,2,0))</f>
        <v>0</v>
      </c>
      <c r="AF35">
        <f>IF(F35="",0,VLOOKUP(F35,'Dados de consulta'!$H$2:$I$25,2,0))</f>
        <v>0</v>
      </c>
      <c r="AG35">
        <f>IF(G35="",0,VLOOKUP(G35,'Dados de consulta'!$H$2:$I$25,2,0))</f>
        <v>0</v>
      </c>
      <c r="AH35">
        <f>IF(H35="",0,VLOOKUP(H35,'Dados de consulta'!$H$2:$I$25,2,0))</f>
        <v>0</v>
      </c>
      <c r="AI35">
        <f>IF(I35="",0,VLOOKUP(I35,'Dados de consulta'!$H$2:$I$25,2,0))</f>
        <v>0</v>
      </c>
      <c r="AJ35">
        <f>IF(J35="",0,VLOOKUP(J35,'Dados de consulta'!$H$2:$I$25,2,0))</f>
        <v>0</v>
      </c>
      <c r="AK35">
        <f>IF(K35="",0,VLOOKUP(K35,'Dados de consulta'!$H$2:$I$25,2,0))</f>
        <v>0</v>
      </c>
      <c r="AL35">
        <f>IF(L35="",0,VLOOKUP(L35,'Dados de consulta'!$H$2:$I$25,2,0))</f>
        <v>0</v>
      </c>
      <c r="AM35">
        <f>IF(M35="",0,VLOOKUP(M35,'Dados de consulta'!$H$2:$I$25,2,0))</f>
        <v>0</v>
      </c>
      <c r="AN35">
        <f>IF(N35="",0,VLOOKUP(N35,'Dados de consulta'!$H$2:$I$25,2,0))</f>
        <v>0</v>
      </c>
      <c r="AO35">
        <f>IF(O35="",0,VLOOKUP(O35,'Dados de consulta'!$H$2:$I$25,2,0))</f>
        <v>0</v>
      </c>
      <c r="AP35">
        <f>IF(P35="",0,VLOOKUP(P35,'Dados de consulta'!$H$2:$I$25,2,0))</f>
        <v>0</v>
      </c>
      <c r="AQ35">
        <f>IF(Q35="",0,VLOOKUP(Q35,'Dados de consulta'!$H$2:$I$25,2,0))</f>
        <v>0</v>
      </c>
      <c r="AR35">
        <f>IF(R35="",0,VLOOKUP(R35,'Dados de consulta'!$H$2:$I$25,2,0))</f>
        <v>0</v>
      </c>
      <c r="AS35">
        <f>IF(S35="",0,VLOOKUP(S35,'Dados de consulta'!$H$2:$I$25,2,0))</f>
        <v>0</v>
      </c>
      <c r="AT35">
        <f>IF(T35="",0,VLOOKUP(T35,'Dados de consulta'!$H$2:$I$25,2,0))</f>
        <v>0</v>
      </c>
      <c r="AU35">
        <f>IF(U35="",0,VLOOKUP(U35,'Dados de consulta'!$H$2:$I$25,2,0))</f>
        <v>0</v>
      </c>
      <c r="AV35">
        <f>IF(V35="",0,VLOOKUP(V35,'Dados de consulta'!$H$2:$I$25,2,0))</f>
        <v>0</v>
      </c>
      <c r="AW35">
        <f t="shared" si="3"/>
        <v>0</v>
      </c>
      <c r="AX35">
        <f t="shared" si="4"/>
        <v>0</v>
      </c>
      <c r="AY35">
        <f t="shared" si="5"/>
        <v>0</v>
      </c>
      <c r="BA35" s="27">
        <v>43252</v>
      </c>
      <c r="BB35">
        <f t="shared" si="6"/>
        <v>0</v>
      </c>
    </row>
    <row r="36" spans="1:54" hidden="1" x14ac:dyDescent="0.2">
      <c r="A36" s="202">
        <v>42293</v>
      </c>
      <c r="B36" s="78" t="s">
        <v>287</v>
      </c>
      <c r="W36">
        <f t="shared" si="0"/>
        <v>0</v>
      </c>
      <c r="X36">
        <f t="shared" si="1"/>
        <v>0</v>
      </c>
      <c r="Y36">
        <f t="shared" si="2"/>
        <v>0</v>
      </c>
      <c r="AA36" s="202">
        <v>42293</v>
      </c>
      <c r="AB36" s="78" t="s">
        <v>287</v>
      </c>
      <c r="AC36">
        <f>IF(C36="",0,VLOOKUP(C36,'Dados de consulta'!$H$2:$I$25,2,0))</f>
        <v>0</v>
      </c>
      <c r="AD36">
        <f>IF(D36="",0,VLOOKUP(D36,'Dados de consulta'!$H$2:$I$25,2,0))</f>
        <v>0</v>
      </c>
      <c r="AE36">
        <f>IF(E36="",0,VLOOKUP(E36,'Dados de consulta'!$H$2:$I$25,2,0))</f>
        <v>0</v>
      </c>
      <c r="AF36">
        <f>IF(F36="",0,VLOOKUP(F36,'Dados de consulta'!$H$2:$I$25,2,0))</f>
        <v>0</v>
      </c>
      <c r="AG36">
        <f>IF(G36="",0,VLOOKUP(G36,'Dados de consulta'!$H$2:$I$25,2,0))</f>
        <v>0</v>
      </c>
      <c r="AH36">
        <f>IF(H36="",0,VLOOKUP(H36,'Dados de consulta'!$H$2:$I$25,2,0))</f>
        <v>0</v>
      </c>
      <c r="AI36">
        <f>IF(I36="",0,VLOOKUP(I36,'Dados de consulta'!$H$2:$I$25,2,0))</f>
        <v>0</v>
      </c>
      <c r="AJ36">
        <f>IF(J36="",0,VLOOKUP(J36,'Dados de consulta'!$H$2:$I$25,2,0))</f>
        <v>0</v>
      </c>
      <c r="AK36">
        <f>IF(K36="",0,VLOOKUP(K36,'Dados de consulta'!$H$2:$I$25,2,0))</f>
        <v>0</v>
      </c>
      <c r="AL36">
        <f>IF(L36="",0,VLOOKUP(L36,'Dados de consulta'!$H$2:$I$25,2,0))</f>
        <v>0</v>
      </c>
      <c r="AM36">
        <f>IF(M36="",0,VLOOKUP(M36,'Dados de consulta'!$H$2:$I$25,2,0))</f>
        <v>0</v>
      </c>
      <c r="AN36">
        <f>IF(N36="",0,VLOOKUP(N36,'Dados de consulta'!$H$2:$I$25,2,0))</f>
        <v>0</v>
      </c>
      <c r="AO36">
        <f>IF(O36="",0,VLOOKUP(O36,'Dados de consulta'!$H$2:$I$25,2,0))</f>
        <v>0</v>
      </c>
      <c r="AP36">
        <f>IF(P36="",0,VLOOKUP(P36,'Dados de consulta'!$H$2:$I$25,2,0))</f>
        <v>0</v>
      </c>
      <c r="AQ36">
        <f>IF(Q36="",0,VLOOKUP(Q36,'Dados de consulta'!$H$2:$I$25,2,0))</f>
        <v>0</v>
      </c>
      <c r="AR36">
        <f>IF(R36="",0,VLOOKUP(R36,'Dados de consulta'!$H$2:$I$25,2,0))</f>
        <v>0</v>
      </c>
      <c r="AS36">
        <f>IF(S36="",0,VLOOKUP(S36,'Dados de consulta'!$H$2:$I$25,2,0))</f>
        <v>0</v>
      </c>
      <c r="AT36">
        <f>IF(T36="",0,VLOOKUP(T36,'Dados de consulta'!$H$2:$I$25,2,0))</f>
        <v>0</v>
      </c>
      <c r="AU36">
        <f>IF(U36="",0,VLOOKUP(U36,'Dados de consulta'!$H$2:$I$25,2,0))</f>
        <v>0</v>
      </c>
      <c r="AV36">
        <f>IF(V36="",0,VLOOKUP(V36,'Dados de consulta'!$H$2:$I$25,2,0))</f>
        <v>0</v>
      </c>
      <c r="AW36">
        <f t="shared" si="3"/>
        <v>0</v>
      </c>
      <c r="AX36">
        <f t="shared" si="4"/>
        <v>0</v>
      </c>
      <c r="AY36">
        <f t="shared" si="5"/>
        <v>0</v>
      </c>
      <c r="BA36" s="27">
        <v>43282</v>
      </c>
      <c r="BB36">
        <f t="shared" si="6"/>
        <v>0</v>
      </c>
    </row>
    <row r="37" spans="1:54" hidden="1" x14ac:dyDescent="0.2">
      <c r="A37" s="202">
        <v>42294</v>
      </c>
      <c r="B37" s="78" t="s">
        <v>281</v>
      </c>
      <c r="C37" s="78" t="s">
        <v>219</v>
      </c>
      <c r="L37" s="78" t="s">
        <v>219</v>
      </c>
      <c r="N37" s="78" t="s">
        <v>219</v>
      </c>
      <c r="P37" s="78" t="s">
        <v>219</v>
      </c>
      <c r="S37" s="78" t="s">
        <v>219</v>
      </c>
      <c r="W37">
        <f t="shared" si="0"/>
        <v>30</v>
      </c>
      <c r="X37">
        <f t="shared" si="1"/>
        <v>0</v>
      </c>
      <c r="Y37">
        <f t="shared" si="2"/>
        <v>0</v>
      </c>
      <c r="AA37" s="202">
        <v>42294</v>
      </c>
      <c r="AB37" s="78" t="s">
        <v>281</v>
      </c>
      <c r="AC37">
        <f>IF(C37="",0,VLOOKUP(C37,'Dados de consulta'!$H$2:$I$25,2,0))</f>
        <v>6</v>
      </c>
      <c r="AD37">
        <f>IF(D37="",0,VLOOKUP(D37,'Dados de consulta'!$H$2:$I$25,2,0))</f>
        <v>0</v>
      </c>
      <c r="AE37">
        <f>IF(E37="",0,VLOOKUP(E37,'Dados de consulta'!$H$2:$I$25,2,0))</f>
        <v>0</v>
      </c>
      <c r="AF37">
        <f>IF(F37="",0,VLOOKUP(F37,'Dados de consulta'!$H$2:$I$25,2,0))</f>
        <v>0</v>
      </c>
      <c r="AG37">
        <f>IF(G37="",0,VLOOKUP(G37,'Dados de consulta'!$H$2:$I$25,2,0))</f>
        <v>0</v>
      </c>
      <c r="AH37">
        <f>IF(H37="",0,VLOOKUP(H37,'Dados de consulta'!$H$2:$I$25,2,0))</f>
        <v>0</v>
      </c>
      <c r="AI37">
        <f>IF(I37="",0,VLOOKUP(I37,'Dados de consulta'!$H$2:$I$25,2,0))</f>
        <v>0</v>
      </c>
      <c r="AJ37">
        <f>IF(J37="",0,VLOOKUP(J37,'Dados de consulta'!$H$2:$I$25,2,0))</f>
        <v>0</v>
      </c>
      <c r="AK37">
        <f>IF(K37="",0,VLOOKUP(K37,'Dados de consulta'!$H$2:$I$25,2,0))</f>
        <v>0</v>
      </c>
      <c r="AL37">
        <f>IF(L37="",0,VLOOKUP(L37,'Dados de consulta'!$H$2:$I$25,2,0))</f>
        <v>6</v>
      </c>
      <c r="AM37">
        <f>IF(M37="",0,VLOOKUP(M37,'Dados de consulta'!$H$2:$I$25,2,0))</f>
        <v>0</v>
      </c>
      <c r="AN37">
        <f>IF(N37="",0,VLOOKUP(N37,'Dados de consulta'!$H$2:$I$25,2,0))</f>
        <v>6</v>
      </c>
      <c r="AO37">
        <f>IF(O37="",0,VLOOKUP(O37,'Dados de consulta'!$H$2:$I$25,2,0))</f>
        <v>0</v>
      </c>
      <c r="AP37">
        <f>IF(P37="",0,VLOOKUP(P37,'Dados de consulta'!$H$2:$I$25,2,0))</f>
        <v>6</v>
      </c>
      <c r="AQ37">
        <f>IF(Q37="",0,VLOOKUP(Q37,'Dados de consulta'!$H$2:$I$25,2,0))</f>
        <v>0</v>
      </c>
      <c r="AR37">
        <f>IF(R37="",0,VLOOKUP(R37,'Dados de consulta'!$H$2:$I$25,2,0))</f>
        <v>0</v>
      </c>
      <c r="AS37">
        <f>IF(S37="",0,VLOOKUP(S37,'Dados de consulta'!$H$2:$I$25,2,0))</f>
        <v>6</v>
      </c>
      <c r="AT37">
        <f>IF(T37="",0,VLOOKUP(T37,'Dados de consulta'!$H$2:$I$25,2,0))</f>
        <v>0</v>
      </c>
      <c r="AU37">
        <f>IF(U37="",0,VLOOKUP(U37,'Dados de consulta'!$H$2:$I$25,2,0))</f>
        <v>0</v>
      </c>
      <c r="AV37">
        <f>IF(V37="",0,VLOOKUP(V37,'Dados de consulta'!$H$2:$I$25,2,0))</f>
        <v>0</v>
      </c>
      <c r="AW37">
        <f t="shared" si="3"/>
        <v>30</v>
      </c>
      <c r="AX37">
        <f t="shared" si="4"/>
        <v>0</v>
      </c>
      <c r="AY37">
        <f t="shared" si="5"/>
        <v>0</v>
      </c>
      <c r="BA37" s="27">
        <v>43313</v>
      </c>
      <c r="BB37">
        <f t="shared" si="6"/>
        <v>0</v>
      </c>
    </row>
    <row r="38" spans="1:54" hidden="1" x14ac:dyDescent="0.2">
      <c r="A38" s="202">
        <v>42295</v>
      </c>
      <c r="B38" s="78" t="s">
        <v>282</v>
      </c>
      <c r="W38">
        <f t="shared" si="0"/>
        <v>0</v>
      </c>
      <c r="X38">
        <f t="shared" si="1"/>
        <v>0</v>
      </c>
      <c r="Y38">
        <f t="shared" si="2"/>
        <v>0</v>
      </c>
      <c r="AA38" s="202">
        <v>42295</v>
      </c>
      <c r="AB38" s="78" t="s">
        <v>282</v>
      </c>
      <c r="AC38">
        <f>IF(C38="",0,VLOOKUP(C38,'Dados de consulta'!$H$2:$I$25,2,0))</f>
        <v>0</v>
      </c>
      <c r="AD38">
        <f>IF(D38="",0,VLOOKUP(D38,'Dados de consulta'!$H$2:$I$25,2,0))</f>
        <v>0</v>
      </c>
      <c r="AE38">
        <f>IF(E38="",0,VLOOKUP(E38,'Dados de consulta'!$H$2:$I$25,2,0))</f>
        <v>0</v>
      </c>
      <c r="AF38">
        <f>IF(F38="",0,VLOOKUP(F38,'Dados de consulta'!$H$2:$I$25,2,0))</f>
        <v>0</v>
      </c>
      <c r="AG38">
        <f>IF(G38="",0,VLOOKUP(G38,'Dados de consulta'!$H$2:$I$25,2,0))</f>
        <v>0</v>
      </c>
      <c r="AH38">
        <f>IF(H38="",0,VLOOKUP(H38,'Dados de consulta'!$H$2:$I$25,2,0))</f>
        <v>0</v>
      </c>
      <c r="AI38">
        <f>IF(I38="",0,VLOOKUP(I38,'Dados de consulta'!$H$2:$I$25,2,0))</f>
        <v>0</v>
      </c>
      <c r="AJ38">
        <f>IF(J38="",0,VLOOKUP(J38,'Dados de consulta'!$H$2:$I$25,2,0))</f>
        <v>0</v>
      </c>
      <c r="AK38">
        <f>IF(K38="",0,VLOOKUP(K38,'Dados de consulta'!$H$2:$I$25,2,0))</f>
        <v>0</v>
      </c>
      <c r="AL38">
        <f>IF(L38="",0,VLOOKUP(L38,'Dados de consulta'!$H$2:$I$25,2,0))</f>
        <v>0</v>
      </c>
      <c r="AM38">
        <f>IF(M38="",0,VLOOKUP(M38,'Dados de consulta'!$H$2:$I$25,2,0))</f>
        <v>0</v>
      </c>
      <c r="AN38">
        <f>IF(N38="",0,VLOOKUP(N38,'Dados de consulta'!$H$2:$I$25,2,0))</f>
        <v>0</v>
      </c>
      <c r="AO38">
        <f>IF(O38="",0,VLOOKUP(O38,'Dados de consulta'!$H$2:$I$25,2,0))</f>
        <v>0</v>
      </c>
      <c r="AP38">
        <f>IF(P38="",0,VLOOKUP(P38,'Dados de consulta'!$H$2:$I$25,2,0))</f>
        <v>0</v>
      </c>
      <c r="AQ38">
        <f>IF(Q38="",0,VLOOKUP(Q38,'Dados de consulta'!$H$2:$I$25,2,0))</f>
        <v>0</v>
      </c>
      <c r="AR38">
        <f>IF(R38="",0,VLOOKUP(R38,'Dados de consulta'!$H$2:$I$25,2,0))</f>
        <v>0</v>
      </c>
      <c r="AS38">
        <f>IF(S38="",0,VLOOKUP(S38,'Dados de consulta'!$H$2:$I$25,2,0))</f>
        <v>0</v>
      </c>
      <c r="AT38">
        <f>IF(T38="",0,VLOOKUP(T38,'Dados de consulta'!$H$2:$I$25,2,0))</f>
        <v>0</v>
      </c>
      <c r="AU38">
        <f>IF(U38="",0,VLOOKUP(U38,'Dados de consulta'!$H$2:$I$25,2,0))</f>
        <v>0</v>
      </c>
      <c r="AV38">
        <f>IF(V38="",0,VLOOKUP(V38,'Dados de consulta'!$H$2:$I$25,2,0))</f>
        <v>0</v>
      </c>
      <c r="AW38">
        <f t="shared" si="3"/>
        <v>0</v>
      </c>
      <c r="AX38">
        <f t="shared" si="4"/>
        <v>0</v>
      </c>
      <c r="AY38">
        <f t="shared" si="5"/>
        <v>0</v>
      </c>
      <c r="BA38" s="27">
        <v>43344</v>
      </c>
      <c r="BB38">
        <f t="shared" si="6"/>
        <v>0</v>
      </c>
    </row>
    <row r="39" spans="1:54" hidden="1" x14ac:dyDescent="0.2">
      <c r="A39" s="202">
        <v>42296</v>
      </c>
      <c r="B39" s="78" t="s">
        <v>283</v>
      </c>
      <c r="W39">
        <f t="shared" si="0"/>
        <v>0</v>
      </c>
      <c r="X39">
        <f t="shared" si="1"/>
        <v>0</v>
      </c>
      <c r="Y39">
        <f t="shared" si="2"/>
        <v>0</v>
      </c>
      <c r="AA39" s="202">
        <v>42296</v>
      </c>
      <c r="AB39" s="78" t="s">
        <v>283</v>
      </c>
      <c r="AC39">
        <f>IF(C39="",0,VLOOKUP(C39,'Dados de consulta'!$H$2:$I$25,2,0))</f>
        <v>0</v>
      </c>
      <c r="AD39">
        <f>IF(D39="",0,VLOOKUP(D39,'Dados de consulta'!$H$2:$I$25,2,0))</f>
        <v>0</v>
      </c>
      <c r="AE39">
        <f>IF(E39="",0,VLOOKUP(E39,'Dados de consulta'!$H$2:$I$25,2,0))</f>
        <v>0</v>
      </c>
      <c r="AF39">
        <f>IF(F39="",0,VLOOKUP(F39,'Dados de consulta'!$H$2:$I$25,2,0))</f>
        <v>0</v>
      </c>
      <c r="AG39">
        <f>IF(G39="",0,VLOOKUP(G39,'Dados de consulta'!$H$2:$I$25,2,0))</f>
        <v>0</v>
      </c>
      <c r="AH39">
        <f>IF(H39="",0,VLOOKUP(H39,'Dados de consulta'!$H$2:$I$25,2,0))</f>
        <v>0</v>
      </c>
      <c r="AI39">
        <f>IF(I39="",0,VLOOKUP(I39,'Dados de consulta'!$H$2:$I$25,2,0))</f>
        <v>0</v>
      </c>
      <c r="AJ39">
        <f>IF(J39="",0,VLOOKUP(J39,'Dados de consulta'!$H$2:$I$25,2,0))</f>
        <v>0</v>
      </c>
      <c r="AK39">
        <f>IF(K39="",0,VLOOKUP(K39,'Dados de consulta'!$H$2:$I$25,2,0))</f>
        <v>0</v>
      </c>
      <c r="AL39">
        <f>IF(L39="",0,VLOOKUP(L39,'Dados de consulta'!$H$2:$I$25,2,0))</f>
        <v>0</v>
      </c>
      <c r="AM39">
        <f>IF(M39="",0,VLOOKUP(M39,'Dados de consulta'!$H$2:$I$25,2,0))</f>
        <v>0</v>
      </c>
      <c r="AN39">
        <f>IF(N39="",0,VLOOKUP(N39,'Dados de consulta'!$H$2:$I$25,2,0))</f>
        <v>0</v>
      </c>
      <c r="AO39">
        <f>IF(O39="",0,VLOOKUP(O39,'Dados de consulta'!$H$2:$I$25,2,0))</f>
        <v>0</v>
      </c>
      <c r="AP39">
        <f>IF(P39="",0,VLOOKUP(P39,'Dados de consulta'!$H$2:$I$25,2,0))</f>
        <v>0</v>
      </c>
      <c r="AQ39">
        <f>IF(Q39="",0,VLOOKUP(Q39,'Dados de consulta'!$H$2:$I$25,2,0))</f>
        <v>0</v>
      </c>
      <c r="AR39">
        <f>IF(R39="",0,VLOOKUP(R39,'Dados de consulta'!$H$2:$I$25,2,0))</f>
        <v>0</v>
      </c>
      <c r="AS39">
        <f>IF(S39="",0,VLOOKUP(S39,'Dados de consulta'!$H$2:$I$25,2,0))</f>
        <v>0</v>
      </c>
      <c r="AT39">
        <f>IF(T39="",0,VLOOKUP(T39,'Dados de consulta'!$H$2:$I$25,2,0))</f>
        <v>0</v>
      </c>
      <c r="AU39">
        <f>IF(U39="",0,VLOOKUP(U39,'Dados de consulta'!$H$2:$I$25,2,0))</f>
        <v>0</v>
      </c>
      <c r="AV39">
        <f>IF(V39="",0,VLOOKUP(V39,'Dados de consulta'!$H$2:$I$25,2,0))</f>
        <v>0</v>
      </c>
      <c r="AW39">
        <f t="shared" si="3"/>
        <v>0</v>
      </c>
      <c r="AX39">
        <f t="shared" si="4"/>
        <v>0</v>
      </c>
      <c r="AY39">
        <f t="shared" si="5"/>
        <v>0</v>
      </c>
      <c r="BA39" s="27">
        <v>43374</v>
      </c>
      <c r="BB39">
        <f t="shared" si="6"/>
        <v>0</v>
      </c>
    </row>
    <row r="40" spans="1:54" hidden="1" x14ac:dyDescent="0.2">
      <c r="A40" s="202">
        <v>42297</v>
      </c>
      <c r="B40" s="78" t="s">
        <v>284</v>
      </c>
      <c r="W40">
        <f t="shared" si="0"/>
        <v>0</v>
      </c>
      <c r="X40">
        <f t="shared" si="1"/>
        <v>0</v>
      </c>
      <c r="Y40">
        <f t="shared" si="2"/>
        <v>0</v>
      </c>
      <c r="AA40" s="202">
        <v>42297</v>
      </c>
      <c r="AB40" s="78" t="s">
        <v>284</v>
      </c>
      <c r="AC40">
        <f>IF(C40="",0,VLOOKUP(C40,'Dados de consulta'!$H$2:$I$25,2,0))</f>
        <v>0</v>
      </c>
      <c r="AD40">
        <f>IF(D40="",0,VLOOKUP(D40,'Dados de consulta'!$H$2:$I$25,2,0))</f>
        <v>0</v>
      </c>
      <c r="AE40">
        <f>IF(E40="",0,VLOOKUP(E40,'Dados de consulta'!$H$2:$I$25,2,0))</f>
        <v>0</v>
      </c>
      <c r="AF40">
        <f>IF(F40="",0,VLOOKUP(F40,'Dados de consulta'!$H$2:$I$25,2,0))</f>
        <v>0</v>
      </c>
      <c r="AG40">
        <f>IF(G40="",0,VLOOKUP(G40,'Dados de consulta'!$H$2:$I$25,2,0))</f>
        <v>0</v>
      </c>
      <c r="AH40">
        <f>IF(H40="",0,VLOOKUP(H40,'Dados de consulta'!$H$2:$I$25,2,0))</f>
        <v>0</v>
      </c>
      <c r="AI40">
        <f>IF(I40="",0,VLOOKUP(I40,'Dados de consulta'!$H$2:$I$25,2,0))</f>
        <v>0</v>
      </c>
      <c r="AJ40">
        <f>IF(J40="",0,VLOOKUP(J40,'Dados de consulta'!$H$2:$I$25,2,0))</f>
        <v>0</v>
      </c>
      <c r="AK40">
        <f>IF(K40="",0,VLOOKUP(K40,'Dados de consulta'!$H$2:$I$25,2,0))</f>
        <v>0</v>
      </c>
      <c r="AL40">
        <f>IF(L40="",0,VLOOKUP(L40,'Dados de consulta'!$H$2:$I$25,2,0))</f>
        <v>0</v>
      </c>
      <c r="AM40">
        <f>IF(M40="",0,VLOOKUP(M40,'Dados de consulta'!$H$2:$I$25,2,0))</f>
        <v>0</v>
      </c>
      <c r="AN40">
        <f>IF(N40="",0,VLOOKUP(N40,'Dados de consulta'!$H$2:$I$25,2,0))</f>
        <v>0</v>
      </c>
      <c r="AO40">
        <f>IF(O40="",0,VLOOKUP(O40,'Dados de consulta'!$H$2:$I$25,2,0))</f>
        <v>0</v>
      </c>
      <c r="AP40">
        <f>IF(P40="",0,VLOOKUP(P40,'Dados de consulta'!$H$2:$I$25,2,0))</f>
        <v>0</v>
      </c>
      <c r="AQ40">
        <f>IF(Q40="",0,VLOOKUP(Q40,'Dados de consulta'!$H$2:$I$25,2,0))</f>
        <v>0</v>
      </c>
      <c r="AR40">
        <f>IF(R40="",0,VLOOKUP(R40,'Dados de consulta'!$H$2:$I$25,2,0))</f>
        <v>0</v>
      </c>
      <c r="AS40">
        <f>IF(S40="",0,VLOOKUP(S40,'Dados de consulta'!$H$2:$I$25,2,0))</f>
        <v>0</v>
      </c>
      <c r="AT40">
        <f>IF(T40="",0,VLOOKUP(T40,'Dados de consulta'!$H$2:$I$25,2,0))</f>
        <v>0</v>
      </c>
      <c r="AU40">
        <f>IF(U40="",0,VLOOKUP(U40,'Dados de consulta'!$H$2:$I$25,2,0))</f>
        <v>0</v>
      </c>
      <c r="AV40">
        <f>IF(V40="",0,VLOOKUP(V40,'Dados de consulta'!$H$2:$I$25,2,0))</f>
        <v>0</v>
      </c>
      <c r="AW40">
        <f t="shared" si="3"/>
        <v>0</v>
      </c>
      <c r="AX40">
        <f t="shared" si="4"/>
        <v>0</v>
      </c>
      <c r="AY40">
        <f t="shared" si="5"/>
        <v>0</v>
      </c>
      <c r="BA40" s="27">
        <v>43405</v>
      </c>
      <c r="BB40">
        <f t="shared" si="6"/>
        <v>0</v>
      </c>
    </row>
    <row r="41" spans="1:54" hidden="1" x14ac:dyDescent="0.2">
      <c r="A41" s="202">
        <v>42298</v>
      </c>
      <c r="B41" s="78" t="s">
        <v>285</v>
      </c>
      <c r="W41">
        <f t="shared" si="0"/>
        <v>0</v>
      </c>
      <c r="X41">
        <f t="shared" si="1"/>
        <v>0</v>
      </c>
      <c r="Y41">
        <f t="shared" si="2"/>
        <v>0</v>
      </c>
      <c r="AA41" s="202">
        <v>42298</v>
      </c>
      <c r="AB41" s="78" t="s">
        <v>285</v>
      </c>
      <c r="AC41">
        <f>IF(C41="",0,VLOOKUP(C41,'Dados de consulta'!$H$2:$I$25,2,0))</f>
        <v>0</v>
      </c>
      <c r="AD41">
        <f>IF(D41="",0,VLOOKUP(D41,'Dados de consulta'!$H$2:$I$25,2,0))</f>
        <v>0</v>
      </c>
      <c r="AE41">
        <f>IF(E41="",0,VLOOKUP(E41,'Dados de consulta'!$H$2:$I$25,2,0))</f>
        <v>0</v>
      </c>
      <c r="AF41">
        <f>IF(F41="",0,VLOOKUP(F41,'Dados de consulta'!$H$2:$I$25,2,0))</f>
        <v>0</v>
      </c>
      <c r="AG41">
        <f>IF(G41="",0,VLOOKUP(G41,'Dados de consulta'!$H$2:$I$25,2,0))</f>
        <v>0</v>
      </c>
      <c r="AH41">
        <f>IF(H41="",0,VLOOKUP(H41,'Dados de consulta'!$H$2:$I$25,2,0))</f>
        <v>0</v>
      </c>
      <c r="AI41">
        <f>IF(I41="",0,VLOOKUP(I41,'Dados de consulta'!$H$2:$I$25,2,0))</f>
        <v>0</v>
      </c>
      <c r="AJ41">
        <f>IF(J41="",0,VLOOKUP(J41,'Dados de consulta'!$H$2:$I$25,2,0))</f>
        <v>0</v>
      </c>
      <c r="AK41">
        <f>IF(K41="",0,VLOOKUP(K41,'Dados de consulta'!$H$2:$I$25,2,0))</f>
        <v>0</v>
      </c>
      <c r="AL41">
        <f>IF(L41="",0,VLOOKUP(L41,'Dados de consulta'!$H$2:$I$25,2,0))</f>
        <v>0</v>
      </c>
      <c r="AM41">
        <f>IF(M41="",0,VLOOKUP(M41,'Dados de consulta'!$H$2:$I$25,2,0))</f>
        <v>0</v>
      </c>
      <c r="AN41">
        <f>IF(N41="",0,VLOOKUP(N41,'Dados de consulta'!$H$2:$I$25,2,0))</f>
        <v>0</v>
      </c>
      <c r="AO41">
        <f>IF(O41="",0,VLOOKUP(O41,'Dados de consulta'!$H$2:$I$25,2,0))</f>
        <v>0</v>
      </c>
      <c r="AP41">
        <f>IF(P41="",0,VLOOKUP(P41,'Dados de consulta'!$H$2:$I$25,2,0))</f>
        <v>0</v>
      </c>
      <c r="AQ41">
        <f>IF(Q41="",0,VLOOKUP(Q41,'Dados de consulta'!$H$2:$I$25,2,0))</f>
        <v>0</v>
      </c>
      <c r="AR41">
        <f>IF(R41="",0,VLOOKUP(R41,'Dados de consulta'!$H$2:$I$25,2,0))</f>
        <v>0</v>
      </c>
      <c r="AS41">
        <f>IF(S41="",0,VLOOKUP(S41,'Dados de consulta'!$H$2:$I$25,2,0))</f>
        <v>0</v>
      </c>
      <c r="AT41">
        <f>IF(T41="",0,VLOOKUP(T41,'Dados de consulta'!$H$2:$I$25,2,0))</f>
        <v>0</v>
      </c>
      <c r="AU41">
        <f>IF(U41="",0,VLOOKUP(U41,'Dados de consulta'!$H$2:$I$25,2,0))</f>
        <v>0</v>
      </c>
      <c r="AV41">
        <f>IF(V41="",0,VLOOKUP(V41,'Dados de consulta'!$H$2:$I$25,2,0))</f>
        <v>0</v>
      </c>
      <c r="AW41">
        <f t="shared" si="3"/>
        <v>0</v>
      </c>
      <c r="AX41">
        <f t="shared" si="4"/>
        <v>0</v>
      </c>
      <c r="AY41">
        <f t="shared" si="5"/>
        <v>0</v>
      </c>
      <c r="BA41" s="27">
        <v>43435</v>
      </c>
      <c r="BB41">
        <f t="shared" si="6"/>
        <v>0</v>
      </c>
    </row>
    <row r="42" spans="1:54" hidden="1" x14ac:dyDescent="0.2">
      <c r="A42" s="202">
        <v>42299</v>
      </c>
      <c r="B42" s="78" t="s">
        <v>286</v>
      </c>
      <c r="W42">
        <f t="shared" si="0"/>
        <v>0</v>
      </c>
      <c r="X42">
        <f t="shared" si="1"/>
        <v>0</v>
      </c>
      <c r="Y42">
        <f t="shared" si="2"/>
        <v>0</v>
      </c>
      <c r="AA42" s="202">
        <v>42299</v>
      </c>
      <c r="AB42" s="78" t="s">
        <v>286</v>
      </c>
      <c r="AC42">
        <f>IF(C42="",0,VLOOKUP(C42,'Dados de consulta'!$H$2:$I$25,2,0))</f>
        <v>0</v>
      </c>
      <c r="AD42">
        <f>IF(D42="",0,VLOOKUP(D42,'Dados de consulta'!$H$2:$I$25,2,0))</f>
        <v>0</v>
      </c>
      <c r="AE42">
        <f>IF(E42="",0,VLOOKUP(E42,'Dados de consulta'!$H$2:$I$25,2,0))</f>
        <v>0</v>
      </c>
      <c r="AF42">
        <f>IF(F42="",0,VLOOKUP(F42,'Dados de consulta'!$H$2:$I$25,2,0))</f>
        <v>0</v>
      </c>
      <c r="AG42">
        <f>IF(G42="",0,VLOOKUP(G42,'Dados de consulta'!$H$2:$I$25,2,0))</f>
        <v>0</v>
      </c>
      <c r="AH42">
        <f>IF(H42="",0,VLOOKUP(H42,'Dados de consulta'!$H$2:$I$25,2,0))</f>
        <v>0</v>
      </c>
      <c r="AI42">
        <f>IF(I42="",0,VLOOKUP(I42,'Dados de consulta'!$H$2:$I$25,2,0))</f>
        <v>0</v>
      </c>
      <c r="AJ42">
        <f>IF(J42="",0,VLOOKUP(J42,'Dados de consulta'!$H$2:$I$25,2,0))</f>
        <v>0</v>
      </c>
      <c r="AK42">
        <f>IF(K42="",0,VLOOKUP(K42,'Dados de consulta'!$H$2:$I$25,2,0))</f>
        <v>0</v>
      </c>
      <c r="AL42">
        <f>IF(L42="",0,VLOOKUP(L42,'Dados de consulta'!$H$2:$I$25,2,0))</f>
        <v>0</v>
      </c>
      <c r="AM42">
        <f>IF(M42="",0,VLOOKUP(M42,'Dados de consulta'!$H$2:$I$25,2,0))</f>
        <v>0</v>
      </c>
      <c r="AN42">
        <f>IF(N42="",0,VLOOKUP(N42,'Dados de consulta'!$H$2:$I$25,2,0))</f>
        <v>0</v>
      </c>
      <c r="AO42">
        <f>IF(O42="",0,VLOOKUP(O42,'Dados de consulta'!$H$2:$I$25,2,0))</f>
        <v>0</v>
      </c>
      <c r="AP42">
        <f>IF(P42="",0,VLOOKUP(P42,'Dados de consulta'!$H$2:$I$25,2,0))</f>
        <v>0</v>
      </c>
      <c r="AQ42">
        <f>IF(Q42="",0,VLOOKUP(Q42,'Dados de consulta'!$H$2:$I$25,2,0))</f>
        <v>0</v>
      </c>
      <c r="AR42">
        <f>IF(R42="",0,VLOOKUP(R42,'Dados de consulta'!$H$2:$I$25,2,0))</f>
        <v>0</v>
      </c>
      <c r="AS42">
        <f>IF(S42="",0,VLOOKUP(S42,'Dados de consulta'!$H$2:$I$25,2,0))</f>
        <v>0</v>
      </c>
      <c r="AT42">
        <f>IF(T42="",0,VLOOKUP(T42,'Dados de consulta'!$H$2:$I$25,2,0))</f>
        <v>0</v>
      </c>
      <c r="AU42">
        <f>IF(U42="",0,VLOOKUP(U42,'Dados de consulta'!$H$2:$I$25,2,0))</f>
        <v>0</v>
      </c>
      <c r="AV42">
        <f>IF(V42="",0,VLOOKUP(V42,'Dados de consulta'!$H$2:$I$25,2,0))</f>
        <v>0</v>
      </c>
      <c r="AW42">
        <f t="shared" si="3"/>
        <v>0</v>
      </c>
      <c r="AX42">
        <f t="shared" si="4"/>
        <v>0</v>
      </c>
      <c r="AY42">
        <f t="shared" si="5"/>
        <v>0</v>
      </c>
      <c r="BA42" s="27">
        <v>43466</v>
      </c>
      <c r="BB42">
        <f t="shared" si="6"/>
        <v>0</v>
      </c>
    </row>
    <row r="43" spans="1:54" hidden="1" x14ac:dyDescent="0.2">
      <c r="A43" s="202">
        <v>42300</v>
      </c>
      <c r="B43" s="78" t="s">
        <v>287</v>
      </c>
      <c r="W43">
        <f t="shared" si="0"/>
        <v>0</v>
      </c>
      <c r="X43">
        <f t="shared" si="1"/>
        <v>0</v>
      </c>
      <c r="Y43">
        <f t="shared" si="2"/>
        <v>0</v>
      </c>
      <c r="AA43" s="202">
        <v>42300</v>
      </c>
      <c r="AB43" s="78" t="s">
        <v>287</v>
      </c>
      <c r="AC43">
        <f>IF(C43="",0,VLOOKUP(C43,'Dados de consulta'!$H$2:$I$25,2,0))</f>
        <v>0</v>
      </c>
      <c r="AD43">
        <f>IF(D43="",0,VLOOKUP(D43,'Dados de consulta'!$H$2:$I$25,2,0))</f>
        <v>0</v>
      </c>
      <c r="AE43">
        <f>IF(E43="",0,VLOOKUP(E43,'Dados de consulta'!$H$2:$I$25,2,0))</f>
        <v>0</v>
      </c>
      <c r="AF43">
        <f>IF(F43="",0,VLOOKUP(F43,'Dados de consulta'!$H$2:$I$25,2,0))</f>
        <v>0</v>
      </c>
      <c r="AG43">
        <f>IF(G43="",0,VLOOKUP(G43,'Dados de consulta'!$H$2:$I$25,2,0))</f>
        <v>0</v>
      </c>
      <c r="AH43">
        <f>IF(H43="",0,VLOOKUP(H43,'Dados de consulta'!$H$2:$I$25,2,0))</f>
        <v>0</v>
      </c>
      <c r="AI43">
        <f>IF(I43="",0,VLOOKUP(I43,'Dados de consulta'!$H$2:$I$25,2,0))</f>
        <v>0</v>
      </c>
      <c r="AJ43">
        <f>IF(J43="",0,VLOOKUP(J43,'Dados de consulta'!$H$2:$I$25,2,0))</f>
        <v>0</v>
      </c>
      <c r="AK43">
        <f>IF(K43="",0,VLOOKUP(K43,'Dados de consulta'!$H$2:$I$25,2,0))</f>
        <v>0</v>
      </c>
      <c r="AL43">
        <f>IF(L43="",0,VLOOKUP(L43,'Dados de consulta'!$H$2:$I$25,2,0))</f>
        <v>0</v>
      </c>
      <c r="AM43">
        <f>IF(M43="",0,VLOOKUP(M43,'Dados de consulta'!$H$2:$I$25,2,0))</f>
        <v>0</v>
      </c>
      <c r="AN43">
        <f>IF(N43="",0,VLOOKUP(N43,'Dados de consulta'!$H$2:$I$25,2,0))</f>
        <v>0</v>
      </c>
      <c r="AO43">
        <f>IF(O43="",0,VLOOKUP(O43,'Dados de consulta'!$H$2:$I$25,2,0))</f>
        <v>0</v>
      </c>
      <c r="AP43">
        <f>IF(P43="",0,VLOOKUP(P43,'Dados de consulta'!$H$2:$I$25,2,0))</f>
        <v>0</v>
      </c>
      <c r="AQ43">
        <f>IF(Q43="",0,VLOOKUP(Q43,'Dados de consulta'!$H$2:$I$25,2,0))</f>
        <v>0</v>
      </c>
      <c r="AR43">
        <f>IF(R43="",0,VLOOKUP(R43,'Dados de consulta'!$H$2:$I$25,2,0))</f>
        <v>0</v>
      </c>
      <c r="AS43">
        <f>IF(S43="",0,VLOOKUP(S43,'Dados de consulta'!$H$2:$I$25,2,0))</f>
        <v>0</v>
      </c>
      <c r="AT43">
        <f>IF(T43="",0,VLOOKUP(T43,'Dados de consulta'!$H$2:$I$25,2,0))</f>
        <v>0</v>
      </c>
      <c r="AU43">
        <f>IF(U43="",0,VLOOKUP(U43,'Dados de consulta'!$H$2:$I$25,2,0))</f>
        <v>0</v>
      </c>
      <c r="AV43">
        <f>IF(V43="",0,VLOOKUP(V43,'Dados de consulta'!$H$2:$I$25,2,0))</f>
        <v>0</v>
      </c>
      <c r="AW43">
        <f t="shared" si="3"/>
        <v>0</v>
      </c>
      <c r="AX43">
        <f t="shared" si="4"/>
        <v>0</v>
      </c>
      <c r="AY43">
        <f t="shared" si="5"/>
        <v>0</v>
      </c>
      <c r="BA43" s="27">
        <v>43497</v>
      </c>
      <c r="BB43">
        <f t="shared" si="6"/>
        <v>0</v>
      </c>
    </row>
    <row r="44" spans="1:54" hidden="1" x14ac:dyDescent="0.2">
      <c r="A44" s="202">
        <v>42301</v>
      </c>
      <c r="B44" s="78" t="s">
        <v>281</v>
      </c>
      <c r="C44" s="78" t="s">
        <v>219</v>
      </c>
      <c r="L44" s="78" t="s">
        <v>219</v>
      </c>
      <c r="N44" s="78" t="s">
        <v>219</v>
      </c>
      <c r="P44" s="78" t="s">
        <v>219</v>
      </c>
      <c r="S44" s="78" t="s">
        <v>219</v>
      </c>
      <c r="W44">
        <f t="shared" si="0"/>
        <v>30</v>
      </c>
      <c r="X44">
        <f t="shared" si="1"/>
        <v>0</v>
      </c>
      <c r="Y44">
        <f t="shared" si="2"/>
        <v>0</v>
      </c>
      <c r="AA44" s="202">
        <v>42301</v>
      </c>
      <c r="AB44" s="78" t="s">
        <v>281</v>
      </c>
      <c r="AC44">
        <f>IF(C44="",0,VLOOKUP(C44,'Dados de consulta'!$H$2:$I$25,2,0))</f>
        <v>6</v>
      </c>
      <c r="AD44">
        <f>IF(D44="",0,VLOOKUP(D44,'Dados de consulta'!$H$2:$I$25,2,0))</f>
        <v>0</v>
      </c>
      <c r="AE44">
        <f>IF(E44="",0,VLOOKUP(E44,'Dados de consulta'!$H$2:$I$25,2,0))</f>
        <v>0</v>
      </c>
      <c r="AF44">
        <f>IF(F44="",0,VLOOKUP(F44,'Dados de consulta'!$H$2:$I$25,2,0))</f>
        <v>0</v>
      </c>
      <c r="AG44">
        <f>IF(G44="",0,VLOOKUP(G44,'Dados de consulta'!$H$2:$I$25,2,0))</f>
        <v>0</v>
      </c>
      <c r="AH44">
        <f>IF(H44="",0,VLOOKUP(H44,'Dados de consulta'!$H$2:$I$25,2,0))</f>
        <v>0</v>
      </c>
      <c r="AI44">
        <f>IF(I44="",0,VLOOKUP(I44,'Dados de consulta'!$H$2:$I$25,2,0))</f>
        <v>0</v>
      </c>
      <c r="AJ44">
        <f>IF(J44="",0,VLOOKUP(J44,'Dados de consulta'!$H$2:$I$25,2,0))</f>
        <v>0</v>
      </c>
      <c r="AK44">
        <f>IF(K44="",0,VLOOKUP(K44,'Dados de consulta'!$H$2:$I$25,2,0))</f>
        <v>0</v>
      </c>
      <c r="AL44">
        <f>IF(L44="",0,VLOOKUP(L44,'Dados de consulta'!$H$2:$I$25,2,0))</f>
        <v>6</v>
      </c>
      <c r="AM44">
        <f>IF(M44="",0,VLOOKUP(M44,'Dados de consulta'!$H$2:$I$25,2,0))</f>
        <v>0</v>
      </c>
      <c r="AN44">
        <f>IF(N44="",0,VLOOKUP(N44,'Dados de consulta'!$H$2:$I$25,2,0))</f>
        <v>6</v>
      </c>
      <c r="AO44">
        <f>IF(O44="",0,VLOOKUP(O44,'Dados de consulta'!$H$2:$I$25,2,0))</f>
        <v>0</v>
      </c>
      <c r="AP44">
        <f>IF(P44="",0,VLOOKUP(P44,'Dados de consulta'!$H$2:$I$25,2,0))</f>
        <v>6</v>
      </c>
      <c r="AQ44">
        <f>IF(Q44="",0,VLOOKUP(Q44,'Dados de consulta'!$H$2:$I$25,2,0))</f>
        <v>0</v>
      </c>
      <c r="AR44">
        <f>IF(R44="",0,VLOOKUP(R44,'Dados de consulta'!$H$2:$I$25,2,0))</f>
        <v>0</v>
      </c>
      <c r="AS44">
        <f>IF(S44="",0,VLOOKUP(S44,'Dados de consulta'!$H$2:$I$25,2,0))</f>
        <v>6</v>
      </c>
      <c r="AT44">
        <f>IF(T44="",0,VLOOKUP(T44,'Dados de consulta'!$H$2:$I$25,2,0))</f>
        <v>0</v>
      </c>
      <c r="AU44">
        <f>IF(U44="",0,VLOOKUP(U44,'Dados de consulta'!$H$2:$I$25,2,0))</f>
        <v>0</v>
      </c>
      <c r="AV44">
        <f>IF(V44="",0,VLOOKUP(V44,'Dados de consulta'!$H$2:$I$25,2,0))</f>
        <v>0</v>
      </c>
      <c r="AW44">
        <f t="shared" si="3"/>
        <v>30</v>
      </c>
      <c r="AX44">
        <f t="shared" si="4"/>
        <v>0</v>
      </c>
      <c r="AY44">
        <f t="shared" si="5"/>
        <v>0</v>
      </c>
      <c r="BA44" s="27">
        <v>43525</v>
      </c>
      <c r="BB44">
        <f t="shared" si="6"/>
        <v>0</v>
      </c>
    </row>
    <row r="45" spans="1:54" hidden="1" x14ac:dyDescent="0.2">
      <c r="A45" s="202">
        <v>42302</v>
      </c>
      <c r="B45" s="78" t="s">
        <v>282</v>
      </c>
      <c r="W45">
        <f t="shared" si="0"/>
        <v>0</v>
      </c>
      <c r="X45">
        <f t="shared" si="1"/>
        <v>0</v>
      </c>
      <c r="Y45">
        <f t="shared" si="2"/>
        <v>0</v>
      </c>
      <c r="AA45" s="202">
        <v>42302</v>
      </c>
      <c r="AB45" s="78" t="s">
        <v>282</v>
      </c>
      <c r="AC45">
        <f>IF(C45="",0,VLOOKUP(C45,'Dados de consulta'!$H$2:$I$25,2,0))</f>
        <v>0</v>
      </c>
      <c r="AD45">
        <f>IF(D45="",0,VLOOKUP(D45,'Dados de consulta'!$H$2:$I$25,2,0))</f>
        <v>0</v>
      </c>
      <c r="AE45">
        <f>IF(E45="",0,VLOOKUP(E45,'Dados de consulta'!$H$2:$I$25,2,0))</f>
        <v>0</v>
      </c>
      <c r="AF45">
        <f>IF(F45="",0,VLOOKUP(F45,'Dados de consulta'!$H$2:$I$25,2,0))</f>
        <v>0</v>
      </c>
      <c r="AG45">
        <f>IF(G45="",0,VLOOKUP(G45,'Dados de consulta'!$H$2:$I$25,2,0))</f>
        <v>0</v>
      </c>
      <c r="AH45">
        <f>IF(H45="",0,VLOOKUP(H45,'Dados de consulta'!$H$2:$I$25,2,0))</f>
        <v>0</v>
      </c>
      <c r="AI45">
        <f>IF(I45="",0,VLOOKUP(I45,'Dados de consulta'!$H$2:$I$25,2,0))</f>
        <v>0</v>
      </c>
      <c r="AJ45">
        <f>IF(J45="",0,VLOOKUP(J45,'Dados de consulta'!$H$2:$I$25,2,0))</f>
        <v>0</v>
      </c>
      <c r="AK45">
        <f>IF(K45="",0,VLOOKUP(K45,'Dados de consulta'!$H$2:$I$25,2,0))</f>
        <v>0</v>
      </c>
      <c r="AL45">
        <f>IF(L45="",0,VLOOKUP(L45,'Dados de consulta'!$H$2:$I$25,2,0))</f>
        <v>0</v>
      </c>
      <c r="AM45">
        <f>IF(M45="",0,VLOOKUP(M45,'Dados de consulta'!$H$2:$I$25,2,0))</f>
        <v>0</v>
      </c>
      <c r="AN45">
        <f>IF(N45="",0,VLOOKUP(N45,'Dados de consulta'!$H$2:$I$25,2,0))</f>
        <v>0</v>
      </c>
      <c r="AO45">
        <f>IF(O45="",0,VLOOKUP(O45,'Dados de consulta'!$H$2:$I$25,2,0))</f>
        <v>0</v>
      </c>
      <c r="AP45">
        <f>IF(P45="",0,VLOOKUP(P45,'Dados de consulta'!$H$2:$I$25,2,0))</f>
        <v>0</v>
      </c>
      <c r="AQ45">
        <f>IF(Q45="",0,VLOOKUP(Q45,'Dados de consulta'!$H$2:$I$25,2,0))</f>
        <v>0</v>
      </c>
      <c r="AR45">
        <f>IF(R45="",0,VLOOKUP(R45,'Dados de consulta'!$H$2:$I$25,2,0))</f>
        <v>0</v>
      </c>
      <c r="AS45">
        <f>IF(S45="",0,VLOOKUP(S45,'Dados de consulta'!$H$2:$I$25,2,0))</f>
        <v>0</v>
      </c>
      <c r="AT45">
        <f>IF(T45="",0,VLOOKUP(T45,'Dados de consulta'!$H$2:$I$25,2,0))</f>
        <v>0</v>
      </c>
      <c r="AU45">
        <f>IF(U45="",0,VLOOKUP(U45,'Dados de consulta'!$H$2:$I$25,2,0))</f>
        <v>0</v>
      </c>
      <c r="AV45">
        <f>IF(V45="",0,VLOOKUP(V45,'Dados de consulta'!$H$2:$I$25,2,0))</f>
        <v>0</v>
      </c>
      <c r="AW45">
        <f t="shared" si="3"/>
        <v>0</v>
      </c>
      <c r="AX45">
        <f t="shared" si="4"/>
        <v>0</v>
      </c>
      <c r="AY45">
        <f t="shared" si="5"/>
        <v>0</v>
      </c>
      <c r="BA45" s="27">
        <v>43556</v>
      </c>
      <c r="BB45">
        <f t="shared" si="6"/>
        <v>0</v>
      </c>
    </row>
    <row r="46" spans="1:54" hidden="1" x14ac:dyDescent="0.2">
      <c r="A46" s="202">
        <v>42303</v>
      </c>
      <c r="B46" s="78" t="s">
        <v>283</v>
      </c>
      <c r="W46">
        <f t="shared" si="0"/>
        <v>0</v>
      </c>
      <c r="X46">
        <f t="shared" si="1"/>
        <v>0</v>
      </c>
      <c r="Y46">
        <f t="shared" si="2"/>
        <v>0</v>
      </c>
      <c r="AA46" s="202">
        <v>42303</v>
      </c>
      <c r="AB46" s="78" t="s">
        <v>283</v>
      </c>
      <c r="AC46">
        <f>IF(C46="",0,VLOOKUP(C46,'Dados de consulta'!$H$2:$I$25,2,0))</f>
        <v>0</v>
      </c>
      <c r="AD46">
        <f>IF(D46="",0,VLOOKUP(D46,'Dados de consulta'!$H$2:$I$25,2,0))</f>
        <v>0</v>
      </c>
      <c r="AE46">
        <f>IF(E46="",0,VLOOKUP(E46,'Dados de consulta'!$H$2:$I$25,2,0))</f>
        <v>0</v>
      </c>
      <c r="AF46">
        <f>IF(F46="",0,VLOOKUP(F46,'Dados de consulta'!$H$2:$I$25,2,0))</f>
        <v>0</v>
      </c>
      <c r="AG46">
        <f>IF(G46="",0,VLOOKUP(G46,'Dados de consulta'!$H$2:$I$25,2,0))</f>
        <v>0</v>
      </c>
      <c r="AH46">
        <f>IF(H46="",0,VLOOKUP(H46,'Dados de consulta'!$H$2:$I$25,2,0))</f>
        <v>0</v>
      </c>
      <c r="AI46">
        <f>IF(I46="",0,VLOOKUP(I46,'Dados de consulta'!$H$2:$I$25,2,0))</f>
        <v>0</v>
      </c>
      <c r="AJ46">
        <f>IF(J46="",0,VLOOKUP(J46,'Dados de consulta'!$H$2:$I$25,2,0))</f>
        <v>0</v>
      </c>
      <c r="AK46">
        <f>IF(K46="",0,VLOOKUP(K46,'Dados de consulta'!$H$2:$I$25,2,0))</f>
        <v>0</v>
      </c>
      <c r="AL46">
        <f>IF(L46="",0,VLOOKUP(L46,'Dados de consulta'!$H$2:$I$25,2,0))</f>
        <v>0</v>
      </c>
      <c r="AM46">
        <f>IF(M46="",0,VLOOKUP(M46,'Dados de consulta'!$H$2:$I$25,2,0))</f>
        <v>0</v>
      </c>
      <c r="AN46">
        <f>IF(N46="",0,VLOOKUP(N46,'Dados de consulta'!$H$2:$I$25,2,0))</f>
        <v>0</v>
      </c>
      <c r="AO46">
        <f>IF(O46="",0,VLOOKUP(O46,'Dados de consulta'!$H$2:$I$25,2,0))</f>
        <v>0</v>
      </c>
      <c r="AP46">
        <f>IF(P46="",0,VLOOKUP(P46,'Dados de consulta'!$H$2:$I$25,2,0))</f>
        <v>0</v>
      </c>
      <c r="AQ46">
        <f>IF(Q46="",0,VLOOKUP(Q46,'Dados de consulta'!$H$2:$I$25,2,0))</f>
        <v>0</v>
      </c>
      <c r="AR46">
        <f>IF(R46="",0,VLOOKUP(R46,'Dados de consulta'!$H$2:$I$25,2,0))</f>
        <v>0</v>
      </c>
      <c r="AS46">
        <f>IF(S46="",0,VLOOKUP(S46,'Dados de consulta'!$H$2:$I$25,2,0))</f>
        <v>0</v>
      </c>
      <c r="AT46">
        <f>IF(T46="",0,VLOOKUP(T46,'Dados de consulta'!$H$2:$I$25,2,0))</f>
        <v>0</v>
      </c>
      <c r="AU46">
        <f>IF(U46="",0,VLOOKUP(U46,'Dados de consulta'!$H$2:$I$25,2,0))</f>
        <v>0</v>
      </c>
      <c r="AV46">
        <f>IF(V46="",0,VLOOKUP(V46,'Dados de consulta'!$H$2:$I$25,2,0))</f>
        <v>0</v>
      </c>
      <c r="AW46">
        <f t="shared" si="3"/>
        <v>0</v>
      </c>
      <c r="AX46">
        <f t="shared" si="4"/>
        <v>0</v>
      </c>
      <c r="AY46">
        <f t="shared" si="5"/>
        <v>0</v>
      </c>
      <c r="BA46" s="27">
        <v>43586</v>
      </c>
      <c r="BB46">
        <f t="shared" si="6"/>
        <v>0</v>
      </c>
    </row>
    <row r="47" spans="1:54" hidden="1" x14ac:dyDescent="0.2">
      <c r="A47" s="202">
        <v>42304</v>
      </c>
      <c r="B47" s="78" t="s">
        <v>284</v>
      </c>
      <c r="W47">
        <f t="shared" si="0"/>
        <v>0</v>
      </c>
      <c r="X47">
        <f t="shared" si="1"/>
        <v>0</v>
      </c>
      <c r="Y47">
        <f t="shared" si="2"/>
        <v>0</v>
      </c>
      <c r="AA47" s="202">
        <v>42304</v>
      </c>
      <c r="AB47" s="78" t="s">
        <v>284</v>
      </c>
      <c r="AC47">
        <f>IF(C47="",0,VLOOKUP(C47,'Dados de consulta'!$H$2:$I$25,2,0))</f>
        <v>0</v>
      </c>
      <c r="AD47">
        <f>IF(D47="",0,VLOOKUP(D47,'Dados de consulta'!$H$2:$I$25,2,0))</f>
        <v>0</v>
      </c>
      <c r="AE47">
        <f>IF(E47="",0,VLOOKUP(E47,'Dados de consulta'!$H$2:$I$25,2,0))</f>
        <v>0</v>
      </c>
      <c r="AF47">
        <f>IF(F47="",0,VLOOKUP(F47,'Dados de consulta'!$H$2:$I$25,2,0))</f>
        <v>0</v>
      </c>
      <c r="AG47">
        <f>IF(G47="",0,VLOOKUP(G47,'Dados de consulta'!$H$2:$I$25,2,0))</f>
        <v>0</v>
      </c>
      <c r="AH47">
        <f>IF(H47="",0,VLOOKUP(H47,'Dados de consulta'!$H$2:$I$25,2,0))</f>
        <v>0</v>
      </c>
      <c r="AI47">
        <f>IF(I47="",0,VLOOKUP(I47,'Dados de consulta'!$H$2:$I$25,2,0))</f>
        <v>0</v>
      </c>
      <c r="AJ47">
        <f>IF(J47="",0,VLOOKUP(J47,'Dados de consulta'!$H$2:$I$25,2,0))</f>
        <v>0</v>
      </c>
      <c r="AK47">
        <f>IF(K47="",0,VLOOKUP(K47,'Dados de consulta'!$H$2:$I$25,2,0))</f>
        <v>0</v>
      </c>
      <c r="AL47">
        <f>IF(L47="",0,VLOOKUP(L47,'Dados de consulta'!$H$2:$I$25,2,0))</f>
        <v>0</v>
      </c>
      <c r="AM47">
        <f>IF(M47="",0,VLOOKUP(M47,'Dados de consulta'!$H$2:$I$25,2,0))</f>
        <v>0</v>
      </c>
      <c r="AN47">
        <f>IF(N47="",0,VLOOKUP(N47,'Dados de consulta'!$H$2:$I$25,2,0))</f>
        <v>0</v>
      </c>
      <c r="AO47">
        <f>IF(O47="",0,VLOOKUP(O47,'Dados de consulta'!$H$2:$I$25,2,0))</f>
        <v>0</v>
      </c>
      <c r="AP47">
        <f>IF(P47="",0,VLOOKUP(P47,'Dados de consulta'!$H$2:$I$25,2,0))</f>
        <v>0</v>
      </c>
      <c r="AQ47">
        <f>IF(Q47="",0,VLOOKUP(Q47,'Dados de consulta'!$H$2:$I$25,2,0))</f>
        <v>0</v>
      </c>
      <c r="AR47">
        <f>IF(R47="",0,VLOOKUP(R47,'Dados de consulta'!$H$2:$I$25,2,0))</f>
        <v>0</v>
      </c>
      <c r="AS47">
        <f>IF(S47="",0,VLOOKUP(S47,'Dados de consulta'!$H$2:$I$25,2,0))</f>
        <v>0</v>
      </c>
      <c r="AT47">
        <f>IF(T47="",0,VLOOKUP(T47,'Dados de consulta'!$H$2:$I$25,2,0))</f>
        <v>0</v>
      </c>
      <c r="AU47">
        <f>IF(U47="",0,VLOOKUP(U47,'Dados de consulta'!$H$2:$I$25,2,0))</f>
        <v>0</v>
      </c>
      <c r="AV47">
        <f>IF(V47="",0,VLOOKUP(V47,'Dados de consulta'!$H$2:$I$25,2,0))</f>
        <v>0</v>
      </c>
      <c r="AW47">
        <f t="shared" si="3"/>
        <v>0</v>
      </c>
      <c r="AX47">
        <f t="shared" si="4"/>
        <v>0</v>
      </c>
      <c r="AY47">
        <f t="shared" si="5"/>
        <v>0</v>
      </c>
      <c r="BA47" s="27">
        <v>43617</v>
      </c>
      <c r="BB47">
        <f t="shared" si="6"/>
        <v>0</v>
      </c>
    </row>
    <row r="48" spans="1:54" hidden="1" x14ac:dyDescent="0.2">
      <c r="A48" s="202">
        <v>42305</v>
      </c>
      <c r="B48" s="78" t="s">
        <v>285</v>
      </c>
      <c r="W48">
        <f t="shared" si="0"/>
        <v>0</v>
      </c>
      <c r="X48">
        <f t="shared" si="1"/>
        <v>0</v>
      </c>
      <c r="Y48">
        <f t="shared" si="2"/>
        <v>0</v>
      </c>
      <c r="AA48" s="202">
        <v>42305</v>
      </c>
      <c r="AB48" s="78" t="s">
        <v>285</v>
      </c>
      <c r="AC48">
        <f>IF(C48="",0,VLOOKUP(C48,'Dados de consulta'!$H$2:$I$25,2,0))</f>
        <v>0</v>
      </c>
      <c r="AD48">
        <f>IF(D48="",0,VLOOKUP(D48,'Dados de consulta'!$H$2:$I$25,2,0))</f>
        <v>0</v>
      </c>
      <c r="AE48">
        <f>IF(E48="",0,VLOOKUP(E48,'Dados de consulta'!$H$2:$I$25,2,0))</f>
        <v>0</v>
      </c>
      <c r="AF48">
        <f>IF(F48="",0,VLOOKUP(F48,'Dados de consulta'!$H$2:$I$25,2,0))</f>
        <v>0</v>
      </c>
      <c r="AG48">
        <f>IF(G48="",0,VLOOKUP(G48,'Dados de consulta'!$H$2:$I$25,2,0))</f>
        <v>0</v>
      </c>
      <c r="AH48">
        <f>IF(H48="",0,VLOOKUP(H48,'Dados de consulta'!$H$2:$I$25,2,0))</f>
        <v>0</v>
      </c>
      <c r="AI48">
        <f>IF(I48="",0,VLOOKUP(I48,'Dados de consulta'!$H$2:$I$25,2,0))</f>
        <v>0</v>
      </c>
      <c r="AJ48">
        <f>IF(J48="",0,VLOOKUP(J48,'Dados de consulta'!$H$2:$I$25,2,0))</f>
        <v>0</v>
      </c>
      <c r="AK48">
        <f>IF(K48="",0,VLOOKUP(K48,'Dados de consulta'!$H$2:$I$25,2,0))</f>
        <v>0</v>
      </c>
      <c r="AL48">
        <f>IF(L48="",0,VLOOKUP(L48,'Dados de consulta'!$H$2:$I$25,2,0))</f>
        <v>0</v>
      </c>
      <c r="AM48">
        <f>IF(M48="",0,VLOOKUP(M48,'Dados de consulta'!$H$2:$I$25,2,0))</f>
        <v>0</v>
      </c>
      <c r="AN48">
        <f>IF(N48="",0,VLOOKUP(N48,'Dados de consulta'!$H$2:$I$25,2,0))</f>
        <v>0</v>
      </c>
      <c r="AO48">
        <f>IF(O48="",0,VLOOKUP(O48,'Dados de consulta'!$H$2:$I$25,2,0))</f>
        <v>0</v>
      </c>
      <c r="AP48">
        <f>IF(P48="",0,VLOOKUP(P48,'Dados de consulta'!$H$2:$I$25,2,0))</f>
        <v>0</v>
      </c>
      <c r="AQ48">
        <f>IF(Q48="",0,VLOOKUP(Q48,'Dados de consulta'!$H$2:$I$25,2,0))</f>
        <v>0</v>
      </c>
      <c r="AR48">
        <f>IF(R48="",0,VLOOKUP(R48,'Dados de consulta'!$H$2:$I$25,2,0))</f>
        <v>0</v>
      </c>
      <c r="AS48">
        <f>IF(S48="",0,VLOOKUP(S48,'Dados de consulta'!$H$2:$I$25,2,0))</f>
        <v>0</v>
      </c>
      <c r="AT48">
        <f>IF(T48="",0,VLOOKUP(T48,'Dados de consulta'!$H$2:$I$25,2,0))</f>
        <v>0</v>
      </c>
      <c r="AU48">
        <f>IF(U48="",0,VLOOKUP(U48,'Dados de consulta'!$H$2:$I$25,2,0))</f>
        <v>0</v>
      </c>
      <c r="AV48">
        <f>IF(V48="",0,VLOOKUP(V48,'Dados de consulta'!$H$2:$I$25,2,0))</f>
        <v>0</v>
      </c>
      <c r="AW48">
        <f t="shared" si="3"/>
        <v>0</v>
      </c>
      <c r="AX48">
        <f t="shared" si="4"/>
        <v>0</v>
      </c>
      <c r="AY48">
        <f t="shared" si="5"/>
        <v>0</v>
      </c>
      <c r="BA48" s="27">
        <v>43647</v>
      </c>
      <c r="BB48">
        <f t="shared" si="6"/>
        <v>0</v>
      </c>
    </row>
    <row r="49" spans="1:54" hidden="1" x14ac:dyDescent="0.2">
      <c r="A49" s="202">
        <v>42306</v>
      </c>
      <c r="B49" s="78" t="s">
        <v>286</v>
      </c>
      <c r="W49">
        <f t="shared" si="0"/>
        <v>0</v>
      </c>
      <c r="X49">
        <f t="shared" si="1"/>
        <v>0</v>
      </c>
      <c r="Y49">
        <f t="shared" si="2"/>
        <v>0</v>
      </c>
      <c r="AA49" s="202">
        <v>42306</v>
      </c>
      <c r="AB49" s="78" t="s">
        <v>286</v>
      </c>
      <c r="AC49">
        <f>IF(C49="",0,VLOOKUP(C49,'Dados de consulta'!$H$2:$I$25,2,0))</f>
        <v>0</v>
      </c>
      <c r="AD49">
        <f>IF(D49="",0,VLOOKUP(D49,'Dados de consulta'!$H$2:$I$25,2,0))</f>
        <v>0</v>
      </c>
      <c r="AE49">
        <f>IF(E49="",0,VLOOKUP(E49,'Dados de consulta'!$H$2:$I$25,2,0))</f>
        <v>0</v>
      </c>
      <c r="AF49">
        <f>IF(F49="",0,VLOOKUP(F49,'Dados de consulta'!$H$2:$I$25,2,0))</f>
        <v>0</v>
      </c>
      <c r="AG49">
        <f>IF(G49="",0,VLOOKUP(G49,'Dados de consulta'!$H$2:$I$25,2,0))</f>
        <v>0</v>
      </c>
      <c r="AH49">
        <f>IF(H49="",0,VLOOKUP(H49,'Dados de consulta'!$H$2:$I$25,2,0))</f>
        <v>0</v>
      </c>
      <c r="AI49">
        <f>IF(I49="",0,VLOOKUP(I49,'Dados de consulta'!$H$2:$I$25,2,0))</f>
        <v>0</v>
      </c>
      <c r="AJ49">
        <f>IF(J49="",0,VLOOKUP(J49,'Dados de consulta'!$H$2:$I$25,2,0))</f>
        <v>0</v>
      </c>
      <c r="AK49">
        <f>IF(K49="",0,VLOOKUP(K49,'Dados de consulta'!$H$2:$I$25,2,0))</f>
        <v>0</v>
      </c>
      <c r="AL49">
        <f>IF(L49="",0,VLOOKUP(L49,'Dados de consulta'!$H$2:$I$25,2,0))</f>
        <v>0</v>
      </c>
      <c r="AM49">
        <f>IF(M49="",0,VLOOKUP(M49,'Dados de consulta'!$H$2:$I$25,2,0))</f>
        <v>0</v>
      </c>
      <c r="AN49">
        <f>IF(N49="",0,VLOOKUP(N49,'Dados de consulta'!$H$2:$I$25,2,0))</f>
        <v>0</v>
      </c>
      <c r="AO49">
        <f>IF(O49="",0,VLOOKUP(O49,'Dados de consulta'!$H$2:$I$25,2,0))</f>
        <v>0</v>
      </c>
      <c r="AP49">
        <f>IF(P49="",0,VLOOKUP(P49,'Dados de consulta'!$H$2:$I$25,2,0))</f>
        <v>0</v>
      </c>
      <c r="AQ49">
        <f>IF(Q49="",0,VLOOKUP(Q49,'Dados de consulta'!$H$2:$I$25,2,0))</f>
        <v>0</v>
      </c>
      <c r="AR49">
        <f>IF(R49="",0,VLOOKUP(R49,'Dados de consulta'!$H$2:$I$25,2,0))</f>
        <v>0</v>
      </c>
      <c r="AS49">
        <f>IF(S49="",0,VLOOKUP(S49,'Dados de consulta'!$H$2:$I$25,2,0))</f>
        <v>0</v>
      </c>
      <c r="AT49">
        <f>IF(T49="",0,VLOOKUP(T49,'Dados de consulta'!$H$2:$I$25,2,0))</f>
        <v>0</v>
      </c>
      <c r="AU49">
        <f>IF(U49="",0,VLOOKUP(U49,'Dados de consulta'!$H$2:$I$25,2,0))</f>
        <v>0</v>
      </c>
      <c r="AV49">
        <f>IF(V49="",0,VLOOKUP(V49,'Dados de consulta'!$H$2:$I$25,2,0))</f>
        <v>0</v>
      </c>
      <c r="AW49">
        <f t="shared" si="3"/>
        <v>0</v>
      </c>
      <c r="AX49">
        <f t="shared" si="4"/>
        <v>0</v>
      </c>
      <c r="AY49">
        <f t="shared" si="5"/>
        <v>0</v>
      </c>
      <c r="BA49" s="27">
        <v>43678</v>
      </c>
      <c r="BB49">
        <f t="shared" si="6"/>
        <v>0</v>
      </c>
    </row>
    <row r="50" spans="1:54" hidden="1" x14ac:dyDescent="0.2">
      <c r="A50" s="202">
        <v>42307</v>
      </c>
      <c r="B50" s="78" t="s">
        <v>287</v>
      </c>
      <c r="W50">
        <f t="shared" si="0"/>
        <v>0</v>
      </c>
      <c r="X50">
        <f t="shared" si="1"/>
        <v>0</v>
      </c>
      <c r="Y50">
        <f t="shared" si="2"/>
        <v>0</v>
      </c>
      <c r="AA50" s="202">
        <v>42307</v>
      </c>
      <c r="AB50" s="78" t="s">
        <v>287</v>
      </c>
      <c r="AC50">
        <f>IF(C50="",0,VLOOKUP(C50,'Dados de consulta'!$H$2:$I$25,2,0))</f>
        <v>0</v>
      </c>
      <c r="AD50">
        <f>IF(D50="",0,VLOOKUP(D50,'Dados de consulta'!$H$2:$I$25,2,0))</f>
        <v>0</v>
      </c>
      <c r="AE50">
        <f>IF(E50="",0,VLOOKUP(E50,'Dados de consulta'!$H$2:$I$25,2,0))</f>
        <v>0</v>
      </c>
      <c r="AF50">
        <f>IF(F50="",0,VLOOKUP(F50,'Dados de consulta'!$H$2:$I$25,2,0))</f>
        <v>0</v>
      </c>
      <c r="AG50">
        <f>IF(G50="",0,VLOOKUP(G50,'Dados de consulta'!$H$2:$I$25,2,0))</f>
        <v>0</v>
      </c>
      <c r="AH50">
        <f>IF(H50="",0,VLOOKUP(H50,'Dados de consulta'!$H$2:$I$25,2,0))</f>
        <v>0</v>
      </c>
      <c r="AI50">
        <f>IF(I50="",0,VLOOKUP(I50,'Dados de consulta'!$H$2:$I$25,2,0))</f>
        <v>0</v>
      </c>
      <c r="AJ50">
        <f>IF(J50="",0,VLOOKUP(J50,'Dados de consulta'!$H$2:$I$25,2,0))</f>
        <v>0</v>
      </c>
      <c r="AK50">
        <f>IF(K50="",0,VLOOKUP(K50,'Dados de consulta'!$H$2:$I$25,2,0))</f>
        <v>0</v>
      </c>
      <c r="AL50">
        <f>IF(L50="",0,VLOOKUP(L50,'Dados de consulta'!$H$2:$I$25,2,0))</f>
        <v>0</v>
      </c>
      <c r="AM50">
        <f>IF(M50="",0,VLOOKUP(M50,'Dados de consulta'!$H$2:$I$25,2,0))</f>
        <v>0</v>
      </c>
      <c r="AN50">
        <f>IF(N50="",0,VLOOKUP(N50,'Dados de consulta'!$H$2:$I$25,2,0))</f>
        <v>0</v>
      </c>
      <c r="AO50">
        <f>IF(O50="",0,VLOOKUP(O50,'Dados de consulta'!$H$2:$I$25,2,0))</f>
        <v>0</v>
      </c>
      <c r="AP50">
        <f>IF(P50="",0,VLOOKUP(P50,'Dados de consulta'!$H$2:$I$25,2,0))</f>
        <v>0</v>
      </c>
      <c r="AQ50">
        <f>IF(Q50="",0,VLOOKUP(Q50,'Dados de consulta'!$H$2:$I$25,2,0))</f>
        <v>0</v>
      </c>
      <c r="AR50">
        <f>IF(R50="",0,VLOOKUP(R50,'Dados de consulta'!$H$2:$I$25,2,0))</f>
        <v>0</v>
      </c>
      <c r="AS50">
        <f>IF(S50="",0,VLOOKUP(S50,'Dados de consulta'!$H$2:$I$25,2,0))</f>
        <v>0</v>
      </c>
      <c r="AT50">
        <f>IF(T50="",0,VLOOKUP(T50,'Dados de consulta'!$H$2:$I$25,2,0))</f>
        <v>0</v>
      </c>
      <c r="AU50">
        <f>IF(U50="",0,VLOOKUP(U50,'Dados de consulta'!$H$2:$I$25,2,0))</f>
        <v>0</v>
      </c>
      <c r="AV50">
        <f>IF(V50="",0,VLOOKUP(V50,'Dados de consulta'!$H$2:$I$25,2,0))</f>
        <v>0</v>
      </c>
      <c r="AW50">
        <f t="shared" si="3"/>
        <v>0</v>
      </c>
      <c r="AX50">
        <f t="shared" si="4"/>
        <v>0</v>
      </c>
      <c r="AY50">
        <f t="shared" si="5"/>
        <v>0</v>
      </c>
      <c r="BA50" s="27">
        <v>43709</v>
      </c>
      <c r="BB50">
        <f t="shared" si="6"/>
        <v>0</v>
      </c>
    </row>
    <row r="51" spans="1:54" hidden="1" x14ac:dyDescent="0.2">
      <c r="A51" s="202">
        <v>42308</v>
      </c>
      <c r="B51" s="78" t="s">
        <v>281</v>
      </c>
      <c r="C51" s="78" t="s">
        <v>219</v>
      </c>
      <c r="L51" s="78" t="s">
        <v>219</v>
      </c>
      <c r="N51" s="78" t="s">
        <v>219</v>
      </c>
      <c r="P51" s="78" t="s">
        <v>219</v>
      </c>
      <c r="S51" s="78" t="s">
        <v>219</v>
      </c>
      <c r="W51">
        <f t="shared" si="0"/>
        <v>30</v>
      </c>
      <c r="X51">
        <f t="shared" si="1"/>
        <v>0</v>
      </c>
      <c r="Y51">
        <f t="shared" si="2"/>
        <v>0</v>
      </c>
      <c r="AA51" s="202">
        <v>42308</v>
      </c>
      <c r="AB51" s="78" t="s">
        <v>281</v>
      </c>
      <c r="AC51">
        <f>IF(C51="",0,VLOOKUP(C51,'Dados de consulta'!$H$2:$I$25,2,0))</f>
        <v>6</v>
      </c>
      <c r="AD51">
        <f>IF(D51="",0,VLOOKUP(D51,'Dados de consulta'!$H$2:$I$25,2,0))</f>
        <v>0</v>
      </c>
      <c r="AE51">
        <f>IF(E51="",0,VLOOKUP(E51,'Dados de consulta'!$H$2:$I$25,2,0))</f>
        <v>0</v>
      </c>
      <c r="AF51">
        <f>IF(F51="",0,VLOOKUP(F51,'Dados de consulta'!$H$2:$I$25,2,0))</f>
        <v>0</v>
      </c>
      <c r="AG51">
        <f>IF(G51="",0,VLOOKUP(G51,'Dados de consulta'!$H$2:$I$25,2,0))</f>
        <v>0</v>
      </c>
      <c r="AH51">
        <f>IF(H51="",0,VLOOKUP(H51,'Dados de consulta'!$H$2:$I$25,2,0))</f>
        <v>0</v>
      </c>
      <c r="AI51">
        <f>IF(I51="",0,VLOOKUP(I51,'Dados de consulta'!$H$2:$I$25,2,0))</f>
        <v>0</v>
      </c>
      <c r="AJ51">
        <f>IF(J51="",0,VLOOKUP(J51,'Dados de consulta'!$H$2:$I$25,2,0))</f>
        <v>0</v>
      </c>
      <c r="AK51">
        <f>IF(K51="",0,VLOOKUP(K51,'Dados de consulta'!$H$2:$I$25,2,0))</f>
        <v>0</v>
      </c>
      <c r="AL51">
        <f>IF(L51="",0,VLOOKUP(L51,'Dados de consulta'!$H$2:$I$25,2,0))</f>
        <v>6</v>
      </c>
      <c r="AM51">
        <f>IF(M51="",0,VLOOKUP(M51,'Dados de consulta'!$H$2:$I$25,2,0))</f>
        <v>0</v>
      </c>
      <c r="AN51">
        <f>IF(N51="",0,VLOOKUP(N51,'Dados de consulta'!$H$2:$I$25,2,0))</f>
        <v>6</v>
      </c>
      <c r="AO51">
        <f>IF(O51="",0,VLOOKUP(O51,'Dados de consulta'!$H$2:$I$25,2,0))</f>
        <v>0</v>
      </c>
      <c r="AP51">
        <f>IF(P51="",0,VLOOKUP(P51,'Dados de consulta'!$H$2:$I$25,2,0))</f>
        <v>6</v>
      </c>
      <c r="AQ51">
        <f>IF(Q51="",0,VLOOKUP(Q51,'Dados de consulta'!$H$2:$I$25,2,0))</f>
        <v>0</v>
      </c>
      <c r="AR51">
        <f>IF(R51="",0,VLOOKUP(R51,'Dados de consulta'!$H$2:$I$25,2,0))</f>
        <v>0</v>
      </c>
      <c r="AS51">
        <f>IF(S51="",0,VLOOKUP(S51,'Dados de consulta'!$H$2:$I$25,2,0))</f>
        <v>6</v>
      </c>
      <c r="AT51">
        <f>IF(T51="",0,VLOOKUP(T51,'Dados de consulta'!$H$2:$I$25,2,0))</f>
        <v>0</v>
      </c>
      <c r="AU51">
        <f>IF(U51="",0,VLOOKUP(U51,'Dados de consulta'!$H$2:$I$25,2,0))</f>
        <v>0</v>
      </c>
      <c r="AV51">
        <f>IF(V51="",0,VLOOKUP(V51,'Dados de consulta'!$H$2:$I$25,2,0))</f>
        <v>0</v>
      </c>
      <c r="AW51">
        <f t="shared" si="3"/>
        <v>30</v>
      </c>
      <c r="AX51">
        <f t="shared" si="4"/>
        <v>0</v>
      </c>
      <c r="AY51">
        <f t="shared" si="5"/>
        <v>0</v>
      </c>
      <c r="BA51" s="27">
        <v>43739</v>
      </c>
      <c r="BB51">
        <f t="shared" si="6"/>
        <v>0</v>
      </c>
    </row>
    <row r="52" spans="1:54" hidden="1" x14ac:dyDescent="0.2">
      <c r="A52" s="202">
        <v>42309</v>
      </c>
      <c r="B52" s="78" t="s">
        <v>282</v>
      </c>
      <c r="W52">
        <f t="shared" si="0"/>
        <v>0</v>
      </c>
      <c r="X52">
        <f t="shared" si="1"/>
        <v>0</v>
      </c>
      <c r="Y52">
        <f t="shared" si="2"/>
        <v>0</v>
      </c>
      <c r="AA52" s="202">
        <v>42309</v>
      </c>
      <c r="AB52" s="78" t="s">
        <v>282</v>
      </c>
      <c r="AC52">
        <f>IF(C52="",0,VLOOKUP(C52,'Dados de consulta'!$H$2:$I$25,2,0))</f>
        <v>0</v>
      </c>
      <c r="AD52">
        <f>IF(D52="",0,VLOOKUP(D52,'Dados de consulta'!$H$2:$I$25,2,0))</f>
        <v>0</v>
      </c>
      <c r="AE52">
        <f>IF(E52="",0,VLOOKUP(E52,'Dados de consulta'!$H$2:$I$25,2,0))</f>
        <v>0</v>
      </c>
      <c r="AF52">
        <f>IF(F52="",0,VLOOKUP(F52,'Dados de consulta'!$H$2:$I$25,2,0))</f>
        <v>0</v>
      </c>
      <c r="AG52">
        <f>IF(G52="",0,VLOOKUP(G52,'Dados de consulta'!$H$2:$I$25,2,0))</f>
        <v>0</v>
      </c>
      <c r="AH52">
        <f>IF(H52="",0,VLOOKUP(H52,'Dados de consulta'!$H$2:$I$25,2,0))</f>
        <v>0</v>
      </c>
      <c r="AI52">
        <f>IF(I52="",0,VLOOKUP(I52,'Dados de consulta'!$H$2:$I$25,2,0))</f>
        <v>0</v>
      </c>
      <c r="AJ52">
        <f>IF(J52="",0,VLOOKUP(J52,'Dados de consulta'!$H$2:$I$25,2,0))</f>
        <v>0</v>
      </c>
      <c r="AK52">
        <f>IF(K52="",0,VLOOKUP(K52,'Dados de consulta'!$H$2:$I$25,2,0))</f>
        <v>0</v>
      </c>
      <c r="AL52">
        <f>IF(L52="",0,VLOOKUP(L52,'Dados de consulta'!$H$2:$I$25,2,0))</f>
        <v>0</v>
      </c>
      <c r="AM52">
        <f>IF(M52="",0,VLOOKUP(M52,'Dados de consulta'!$H$2:$I$25,2,0))</f>
        <v>0</v>
      </c>
      <c r="AN52">
        <f>IF(N52="",0,VLOOKUP(N52,'Dados de consulta'!$H$2:$I$25,2,0))</f>
        <v>0</v>
      </c>
      <c r="AO52">
        <f>IF(O52="",0,VLOOKUP(O52,'Dados de consulta'!$H$2:$I$25,2,0))</f>
        <v>0</v>
      </c>
      <c r="AP52">
        <f>IF(P52="",0,VLOOKUP(P52,'Dados de consulta'!$H$2:$I$25,2,0))</f>
        <v>0</v>
      </c>
      <c r="AQ52">
        <f>IF(Q52="",0,VLOOKUP(Q52,'Dados de consulta'!$H$2:$I$25,2,0))</f>
        <v>0</v>
      </c>
      <c r="AR52">
        <f>IF(R52="",0,VLOOKUP(R52,'Dados de consulta'!$H$2:$I$25,2,0))</f>
        <v>0</v>
      </c>
      <c r="AS52">
        <f>IF(S52="",0,VLOOKUP(S52,'Dados de consulta'!$H$2:$I$25,2,0))</f>
        <v>0</v>
      </c>
      <c r="AT52">
        <f>IF(T52="",0,VLOOKUP(T52,'Dados de consulta'!$H$2:$I$25,2,0))</f>
        <v>0</v>
      </c>
      <c r="AU52">
        <f>IF(U52="",0,VLOOKUP(U52,'Dados de consulta'!$H$2:$I$25,2,0))</f>
        <v>0</v>
      </c>
      <c r="AV52">
        <f>IF(V52="",0,VLOOKUP(V52,'Dados de consulta'!$H$2:$I$25,2,0))</f>
        <v>0</v>
      </c>
      <c r="AW52">
        <f t="shared" si="3"/>
        <v>0</v>
      </c>
      <c r="AX52">
        <f t="shared" si="4"/>
        <v>0</v>
      </c>
      <c r="AY52">
        <f t="shared" si="5"/>
        <v>0</v>
      </c>
      <c r="BA52" s="27">
        <v>43770</v>
      </c>
      <c r="BB52">
        <f t="shared" si="6"/>
        <v>0</v>
      </c>
    </row>
    <row r="53" spans="1:54" hidden="1" x14ac:dyDescent="0.2">
      <c r="A53" s="202">
        <v>42310</v>
      </c>
      <c r="B53" s="78" t="s">
        <v>283</v>
      </c>
      <c r="W53">
        <f t="shared" si="0"/>
        <v>0</v>
      </c>
      <c r="X53">
        <f t="shared" si="1"/>
        <v>0</v>
      </c>
      <c r="Y53">
        <f t="shared" si="2"/>
        <v>0</v>
      </c>
      <c r="AA53" s="202">
        <v>42310</v>
      </c>
      <c r="AB53" s="78" t="s">
        <v>283</v>
      </c>
      <c r="AC53">
        <f>IF(C53="",0,VLOOKUP(C53,'Dados de consulta'!$H$2:$I$25,2,0))</f>
        <v>0</v>
      </c>
      <c r="AD53">
        <f>IF(D53="",0,VLOOKUP(D53,'Dados de consulta'!$H$2:$I$25,2,0))</f>
        <v>0</v>
      </c>
      <c r="AE53">
        <f>IF(E53="",0,VLOOKUP(E53,'Dados de consulta'!$H$2:$I$25,2,0))</f>
        <v>0</v>
      </c>
      <c r="AF53">
        <f>IF(F53="",0,VLOOKUP(F53,'Dados de consulta'!$H$2:$I$25,2,0))</f>
        <v>0</v>
      </c>
      <c r="AG53">
        <f>IF(G53="",0,VLOOKUP(G53,'Dados de consulta'!$H$2:$I$25,2,0))</f>
        <v>0</v>
      </c>
      <c r="AH53">
        <f>IF(H53="",0,VLOOKUP(H53,'Dados de consulta'!$H$2:$I$25,2,0))</f>
        <v>0</v>
      </c>
      <c r="AI53">
        <f>IF(I53="",0,VLOOKUP(I53,'Dados de consulta'!$H$2:$I$25,2,0))</f>
        <v>0</v>
      </c>
      <c r="AJ53">
        <f>IF(J53="",0,VLOOKUP(J53,'Dados de consulta'!$H$2:$I$25,2,0))</f>
        <v>0</v>
      </c>
      <c r="AK53">
        <f>IF(K53="",0,VLOOKUP(K53,'Dados de consulta'!$H$2:$I$25,2,0))</f>
        <v>0</v>
      </c>
      <c r="AL53">
        <f>IF(L53="",0,VLOOKUP(L53,'Dados de consulta'!$H$2:$I$25,2,0))</f>
        <v>0</v>
      </c>
      <c r="AM53">
        <f>IF(M53="",0,VLOOKUP(M53,'Dados de consulta'!$H$2:$I$25,2,0))</f>
        <v>0</v>
      </c>
      <c r="AN53">
        <f>IF(N53="",0,VLOOKUP(N53,'Dados de consulta'!$H$2:$I$25,2,0))</f>
        <v>0</v>
      </c>
      <c r="AO53">
        <f>IF(O53="",0,VLOOKUP(O53,'Dados de consulta'!$H$2:$I$25,2,0))</f>
        <v>0</v>
      </c>
      <c r="AP53">
        <f>IF(P53="",0,VLOOKUP(P53,'Dados de consulta'!$H$2:$I$25,2,0))</f>
        <v>0</v>
      </c>
      <c r="AQ53">
        <f>IF(Q53="",0,VLOOKUP(Q53,'Dados de consulta'!$H$2:$I$25,2,0))</f>
        <v>0</v>
      </c>
      <c r="AR53">
        <f>IF(R53="",0,VLOOKUP(R53,'Dados de consulta'!$H$2:$I$25,2,0))</f>
        <v>0</v>
      </c>
      <c r="AS53">
        <f>IF(S53="",0,VLOOKUP(S53,'Dados de consulta'!$H$2:$I$25,2,0))</f>
        <v>0</v>
      </c>
      <c r="AT53">
        <f>IF(T53="",0,VLOOKUP(T53,'Dados de consulta'!$H$2:$I$25,2,0))</f>
        <v>0</v>
      </c>
      <c r="AU53">
        <f>IF(U53="",0,VLOOKUP(U53,'Dados de consulta'!$H$2:$I$25,2,0))</f>
        <v>0</v>
      </c>
      <c r="AV53">
        <f>IF(V53="",0,VLOOKUP(V53,'Dados de consulta'!$H$2:$I$25,2,0))</f>
        <v>0</v>
      </c>
      <c r="AW53">
        <f t="shared" si="3"/>
        <v>0</v>
      </c>
      <c r="AX53">
        <f t="shared" si="4"/>
        <v>0</v>
      </c>
      <c r="AY53">
        <f t="shared" si="5"/>
        <v>0</v>
      </c>
      <c r="BA53" s="27">
        <v>43800</v>
      </c>
      <c r="BB53">
        <f t="shared" si="6"/>
        <v>0</v>
      </c>
    </row>
    <row r="54" spans="1:54" hidden="1" x14ac:dyDescent="0.2">
      <c r="A54" s="202">
        <v>42311</v>
      </c>
      <c r="B54" s="78" t="s">
        <v>284</v>
      </c>
      <c r="W54">
        <f t="shared" si="0"/>
        <v>0</v>
      </c>
      <c r="X54">
        <f t="shared" si="1"/>
        <v>0</v>
      </c>
      <c r="Y54">
        <f t="shared" si="2"/>
        <v>0</v>
      </c>
      <c r="AA54" s="202">
        <v>42311</v>
      </c>
      <c r="AB54" s="78" t="s">
        <v>284</v>
      </c>
      <c r="AC54">
        <f>IF(C54="",0,VLOOKUP(C54,'Dados de consulta'!$H$2:$I$25,2,0))</f>
        <v>0</v>
      </c>
      <c r="AD54">
        <f>IF(D54="",0,VLOOKUP(D54,'Dados de consulta'!$H$2:$I$25,2,0))</f>
        <v>0</v>
      </c>
      <c r="AE54">
        <f>IF(E54="",0,VLOOKUP(E54,'Dados de consulta'!$H$2:$I$25,2,0))</f>
        <v>0</v>
      </c>
      <c r="AF54">
        <f>IF(F54="",0,VLOOKUP(F54,'Dados de consulta'!$H$2:$I$25,2,0))</f>
        <v>0</v>
      </c>
      <c r="AG54">
        <f>IF(G54="",0,VLOOKUP(G54,'Dados de consulta'!$H$2:$I$25,2,0))</f>
        <v>0</v>
      </c>
      <c r="AH54">
        <f>IF(H54="",0,VLOOKUP(H54,'Dados de consulta'!$H$2:$I$25,2,0))</f>
        <v>0</v>
      </c>
      <c r="AI54">
        <f>IF(I54="",0,VLOOKUP(I54,'Dados de consulta'!$H$2:$I$25,2,0))</f>
        <v>0</v>
      </c>
      <c r="AJ54">
        <f>IF(J54="",0,VLOOKUP(J54,'Dados de consulta'!$H$2:$I$25,2,0))</f>
        <v>0</v>
      </c>
      <c r="AK54">
        <f>IF(K54="",0,VLOOKUP(K54,'Dados de consulta'!$H$2:$I$25,2,0))</f>
        <v>0</v>
      </c>
      <c r="AL54">
        <f>IF(L54="",0,VLOOKUP(L54,'Dados de consulta'!$H$2:$I$25,2,0))</f>
        <v>0</v>
      </c>
      <c r="AM54">
        <f>IF(M54="",0,VLOOKUP(M54,'Dados de consulta'!$H$2:$I$25,2,0))</f>
        <v>0</v>
      </c>
      <c r="AN54">
        <f>IF(N54="",0,VLOOKUP(N54,'Dados de consulta'!$H$2:$I$25,2,0))</f>
        <v>0</v>
      </c>
      <c r="AO54">
        <f>IF(O54="",0,VLOOKUP(O54,'Dados de consulta'!$H$2:$I$25,2,0))</f>
        <v>0</v>
      </c>
      <c r="AP54">
        <f>IF(P54="",0,VLOOKUP(P54,'Dados de consulta'!$H$2:$I$25,2,0))</f>
        <v>0</v>
      </c>
      <c r="AQ54">
        <f>IF(Q54="",0,VLOOKUP(Q54,'Dados de consulta'!$H$2:$I$25,2,0))</f>
        <v>0</v>
      </c>
      <c r="AR54">
        <f>IF(R54="",0,VLOOKUP(R54,'Dados de consulta'!$H$2:$I$25,2,0))</f>
        <v>0</v>
      </c>
      <c r="AS54">
        <f>IF(S54="",0,VLOOKUP(S54,'Dados de consulta'!$H$2:$I$25,2,0))</f>
        <v>0</v>
      </c>
      <c r="AT54">
        <f>IF(T54="",0,VLOOKUP(T54,'Dados de consulta'!$H$2:$I$25,2,0))</f>
        <v>0</v>
      </c>
      <c r="AU54">
        <f>IF(U54="",0,VLOOKUP(U54,'Dados de consulta'!$H$2:$I$25,2,0))</f>
        <v>0</v>
      </c>
      <c r="AV54">
        <f>IF(V54="",0,VLOOKUP(V54,'Dados de consulta'!$H$2:$I$25,2,0))</f>
        <v>0</v>
      </c>
      <c r="AW54">
        <f t="shared" si="3"/>
        <v>0</v>
      </c>
      <c r="AX54">
        <f t="shared" si="4"/>
        <v>0</v>
      </c>
      <c r="AY54">
        <f t="shared" si="5"/>
        <v>0</v>
      </c>
      <c r="BA54" s="27">
        <v>43831</v>
      </c>
      <c r="BB54">
        <f t="shared" si="6"/>
        <v>0</v>
      </c>
    </row>
    <row r="55" spans="1:54" hidden="1" x14ac:dyDescent="0.2">
      <c r="A55" s="202">
        <v>42312</v>
      </c>
      <c r="B55" s="78" t="s">
        <v>285</v>
      </c>
      <c r="W55">
        <f t="shared" si="0"/>
        <v>0</v>
      </c>
      <c r="X55">
        <f t="shared" si="1"/>
        <v>0</v>
      </c>
      <c r="Y55">
        <f t="shared" si="2"/>
        <v>0</v>
      </c>
      <c r="AA55" s="202">
        <v>42312</v>
      </c>
      <c r="AB55" s="78" t="s">
        <v>285</v>
      </c>
      <c r="AC55">
        <f>IF(C55="",0,VLOOKUP(C55,'Dados de consulta'!$H$2:$I$25,2,0))</f>
        <v>0</v>
      </c>
      <c r="AD55">
        <f>IF(D55="",0,VLOOKUP(D55,'Dados de consulta'!$H$2:$I$25,2,0))</f>
        <v>0</v>
      </c>
      <c r="AE55">
        <f>IF(E55="",0,VLOOKUP(E55,'Dados de consulta'!$H$2:$I$25,2,0))</f>
        <v>0</v>
      </c>
      <c r="AF55">
        <f>IF(F55="",0,VLOOKUP(F55,'Dados de consulta'!$H$2:$I$25,2,0))</f>
        <v>0</v>
      </c>
      <c r="AG55">
        <f>IF(G55="",0,VLOOKUP(G55,'Dados de consulta'!$H$2:$I$25,2,0))</f>
        <v>0</v>
      </c>
      <c r="AH55">
        <f>IF(H55="",0,VLOOKUP(H55,'Dados de consulta'!$H$2:$I$25,2,0))</f>
        <v>0</v>
      </c>
      <c r="AI55">
        <f>IF(I55="",0,VLOOKUP(I55,'Dados de consulta'!$H$2:$I$25,2,0))</f>
        <v>0</v>
      </c>
      <c r="AJ55">
        <f>IF(J55="",0,VLOOKUP(J55,'Dados de consulta'!$H$2:$I$25,2,0))</f>
        <v>0</v>
      </c>
      <c r="AK55">
        <f>IF(K55="",0,VLOOKUP(K55,'Dados de consulta'!$H$2:$I$25,2,0))</f>
        <v>0</v>
      </c>
      <c r="AL55">
        <f>IF(L55="",0,VLOOKUP(L55,'Dados de consulta'!$H$2:$I$25,2,0))</f>
        <v>0</v>
      </c>
      <c r="AM55">
        <f>IF(M55="",0,VLOOKUP(M55,'Dados de consulta'!$H$2:$I$25,2,0))</f>
        <v>0</v>
      </c>
      <c r="AN55">
        <f>IF(N55="",0,VLOOKUP(N55,'Dados de consulta'!$H$2:$I$25,2,0))</f>
        <v>0</v>
      </c>
      <c r="AO55">
        <f>IF(O55="",0,VLOOKUP(O55,'Dados de consulta'!$H$2:$I$25,2,0))</f>
        <v>0</v>
      </c>
      <c r="AP55">
        <f>IF(P55="",0,VLOOKUP(P55,'Dados de consulta'!$H$2:$I$25,2,0))</f>
        <v>0</v>
      </c>
      <c r="AQ55">
        <f>IF(Q55="",0,VLOOKUP(Q55,'Dados de consulta'!$H$2:$I$25,2,0))</f>
        <v>0</v>
      </c>
      <c r="AR55">
        <f>IF(R55="",0,VLOOKUP(R55,'Dados de consulta'!$H$2:$I$25,2,0))</f>
        <v>0</v>
      </c>
      <c r="AS55">
        <f>IF(S55="",0,VLOOKUP(S55,'Dados de consulta'!$H$2:$I$25,2,0))</f>
        <v>0</v>
      </c>
      <c r="AT55">
        <f>IF(T55="",0,VLOOKUP(T55,'Dados de consulta'!$H$2:$I$25,2,0))</f>
        <v>0</v>
      </c>
      <c r="AU55">
        <f>IF(U55="",0,VLOOKUP(U55,'Dados de consulta'!$H$2:$I$25,2,0))</f>
        <v>0</v>
      </c>
      <c r="AV55">
        <f>IF(V55="",0,VLOOKUP(V55,'Dados de consulta'!$H$2:$I$25,2,0))</f>
        <v>0</v>
      </c>
      <c r="AW55">
        <f t="shared" si="3"/>
        <v>0</v>
      </c>
      <c r="AX55">
        <f t="shared" si="4"/>
        <v>0</v>
      </c>
      <c r="AY55">
        <f t="shared" si="5"/>
        <v>0</v>
      </c>
      <c r="BA55" s="27">
        <v>43862</v>
      </c>
      <c r="BB55">
        <f t="shared" si="6"/>
        <v>0</v>
      </c>
    </row>
    <row r="56" spans="1:54" hidden="1" x14ac:dyDescent="0.2">
      <c r="A56" s="202">
        <v>42313</v>
      </c>
      <c r="B56" s="78" t="s">
        <v>286</v>
      </c>
      <c r="W56">
        <f t="shared" si="0"/>
        <v>0</v>
      </c>
      <c r="X56">
        <f t="shared" si="1"/>
        <v>0</v>
      </c>
      <c r="Y56">
        <f t="shared" si="2"/>
        <v>0</v>
      </c>
      <c r="AA56" s="202">
        <v>42313</v>
      </c>
      <c r="AB56" s="78" t="s">
        <v>286</v>
      </c>
      <c r="AC56">
        <f>IF(C56="",0,VLOOKUP(C56,'Dados de consulta'!$H$2:$I$25,2,0))</f>
        <v>0</v>
      </c>
      <c r="AD56">
        <f>IF(D56="",0,VLOOKUP(D56,'Dados de consulta'!$H$2:$I$25,2,0))</f>
        <v>0</v>
      </c>
      <c r="AE56">
        <f>IF(E56="",0,VLOOKUP(E56,'Dados de consulta'!$H$2:$I$25,2,0))</f>
        <v>0</v>
      </c>
      <c r="AF56">
        <f>IF(F56="",0,VLOOKUP(F56,'Dados de consulta'!$H$2:$I$25,2,0))</f>
        <v>0</v>
      </c>
      <c r="AG56">
        <f>IF(G56="",0,VLOOKUP(G56,'Dados de consulta'!$H$2:$I$25,2,0))</f>
        <v>0</v>
      </c>
      <c r="AH56">
        <f>IF(H56="",0,VLOOKUP(H56,'Dados de consulta'!$H$2:$I$25,2,0))</f>
        <v>0</v>
      </c>
      <c r="AI56">
        <f>IF(I56="",0,VLOOKUP(I56,'Dados de consulta'!$H$2:$I$25,2,0))</f>
        <v>0</v>
      </c>
      <c r="AJ56">
        <f>IF(J56="",0,VLOOKUP(J56,'Dados de consulta'!$H$2:$I$25,2,0))</f>
        <v>0</v>
      </c>
      <c r="AK56">
        <f>IF(K56="",0,VLOOKUP(K56,'Dados de consulta'!$H$2:$I$25,2,0))</f>
        <v>0</v>
      </c>
      <c r="AL56">
        <f>IF(L56="",0,VLOOKUP(L56,'Dados de consulta'!$H$2:$I$25,2,0))</f>
        <v>0</v>
      </c>
      <c r="AM56">
        <f>IF(M56="",0,VLOOKUP(M56,'Dados de consulta'!$H$2:$I$25,2,0))</f>
        <v>0</v>
      </c>
      <c r="AN56">
        <f>IF(N56="",0,VLOOKUP(N56,'Dados de consulta'!$H$2:$I$25,2,0))</f>
        <v>0</v>
      </c>
      <c r="AO56">
        <f>IF(O56="",0,VLOOKUP(O56,'Dados de consulta'!$H$2:$I$25,2,0))</f>
        <v>0</v>
      </c>
      <c r="AP56">
        <f>IF(P56="",0,VLOOKUP(P56,'Dados de consulta'!$H$2:$I$25,2,0))</f>
        <v>0</v>
      </c>
      <c r="AQ56">
        <f>IF(Q56="",0,VLOOKUP(Q56,'Dados de consulta'!$H$2:$I$25,2,0))</f>
        <v>0</v>
      </c>
      <c r="AR56">
        <f>IF(R56="",0,VLOOKUP(R56,'Dados de consulta'!$H$2:$I$25,2,0))</f>
        <v>0</v>
      </c>
      <c r="AS56">
        <f>IF(S56="",0,VLOOKUP(S56,'Dados de consulta'!$H$2:$I$25,2,0))</f>
        <v>0</v>
      </c>
      <c r="AT56">
        <f>IF(T56="",0,VLOOKUP(T56,'Dados de consulta'!$H$2:$I$25,2,0))</f>
        <v>0</v>
      </c>
      <c r="AU56">
        <f>IF(U56="",0,VLOOKUP(U56,'Dados de consulta'!$H$2:$I$25,2,0))</f>
        <v>0</v>
      </c>
      <c r="AV56">
        <f>IF(V56="",0,VLOOKUP(V56,'Dados de consulta'!$H$2:$I$25,2,0))</f>
        <v>0</v>
      </c>
      <c r="AW56">
        <f t="shared" si="3"/>
        <v>0</v>
      </c>
      <c r="AX56">
        <f t="shared" si="4"/>
        <v>0</v>
      </c>
      <c r="AY56">
        <f t="shared" si="5"/>
        <v>0</v>
      </c>
      <c r="BA56" s="27">
        <v>43891</v>
      </c>
      <c r="BB56">
        <f t="shared" si="6"/>
        <v>0</v>
      </c>
    </row>
    <row r="57" spans="1:54" hidden="1" x14ac:dyDescent="0.2">
      <c r="A57" s="202">
        <v>42314</v>
      </c>
      <c r="B57" s="78" t="s">
        <v>287</v>
      </c>
      <c r="W57">
        <f t="shared" si="0"/>
        <v>0</v>
      </c>
      <c r="X57">
        <f t="shared" si="1"/>
        <v>0</v>
      </c>
      <c r="Y57">
        <f t="shared" si="2"/>
        <v>0</v>
      </c>
      <c r="AA57" s="202">
        <v>42314</v>
      </c>
      <c r="AB57" s="78" t="s">
        <v>287</v>
      </c>
      <c r="AC57">
        <f>IF(C57="",0,VLOOKUP(C57,'Dados de consulta'!$H$2:$I$25,2,0))</f>
        <v>0</v>
      </c>
      <c r="AD57">
        <f>IF(D57="",0,VLOOKUP(D57,'Dados de consulta'!$H$2:$I$25,2,0))</f>
        <v>0</v>
      </c>
      <c r="AE57">
        <f>IF(E57="",0,VLOOKUP(E57,'Dados de consulta'!$H$2:$I$25,2,0))</f>
        <v>0</v>
      </c>
      <c r="AF57">
        <f>IF(F57="",0,VLOOKUP(F57,'Dados de consulta'!$H$2:$I$25,2,0))</f>
        <v>0</v>
      </c>
      <c r="AG57">
        <f>IF(G57="",0,VLOOKUP(G57,'Dados de consulta'!$H$2:$I$25,2,0))</f>
        <v>0</v>
      </c>
      <c r="AH57">
        <f>IF(H57="",0,VLOOKUP(H57,'Dados de consulta'!$H$2:$I$25,2,0))</f>
        <v>0</v>
      </c>
      <c r="AI57">
        <f>IF(I57="",0,VLOOKUP(I57,'Dados de consulta'!$H$2:$I$25,2,0))</f>
        <v>0</v>
      </c>
      <c r="AJ57">
        <f>IF(J57="",0,VLOOKUP(J57,'Dados de consulta'!$H$2:$I$25,2,0))</f>
        <v>0</v>
      </c>
      <c r="AK57">
        <f>IF(K57="",0,VLOOKUP(K57,'Dados de consulta'!$H$2:$I$25,2,0))</f>
        <v>0</v>
      </c>
      <c r="AL57">
        <f>IF(L57="",0,VLOOKUP(L57,'Dados de consulta'!$H$2:$I$25,2,0))</f>
        <v>0</v>
      </c>
      <c r="AM57">
        <f>IF(M57="",0,VLOOKUP(M57,'Dados de consulta'!$H$2:$I$25,2,0))</f>
        <v>0</v>
      </c>
      <c r="AN57">
        <f>IF(N57="",0,VLOOKUP(N57,'Dados de consulta'!$H$2:$I$25,2,0))</f>
        <v>0</v>
      </c>
      <c r="AO57">
        <f>IF(O57="",0,VLOOKUP(O57,'Dados de consulta'!$H$2:$I$25,2,0))</f>
        <v>0</v>
      </c>
      <c r="AP57">
        <f>IF(P57="",0,VLOOKUP(P57,'Dados de consulta'!$H$2:$I$25,2,0))</f>
        <v>0</v>
      </c>
      <c r="AQ57">
        <f>IF(Q57="",0,VLOOKUP(Q57,'Dados de consulta'!$H$2:$I$25,2,0))</f>
        <v>0</v>
      </c>
      <c r="AR57">
        <f>IF(R57="",0,VLOOKUP(R57,'Dados de consulta'!$H$2:$I$25,2,0))</f>
        <v>0</v>
      </c>
      <c r="AS57">
        <f>IF(S57="",0,VLOOKUP(S57,'Dados de consulta'!$H$2:$I$25,2,0))</f>
        <v>0</v>
      </c>
      <c r="AT57">
        <f>IF(T57="",0,VLOOKUP(T57,'Dados de consulta'!$H$2:$I$25,2,0))</f>
        <v>0</v>
      </c>
      <c r="AU57">
        <f>IF(U57="",0,VLOOKUP(U57,'Dados de consulta'!$H$2:$I$25,2,0))</f>
        <v>0</v>
      </c>
      <c r="AV57">
        <f>IF(V57="",0,VLOOKUP(V57,'Dados de consulta'!$H$2:$I$25,2,0))</f>
        <v>0</v>
      </c>
      <c r="AW57">
        <f t="shared" si="3"/>
        <v>0</v>
      </c>
      <c r="AX57">
        <f t="shared" si="4"/>
        <v>0</v>
      </c>
      <c r="AY57">
        <f t="shared" si="5"/>
        <v>0</v>
      </c>
      <c r="BA57" s="27">
        <v>43922</v>
      </c>
      <c r="BB57">
        <f t="shared" si="6"/>
        <v>0</v>
      </c>
    </row>
    <row r="58" spans="1:54" hidden="1" x14ac:dyDescent="0.2">
      <c r="A58" s="202">
        <v>42315</v>
      </c>
      <c r="B58" s="78" t="s">
        <v>281</v>
      </c>
      <c r="C58" s="78" t="s">
        <v>219</v>
      </c>
      <c r="F58" s="78" t="s">
        <v>219</v>
      </c>
      <c r="I58" s="78" t="s">
        <v>219</v>
      </c>
      <c r="J58" s="78" t="s">
        <v>219</v>
      </c>
      <c r="L58" s="78" t="s">
        <v>219</v>
      </c>
      <c r="N58" s="78" t="s">
        <v>219</v>
      </c>
      <c r="P58" s="78" t="s">
        <v>219</v>
      </c>
      <c r="S58" s="78" t="s">
        <v>219</v>
      </c>
      <c r="W58">
        <f t="shared" si="0"/>
        <v>48</v>
      </c>
      <c r="X58">
        <f t="shared" si="1"/>
        <v>0</v>
      </c>
      <c r="Y58">
        <f t="shared" si="2"/>
        <v>0</v>
      </c>
      <c r="AA58" s="202">
        <v>42315</v>
      </c>
      <c r="AB58" s="78" t="s">
        <v>281</v>
      </c>
      <c r="AC58">
        <f>IF(C58="",0,VLOOKUP(C58,'Dados de consulta'!$H$2:$I$25,2,0))</f>
        <v>6</v>
      </c>
      <c r="AD58">
        <f>IF(D58="",0,VLOOKUP(D58,'Dados de consulta'!$H$2:$I$25,2,0))</f>
        <v>0</v>
      </c>
      <c r="AE58">
        <f>IF(E58="",0,VLOOKUP(E58,'Dados de consulta'!$H$2:$I$25,2,0))</f>
        <v>0</v>
      </c>
      <c r="AF58">
        <f>IF(F58="",0,VLOOKUP(F58,'Dados de consulta'!$H$2:$I$25,2,0))</f>
        <v>6</v>
      </c>
      <c r="AG58">
        <f>IF(G58="",0,VLOOKUP(G58,'Dados de consulta'!$H$2:$I$25,2,0))</f>
        <v>0</v>
      </c>
      <c r="AH58">
        <f>IF(H58="",0,VLOOKUP(H58,'Dados de consulta'!$H$2:$I$25,2,0))</f>
        <v>0</v>
      </c>
      <c r="AI58">
        <f>IF(I58="",0,VLOOKUP(I58,'Dados de consulta'!$H$2:$I$25,2,0))</f>
        <v>6</v>
      </c>
      <c r="AJ58">
        <f>IF(J58="",0,VLOOKUP(J58,'Dados de consulta'!$H$2:$I$25,2,0))</f>
        <v>6</v>
      </c>
      <c r="AK58">
        <f>IF(K58="",0,VLOOKUP(K58,'Dados de consulta'!$H$2:$I$25,2,0))</f>
        <v>0</v>
      </c>
      <c r="AL58">
        <f>IF(L58="",0,VLOOKUP(L58,'Dados de consulta'!$H$2:$I$25,2,0))</f>
        <v>6</v>
      </c>
      <c r="AM58">
        <f>IF(M58="",0,VLOOKUP(M58,'Dados de consulta'!$H$2:$I$25,2,0))</f>
        <v>0</v>
      </c>
      <c r="AN58">
        <f>IF(N58="",0,VLOOKUP(N58,'Dados de consulta'!$H$2:$I$25,2,0))</f>
        <v>6</v>
      </c>
      <c r="AO58">
        <f>IF(O58="",0,VLOOKUP(O58,'Dados de consulta'!$H$2:$I$25,2,0))</f>
        <v>0</v>
      </c>
      <c r="AP58">
        <f>IF(P58="",0,VLOOKUP(P58,'Dados de consulta'!$H$2:$I$25,2,0))</f>
        <v>6</v>
      </c>
      <c r="AQ58">
        <f>IF(Q58="",0,VLOOKUP(Q58,'Dados de consulta'!$H$2:$I$25,2,0))</f>
        <v>0</v>
      </c>
      <c r="AR58">
        <f>IF(R58="",0,VLOOKUP(R58,'Dados de consulta'!$H$2:$I$25,2,0))</f>
        <v>0</v>
      </c>
      <c r="AS58">
        <f>IF(S58="",0,VLOOKUP(S58,'Dados de consulta'!$H$2:$I$25,2,0))</f>
        <v>6</v>
      </c>
      <c r="AT58">
        <f>IF(T58="",0,VLOOKUP(T58,'Dados de consulta'!$H$2:$I$25,2,0))</f>
        <v>0</v>
      </c>
      <c r="AU58">
        <f>IF(U58="",0,VLOOKUP(U58,'Dados de consulta'!$H$2:$I$25,2,0))</f>
        <v>0</v>
      </c>
      <c r="AV58">
        <f>IF(V58="",0,VLOOKUP(V58,'Dados de consulta'!$H$2:$I$25,2,0))</f>
        <v>0</v>
      </c>
      <c r="AW58">
        <f t="shared" si="3"/>
        <v>48</v>
      </c>
      <c r="AX58">
        <f t="shared" si="4"/>
        <v>0</v>
      </c>
      <c r="AY58">
        <f t="shared" si="5"/>
        <v>0</v>
      </c>
      <c r="BA58" s="27">
        <v>43952</v>
      </c>
      <c r="BB58">
        <f t="shared" si="6"/>
        <v>0</v>
      </c>
    </row>
    <row r="59" spans="1:54" hidden="1" x14ac:dyDescent="0.2">
      <c r="A59" s="202">
        <v>42316</v>
      </c>
      <c r="B59" s="78" t="s">
        <v>282</v>
      </c>
      <c r="W59">
        <f t="shared" si="0"/>
        <v>0</v>
      </c>
      <c r="X59">
        <f t="shared" si="1"/>
        <v>0</v>
      </c>
      <c r="Y59">
        <f t="shared" si="2"/>
        <v>0</v>
      </c>
      <c r="AA59" s="202">
        <v>42316</v>
      </c>
      <c r="AB59" s="78" t="s">
        <v>282</v>
      </c>
      <c r="AC59">
        <f>IF(C59="",0,VLOOKUP(C59,'Dados de consulta'!$H$2:$I$25,2,0))</f>
        <v>0</v>
      </c>
      <c r="AD59">
        <f>IF(D59="",0,VLOOKUP(D59,'Dados de consulta'!$H$2:$I$25,2,0))</f>
        <v>0</v>
      </c>
      <c r="AE59">
        <f>IF(E59="",0,VLOOKUP(E59,'Dados de consulta'!$H$2:$I$25,2,0))</f>
        <v>0</v>
      </c>
      <c r="AF59">
        <f>IF(F59="",0,VLOOKUP(F59,'Dados de consulta'!$H$2:$I$25,2,0))</f>
        <v>0</v>
      </c>
      <c r="AG59">
        <f>IF(G59="",0,VLOOKUP(G59,'Dados de consulta'!$H$2:$I$25,2,0))</f>
        <v>0</v>
      </c>
      <c r="AH59">
        <f>IF(H59="",0,VLOOKUP(H59,'Dados de consulta'!$H$2:$I$25,2,0))</f>
        <v>0</v>
      </c>
      <c r="AI59">
        <f>IF(I59="",0,VLOOKUP(I59,'Dados de consulta'!$H$2:$I$25,2,0))</f>
        <v>0</v>
      </c>
      <c r="AJ59">
        <f>IF(J59="",0,VLOOKUP(J59,'Dados de consulta'!$H$2:$I$25,2,0))</f>
        <v>0</v>
      </c>
      <c r="AK59">
        <f>IF(K59="",0,VLOOKUP(K59,'Dados de consulta'!$H$2:$I$25,2,0))</f>
        <v>0</v>
      </c>
      <c r="AL59">
        <f>IF(L59="",0,VLOOKUP(L59,'Dados de consulta'!$H$2:$I$25,2,0))</f>
        <v>0</v>
      </c>
      <c r="AM59">
        <f>IF(M59="",0,VLOOKUP(M59,'Dados de consulta'!$H$2:$I$25,2,0))</f>
        <v>0</v>
      </c>
      <c r="AN59">
        <f>IF(N59="",0,VLOOKUP(N59,'Dados de consulta'!$H$2:$I$25,2,0))</f>
        <v>0</v>
      </c>
      <c r="AO59">
        <f>IF(O59="",0,VLOOKUP(O59,'Dados de consulta'!$H$2:$I$25,2,0))</f>
        <v>0</v>
      </c>
      <c r="AP59">
        <f>IF(P59="",0,VLOOKUP(P59,'Dados de consulta'!$H$2:$I$25,2,0))</f>
        <v>0</v>
      </c>
      <c r="AQ59">
        <f>IF(Q59="",0,VLOOKUP(Q59,'Dados de consulta'!$H$2:$I$25,2,0))</f>
        <v>0</v>
      </c>
      <c r="AR59">
        <f>IF(R59="",0,VLOOKUP(R59,'Dados de consulta'!$H$2:$I$25,2,0))</f>
        <v>0</v>
      </c>
      <c r="AS59">
        <f>IF(S59="",0,VLOOKUP(S59,'Dados de consulta'!$H$2:$I$25,2,0))</f>
        <v>0</v>
      </c>
      <c r="AT59">
        <f>IF(T59="",0,VLOOKUP(T59,'Dados de consulta'!$H$2:$I$25,2,0))</f>
        <v>0</v>
      </c>
      <c r="AU59">
        <f>IF(U59="",0,VLOOKUP(U59,'Dados de consulta'!$H$2:$I$25,2,0))</f>
        <v>0</v>
      </c>
      <c r="AV59">
        <f>IF(V59="",0,VLOOKUP(V59,'Dados de consulta'!$H$2:$I$25,2,0))</f>
        <v>0</v>
      </c>
      <c r="AW59">
        <f t="shared" si="3"/>
        <v>0</v>
      </c>
      <c r="AX59">
        <f t="shared" si="4"/>
        <v>0</v>
      </c>
      <c r="AY59">
        <f t="shared" si="5"/>
        <v>0</v>
      </c>
      <c r="BA59" s="27">
        <v>43983</v>
      </c>
      <c r="BB59">
        <f t="shared" si="6"/>
        <v>0</v>
      </c>
    </row>
    <row r="60" spans="1:54" hidden="1" x14ac:dyDescent="0.2">
      <c r="A60" s="202">
        <v>42317</v>
      </c>
      <c r="B60" s="78" t="s">
        <v>283</v>
      </c>
      <c r="W60">
        <f t="shared" si="0"/>
        <v>0</v>
      </c>
      <c r="X60">
        <f t="shared" si="1"/>
        <v>0</v>
      </c>
      <c r="Y60">
        <f t="shared" si="2"/>
        <v>0</v>
      </c>
      <c r="AA60" s="202">
        <v>42317</v>
      </c>
      <c r="AB60" s="78" t="s">
        <v>283</v>
      </c>
      <c r="AC60">
        <f>IF(C60="",0,VLOOKUP(C60,'Dados de consulta'!$H$2:$I$25,2,0))</f>
        <v>0</v>
      </c>
      <c r="AD60">
        <f>IF(D60="",0,VLOOKUP(D60,'Dados de consulta'!$H$2:$I$25,2,0))</f>
        <v>0</v>
      </c>
      <c r="AE60">
        <f>IF(E60="",0,VLOOKUP(E60,'Dados de consulta'!$H$2:$I$25,2,0))</f>
        <v>0</v>
      </c>
      <c r="AF60">
        <f>IF(F60="",0,VLOOKUP(F60,'Dados de consulta'!$H$2:$I$25,2,0))</f>
        <v>0</v>
      </c>
      <c r="AG60">
        <f>IF(G60="",0,VLOOKUP(G60,'Dados de consulta'!$H$2:$I$25,2,0))</f>
        <v>0</v>
      </c>
      <c r="AH60">
        <f>IF(H60="",0,VLOOKUP(H60,'Dados de consulta'!$H$2:$I$25,2,0))</f>
        <v>0</v>
      </c>
      <c r="AI60">
        <f>IF(I60="",0,VLOOKUP(I60,'Dados de consulta'!$H$2:$I$25,2,0))</f>
        <v>0</v>
      </c>
      <c r="AJ60">
        <f>IF(J60="",0,VLOOKUP(J60,'Dados de consulta'!$H$2:$I$25,2,0))</f>
        <v>0</v>
      </c>
      <c r="AK60">
        <f>IF(K60="",0,VLOOKUP(K60,'Dados de consulta'!$H$2:$I$25,2,0))</f>
        <v>0</v>
      </c>
      <c r="AL60">
        <f>IF(L60="",0,VLOOKUP(L60,'Dados de consulta'!$H$2:$I$25,2,0))</f>
        <v>0</v>
      </c>
      <c r="AM60">
        <f>IF(M60="",0,VLOOKUP(M60,'Dados de consulta'!$H$2:$I$25,2,0))</f>
        <v>0</v>
      </c>
      <c r="AN60">
        <f>IF(N60="",0,VLOOKUP(N60,'Dados de consulta'!$H$2:$I$25,2,0))</f>
        <v>0</v>
      </c>
      <c r="AO60">
        <f>IF(O60="",0,VLOOKUP(O60,'Dados de consulta'!$H$2:$I$25,2,0))</f>
        <v>0</v>
      </c>
      <c r="AP60">
        <f>IF(P60="",0,VLOOKUP(P60,'Dados de consulta'!$H$2:$I$25,2,0))</f>
        <v>0</v>
      </c>
      <c r="AQ60">
        <f>IF(Q60="",0,VLOOKUP(Q60,'Dados de consulta'!$H$2:$I$25,2,0))</f>
        <v>0</v>
      </c>
      <c r="AR60">
        <f>IF(R60="",0,VLOOKUP(R60,'Dados de consulta'!$H$2:$I$25,2,0))</f>
        <v>0</v>
      </c>
      <c r="AS60">
        <f>IF(S60="",0,VLOOKUP(S60,'Dados de consulta'!$H$2:$I$25,2,0))</f>
        <v>0</v>
      </c>
      <c r="AT60">
        <f>IF(T60="",0,VLOOKUP(T60,'Dados de consulta'!$H$2:$I$25,2,0))</f>
        <v>0</v>
      </c>
      <c r="AU60">
        <f>IF(U60="",0,VLOOKUP(U60,'Dados de consulta'!$H$2:$I$25,2,0))</f>
        <v>0</v>
      </c>
      <c r="AV60">
        <f>IF(V60="",0,VLOOKUP(V60,'Dados de consulta'!$H$2:$I$25,2,0))</f>
        <v>0</v>
      </c>
      <c r="AW60">
        <f t="shared" si="3"/>
        <v>0</v>
      </c>
      <c r="AX60">
        <f t="shared" si="4"/>
        <v>0</v>
      </c>
      <c r="AY60">
        <f t="shared" si="5"/>
        <v>0</v>
      </c>
      <c r="BA60" s="27">
        <v>44013</v>
      </c>
      <c r="BB60">
        <f t="shared" si="6"/>
        <v>0</v>
      </c>
    </row>
    <row r="61" spans="1:54" hidden="1" x14ac:dyDescent="0.2">
      <c r="A61" s="202">
        <v>42318</v>
      </c>
      <c r="B61" s="78" t="s">
        <v>284</v>
      </c>
      <c r="W61">
        <f t="shared" si="0"/>
        <v>0</v>
      </c>
      <c r="X61">
        <f t="shared" si="1"/>
        <v>0</v>
      </c>
      <c r="Y61">
        <f t="shared" si="2"/>
        <v>0</v>
      </c>
      <c r="AA61" s="202">
        <v>42318</v>
      </c>
      <c r="AB61" s="78" t="s">
        <v>284</v>
      </c>
      <c r="AC61">
        <f>IF(C61="",0,VLOOKUP(C61,'Dados de consulta'!$H$2:$I$25,2,0))</f>
        <v>0</v>
      </c>
      <c r="AD61">
        <f>IF(D61="",0,VLOOKUP(D61,'Dados de consulta'!$H$2:$I$25,2,0))</f>
        <v>0</v>
      </c>
      <c r="AE61">
        <f>IF(E61="",0,VLOOKUP(E61,'Dados de consulta'!$H$2:$I$25,2,0))</f>
        <v>0</v>
      </c>
      <c r="AF61">
        <f>IF(F61="",0,VLOOKUP(F61,'Dados de consulta'!$H$2:$I$25,2,0))</f>
        <v>0</v>
      </c>
      <c r="AG61">
        <f>IF(G61="",0,VLOOKUP(G61,'Dados de consulta'!$H$2:$I$25,2,0))</f>
        <v>0</v>
      </c>
      <c r="AH61">
        <f>IF(H61="",0,VLOOKUP(H61,'Dados de consulta'!$H$2:$I$25,2,0))</f>
        <v>0</v>
      </c>
      <c r="AI61">
        <f>IF(I61="",0,VLOOKUP(I61,'Dados de consulta'!$H$2:$I$25,2,0))</f>
        <v>0</v>
      </c>
      <c r="AJ61">
        <f>IF(J61="",0,VLOOKUP(J61,'Dados de consulta'!$H$2:$I$25,2,0))</f>
        <v>0</v>
      </c>
      <c r="AK61">
        <f>IF(K61="",0,VLOOKUP(K61,'Dados de consulta'!$H$2:$I$25,2,0))</f>
        <v>0</v>
      </c>
      <c r="AL61">
        <f>IF(L61="",0,VLOOKUP(L61,'Dados de consulta'!$H$2:$I$25,2,0))</f>
        <v>0</v>
      </c>
      <c r="AM61">
        <f>IF(M61="",0,VLOOKUP(M61,'Dados de consulta'!$H$2:$I$25,2,0))</f>
        <v>0</v>
      </c>
      <c r="AN61">
        <f>IF(N61="",0,VLOOKUP(N61,'Dados de consulta'!$H$2:$I$25,2,0))</f>
        <v>0</v>
      </c>
      <c r="AO61">
        <f>IF(O61="",0,VLOOKUP(O61,'Dados de consulta'!$H$2:$I$25,2,0))</f>
        <v>0</v>
      </c>
      <c r="AP61">
        <f>IF(P61="",0,VLOOKUP(P61,'Dados de consulta'!$H$2:$I$25,2,0))</f>
        <v>0</v>
      </c>
      <c r="AQ61">
        <f>IF(Q61="",0,VLOOKUP(Q61,'Dados de consulta'!$H$2:$I$25,2,0))</f>
        <v>0</v>
      </c>
      <c r="AR61">
        <f>IF(R61="",0,VLOOKUP(R61,'Dados de consulta'!$H$2:$I$25,2,0))</f>
        <v>0</v>
      </c>
      <c r="AS61">
        <f>IF(S61="",0,VLOOKUP(S61,'Dados de consulta'!$H$2:$I$25,2,0))</f>
        <v>0</v>
      </c>
      <c r="AT61">
        <f>IF(T61="",0,VLOOKUP(T61,'Dados de consulta'!$H$2:$I$25,2,0))</f>
        <v>0</v>
      </c>
      <c r="AU61">
        <f>IF(U61="",0,VLOOKUP(U61,'Dados de consulta'!$H$2:$I$25,2,0))</f>
        <v>0</v>
      </c>
      <c r="AV61">
        <f>IF(V61="",0,VLOOKUP(V61,'Dados de consulta'!$H$2:$I$25,2,0))</f>
        <v>0</v>
      </c>
      <c r="AW61">
        <f t="shared" si="3"/>
        <v>0</v>
      </c>
      <c r="AX61">
        <f t="shared" si="4"/>
        <v>0</v>
      </c>
      <c r="AY61">
        <f t="shared" si="5"/>
        <v>0</v>
      </c>
      <c r="BA61" s="27">
        <v>44044</v>
      </c>
      <c r="BB61">
        <f t="shared" si="6"/>
        <v>0</v>
      </c>
    </row>
    <row r="62" spans="1:54" hidden="1" x14ac:dyDescent="0.2">
      <c r="A62" s="202">
        <v>42319</v>
      </c>
      <c r="B62" s="78" t="s">
        <v>285</v>
      </c>
      <c r="W62">
        <f t="shared" si="0"/>
        <v>0</v>
      </c>
      <c r="X62">
        <f t="shared" si="1"/>
        <v>0</v>
      </c>
      <c r="Y62">
        <f t="shared" si="2"/>
        <v>0</v>
      </c>
      <c r="AA62" s="202">
        <v>42319</v>
      </c>
      <c r="AB62" s="78" t="s">
        <v>285</v>
      </c>
      <c r="AC62">
        <f>IF(C62="",0,VLOOKUP(C62,'Dados de consulta'!$H$2:$I$25,2,0))</f>
        <v>0</v>
      </c>
      <c r="AD62">
        <f>IF(D62="",0,VLOOKUP(D62,'Dados de consulta'!$H$2:$I$25,2,0))</f>
        <v>0</v>
      </c>
      <c r="AE62">
        <f>IF(E62="",0,VLOOKUP(E62,'Dados de consulta'!$H$2:$I$25,2,0))</f>
        <v>0</v>
      </c>
      <c r="AF62">
        <f>IF(F62="",0,VLOOKUP(F62,'Dados de consulta'!$H$2:$I$25,2,0))</f>
        <v>0</v>
      </c>
      <c r="AG62">
        <f>IF(G62="",0,VLOOKUP(G62,'Dados de consulta'!$H$2:$I$25,2,0))</f>
        <v>0</v>
      </c>
      <c r="AH62">
        <f>IF(H62="",0,VLOOKUP(H62,'Dados de consulta'!$H$2:$I$25,2,0))</f>
        <v>0</v>
      </c>
      <c r="AI62">
        <f>IF(I62="",0,VLOOKUP(I62,'Dados de consulta'!$H$2:$I$25,2,0))</f>
        <v>0</v>
      </c>
      <c r="AJ62">
        <f>IF(J62="",0,VLOOKUP(J62,'Dados de consulta'!$H$2:$I$25,2,0))</f>
        <v>0</v>
      </c>
      <c r="AK62">
        <f>IF(K62="",0,VLOOKUP(K62,'Dados de consulta'!$H$2:$I$25,2,0))</f>
        <v>0</v>
      </c>
      <c r="AL62">
        <f>IF(L62="",0,VLOOKUP(L62,'Dados de consulta'!$H$2:$I$25,2,0))</f>
        <v>0</v>
      </c>
      <c r="AM62">
        <f>IF(M62="",0,VLOOKUP(M62,'Dados de consulta'!$H$2:$I$25,2,0))</f>
        <v>0</v>
      </c>
      <c r="AN62">
        <f>IF(N62="",0,VLOOKUP(N62,'Dados de consulta'!$H$2:$I$25,2,0))</f>
        <v>0</v>
      </c>
      <c r="AO62">
        <f>IF(O62="",0,VLOOKUP(O62,'Dados de consulta'!$H$2:$I$25,2,0))</f>
        <v>0</v>
      </c>
      <c r="AP62">
        <f>IF(P62="",0,VLOOKUP(P62,'Dados de consulta'!$H$2:$I$25,2,0))</f>
        <v>0</v>
      </c>
      <c r="AQ62">
        <f>IF(Q62="",0,VLOOKUP(Q62,'Dados de consulta'!$H$2:$I$25,2,0))</f>
        <v>0</v>
      </c>
      <c r="AR62">
        <f>IF(R62="",0,VLOOKUP(R62,'Dados de consulta'!$H$2:$I$25,2,0))</f>
        <v>0</v>
      </c>
      <c r="AS62">
        <f>IF(S62="",0,VLOOKUP(S62,'Dados de consulta'!$H$2:$I$25,2,0))</f>
        <v>0</v>
      </c>
      <c r="AT62">
        <f>IF(T62="",0,VLOOKUP(T62,'Dados de consulta'!$H$2:$I$25,2,0))</f>
        <v>0</v>
      </c>
      <c r="AU62">
        <f>IF(U62="",0,VLOOKUP(U62,'Dados de consulta'!$H$2:$I$25,2,0))</f>
        <v>0</v>
      </c>
      <c r="AV62">
        <f>IF(V62="",0,VLOOKUP(V62,'Dados de consulta'!$H$2:$I$25,2,0))</f>
        <v>0</v>
      </c>
      <c r="AW62">
        <f t="shared" si="3"/>
        <v>0</v>
      </c>
      <c r="AX62">
        <f t="shared" si="4"/>
        <v>0</v>
      </c>
      <c r="AY62">
        <f t="shared" si="5"/>
        <v>0</v>
      </c>
      <c r="BA62" s="27">
        <v>44075</v>
      </c>
      <c r="BB62">
        <f t="shared" si="6"/>
        <v>0</v>
      </c>
    </row>
    <row r="63" spans="1:54" hidden="1" x14ac:dyDescent="0.2">
      <c r="A63" s="202">
        <v>42320</v>
      </c>
      <c r="B63" s="78" t="s">
        <v>286</v>
      </c>
      <c r="W63">
        <f t="shared" si="0"/>
        <v>0</v>
      </c>
      <c r="X63">
        <f t="shared" si="1"/>
        <v>0</v>
      </c>
      <c r="Y63">
        <f t="shared" si="2"/>
        <v>0</v>
      </c>
      <c r="AA63" s="202">
        <v>42320</v>
      </c>
      <c r="AB63" s="78" t="s">
        <v>286</v>
      </c>
      <c r="AC63">
        <f>IF(C63="",0,VLOOKUP(C63,'Dados de consulta'!$H$2:$I$25,2,0))</f>
        <v>0</v>
      </c>
      <c r="AD63">
        <f>IF(D63="",0,VLOOKUP(D63,'Dados de consulta'!$H$2:$I$25,2,0))</f>
        <v>0</v>
      </c>
      <c r="AE63">
        <f>IF(E63="",0,VLOOKUP(E63,'Dados de consulta'!$H$2:$I$25,2,0))</f>
        <v>0</v>
      </c>
      <c r="AF63">
        <f>IF(F63="",0,VLOOKUP(F63,'Dados de consulta'!$H$2:$I$25,2,0))</f>
        <v>0</v>
      </c>
      <c r="AG63">
        <f>IF(G63="",0,VLOOKUP(G63,'Dados de consulta'!$H$2:$I$25,2,0))</f>
        <v>0</v>
      </c>
      <c r="AH63">
        <f>IF(H63="",0,VLOOKUP(H63,'Dados de consulta'!$H$2:$I$25,2,0))</f>
        <v>0</v>
      </c>
      <c r="AI63">
        <f>IF(I63="",0,VLOOKUP(I63,'Dados de consulta'!$H$2:$I$25,2,0))</f>
        <v>0</v>
      </c>
      <c r="AJ63">
        <f>IF(J63="",0,VLOOKUP(J63,'Dados de consulta'!$H$2:$I$25,2,0))</f>
        <v>0</v>
      </c>
      <c r="AK63">
        <f>IF(K63="",0,VLOOKUP(K63,'Dados de consulta'!$H$2:$I$25,2,0))</f>
        <v>0</v>
      </c>
      <c r="AL63">
        <f>IF(L63="",0,VLOOKUP(L63,'Dados de consulta'!$H$2:$I$25,2,0))</f>
        <v>0</v>
      </c>
      <c r="AM63">
        <f>IF(M63="",0,VLOOKUP(M63,'Dados de consulta'!$H$2:$I$25,2,0))</f>
        <v>0</v>
      </c>
      <c r="AN63">
        <f>IF(N63="",0,VLOOKUP(N63,'Dados de consulta'!$H$2:$I$25,2,0))</f>
        <v>0</v>
      </c>
      <c r="AO63">
        <f>IF(O63="",0,VLOOKUP(O63,'Dados de consulta'!$H$2:$I$25,2,0))</f>
        <v>0</v>
      </c>
      <c r="AP63">
        <f>IF(P63="",0,VLOOKUP(P63,'Dados de consulta'!$H$2:$I$25,2,0))</f>
        <v>0</v>
      </c>
      <c r="AQ63">
        <f>IF(Q63="",0,VLOOKUP(Q63,'Dados de consulta'!$H$2:$I$25,2,0))</f>
        <v>0</v>
      </c>
      <c r="AR63">
        <f>IF(R63="",0,VLOOKUP(R63,'Dados de consulta'!$H$2:$I$25,2,0))</f>
        <v>0</v>
      </c>
      <c r="AS63">
        <f>IF(S63="",0,VLOOKUP(S63,'Dados de consulta'!$H$2:$I$25,2,0))</f>
        <v>0</v>
      </c>
      <c r="AT63">
        <f>IF(T63="",0,VLOOKUP(T63,'Dados de consulta'!$H$2:$I$25,2,0))</f>
        <v>0</v>
      </c>
      <c r="AU63">
        <f>IF(U63="",0,VLOOKUP(U63,'Dados de consulta'!$H$2:$I$25,2,0))</f>
        <v>0</v>
      </c>
      <c r="AV63">
        <f>IF(V63="",0,VLOOKUP(V63,'Dados de consulta'!$H$2:$I$25,2,0))</f>
        <v>0</v>
      </c>
      <c r="AW63">
        <f t="shared" si="3"/>
        <v>0</v>
      </c>
      <c r="AX63">
        <f t="shared" si="4"/>
        <v>0</v>
      </c>
      <c r="AY63">
        <f t="shared" si="5"/>
        <v>0</v>
      </c>
      <c r="BA63" s="27">
        <v>44105</v>
      </c>
      <c r="BB63">
        <f t="shared" si="6"/>
        <v>0</v>
      </c>
    </row>
    <row r="64" spans="1:54" hidden="1" x14ac:dyDescent="0.2">
      <c r="A64" s="202">
        <v>42321</v>
      </c>
      <c r="B64" s="78" t="s">
        <v>287</v>
      </c>
      <c r="W64">
        <f t="shared" si="0"/>
        <v>0</v>
      </c>
      <c r="X64">
        <f t="shared" si="1"/>
        <v>0</v>
      </c>
      <c r="Y64">
        <f t="shared" si="2"/>
        <v>0</v>
      </c>
      <c r="AA64" s="202">
        <v>42321</v>
      </c>
      <c r="AB64" s="78" t="s">
        <v>287</v>
      </c>
      <c r="AC64">
        <f>IF(C64="",0,VLOOKUP(C64,'Dados de consulta'!$H$2:$I$25,2,0))</f>
        <v>0</v>
      </c>
      <c r="AD64">
        <f>IF(D64="",0,VLOOKUP(D64,'Dados de consulta'!$H$2:$I$25,2,0))</f>
        <v>0</v>
      </c>
      <c r="AE64">
        <f>IF(E64="",0,VLOOKUP(E64,'Dados de consulta'!$H$2:$I$25,2,0))</f>
        <v>0</v>
      </c>
      <c r="AF64">
        <f>IF(F64="",0,VLOOKUP(F64,'Dados de consulta'!$H$2:$I$25,2,0))</f>
        <v>0</v>
      </c>
      <c r="AG64">
        <f>IF(G64="",0,VLOOKUP(G64,'Dados de consulta'!$H$2:$I$25,2,0))</f>
        <v>0</v>
      </c>
      <c r="AH64">
        <f>IF(H64="",0,VLOOKUP(H64,'Dados de consulta'!$H$2:$I$25,2,0))</f>
        <v>0</v>
      </c>
      <c r="AI64">
        <f>IF(I64="",0,VLOOKUP(I64,'Dados de consulta'!$H$2:$I$25,2,0))</f>
        <v>0</v>
      </c>
      <c r="AJ64">
        <f>IF(J64="",0,VLOOKUP(J64,'Dados de consulta'!$H$2:$I$25,2,0))</f>
        <v>0</v>
      </c>
      <c r="AK64">
        <f>IF(K64="",0,VLOOKUP(K64,'Dados de consulta'!$H$2:$I$25,2,0))</f>
        <v>0</v>
      </c>
      <c r="AL64">
        <f>IF(L64="",0,VLOOKUP(L64,'Dados de consulta'!$H$2:$I$25,2,0))</f>
        <v>0</v>
      </c>
      <c r="AM64">
        <f>IF(M64="",0,VLOOKUP(M64,'Dados de consulta'!$H$2:$I$25,2,0))</f>
        <v>0</v>
      </c>
      <c r="AN64">
        <f>IF(N64="",0,VLOOKUP(N64,'Dados de consulta'!$H$2:$I$25,2,0))</f>
        <v>0</v>
      </c>
      <c r="AO64">
        <f>IF(O64="",0,VLOOKUP(O64,'Dados de consulta'!$H$2:$I$25,2,0))</f>
        <v>0</v>
      </c>
      <c r="AP64">
        <f>IF(P64="",0,VLOOKUP(P64,'Dados de consulta'!$H$2:$I$25,2,0))</f>
        <v>0</v>
      </c>
      <c r="AQ64">
        <f>IF(Q64="",0,VLOOKUP(Q64,'Dados de consulta'!$H$2:$I$25,2,0))</f>
        <v>0</v>
      </c>
      <c r="AR64">
        <f>IF(R64="",0,VLOOKUP(R64,'Dados de consulta'!$H$2:$I$25,2,0))</f>
        <v>0</v>
      </c>
      <c r="AS64">
        <f>IF(S64="",0,VLOOKUP(S64,'Dados de consulta'!$H$2:$I$25,2,0))</f>
        <v>0</v>
      </c>
      <c r="AT64">
        <f>IF(T64="",0,VLOOKUP(T64,'Dados de consulta'!$H$2:$I$25,2,0))</f>
        <v>0</v>
      </c>
      <c r="AU64">
        <f>IF(U64="",0,VLOOKUP(U64,'Dados de consulta'!$H$2:$I$25,2,0))</f>
        <v>0</v>
      </c>
      <c r="AV64">
        <f>IF(V64="",0,VLOOKUP(V64,'Dados de consulta'!$H$2:$I$25,2,0))</f>
        <v>0</v>
      </c>
      <c r="AW64">
        <f t="shared" si="3"/>
        <v>0</v>
      </c>
      <c r="AX64">
        <f t="shared" si="4"/>
        <v>0</v>
      </c>
      <c r="AY64">
        <f t="shared" si="5"/>
        <v>0</v>
      </c>
      <c r="BA64" s="27">
        <v>44136</v>
      </c>
      <c r="BB64">
        <f t="shared" si="6"/>
        <v>0</v>
      </c>
    </row>
    <row r="65" spans="1:54" hidden="1" x14ac:dyDescent="0.2">
      <c r="A65" s="202">
        <v>42322</v>
      </c>
      <c r="B65" s="78" t="s">
        <v>281</v>
      </c>
      <c r="C65" s="78" t="s">
        <v>219</v>
      </c>
      <c r="F65" s="78" t="s">
        <v>219</v>
      </c>
      <c r="I65" s="78" t="s">
        <v>219</v>
      </c>
      <c r="J65" s="78" t="s">
        <v>219</v>
      </c>
      <c r="L65" s="78" t="s">
        <v>219</v>
      </c>
      <c r="N65" s="78" t="s">
        <v>219</v>
      </c>
      <c r="P65" s="78" t="s">
        <v>219</v>
      </c>
      <c r="W65">
        <f t="shared" si="0"/>
        <v>42</v>
      </c>
      <c r="X65">
        <f t="shared" si="1"/>
        <v>0</v>
      </c>
      <c r="Y65">
        <f t="shared" si="2"/>
        <v>0</v>
      </c>
      <c r="AA65" s="202">
        <v>42322</v>
      </c>
      <c r="AB65" s="78" t="s">
        <v>281</v>
      </c>
      <c r="AC65">
        <f>IF(C65="",0,VLOOKUP(C65,'Dados de consulta'!$H$2:$I$25,2,0))</f>
        <v>6</v>
      </c>
      <c r="AD65">
        <f>IF(D65="",0,VLOOKUP(D65,'Dados de consulta'!$H$2:$I$25,2,0))</f>
        <v>0</v>
      </c>
      <c r="AE65">
        <f>IF(E65="",0,VLOOKUP(E65,'Dados de consulta'!$H$2:$I$25,2,0))</f>
        <v>0</v>
      </c>
      <c r="AF65">
        <f>IF(F65="",0,VLOOKUP(F65,'Dados de consulta'!$H$2:$I$25,2,0))</f>
        <v>6</v>
      </c>
      <c r="AG65">
        <f>IF(G65="",0,VLOOKUP(G65,'Dados de consulta'!$H$2:$I$25,2,0))</f>
        <v>0</v>
      </c>
      <c r="AH65">
        <f>IF(H65="",0,VLOOKUP(H65,'Dados de consulta'!$H$2:$I$25,2,0))</f>
        <v>0</v>
      </c>
      <c r="AI65">
        <f>IF(I65="",0,VLOOKUP(I65,'Dados de consulta'!$H$2:$I$25,2,0))</f>
        <v>6</v>
      </c>
      <c r="AJ65">
        <f>IF(J65="",0,VLOOKUP(J65,'Dados de consulta'!$H$2:$I$25,2,0))</f>
        <v>6</v>
      </c>
      <c r="AK65">
        <f>IF(K65="",0,VLOOKUP(K65,'Dados de consulta'!$H$2:$I$25,2,0))</f>
        <v>0</v>
      </c>
      <c r="AL65">
        <f>IF(L65="",0,VLOOKUP(L65,'Dados de consulta'!$H$2:$I$25,2,0))</f>
        <v>6</v>
      </c>
      <c r="AM65">
        <f>IF(M65="",0,VLOOKUP(M65,'Dados de consulta'!$H$2:$I$25,2,0))</f>
        <v>0</v>
      </c>
      <c r="AN65">
        <f>IF(N65="",0,VLOOKUP(N65,'Dados de consulta'!$H$2:$I$25,2,0))</f>
        <v>6</v>
      </c>
      <c r="AO65">
        <f>IF(O65="",0,VLOOKUP(O65,'Dados de consulta'!$H$2:$I$25,2,0))</f>
        <v>0</v>
      </c>
      <c r="AP65">
        <f>IF(P65="",0,VLOOKUP(P65,'Dados de consulta'!$H$2:$I$25,2,0))</f>
        <v>6</v>
      </c>
      <c r="AQ65">
        <f>IF(Q65="",0,VLOOKUP(Q65,'Dados de consulta'!$H$2:$I$25,2,0))</f>
        <v>0</v>
      </c>
      <c r="AR65">
        <f>IF(R65="",0,VLOOKUP(R65,'Dados de consulta'!$H$2:$I$25,2,0))</f>
        <v>0</v>
      </c>
      <c r="AS65">
        <f>IF(S65="",0,VLOOKUP(S65,'Dados de consulta'!$H$2:$I$25,2,0))</f>
        <v>0</v>
      </c>
      <c r="AT65">
        <f>IF(T65="",0,VLOOKUP(T65,'Dados de consulta'!$H$2:$I$25,2,0))</f>
        <v>0</v>
      </c>
      <c r="AU65">
        <f>IF(U65="",0,VLOOKUP(U65,'Dados de consulta'!$H$2:$I$25,2,0))</f>
        <v>0</v>
      </c>
      <c r="AV65">
        <f>IF(V65="",0,VLOOKUP(V65,'Dados de consulta'!$H$2:$I$25,2,0))</f>
        <v>0</v>
      </c>
      <c r="AW65">
        <f t="shared" si="3"/>
        <v>42</v>
      </c>
      <c r="AX65">
        <f t="shared" si="4"/>
        <v>0</v>
      </c>
      <c r="AY65">
        <f t="shared" si="5"/>
        <v>0</v>
      </c>
      <c r="BA65" s="27">
        <v>44166</v>
      </c>
      <c r="BB65">
        <f t="shared" si="6"/>
        <v>0</v>
      </c>
    </row>
    <row r="66" spans="1:54" hidden="1" x14ac:dyDescent="0.2">
      <c r="A66" s="202">
        <v>42323</v>
      </c>
      <c r="B66" s="78" t="s">
        <v>282</v>
      </c>
      <c r="W66">
        <f t="shared" si="0"/>
        <v>0</v>
      </c>
      <c r="X66">
        <f t="shared" si="1"/>
        <v>0</v>
      </c>
      <c r="Y66">
        <f t="shared" si="2"/>
        <v>0</v>
      </c>
      <c r="AA66" s="202">
        <v>42323</v>
      </c>
      <c r="AB66" s="78" t="s">
        <v>282</v>
      </c>
      <c r="AC66">
        <f>IF(C66="",0,VLOOKUP(C66,'Dados de consulta'!$H$2:$I$25,2,0))</f>
        <v>0</v>
      </c>
      <c r="AD66">
        <f>IF(D66="",0,VLOOKUP(D66,'Dados de consulta'!$H$2:$I$25,2,0))</f>
        <v>0</v>
      </c>
      <c r="AE66">
        <f>IF(E66="",0,VLOOKUP(E66,'Dados de consulta'!$H$2:$I$25,2,0))</f>
        <v>0</v>
      </c>
      <c r="AF66">
        <f>IF(F66="",0,VLOOKUP(F66,'Dados de consulta'!$H$2:$I$25,2,0))</f>
        <v>0</v>
      </c>
      <c r="AG66">
        <f>IF(G66="",0,VLOOKUP(G66,'Dados de consulta'!$H$2:$I$25,2,0))</f>
        <v>0</v>
      </c>
      <c r="AH66">
        <f>IF(H66="",0,VLOOKUP(H66,'Dados de consulta'!$H$2:$I$25,2,0))</f>
        <v>0</v>
      </c>
      <c r="AI66">
        <f>IF(I66="",0,VLOOKUP(I66,'Dados de consulta'!$H$2:$I$25,2,0))</f>
        <v>0</v>
      </c>
      <c r="AJ66">
        <f>IF(J66="",0,VLOOKUP(J66,'Dados de consulta'!$H$2:$I$25,2,0))</f>
        <v>0</v>
      </c>
      <c r="AK66">
        <f>IF(K66="",0,VLOOKUP(K66,'Dados de consulta'!$H$2:$I$25,2,0))</f>
        <v>0</v>
      </c>
      <c r="AL66">
        <f>IF(L66="",0,VLOOKUP(L66,'Dados de consulta'!$H$2:$I$25,2,0))</f>
        <v>0</v>
      </c>
      <c r="AM66">
        <f>IF(M66="",0,VLOOKUP(M66,'Dados de consulta'!$H$2:$I$25,2,0))</f>
        <v>0</v>
      </c>
      <c r="AN66">
        <f>IF(N66="",0,VLOOKUP(N66,'Dados de consulta'!$H$2:$I$25,2,0))</f>
        <v>0</v>
      </c>
      <c r="AO66">
        <f>IF(O66="",0,VLOOKUP(O66,'Dados de consulta'!$H$2:$I$25,2,0))</f>
        <v>0</v>
      </c>
      <c r="AP66">
        <f>IF(P66="",0,VLOOKUP(P66,'Dados de consulta'!$H$2:$I$25,2,0))</f>
        <v>0</v>
      </c>
      <c r="AQ66">
        <f>IF(Q66="",0,VLOOKUP(Q66,'Dados de consulta'!$H$2:$I$25,2,0))</f>
        <v>0</v>
      </c>
      <c r="AR66">
        <f>IF(R66="",0,VLOOKUP(R66,'Dados de consulta'!$H$2:$I$25,2,0))</f>
        <v>0</v>
      </c>
      <c r="AS66">
        <f>IF(S66="",0,VLOOKUP(S66,'Dados de consulta'!$H$2:$I$25,2,0))</f>
        <v>0</v>
      </c>
      <c r="AT66">
        <f>IF(T66="",0,VLOOKUP(T66,'Dados de consulta'!$H$2:$I$25,2,0))</f>
        <v>0</v>
      </c>
      <c r="AU66">
        <f>IF(U66="",0,VLOOKUP(U66,'Dados de consulta'!$H$2:$I$25,2,0))</f>
        <v>0</v>
      </c>
      <c r="AV66">
        <f>IF(V66="",0,VLOOKUP(V66,'Dados de consulta'!$H$2:$I$25,2,0))</f>
        <v>0</v>
      </c>
      <c r="AW66">
        <f t="shared" si="3"/>
        <v>0</v>
      </c>
      <c r="AX66">
        <f t="shared" si="4"/>
        <v>0</v>
      </c>
      <c r="AY66">
        <f t="shared" si="5"/>
        <v>0</v>
      </c>
      <c r="BA66" s="27">
        <v>44197</v>
      </c>
      <c r="BB66">
        <f t="shared" si="6"/>
        <v>0</v>
      </c>
    </row>
    <row r="67" spans="1:54" hidden="1" x14ac:dyDescent="0.2">
      <c r="A67" s="202">
        <v>42324</v>
      </c>
      <c r="B67" s="78" t="s">
        <v>283</v>
      </c>
      <c r="W67">
        <f t="shared" ref="W67:W130" si="7">AW67</f>
        <v>0</v>
      </c>
      <c r="X67">
        <f t="shared" ref="X67:X130" si="8">AX67</f>
        <v>0</v>
      </c>
      <c r="Y67">
        <f t="shared" ref="Y67:Y130" si="9">AY67</f>
        <v>0</v>
      </c>
      <c r="AA67" s="202">
        <v>42324</v>
      </c>
      <c r="AB67" s="78" t="s">
        <v>283</v>
      </c>
      <c r="AC67">
        <f>IF(C67="",0,VLOOKUP(C67,'Dados de consulta'!$H$2:$I$25,2,0))</f>
        <v>0</v>
      </c>
      <c r="AD67">
        <f>IF(D67="",0,VLOOKUP(D67,'Dados de consulta'!$H$2:$I$25,2,0))</f>
        <v>0</v>
      </c>
      <c r="AE67">
        <f>IF(E67="",0,VLOOKUP(E67,'Dados de consulta'!$H$2:$I$25,2,0))</f>
        <v>0</v>
      </c>
      <c r="AF67">
        <f>IF(F67="",0,VLOOKUP(F67,'Dados de consulta'!$H$2:$I$25,2,0))</f>
        <v>0</v>
      </c>
      <c r="AG67">
        <f>IF(G67="",0,VLOOKUP(G67,'Dados de consulta'!$H$2:$I$25,2,0))</f>
        <v>0</v>
      </c>
      <c r="AH67">
        <f>IF(H67="",0,VLOOKUP(H67,'Dados de consulta'!$H$2:$I$25,2,0))</f>
        <v>0</v>
      </c>
      <c r="AI67">
        <f>IF(I67="",0,VLOOKUP(I67,'Dados de consulta'!$H$2:$I$25,2,0))</f>
        <v>0</v>
      </c>
      <c r="AJ67">
        <f>IF(J67="",0,VLOOKUP(J67,'Dados de consulta'!$H$2:$I$25,2,0))</f>
        <v>0</v>
      </c>
      <c r="AK67">
        <f>IF(K67="",0,VLOOKUP(K67,'Dados de consulta'!$H$2:$I$25,2,0))</f>
        <v>0</v>
      </c>
      <c r="AL67">
        <f>IF(L67="",0,VLOOKUP(L67,'Dados de consulta'!$H$2:$I$25,2,0))</f>
        <v>0</v>
      </c>
      <c r="AM67">
        <f>IF(M67="",0,VLOOKUP(M67,'Dados de consulta'!$H$2:$I$25,2,0))</f>
        <v>0</v>
      </c>
      <c r="AN67">
        <f>IF(N67="",0,VLOOKUP(N67,'Dados de consulta'!$H$2:$I$25,2,0))</f>
        <v>0</v>
      </c>
      <c r="AO67">
        <f>IF(O67="",0,VLOOKUP(O67,'Dados de consulta'!$H$2:$I$25,2,0))</f>
        <v>0</v>
      </c>
      <c r="AP67">
        <f>IF(P67="",0,VLOOKUP(P67,'Dados de consulta'!$H$2:$I$25,2,0))</f>
        <v>0</v>
      </c>
      <c r="AQ67">
        <f>IF(Q67="",0,VLOOKUP(Q67,'Dados de consulta'!$H$2:$I$25,2,0))</f>
        <v>0</v>
      </c>
      <c r="AR67">
        <f>IF(R67="",0,VLOOKUP(R67,'Dados de consulta'!$H$2:$I$25,2,0))</f>
        <v>0</v>
      </c>
      <c r="AS67">
        <f>IF(S67="",0,VLOOKUP(S67,'Dados de consulta'!$H$2:$I$25,2,0))</f>
        <v>0</v>
      </c>
      <c r="AT67">
        <f>IF(T67="",0,VLOOKUP(T67,'Dados de consulta'!$H$2:$I$25,2,0))</f>
        <v>0</v>
      </c>
      <c r="AU67">
        <f>IF(U67="",0,VLOOKUP(U67,'Dados de consulta'!$H$2:$I$25,2,0))</f>
        <v>0</v>
      </c>
      <c r="AV67">
        <f>IF(V67="",0,VLOOKUP(V67,'Dados de consulta'!$H$2:$I$25,2,0))</f>
        <v>0</v>
      </c>
      <c r="AW67">
        <f t="shared" ref="AW67:AW130" si="10">SUMIF(AC67:AV67,"&lt;"&amp;9,AC67:AV67)</f>
        <v>0</v>
      </c>
      <c r="AX67">
        <f t="shared" ref="AX67:AX130" si="11">SUMIFS(AC67:AV67,AC67:AV67,"&gt;"&amp;8,AC67:AV67,"&lt;"&amp;19)-COUNTIFS(AC67:AV67,"&gt;"&amp;8,AC67:AV67,"&lt;"&amp;19)*10</f>
        <v>0</v>
      </c>
      <c r="AY67">
        <f t="shared" ref="AY67:AY130" si="12">SUMIFS(AC67:AV67,AC67:AV67,"&gt;"&amp;20,AC67:AV67,"&lt;"&amp;29)-COUNTIFS(AC67:AV67,"&gt;"&amp;20,AC67:AV67,"&lt;"&amp;29)*20</f>
        <v>0</v>
      </c>
      <c r="BA67" s="27">
        <v>44228</v>
      </c>
      <c r="BB67">
        <f t="shared" ref="BB67:BB101" si="13">SUMIFS(W:W,A:A,"&gt;="&amp;BA67,A:A,"&lt;"&amp;BA68)</f>
        <v>0</v>
      </c>
    </row>
    <row r="68" spans="1:54" hidden="1" x14ac:dyDescent="0.2">
      <c r="A68" s="202">
        <v>42325</v>
      </c>
      <c r="B68" s="78" t="s">
        <v>284</v>
      </c>
      <c r="W68">
        <f t="shared" si="7"/>
        <v>0</v>
      </c>
      <c r="X68">
        <f t="shared" si="8"/>
        <v>0</v>
      </c>
      <c r="Y68">
        <f t="shared" si="9"/>
        <v>0</v>
      </c>
      <c r="AA68" s="202">
        <v>42325</v>
      </c>
      <c r="AB68" s="78" t="s">
        <v>284</v>
      </c>
      <c r="AC68">
        <f>IF(C68="",0,VLOOKUP(C68,'Dados de consulta'!$H$2:$I$25,2,0))</f>
        <v>0</v>
      </c>
      <c r="AD68">
        <f>IF(D68="",0,VLOOKUP(D68,'Dados de consulta'!$H$2:$I$25,2,0))</f>
        <v>0</v>
      </c>
      <c r="AE68">
        <f>IF(E68="",0,VLOOKUP(E68,'Dados de consulta'!$H$2:$I$25,2,0))</f>
        <v>0</v>
      </c>
      <c r="AF68">
        <f>IF(F68="",0,VLOOKUP(F68,'Dados de consulta'!$H$2:$I$25,2,0))</f>
        <v>0</v>
      </c>
      <c r="AG68">
        <f>IF(G68="",0,VLOOKUP(G68,'Dados de consulta'!$H$2:$I$25,2,0))</f>
        <v>0</v>
      </c>
      <c r="AH68">
        <f>IF(H68="",0,VLOOKUP(H68,'Dados de consulta'!$H$2:$I$25,2,0))</f>
        <v>0</v>
      </c>
      <c r="AI68">
        <f>IF(I68="",0,VLOOKUP(I68,'Dados de consulta'!$H$2:$I$25,2,0))</f>
        <v>0</v>
      </c>
      <c r="AJ68">
        <f>IF(J68="",0,VLOOKUP(J68,'Dados de consulta'!$H$2:$I$25,2,0))</f>
        <v>0</v>
      </c>
      <c r="AK68">
        <f>IF(K68="",0,VLOOKUP(K68,'Dados de consulta'!$H$2:$I$25,2,0))</f>
        <v>0</v>
      </c>
      <c r="AL68">
        <f>IF(L68="",0,VLOOKUP(L68,'Dados de consulta'!$H$2:$I$25,2,0))</f>
        <v>0</v>
      </c>
      <c r="AM68">
        <f>IF(M68="",0,VLOOKUP(M68,'Dados de consulta'!$H$2:$I$25,2,0))</f>
        <v>0</v>
      </c>
      <c r="AN68">
        <f>IF(N68="",0,VLOOKUP(N68,'Dados de consulta'!$H$2:$I$25,2,0))</f>
        <v>0</v>
      </c>
      <c r="AO68">
        <f>IF(O68="",0,VLOOKUP(O68,'Dados de consulta'!$H$2:$I$25,2,0))</f>
        <v>0</v>
      </c>
      <c r="AP68">
        <f>IF(P68="",0,VLOOKUP(P68,'Dados de consulta'!$H$2:$I$25,2,0))</f>
        <v>0</v>
      </c>
      <c r="AQ68">
        <f>IF(Q68="",0,VLOOKUP(Q68,'Dados de consulta'!$H$2:$I$25,2,0))</f>
        <v>0</v>
      </c>
      <c r="AR68">
        <f>IF(R68="",0,VLOOKUP(R68,'Dados de consulta'!$H$2:$I$25,2,0))</f>
        <v>0</v>
      </c>
      <c r="AS68">
        <f>IF(S68="",0,VLOOKUP(S68,'Dados de consulta'!$H$2:$I$25,2,0))</f>
        <v>0</v>
      </c>
      <c r="AT68">
        <f>IF(T68="",0,VLOOKUP(T68,'Dados de consulta'!$H$2:$I$25,2,0))</f>
        <v>0</v>
      </c>
      <c r="AU68">
        <f>IF(U68="",0,VLOOKUP(U68,'Dados de consulta'!$H$2:$I$25,2,0))</f>
        <v>0</v>
      </c>
      <c r="AV68">
        <f>IF(V68="",0,VLOOKUP(V68,'Dados de consulta'!$H$2:$I$25,2,0))</f>
        <v>0</v>
      </c>
      <c r="AW68">
        <f t="shared" si="10"/>
        <v>0</v>
      </c>
      <c r="AX68">
        <f t="shared" si="11"/>
        <v>0</v>
      </c>
      <c r="AY68">
        <f t="shared" si="12"/>
        <v>0</v>
      </c>
      <c r="BA68" s="27">
        <v>44256</v>
      </c>
      <c r="BB68">
        <f t="shared" si="13"/>
        <v>0</v>
      </c>
    </row>
    <row r="69" spans="1:54" hidden="1" x14ac:dyDescent="0.2">
      <c r="A69" s="202">
        <v>42326</v>
      </c>
      <c r="B69" s="78" t="s">
        <v>285</v>
      </c>
      <c r="W69">
        <f t="shared" si="7"/>
        <v>0</v>
      </c>
      <c r="X69">
        <f t="shared" si="8"/>
        <v>0</v>
      </c>
      <c r="Y69">
        <f t="shared" si="9"/>
        <v>0</v>
      </c>
      <c r="AA69" s="202">
        <v>42326</v>
      </c>
      <c r="AB69" s="78" t="s">
        <v>285</v>
      </c>
      <c r="AC69">
        <f>IF(C69="",0,VLOOKUP(C69,'Dados de consulta'!$H$2:$I$25,2,0))</f>
        <v>0</v>
      </c>
      <c r="AD69">
        <f>IF(D69="",0,VLOOKUP(D69,'Dados de consulta'!$H$2:$I$25,2,0))</f>
        <v>0</v>
      </c>
      <c r="AE69">
        <f>IF(E69="",0,VLOOKUP(E69,'Dados de consulta'!$H$2:$I$25,2,0))</f>
        <v>0</v>
      </c>
      <c r="AF69">
        <f>IF(F69="",0,VLOOKUP(F69,'Dados de consulta'!$H$2:$I$25,2,0))</f>
        <v>0</v>
      </c>
      <c r="AG69">
        <f>IF(G69="",0,VLOOKUP(G69,'Dados de consulta'!$H$2:$I$25,2,0))</f>
        <v>0</v>
      </c>
      <c r="AH69">
        <f>IF(H69="",0,VLOOKUP(H69,'Dados de consulta'!$H$2:$I$25,2,0))</f>
        <v>0</v>
      </c>
      <c r="AI69">
        <f>IF(I69="",0,VLOOKUP(I69,'Dados de consulta'!$H$2:$I$25,2,0))</f>
        <v>0</v>
      </c>
      <c r="AJ69">
        <f>IF(J69="",0,VLOOKUP(J69,'Dados de consulta'!$H$2:$I$25,2,0))</f>
        <v>0</v>
      </c>
      <c r="AK69">
        <f>IF(K69="",0,VLOOKUP(K69,'Dados de consulta'!$H$2:$I$25,2,0))</f>
        <v>0</v>
      </c>
      <c r="AL69">
        <f>IF(L69="",0,VLOOKUP(L69,'Dados de consulta'!$H$2:$I$25,2,0))</f>
        <v>0</v>
      </c>
      <c r="AM69">
        <f>IF(M69="",0,VLOOKUP(M69,'Dados de consulta'!$H$2:$I$25,2,0))</f>
        <v>0</v>
      </c>
      <c r="AN69">
        <f>IF(N69="",0,VLOOKUP(N69,'Dados de consulta'!$H$2:$I$25,2,0))</f>
        <v>0</v>
      </c>
      <c r="AO69">
        <f>IF(O69="",0,VLOOKUP(O69,'Dados de consulta'!$H$2:$I$25,2,0))</f>
        <v>0</v>
      </c>
      <c r="AP69">
        <f>IF(P69="",0,VLOOKUP(P69,'Dados de consulta'!$H$2:$I$25,2,0))</f>
        <v>0</v>
      </c>
      <c r="AQ69">
        <f>IF(Q69="",0,VLOOKUP(Q69,'Dados de consulta'!$H$2:$I$25,2,0))</f>
        <v>0</v>
      </c>
      <c r="AR69">
        <f>IF(R69="",0,VLOOKUP(R69,'Dados de consulta'!$H$2:$I$25,2,0))</f>
        <v>0</v>
      </c>
      <c r="AS69">
        <f>IF(S69="",0,VLOOKUP(S69,'Dados de consulta'!$H$2:$I$25,2,0))</f>
        <v>0</v>
      </c>
      <c r="AT69">
        <f>IF(T69="",0,VLOOKUP(T69,'Dados de consulta'!$H$2:$I$25,2,0))</f>
        <v>0</v>
      </c>
      <c r="AU69">
        <f>IF(U69="",0,VLOOKUP(U69,'Dados de consulta'!$H$2:$I$25,2,0))</f>
        <v>0</v>
      </c>
      <c r="AV69">
        <f>IF(V69="",0,VLOOKUP(V69,'Dados de consulta'!$H$2:$I$25,2,0))</f>
        <v>0</v>
      </c>
      <c r="AW69">
        <f t="shared" si="10"/>
        <v>0</v>
      </c>
      <c r="AX69">
        <f t="shared" si="11"/>
        <v>0</v>
      </c>
      <c r="AY69">
        <f t="shared" si="12"/>
        <v>0</v>
      </c>
      <c r="BA69" s="27">
        <v>44287</v>
      </c>
      <c r="BB69">
        <f t="shared" si="13"/>
        <v>0</v>
      </c>
    </row>
    <row r="70" spans="1:54" hidden="1" x14ac:dyDescent="0.2">
      <c r="A70" s="202">
        <v>42327</v>
      </c>
      <c r="B70" s="78" t="s">
        <v>286</v>
      </c>
      <c r="W70">
        <f t="shared" si="7"/>
        <v>0</v>
      </c>
      <c r="X70">
        <f t="shared" si="8"/>
        <v>0</v>
      </c>
      <c r="Y70">
        <f t="shared" si="9"/>
        <v>0</v>
      </c>
      <c r="AA70" s="202">
        <v>42327</v>
      </c>
      <c r="AB70" s="78" t="s">
        <v>286</v>
      </c>
      <c r="AC70">
        <f>IF(C70="",0,VLOOKUP(C70,'Dados de consulta'!$H$2:$I$25,2,0))</f>
        <v>0</v>
      </c>
      <c r="AD70">
        <f>IF(D70="",0,VLOOKUP(D70,'Dados de consulta'!$H$2:$I$25,2,0))</f>
        <v>0</v>
      </c>
      <c r="AE70">
        <f>IF(E70="",0,VLOOKUP(E70,'Dados de consulta'!$H$2:$I$25,2,0))</f>
        <v>0</v>
      </c>
      <c r="AF70">
        <f>IF(F70="",0,VLOOKUP(F70,'Dados de consulta'!$H$2:$I$25,2,0))</f>
        <v>0</v>
      </c>
      <c r="AG70">
        <f>IF(G70="",0,VLOOKUP(G70,'Dados de consulta'!$H$2:$I$25,2,0))</f>
        <v>0</v>
      </c>
      <c r="AH70">
        <f>IF(H70="",0,VLOOKUP(H70,'Dados de consulta'!$H$2:$I$25,2,0))</f>
        <v>0</v>
      </c>
      <c r="AI70">
        <f>IF(I70="",0,VLOOKUP(I70,'Dados de consulta'!$H$2:$I$25,2,0))</f>
        <v>0</v>
      </c>
      <c r="AJ70">
        <f>IF(J70="",0,VLOOKUP(J70,'Dados de consulta'!$H$2:$I$25,2,0))</f>
        <v>0</v>
      </c>
      <c r="AK70">
        <f>IF(K70="",0,VLOOKUP(K70,'Dados de consulta'!$H$2:$I$25,2,0))</f>
        <v>0</v>
      </c>
      <c r="AL70">
        <f>IF(L70="",0,VLOOKUP(L70,'Dados de consulta'!$H$2:$I$25,2,0))</f>
        <v>0</v>
      </c>
      <c r="AM70">
        <f>IF(M70="",0,VLOOKUP(M70,'Dados de consulta'!$H$2:$I$25,2,0))</f>
        <v>0</v>
      </c>
      <c r="AN70">
        <f>IF(N70="",0,VLOOKUP(N70,'Dados de consulta'!$H$2:$I$25,2,0))</f>
        <v>0</v>
      </c>
      <c r="AO70">
        <f>IF(O70="",0,VLOOKUP(O70,'Dados de consulta'!$H$2:$I$25,2,0))</f>
        <v>0</v>
      </c>
      <c r="AP70">
        <f>IF(P70="",0,VLOOKUP(P70,'Dados de consulta'!$H$2:$I$25,2,0))</f>
        <v>0</v>
      </c>
      <c r="AQ70">
        <f>IF(Q70="",0,VLOOKUP(Q70,'Dados de consulta'!$H$2:$I$25,2,0))</f>
        <v>0</v>
      </c>
      <c r="AR70">
        <f>IF(R70="",0,VLOOKUP(R70,'Dados de consulta'!$H$2:$I$25,2,0))</f>
        <v>0</v>
      </c>
      <c r="AS70">
        <f>IF(S70="",0,VLOOKUP(S70,'Dados de consulta'!$H$2:$I$25,2,0))</f>
        <v>0</v>
      </c>
      <c r="AT70">
        <f>IF(T70="",0,VLOOKUP(T70,'Dados de consulta'!$H$2:$I$25,2,0))</f>
        <v>0</v>
      </c>
      <c r="AU70">
        <f>IF(U70="",0,VLOOKUP(U70,'Dados de consulta'!$H$2:$I$25,2,0))</f>
        <v>0</v>
      </c>
      <c r="AV70">
        <f>IF(V70="",0,VLOOKUP(V70,'Dados de consulta'!$H$2:$I$25,2,0))</f>
        <v>0</v>
      </c>
      <c r="AW70">
        <f t="shared" si="10"/>
        <v>0</v>
      </c>
      <c r="AX70">
        <f t="shared" si="11"/>
        <v>0</v>
      </c>
      <c r="AY70">
        <f t="shared" si="12"/>
        <v>0</v>
      </c>
      <c r="BA70" s="27">
        <v>44317</v>
      </c>
      <c r="BB70">
        <f t="shared" si="13"/>
        <v>0</v>
      </c>
    </row>
    <row r="71" spans="1:54" hidden="1" x14ac:dyDescent="0.2">
      <c r="A71" s="202">
        <v>42328</v>
      </c>
      <c r="B71" s="78" t="s">
        <v>287</v>
      </c>
      <c r="W71">
        <f t="shared" si="7"/>
        <v>0</v>
      </c>
      <c r="X71">
        <f t="shared" si="8"/>
        <v>0</v>
      </c>
      <c r="Y71">
        <f t="shared" si="9"/>
        <v>0</v>
      </c>
      <c r="AA71" s="202">
        <v>42328</v>
      </c>
      <c r="AB71" s="78" t="s">
        <v>287</v>
      </c>
      <c r="AC71">
        <f>IF(C71="",0,VLOOKUP(C71,'Dados de consulta'!$H$2:$I$25,2,0))</f>
        <v>0</v>
      </c>
      <c r="AD71">
        <f>IF(D71="",0,VLOOKUP(D71,'Dados de consulta'!$H$2:$I$25,2,0))</f>
        <v>0</v>
      </c>
      <c r="AE71">
        <f>IF(E71="",0,VLOOKUP(E71,'Dados de consulta'!$H$2:$I$25,2,0))</f>
        <v>0</v>
      </c>
      <c r="AF71">
        <f>IF(F71="",0,VLOOKUP(F71,'Dados de consulta'!$H$2:$I$25,2,0))</f>
        <v>0</v>
      </c>
      <c r="AG71">
        <f>IF(G71="",0,VLOOKUP(G71,'Dados de consulta'!$H$2:$I$25,2,0))</f>
        <v>0</v>
      </c>
      <c r="AH71">
        <f>IF(H71="",0,VLOOKUP(H71,'Dados de consulta'!$H$2:$I$25,2,0))</f>
        <v>0</v>
      </c>
      <c r="AI71">
        <f>IF(I71="",0,VLOOKUP(I71,'Dados de consulta'!$H$2:$I$25,2,0))</f>
        <v>0</v>
      </c>
      <c r="AJ71">
        <f>IF(J71="",0,VLOOKUP(J71,'Dados de consulta'!$H$2:$I$25,2,0))</f>
        <v>0</v>
      </c>
      <c r="AK71">
        <f>IF(K71="",0,VLOOKUP(K71,'Dados de consulta'!$H$2:$I$25,2,0))</f>
        <v>0</v>
      </c>
      <c r="AL71">
        <f>IF(L71="",0,VLOOKUP(L71,'Dados de consulta'!$H$2:$I$25,2,0))</f>
        <v>0</v>
      </c>
      <c r="AM71">
        <f>IF(M71="",0,VLOOKUP(M71,'Dados de consulta'!$H$2:$I$25,2,0))</f>
        <v>0</v>
      </c>
      <c r="AN71">
        <f>IF(N71="",0,VLOOKUP(N71,'Dados de consulta'!$H$2:$I$25,2,0))</f>
        <v>0</v>
      </c>
      <c r="AO71">
        <f>IF(O71="",0,VLOOKUP(O71,'Dados de consulta'!$H$2:$I$25,2,0))</f>
        <v>0</v>
      </c>
      <c r="AP71">
        <f>IF(P71="",0,VLOOKUP(P71,'Dados de consulta'!$H$2:$I$25,2,0))</f>
        <v>0</v>
      </c>
      <c r="AQ71">
        <f>IF(Q71="",0,VLOOKUP(Q71,'Dados de consulta'!$H$2:$I$25,2,0))</f>
        <v>0</v>
      </c>
      <c r="AR71">
        <f>IF(R71="",0,VLOOKUP(R71,'Dados de consulta'!$H$2:$I$25,2,0))</f>
        <v>0</v>
      </c>
      <c r="AS71">
        <f>IF(S71="",0,VLOOKUP(S71,'Dados de consulta'!$H$2:$I$25,2,0))</f>
        <v>0</v>
      </c>
      <c r="AT71">
        <f>IF(T71="",0,VLOOKUP(T71,'Dados de consulta'!$H$2:$I$25,2,0))</f>
        <v>0</v>
      </c>
      <c r="AU71">
        <f>IF(U71="",0,VLOOKUP(U71,'Dados de consulta'!$H$2:$I$25,2,0))</f>
        <v>0</v>
      </c>
      <c r="AV71">
        <f>IF(V71="",0,VLOOKUP(V71,'Dados de consulta'!$H$2:$I$25,2,0))</f>
        <v>0</v>
      </c>
      <c r="AW71">
        <f t="shared" si="10"/>
        <v>0</v>
      </c>
      <c r="AX71">
        <f t="shared" si="11"/>
        <v>0</v>
      </c>
      <c r="AY71">
        <f t="shared" si="12"/>
        <v>0</v>
      </c>
      <c r="BA71" s="27">
        <v>44348</v>
      </c>
      <c r="BB71">
        <f t="shared" si="13"/>
        <v>0</v>
      </c>
    </row>
    <row r="72" spans="1:54" hidden="1" x14ac:dyDescent="0.2">
      <c r="A72" s="202">
        <v>42329</v>
      </c>
      <c r="B72" s="78" t="s">
        <v>281</v>
      </c>
      <c r="C72" s="78" t="s">
        <v>219</v>
      </c>
      <c r="F72" s="78" t="s">
        <v>219</v>
      </c>
      <c r="I72" s="78" t="s">
        <v>219</v>
      </c>
      <c r="J72" s="78" t="s">
        <v>219</v>
      </c>
      <c r="L72" s="78" t="s">
        <v>219</v>
      </c>
      <c r="N72" s="78" t="s">
        <v>219</v>
      </c>
      <c r="P72" s="78" t="s">
        <v>219</v>
      </c>
      <c r="W72">
        <f t="shared" si="7"/>
        <v>42</v>
      </c>
      <c r="X72">
        <f t="shared" si="8"/>
        <v>0</v>
      </c>
      <c r="Y72">
        <f t="shared" si="9"/>
        <v>0</v>
      </c>
      <c r="AA72" s="202">
        <v>42329</v>
      </c>
      <c r="AB72" s="78" t="s">
        <v>281</v>
      </c>
      <c r="AC72">
        <f>IF(C72="",0,VLOOKUP(C72,'Dados de consulta'!$H$2:$I$25,2,0))</f>
        <v>6</v>
      </c>
      <c r="AD72">
        <f>IF(D72="",0,VLOOKUP(D72,'Dados de consulta'!$H$2:$I$25,2,0))</f>
        <v>0</v>
      </c>
      <c r="AE72">
        <f>IF(E72="",0,VLOOKUP(E72,'Dados de consulta'!$H$2:$I$25,2,0))</f>
        <v>0</v>
      </c>
      <c r="AF72">
        <f>IF(F72="",0,VLOOKUP(F72,'Dados de consulta'!$H$2:$I$25,2,0))</f>
        <v>6</v>
      </c>
      <c r="AG72">
        <f>IF(G72="",0,VLOOKUP(G72,'Dados de consulta'!$H$2:$I$25,2,0))</f>
        <v>0</v>
      </c>
      <c r="AH72">
        <f>IF(H72="",0,VLOOKUP(H72,'Dados de consulta'!$H$2:$I$25,2,0))</f>
        <v>0</v>
      </c>
      <c r="AI72">
        <f>IF(I72="",0,VLOOKUP(I72,'Dados de consulta'!$H$2:$I$25,2,0))</f>
        <v>6</v>
      </c>
      <c r="AJ72">
        <f>IF(J72="",0,VLOOKUP(J72,'Dados de consulta'!$H$2:$I$25,2,0))</f>
        <v>6</v>
      </c>
      <c r="AK72">
        <f>IF(K72="",0,VLOOKUP(K72,'Dados de consulta'!$H$2:$I$25,2,0))</f>
        <v>0</v>
      </c>
      <c r="AL72">
        <f>IF(L72="",0,VLOOKUP(L72,'Dados de consulta'!$H$2:$I$25,2,0))</f>
        <v>6</v>
      </c>
      <c r="AM72">
        <f>IF(M72="",0,VLOOKUP(M72,'Dados de consulta'!$H$2:$I$25,2,0))</f>
        <v>0</v>
      </c>
      <c r="AN72">
        <f>IF(N72="",0,VLOOKUP(N72,'Dados de consulta'!$H$2:$I$25,2,0))</f>
        <v>6</v>
      </c>
      <c r="AO72">
        <f>IF(O72="",0,VLOOKUP(O72,'Dados de consulta'!$H$2:$I$25,2,0))</f>
        <v>0</v>
      </c>
      <c r="AP72">
        <f>IF(P72="",0,VLOOKUP(P72,'Dados de consulta'!$H$2:$I$25,2,0))</f>
        <v>6</v>
      </c>
      <c r="AQ72">
        <f>IF(Q72="",0,VLOOKUP(Q72,'Dados de consulta'!$H$2:$I$25,2,0))</f>
        <v>0</v>
      </c>
      <c r="AR72">
        <f>IF(R72="",0,VLOOKUP(R72,'Dados de consulta'!$H$2:$I$25,2,0))</f>
        <v>0</v>
      </c>
      <c r="AS72">
        <f>IF(S72="",0,VLOOKUP(S72,'Dados de consulta'!$H$2:$I$25,2,0))</f>
        <v>0</v>
      </c>
      <c r="AT72">
        <f>IF(T72="",0,VLOOKUP(T72,'Dados de consulta'!$H$2:$I$25,2,0))</f>
        <v>0</v>
      </c>
      <c r="AU72">
        <f>IF(U72="",0,VLOOKUP(U72,'Dados de consulta'!$H$2:$I$25,2,0))</f>
        <v>0</v>
      </c>
      <c r="AV72">
        <f>IF(V72="",0,VLOOKUP(V72,'Dados de consulta'!$H$2:$I$25,2,0))</f>
        <v>0</v>
      </c>
      <c r="AW72">
        <f t="shared" si="10"/>
        <v>42</v>
      </c>
      <c r="AX72">
        <f t="shared" si="11"/>
        <v>0</v>
      </c>
      <c r="AY72">
        <f t="shared" si="12"/>
        <v>0</v>
      </c>
      <c r="BA72" s="27">
        <v>44378</v>
      </c>
      <c r="BB72">
        <f t="shared" si="13"/>
        <v>0</v>
      </c>
    </row>
    <row r="73" spans="1:54" hidden="1" x14ac:dyDescent="0.2">
      <c r="A73" s="202">
        <v>42330</v>
      </c>
      <c r="B73" s="78" t="s">
        <v>282</v>
      </c>
      <c r="W73">
        <f t="shared" si="7"/>
        <v>0</v>
      </c>
      <c r="X73">
        <f t="shared" si="8"/>
        <v>0</v>
      </c>
      <c r="Y73">
        <f t="shared" si="9"/>
        <v>0</v>
      </c>
      <c r="AA73" s="202">
        <v>42330</v>
      </c>
      <c r="AB73" s="78" t="s">
        <v>282</v>
      </c>
      <c r="AC73">
        <f>IF(C73="",0,VLOOKUP(C73,'Dados de consulta'!$H$2:$I$25,2,0))</f>
        <v>0</v>
      </c>
      <c r="AD73">
        <f>IF(D73="",0,VLOOKUP(D73,'Dados de consulta'!$H$2:$I$25,2,0))</f>
        <v>0</v>
      </c>
      <c r="AE73">
        <f>IF(E73="",0,VLOOKUP(E73,'Dados de consulta'!$H$2:$I$25,2,0))</f>
        <v>0</v>
      </c>
      <c r="AF73">
        <f>IF(F73="",0,VLOOKUP(F73,'Dados de consulta'!$H$2:$I$25,2,0))</f>
        <v>0</v>
      </c>
      <c r="AG73">
        <f>IF(G73="",0,VLOOKUP(G73,'Dados de consulta'!$H$2:$I$25,2,0))</f>
        <v>0</v>
      </c>
      <c r="AH73">
        <f>IF(H73="",0,VLOOKUP(H73,'Dados de consulta'!$H$2:$I$25,2,0))</f>
        <v>0</v>
      </c>
      <c r="AI73">
        <f>IF(I73="",0,VLOOKUP(I73,'Dados de consulta'!$H$2:$I$25,2,0))</f>
        <v>0</v>
      </c>
      <c r="AJ73">
        <f>IF(J73="",0,VLOOKUP(J73,'Dados de consulta'!$H$2:$I$25,2,0))</f>
        <v>0</v>
      </c>
      <c r="AK73">
        <f>IF(K73="",0,VLOOKUP(K73,'Dados de consulta'!$H$2:$I$25,2,0))</f>
        <v>0</v>
      </c>
      <c r="AL73">
        <f>IF(L73="",0,VLOOKUP(L73,'Dados de consulta'!$H$2:$I$25,2,0))</f>
        <v>0</v>
      </c>
      <c r="AM73">
        <f>IF(M73="",0,VLOOKUP(M73,'Dados de consulta'!$H$2:$I$25,2,0))</f>
        <v>0</v>
      </c>
      <c r="AN73">
        <f>IF(N73="",0,VLOOKUP(N73,'Dados de consulta'!$H$2:$I$25,2,0))</f>
        <v>0</v>
      </c>
      <c r="AO73">
        <f>IF(O73="",0,VLOOKUP(O73,'Dados de consulta'!$H$2:$I$25,2,0))</f>
        <v>0</v>
      </c>
      <c r="AP73">
        <f>IF(P73="",0,VLOOKUP(P73,'Dados de consulta'!$H$2:$I$25,2,0))</f>
        <v>0</v>
      </c>
      <c r="AQ73">
        <f>IF(Q73="",0,VLOOKUP(Q73,'Dados de consulta'!$H$2:$I$25,2,0))</f>
        <v>0</v>
      </c>
      <c r="AR73">
        <f>IF(R73="",0,VLOOKUP(R73,'Dados de consulta'!$H$2:$I$25,2,0))</f>
        <v>0</v>
      </c>
      <c r="AS73">
        <f>IF(S73="",0,VLOOKUP(S73,'Dados de consulta'!$H$2:$I$25,2,0))</f>
        <v>0</v>
      </c>
      <c r="AT73">
        <f>IF(T73="",0,VLOOKUP(T73,'Dados de consulta'!$H$2:$I$25,2,0))</f>
        <v>0</v>
      </c>
      <c r="AU73">
        <f>IF(U73="",0,VLOOKUP(U73,'Dados de consulta'!$H$2:$I$25,2,0))</f>
        <v>0</v>
      </c>
      <c r="AV73">
        <f>IF(V73="",0,VLOOKUP(V73,'Dados de consulta'!$H$2:$I$25,2,0))</f>
        <v>0</v>
      </c>
      <c r="AW73">
        <f t="shared" si="10"/>
        <v>0</v>
      </c>
      <c r="AX73">
        <f t="shared" si="11"/>
        <v>0</v>
      </c>
      <c r="AY73">
        <f t="shared" si="12"/>
        <v>0</v>
      </c>
      <c r="BA73" s="27">
        <v>44409</v>
      </c>
      <c r="BB73">
        <f t="shared" si="13"/>
        <v>0</v>
      </c>
    </row>
    <row r="74" spans="1:54" hidden="1" x14ac:dyDescent="0.2">
      <c r="A74" s="202">
        <v>42331</v>
      </c>
      <c r="B74" s="78" t="s">
        <v>283</v>
      </c>
      <c r="W74">
        <f t="shared" si="7"/>
        <v>0</v>
      </c>
      <c r="X74">
        <f t="shared" si="8"/>
        <v>0</v>
      </c>
      <c r="Y74">
        <f t="shared" si="9"/>
        <v>0</v>
      </c>
      <c r="AA74" s="202">
        <v>42331</v>
      </c>
      <c r="AB74" s="78" t="s">
        <v>283</v>
      </c>
      <c r="AC74">
        <f>IF(C74="",0,VLOOKUP(C74,'Dados de consulta'!$H$2:$I$25,2,0))</f>
        <v>0</v>
      </c>
      <c r="AD74">
        <f>IF(D74="",0,VLOOKUP(D74,'Dados de consulta'!$H$2:$I$25,2,0))</f>
        <v>0</v>
      </c>
      <c r="AE74">
        <f>IF(E74="",0,VLOOKUP(E74,'Dados de consulta'!$H$2:$I$25,2,0))</f>
        <v>0</v>
      </c>
      <c r="AF74">
        <f>IF(F74="",0,VLOOKUP(F74,'Dados de consulta'!$H$2:$I$25,2,0))</f>
        <v>0</v>
      </c>
      <c r="AG74">
        <f>IF(G74="",0,VLOOKUP(G74,'Dados de consulta'!$H$2:$I$25,2,0))</f>
        <v>0</v>
      </c>
      <c r="AH74">
        <f>IF(H74="",0,VLOOKUP(H74,'Dados de consulta'!$H$2:$I$25,2,0))</f>
        <v>0</v>
      </c>
      <c r="AI74">
        <f>IF(I74="",0,VLOOKUP(I74,'Dados de consulta'!$H$2:$I$25,2,0))</f>
        <v>0</v>
      </c>
      <c r="AJ74">
        <f>IF(J74="",0,VLOOKUP(J74,'Dados de consulta'!$H$2:$I$25,2,0))</f>
        <v>0</v>
      </c>
      <c r="AK74">
        <f>IF(K74="",0,VLOOKUP(K74,'Dados de consulta'!$H$2:$I$25,2,0))</f>
        <v>0</v>
      </c>
      <c r="AL74">
        <f>IF(L74="",0,VLOOKUP(L74,'Dados de consulta'!$H$2:$I$25,2,0))</f>
        <v>0</v>
      </c>
      <c r="AM74">
        <f>IF(M74="",0,VLOOKUP(M74,'Dados de consulta'!$H$2:$I$25,2,0))</f>
        <v>0</v>
      </c>
      <c r="AN74">
        <f>IF(N74="",0,VLOOKUP(N74,'Dados de consulta'!$H$2:$I$25,2,0))</f>
        <v>0</v>
      </c>
      <c r="AO74">
        <f>IF(O74="",0,VLOOKUP(O74,'Dados de consulta'!$H$2:$I$25,2,0))</f>
        <v>0</v>
      </c>
      <c r="AP74">
        <f>IF(P74="",0,VLOOKUP(P74,'Dados de consulta'!$H$2:$I$25,2,0))</f>
        <v>0</v>
      </c>
      <c r="AQ74">
        <f>IF(Q74="",0,VLOOKUP(Q74,'Dados de consulta'!$H$2:$I$25,2,0))</f>
        <v>0</v>
      </c>
      <c r="AR74">
        <f>IF(R74="",0,VLOOKUP(R74,'Dados de consulta'!$H$2:$I$25,2,0))</f>
        <v>0</v>
      </c>
      <c r="AS74">
        <f>IF(S74="",0,VLOOKUP(S74,'Dados de consulta'!$H$2:$I$25,2,0))</f>
        <v>0</v>
      </c>
      <c r="AT74">
        <f>IF(T74="",0,VLOOKUP(T74,'Dados de consulta'!$H$2:$I$25,2,0))</f>
        <v>0</v>
      </c>
      <c r="AU74">
        <f>IF(U74="",0,VLOOKUP(U74,'Dados de consulta'!$H$2:$I$25,2,0))</f>
        <v>0</v>
      </c>
      <c r="AV74">
        <f>IF(V74="",0,VLOOKUP(V74,'Dados de consulta'!$H$2:$I$25,2,0))</f>
        <v>0</v>
      </c>
      <c r="AW74">
        <f t="shared" si="10"/>
        <v>0</v>
      </c>
      <c r="AX74">
        <f t="shared" si="11"/>
        <v>0</v>
      </c>
      <c r="AY74">
        <f t="shared" si="12"/>
        <v>0</v>
      </c>
      <c r="BA74" s="27">
        <v>44440</v>
      </c>
      <c r="BB74">
        <f t="shared" si="13"/>
        <v>0</v>
      </c>
    </row>
    <row r="75" spans="1:54" hidden="1" x14ac:dyDescent="0.2">
      <c r="A75" s="202">
        <v>42332</v>
      </c>
      <c r="B75" s="78" t="s">
        <v>284</v>
      </c>
      <c r="W75">
        <f t="shared" si="7"/>
        <v>0</v>
      </c>
      <c r="X75">
        <f t="shared" si="8"/>
        <v>0</v>
      </c>
      <c r="Y75">
        <f t="shared" si="9"/>
        <v>0</v>
      </c>
      <c r="AA75" s="202">
        <v>42332</v>
      </c>
      <c r="AB75" s="78" t="s">
        <v>284</v>
      </c>
      <c r="AC75">
        <f>IF(C75="",0,VLOOKUP(C75,'Dados de consulta'!$H$2:$I$25,2,0))</f>
        <v>0</v>
      </c>
      <c r="AD75">
        <f>IF(D75="",0,VLOOKUP(D75,'Dados de consulta'!$H$2:$I$25,2,0))</f>
        <v>0</v>
      </c>
      <c r="AE75">
        <f>IF(E75="",0,VLOOKUP(E75,'Dados de consulta'!$H$2:$I$25,2,0))</f>
        <v>0</v>
      </c>
      <c r="AF75">
        <f>IF(F75="",0,VLOOKUP(F75,'Dados de consulta'!$H$2:$I$25,2,0))</f>
        <v>0</v>
      </c>
      <c r="AG75">
        <f>IF(G75="",0,VLOOKUP(G75,'Dados de consulta'!$H$2:$I$25,2,0))</f>
        <v>0</v>
      </c>
      <c r="AH75">
        <f>IF(H75="",0,VLOOKUP(H75,'Dados de consulta'!$H$2:$I$25,2,0))</f>
        <v>0</v>
      </c>
      <c r="AI75">
        <f>IF(I75="",0,VLOOKUP(I75,'Dados de consulta'!$H$2:$I$25,2,0))</f>
        <v>0</v>
      </c>
      <c r="AJ75">
        <f>IF(J75="",0,VLOOKUP(J75,'Dados de consulta'!$H$2:$I$25,2,0))</f>
        <v>0</v>
      </c>
      <c r="AK75">
        <f>IF(K75="",0,VLOOKUP(K75,'Dados de consulta'!$H$2:$I$25,2,0))</f>
        <v>0</v>
      </c>
      <c r="AL75">
        <f>IF(L75="",0,VLOOKUP(L75,'Dados de consulta'!$H$2:$I$25,2,0))</f>
        <v>0</v>
      </c>
      <c r="AM75">
        <f>IF(M75="",0,VLOOKUP(M75,'Dados de consulta'!$H$2:$I$25,2,0))</f>
        <v>0</v>
      </c>
      <c r="AN75">
        <f>IF(N75="",0,VLOOKUP(N75,'Dados de consulta'!$H$2:$I$25,2,0))</f>
        <v>0</v>
      </c>
      <c r="AO75">
        <f>IF(O75="",0,VLOOKUP(O75,'Dados de consulta'!$H$2:$I$25,2,0))</f>
        <v>0</v>
      </c>
      <c r="AP75">
        <f>IF(P75="",0,VLOOKUP(P75,'Dados de consulta'!$H$2:$I$25,2,0))</f>
        <v>0</v>
      </c>
      <c r="AQ75">
        <f>IF(Q75="",0,VLOOKUP(Q75,'Dados de consulta'!$H$2:$I$25,2,0))</f>
        <v>0</v>
      </c>
      <c r="AR75">
        <f>IF(R75="",0,VLOOKUP(R75,'Dados de consulta'!$H$2:$I$25,2,0))</f>
        <v>0</v>
      </c>
      <c r="AS75">
        <f>IF(S75="",0,VLOOKUP(S75,'Dados de consulta'!$H$2:$I$25,2,0))</f>
        <v>0</v>
      </c>
      <c r="AT75">
        <f>IF(T75="",0,VLOOKUP(T75,'Dados de consulta'!$H$2:$I$25,2,0))</f>
        <v>0</v>
      </c>
      <c r="AU75">
        <f>IF(U75="",0,VLOOKUP(U75,'Dados de consulta'!$H$2:$I$25,2,0))</f>
        <v>0</v>
      </c>
      <c r="AV75">
        <f>IF(V75="",0,VLOOKUP(V75,'Dados de consulta'!$H$2:$I$25,2,0))</f>
        <v>0</v>
      </c>
      <c r="AW75">
        <f t="shared" si="10"/>
        <v>0</v>
      </c>
      <c r="AX75">
        <f t="shared" si="11"/>
        <v>0</v>
      </c>
      <c r="AY75">
        <f t="shared" si="12"/>
        <v>0</v>
      </c>
      <c r="BA75" s="27">
        <v>44470</v>
      </c>
      <c r="BB75">
        <f t="shared" si="13"/>
        <v>0</v>
      </c>
    </row>
    <row r="76" spans="1:54" hidden="1" x14ac:dyDescent="0.2">
      <c r="A76" s="202">
        <v>42333</v>
      </c>
      <c r="B76" s="78" t="s">
        <v>285</v>
      </c>
      <c r="W76">
        <f t="shared" si="7"/>
        <v>0</v>
      </c>
      <c r="X76">
        <f t="shared" si="8"/>
        <v>0</v>
      </c>
      <c r="Y76">
        <f t="shared" si="9"/>
        <v>0</v>
      </c>
      <c r="AA76" s="202">
        <v>42333</v>
      </c>
      <c r="AB76" s="78" t="s">
        <v>285</v>
      </c>
      <c r="AC76">
        <f>IF(C76="",0,VLOOKUP(C76,'Dados de consulta'!$H$2:$I$25,2,0))</f>
        <v>0</v>
      </c>
      <c r="AD76">
        <f>IF(D76="",0,VLOOKUP(D76,'Dados de consulta'!$H$2:$I$25,2,0))</f>
        <v>0</v>
      </c>
      <c r="AE76">
        <f>IF(E76="",0,VLOOKUP(E76,'Dados de consulta'!$H$2:$I$25,2,0))</f>
        <v>0</v>
      </c>
      <c r="AF76">
        <f>IF(F76="",0,VLOOKUP(F76,'Dados de consulta'!$H$2:$I$25,2,0))</f>
        <v>0</v>
      </c>
      <c r="AG76">
        <f>IF(G76="",0,VLOOKUP(G76,'Dados de consulta'!$H$2:$I$25,2,0))</f>
        <v>0</v>
      </c>
      <c r="AH76">
        <f>IF(H76="",0,VLOOKUP(H76,'Dados de consulta'!$H$2:$I$25,2,0))</f>
        <v>0</v>
      </c>
      <c r="AI76">
        <f>IF(I76="",0,VLOOKUP(I76,'Dados de consulta'!$H$2:$I$25,2,0))</f>
        <v>0</v>
      </c>
      <c r="AJ76">
        <f>IF(J76="",0,VLOOKUP(J76,'Dados de consulta'!$H$2:$I$25,2,0))</f>
        <v>0</v>
      </c>
      <c r="AK76">
        <f>IF(K76="",0,VLOOKUP(K76,'Dados de consulta'!$H$2:$I$25,2,0))</f>
        <v>0</v>
      </c>
      <c r="AL76">
        <f>IF(L76="",0,VLOOKUP(L76,'Dados de consulta'!$H$2:$I$25,2,0))</f>
        <v>0</v>
      </c>
      <c r="AM76">
        <f>IF(M76="",0,VLOOKUP(M76,'Dados de consulta'!$H$2:$I$25,2,0))</f>
        <v>0</v>
      </c>
      <c r="AN76">
        <f>IF(N76="",0,VLOOKUP(N76,'Dados de consulta'!$H$2:$I$25,2,0))</f>
        <v>0</v>
      </c>
      <c r="AO76">
        <f>IF(O76="",0,VLOOKUP(O76,'Dados de consulta'!$H$2:$I$25,2,0))</f>
        <v>0</v>
      </c>
      <c r="AP76">
        <f>IF(P76="",0,VLOOKUP(P76,'Dados de consulta'!$H$2:$I$25,2,0))</f>
        <v>0</v>
      </c>
      <c r="AQ76">
        <f>IF(Q76="",0,VLOOKUP(Q76,'Dados de consulta'!$H$2:$I$25,2,0))</f>
        <v>0</v>
      </c>
      <c r="AR76">
        <f>IF(R76="",0,VLOOKUP(R76,'Dados de consulta'!$H$2:$I$25,2,0))</f>
        <v>0</v>
      </c>
      <c r="AS76">
        <f>IF(S76="",0,VLOOKUP(S76,'Dados de consulta'!$H$2:$I$25,2,0))</f>
        <v>0</v>
      </c>
      <c r="AT76">
        <f>IF(T76="",0,VLOOKUP(T76,'Dados de consulta'!$H$2:$I$25,2,0))</f>
        <v>0</v>
      </c>
      <c r="AU76">
        <f>IF(U76="",0,VLOOKUP(U76,'Dados de consulta'!$H$2:$I$25,2,0))</f>
        <v>0</v>
      </c>
      <c r="AV76">
        <f>IF(V76="",0,VLOOKUP(V76,'Dados de consulta'!$H$2:$I$25,2,0))</f>
        <v>0</v>
      </c>
      <c r="AW76">
        <f t="shared" si="10"/>
        <v>0</v>
      </c>
      <c r="AX76">
        <f t="shared" si="11"/>
        <v>0</v>
      </c>
      <c r="AY76">
        <f t="shared" si="12"/>
        <v>0</v>
      </c>
      <c r="BA76" s="27">
        <v>44501</v>
      </c>
      <c r="BB76">
        <f t="shared" si="13"/>
        <v>0</v>
      </c>
    </row>
    <row r="77" spans="1:54" hidden="1" x14ac:dyDescent="0.2">
      <c r="A77" s="202">
        <v>42334</v>
      </c>
      <c r="B77" s="78" t="s">
        <v>286</v>
      </c>
      <c r="W77">
        <f t="shared" si="7"/>
        <v>0</v>
      </c>
      <c r="X77">
        <f t="shared" si="8"/>
        <v>0</v>
      </c>
      <c r="Y77">
        <f t="shared" si="9"/>
        <v>0</v>
      </c>
      <c r="AA77" s="202">
        <v>42334</v>
      </c>
      <c r="AB77" s="78" t="s">
        <v>286</v>
      </c>
      <c r="AC77">
        <f>IF(C77="",0,VLOOKUP(C77,'Dados de consulta'!$H$2:$I$25,2,0))</f>
        <v>0</v>
      </c>
      <c r="AD77">
        <f>IF(D77="",0,VLOOKUP(D77,'Dados de consulta'!$H$2:$I$25,2,0))</f>
        <v>0</v>
      </c>
      <c r="AE77">
        <f>IF(E77="",0,VLOOKUP(E77,'Dados de consulta'!$H$2:$I$25,2,0))</f>
        <v>0</v>
      </c>
      <c r="AF77">
        <f>IF(F77="",0,VLOOKUP(F77,'Dados de consulta'!$H$2:$I$25,2,0))</f>
        <v>0</v>
      </c>
      <c r="AG77">
        <f>IF(G77="",0,VLOOKUP(G77,'Dados de consulta'!$H$2:$I$25,2,0))</f>
        <v>0</v>
      </c>
      <c r="AH77">
        <f>IF(H77="",0,VLOOKUP(H77,'Dados de consulta'!$H$2:$I$25,2,0))</f>
        <v>0</v>
      </c>
      <c r="AI77">
        <f>IF(I77="",0,VLOOKUP(I77,'Dados de consulta'!$H$2:$I$25,2,0))</f>
        <v>0</v>
      </c>
      <c r="AJ77">
        <f>IF(J77="",0,VLOOKUP(J77,'Dados de consulta'!$H$2:$I$25,2,0))</f>
        <v>0</v>
      </c>
      <c r="AK77">
        <f>IF(K77="",0,VLOOKUP(K77,'Dados de consulta'!$H$2:$I$25,2,0))</f>
        <v>0</v>
      </c>
      <c r="AL77">
        <f>IF(L77="",0,VLOOKUP(L77,'Dados de consulta'!$H$2:$I$25,2,0))</f>
        <v>0</v>
      </c>
      <c r="AM77">
        <f>IF(M77="",0,VLOOKUP(M77,'Dados de consulta'!$H$2:$I$25,2,0))</f>
        <v>0</v>
      </c>
      <c r="AN77">
        <f>IF(N77="",0,VLOOKUP(N77,'Dados de consulta'!$H$2:$I$25,2,0))</f>
        <v>0</v>
      </c>
      <c r="AO77">
        <f>IF(O77="",0,VLOOKUP(O77,'Dados de consulta'!$H$2:$I$25,2,0))</f>
        <v>0</v>
      </c>
      <c r="AP77">
        <f>IF(P77="",0,VLOOKUP(P77,'Dados de consulta'!$H$2:$I$25,2,0))</f>
        <v>0</v>
      </c>
      <c r="AQ77">
        <f>IF(Q77="",0,VLOOKUP(Q77,'Dados de consulta'!$H$2:$I$25,2,0))</f>
        <v>0</v>
      </c>
      <c r="AR77">
        <f>IF(R77="",0,VLOOKUP(R77,'Dados de consulta'!$H$2:$I$25,2,0))</f>
        <v>0</v>
      </c>
      <c r="AS77">
        <f>IF(S77="",0,VLOOKUP(S77,'Dados de consulta'!$H$2:$I$25,2,0))</f>
        <v>0</v>
      </c>
      <c r="AT77">
        <f>IF(T77="",0,VLOOKUP(T77,'Dados de consulta'!$H$2:$I$25,2,0))</f>
        <v>0</v>
      </c>
      <c r="AU77">
        <f>IF(U77="",0,VLOOKUP(U77,'Dados de consulta'!$H$2:$I$25,2,0))</f>
        <v>0</v>
      </c>
      <c r="AV77">
        <f>IF(V77="",0,VLOOKUP(V77,'Dados de consulta'!$H$2:$I$25,2,0))</f>
        <v>0</v>
      </c>
      <c r="AW77">
        <f t="shared" si="10"/>
        <v>0</v>
      </c>
      <c r="AX77">
        <f t="shared" si="11"/>
        <v>0</v>
      </c>
      <c r="AY77">
        <f t="shared" si="12"/>
        <v>0</v>
      </c>
      <c r="BA77" s="27">
        <v>44531</v>
      </c>
      <c r="BB77">
        <f t="shared" si="13"/>
        <v>0</v>
      </c>
    </row>
    <row r="78" spans="1:54" hidden="1" x14ac:dyDescent="0.2">
      <c r="A78" s="202">
        <v>42335</v>
      </c>
      <c r="B78" s="78" t="s">
        <v>287</v>
      </c>
      <c r="W78">
        <f t="shared" si="7"/>
        <v>0</v>
      </c>
      <c r="X78">
        <f t="shared" si="8"/>
        <v>0</v>
      </c>
      <c r="Y78">
        <f t="shared" si="9"/>
        <v>0</v>
      </c>
      <c r="AA78" s="202">
        <v>42335</v>
      </c>
      <c r="AB78" s="78" t="s">
        <v>287</v>
      </c>
      <c r="AC78">
        <f>IF(C78="",0,VLOOKUP(C78,'Dados de consulta'!$H$2:$I$25,2,0))</f>
        <v>0</v>
      </c>
      <c r="AD78">
        <f>IF(D78="",0,VLOOKUP(D78,'Dados de consulta'!$H$2:$I$25,2,0))</f>
        <v>0</v>
      </c>
      <c r="AE78">
        <f>IF(E78="",0,VLOOKUP(E78,'Dados de consulta'!$H$2:$I$25,2,0))</f>
        <v>0</v>
      </c>
      <c r="AF78">
        <f>IF(F78="",0,VLOOKUP(F78,'Dados de consulta'!$H$2:$I$25,2,0))</f>
        <v>0</v>
      </c>
      <c r="AG78">
        <f>IF(G78="",0,VLOOKUP(G78,'Dados de consulta'!$H$2:$I$25,2,0))</f>
        <v>0</v>
      </c>
      <c r="AH78">
        <f>IF(H78="",0,VLOOKUP(H78,'Dados de consulta'!$H$2:$I$25,2,0))</f>
        <v>0</v>
      </c>
      <c r="AI78">
        <f>IF(I78="",0,VLOOKUP(I78,'Dados de consulta'!$H$2:$I$25,2,0))</f>
        <v>0</v>
      </c>
      <c r="AJ78">
        <f>IF(J78="",0,VLOOKUP(J78,'Dados de consulta'!$H$2:$I$25,2,0))</f>
        <v>0</v>
      </c>
      <c r="AK78">
        <f>IF(K78="",0,VLOOKUP(K78,'Dados de consulta'!$H$2:$I$25,2,0))</f>
        <v>0</v>
      </c>
      <c r="AL78">
        <f>IF(L78="",0,VLOOKUP(L78,'Dados de consulta'!$H$2:$I$25,2,0))</f>
        <v>0</v>
      </c>
      <c r="AM78">
        <f>IF(M78="",0,VLOOKUP(M78,'Dados de consulta'!$H$2:$I$25,2,0))</f>
        <v>0</v>
      </c>
      <c r="AN78">
        <f>IF(N78="",0,VLOOKUP(N78,'Dados de consulta'!$H$2:$I$25,2,0))</f>
        <v>0</v>
      </c>
      <c r="AO78">
        <f>IF(O78="",0,VLOOKUP(O78,'Dados de consulta'!$H$2:$I$25,2,0))</f>
        <v>0</v>
      </c>
      <c r="AP78">
        <f>IF(P78="",0,VLOOKUP(P78,'Dados de consulta'!$H$2:$I$25,2,0))</f>
        <v>0</v>
      </c>
      <c r="AQ78">
        <f>IF(Q78="",0,VLOOKUP(Q78,'Dados de consulta'!$H$2:$I$25,2,0))</f>
        <v>0</v>
      </c>
      <c r="AR78">
        <f>IF(R78="",0,VLOOKUP(R78,'Dados de consulta'!$H$2:$I$25,2,0))</f>
        <v>0</v>
      </c>
      <c r="AS78">
        <f>IF(S78="",0,VLOOKUP(S78,'Dados de consulta'!$H$2:$I$25,2,0))</f>
        <v>0</v>
      </c>
      <c r="AT78">
        <f>IF(T78="",0,VLOOKUP(T78,'Dados de consulta'!$H$2:$I$25,2,0))</f>
        <v>0</v>
      </c>
      <c r="AU78">
        <f>IF(U78="",0,VLOOKUP(U78,'Dados de consulta'!$H$2:$I$25,2,0))</f>
        <v>0</v>
      </c>
      <c r="AV78">
        <f>IF(V78="",0,VLOOKUP(V78,'Dados de consulta'!$H$2:$I$25,2,0))</f>
        <v>0</v>
      </c>
      <c r="AW78">
        <f t="shared" si="10"/>
        <v>0</v>
      </c>
      <c r="AX78">
        <f t="shared" si="11"/>
        <v>0</v>
      </c>
      <c r="AY78">
        <f t="shared" si="12"/>
        <v>0</v>
      </c>
      <c r="BA78" s="27">
        <v>44562</v>
      </c>
      <c r="BB78">
        <f t="shared" si="13"/>
        <v>0</v>
      </c>
    </row>
    <row r="79" spans="1:54" hidden="1" x14ac:dyDescent="0.2">
      <c r="A79" s="202">
        <v>42336</v>
      </c>
      <c r="B79" s="78" t="s">
        <v>281</v>
      </c>
      <c r="C79" s="78" t="s">
        <v>219</v>
      </c>
      <c r="F79" s="78" t="s">
        <v>219</v>
      </c>
      <c r="I79" s="78" t="s">
        <v>219</v>
      </c>
      <c r="J79" s="78" t="s">
        <v>219</v>
      </c>
      <c r="L79" s="78" t="s">
        <v>219</v>
      </c>
      <c r="N79" s="78" t="s">
        <v>219</v>
      </c>
      <c r="P79" s="78" t="s">
        <v>219</v>
      </c>
      <c r="W79">
        <f t="shared" si="7"/>
        <v>42</v>
      </c>
      <c r="X79">
        <f t="shared" si="8"/>
        <v>0</v>
      </c>
      <c r="Y79">
        <f t="shared" si="9"/>
        <v>0</v>
      </c>
      <c r="AA79" s="202">
        <v>42336</v>
      </c>
      <c r="AB79" s="78" t="s">
        <v>281</v>
      </c>
      <c r="AC79">
        <f>IF(C79="",0,VLOOKUP(C79,'Dados de consulta'!$H$2:$I$25,2,0))</f>
        <v>6</v>
      </c>
      <c r="AD79">
        <f>IF(D79="",0,VLOOKUP(D79,'Dados de consulta'!$H$2:$I$25,2,0))</f>
        <v>0</v>
      </c>
      <c r="AE79">
        <f>IF(E79="",0,VLOOKUP(E79,'Dados de consulta'!$H$2:$I$25,2,0))</f>
        <v>0</v>
      </c>
      <c r="AF79">
        <f>IF(F79="",0,VLOOKUP(F79,'Dados de consulta'!$H$2:$I$25,2,0))</f>
        <v>6</v>
      </c>
      <c r="AG79">
        <f>IF(G79="",0,VLOOKUP(G79,'Dados de consulta'!$H$2:$I$25,2,0))</f>
        <v>0</v>
      </c>
      <c r="AH79">
        <f>IF(H79="",0,VLOOKUP(H79,'Dados de consulta'!$H$2:$I$25,2,0))</f>
        <v>0</v>
      </c>
      <c r="AI79">
        <f>IF(I79="",0,VLOOKUP(I79,'Dados de consulta'!$H$2:$I$25,2,0))</f>
        <v>6</v>
      </c>
      <c r="AJ79">
        <f>IF(J79="",0,VLOOKUP(J79,'Dados de consulta'!$H$2:$I$25,2,0))</f>
        <v>6</v>
      </c>
      <c r="AK79">
        <f>IF(K79="",0,VLOOKUP(K79,'Dados de consulta'!$H$2:$I$25,2,0))</f>
        <v>0</v>
      </c>
      <c r="AL79">
        <f>IF(L79="",0,VLOOKUP(L79,'Dados de consulta'!$H$2:$I$25,2,0))</f>
        <v>6</v>
      </c>
      <c r="AM79">
        <f>IF(M79="",0,VLOOKUP(M79,'Dados de consulta'!$H$2:$I$25,2,0))</f>
        <v>0</v>
      </c>
      <c r="AN79">
        <f>IF(N79="",0,VLOOKUP(N79,'Dados de consulta'!$H$2:$I$25,2,0))</f>
        <v>6</v>
      </c>
      <c r="AO79">
        <f>IF(O79="",0,VLOOKUP(O79,'Dados de consulta'!$H$2:$I$25,2,0))</f>
        <v>0</v>
      </c>
      <c r="AP79">
        <f>IF(P79="",0,VLOOKUP(P79,'Dados de consulta'!$H$2:$I$25,2,0))</f>
        <v>6</v>
      </c>
      <c r="AQ79">
        <f>IF(Q79="",0,VLOOKUP(Q79,'Dados de consulta'!$H$2:$I$25,2,0))</f>
        <v>0</v>
      </c>
      <c r="AR79">
        <f>IF(R79="",0,VLOOKUP(R79,'Dados de consulta'!$H$2:$I$25,2,0))</f>
        <v>0</v>
      </c>
      <c r="AS79">
        <f>IF(S79="",0,VLOOKUP(S79,'Dados de consulta'!$H$2:$I$25,2,0))</f>
        <v>0</v>
      </c>
      <c r="AT79">
        <f>IF(T79="",0,VLOOKUP(T79,'Dados de consulta'!$H$2:$I$25,2,0))</f>
        <v>0</v>
      </c>
      <c r="AU79">
        <f>IF(U79="",0,VLOOKUP(U79,'Dados de consulta'!$H$2:$I$25,2,0))</f>
        <v>0</v>
      </c>
      <c r="AV79">
        <f>IF(V79="",0,VLOOKUP(V79,'Dados de consulta'!$H$2:$I$25,2,0))</f>
        <v>0</v>
      </c>
      <c r="AW79">
        <f t="shared" si="10"/>
        <v>42</v>
      </c>
      <c r="AX79">
        <f t="shared" si="11"/>
        <v>0</v>
      </c>
      <c r="AY79">
        <f t="shared" si="12"/>
        <v>0</v>
      </c>
      <c r="BA79" s="27">
        <v>44593</v>
      </c>
      <c r="BB79">
        <f t="shared" si="13"/>
        <v>0</v>
      </c>
    </row>
    <row r="80" spans="1:54" hidden="1" x14ac:dyDescent="0.2">
      <c r="A80" s="202">
        <v>42337</v>
      </c>
      <c r="B80" s="78" t="s">
        <v>282</v>
      </c>
      <c r="W80">
        <f t="shared" si="7"/>
        <v>0</v>
      </c>
      <c r="X80">
        <f t="shared" si="8"/>
        <v>0</v>
      </c>
      <c r="Y80">
        <f t="shared" si="9"/>
        <v>0</v>
      </c>
      <c r="AA80" s="202">
        <v>42337</v>
      </c>
      <c r="AB80" s="78" t="s">
        <v>282</v>
      </c>
      <c r="AC80">
        <f>IF(C80="",0,VLOOKUP(C80,'Dados de consulta'!$H$2:$I$25,2,0))</f>
        <v>0</v>
      </c>
      <c r="AD80">
        <f>IF(D80="",0,VLOOKUP(D80,'Dados de consulta'!$H$2:$I$25,2,0))</f>
        <v>0</v>
      </c>
      <c r="AE80">
        <f>IF(E80="",0,VLOOKUP(E80,'Dados de consulta'!$H$2:$I$25,2,0))</f>
        <v>0</v>
      </c>
      <c r="AF80">
        <f>IF(F80="",0,VLOOKUP(F80,'Dados de consulta'!$H$2:$I$25,2,0))</f>
        <v>0</v>
      </c>
      <c r="AG80">
        <f>IF(G80="",0,VLOOKUP(G80,'Dados de consulta'!$H$2:$I$25,2,0))</f>
        <v>0</v>
      </c>
      <c r="AH80">
        <f>IF(H80="",0,VLOOKUP(H80,'Dados de consulta'!$H$2:$I$25,2,0))</f>
        <v>0</v>
      </c>
      <c r="AI80">
        <f>IF(I80="",0,VLOOKUP(I80,'Dados de consulta'!$H$2:$I$25,2,0))</f>
        <v>0</v>
      </c>
      <c r="AJ80">
        <f>IF(J80="",0,VLOOKUP(J80,'Dados de consulta'!$H$2:$I$25,2,0))</f>
        <v>0</v>
      </c>
      <c r="AK80">
        <f>IF(K80="",0,VLOOKUP(K80,'Dados de consulta'!$H$2:$I$25,2,0))</f>
        <v>0</v>
      </c>
      <c r="AL80">
        <f>IF(L80="",0,VLOOKUP(L80,'Dados de consulta'!$H$2:$I$25,2,0))</f>
        <v>0</v>
      </c>
      <c r="AM80">
        <f>IF(M80="",0,VLOOKUP(M80,'Dados de consulta'!$H$2:$I$25,2,0))</f>
        <v>0</v>
      </c>
      <c r="AN80">
        <f>IF(N80="",0,VLOOKUP(N80,'Dados de consulta'!$H$2:$I$25,2,0))</f>
        <v>0</v>
      </c>
      <c r="AO80">
        <f>IF(O80="",0,VLOOKUP(O80,'Dados de consulta'!$H$2:$I$25,2,0))</f>
        <v>0</v>
      </c>
      <c r="AP80">
        <f>IF(P80="",0,VLOOKUP(P80,'Dados de consulta'!$H$2:$I$25,2,0))</f>
        <v>0</v>
      </c>
      <c r="AQ80">
        <f>IF(Q80="",0,VLOOKUP(Q80,'Dados de consulta'!$H$2:$I$25,2,0))</f>
        <v>0</v>
      </c>
      <c r="AR80">
        <f>IF(R80="",0,VLOOKUP(R80,'Dados de consulta'!$H$2:$I$25,2,0))</f>
        <v>0</v>
      </c>
      <c r="AS80">
        <f>IF(S80="",0,VLOOKUP(S80,'Dados de consulta'!$H$2:$I$25,2,0))</f>
        <v>0</v>
      </c>
      <c r="AT80">
        <f>IF(T80="",0,VLOOKUP(T80,'Dados de consulta'!$H$2:$I$25,2,0))</f>
        <v>0</v>
      </c>
      <c r="AU80">
        <f>IF(U80="",0,VLOOKUP(U80,'Dados de consulta'!$H$2:$I$25,2,0))</f>
        <v>0</v>
      </c>
      <c r="AV80">
        <f>IF(V80="",0,VLOOKUP(V80,'Dados de consulta'!$H$2:$I$25,2,0))</f>
        <v>0</v>
      </c>
      <c r="AW80">
        <f t="shared" si="10"/>
        <v>0</v>
      </c>
      <c r="AX80">
        <f t="shared" si="11"/>
        <v>0</v>
      </c>
      <c r="AY80">
        <f t="shared" si="12"/>
        <v>0</v>
      </c>
      <c r="BA80" s="27">
        <v>44621</v>
      </c>
      <c r="BB80">
        <f t="shared" si="13"/>
        <v>0</v>
      </c>
    </row>
    <row r="81" spans="1:54" hidden="1" x14ac:dyDescent="0.2">
      <c r="A81" s="202">
        <v>42338</v>
      </c>
      <c r="B81" s="78" t="s">
        <v>283</v>
      </c>
      <c r="W81">
        <f t="shared" si="7"/>
        <v>0</v>
      </c>
      <c r="X81">
        <f t="shared" si="8"/>
        <v>0</v>
      </c>
      <c r="Y81">
        <f t="shared" si="9"/>
        <v>0</v>
      </c>
      <c r="AA81" s="202">
        <v>42338</v>
      </c>
      <c r="AB81" s="78" t="s">
        <v>283</v>
      </c>
      <c r="AC81">
        <f>IF(C81="",0,VLOOKUP(C81,'Dados de consulta'!$H$2:$I$25,2,0))</f>
        <v>0</v>
      </c>
      <c r="AD81">
        <f>IF(D81="",0,VLOOKUP(D81,'Dados de consulta'!$H$2:$I$25,2,0))</f>
        <v>0</v>
      </c>
      <c r="AE81">
        <f>IF(E81="",0,VLOOKUP(E81,'Dados de consulta'!$H$2:$I$25,2,0))</f>
        <v>0</v>
      </c>
      <c r="AF81">
        <f>IF(F81="",0,VLOOKUP(F81,'Dados de consulta'!$H$2:$I$25,2,0))</f>
        <v>0</v>
      </c>
      <c r="AG81">
        <f>IF(G81="",0,VLOOKUP(G81,'Dados de consulta'!$H$2:$I$25,2,0))</f>
        <v>0</v>
      </c>
      <c r="AH81">
        <f>IF(H81="",0,VLOOKUP(H81,'Dados de consulta'!$H$2:$I$25,2,0))</f>
        <v>0</v>
      </c>
      <c r="AI81">
        <f>IF(I81="",0,VLOOKUP(I81,'Dados de consulta'!$H$2:$I$25,2,0))</f>
        <v>0</v>
      </c>
      <c r="AJ81">
        <f>IF(J81="",0,VLOOKUP(J81,'Dados de consulta'!$H$2:$I$25,2,0))</f>
        <v>0</v>
      </c>
      <c r="AK81">
        <f>IF(K81="",0,VLOOKUP(K81,'Dados de consulta'!$H$2:$I$25,2,0))</f>
        <v>0</v>
      </c>
      <c r="AL81">
        <f>IF(L81="",0,VLOOKUP(L81,'Dados de consulta'!$H$2:$I$25,2,0))</f>
        <v>0</v>
      </c>
      <c r="AM81">
        <f>IF(M81="",0,VLOOKUP(M81,'Dados de consulta'!$H$2:$I$25,2,0))</f>
        <v>0</v>
      </c>
      <c r="AN81">
        <f>IF(N81="",0,VLOOKUP(N81,'Dados de consulta'!$H$2:$I$25,2,0))</f>
        <v>0</v>
      </c>
      <c r="AO81">
        <f>IF(O81="",0,VLOOKUP(O81,'Dados de consulta'!$H$2:$I$25,2,0))</f>
        <v>0</v>
      </c>
      <c r="AP81">
        <f>IF(P81="",0,VLOOKUP(P81,'Dados de consulta'!$H$2:$I$25,2,0))</f>
        <v>0</v>
      </c>
      <c r="AQ81">
        <f>IF(Q81="",0,VLOOKUP(Q81,'Dados de consulta'!$H$2:$I$25,2,0))</f>
        <v>0</v>
      </c>
      <c r="AR81">
        <f>IF(R81="",0,VLOOKUP(R81,'Dados de consulta'!$H$2:$I$25,2,0))</f>
        <v>0</v>
      </c>
      <c r="AS81">
        <f>IF(S81="",0,VLOOKUP(S81,'Dados de consulta'!$H$2:$I$25,2,0))</f>
        <v>0</v>
      </c>
      <c r="AT81">
        <f>IF(T81="",0,VLOOKUP(T81,'Dados de consulta'!$H$2:$I$25,2,0))</f>
        <v>0</v>
      </c>
      <c r="AU81">
        <f>IF(U81="",0,VLOOKUP(U81,'Dados de consulta'!$H$2:$I$25,2,0))</f>
        <v>0</v>
      </c>
      <c r="AV81">
        <f>IF(V81="",0,VLOOKUP(V81,'Dados de consulta'!$H$2:$I$25,2,0))</f>
        <v>0</v>
      </c>
      <c r="AW81">
        <f t="shared" si="10"/>
        <v>0</v>
      </c>
      <c r="AX81">
        <f t="shared" si="11"/>
        <v>0</v>
      </c>
      <c r="AY81">
        <f t="shared" si="12"/>
        <v>0</v>
      </c>
      <c r="BA81" s="27">
        <v>44652</v>
      </c>
      <c r="BB81">
        <f t="shared" si="13"/>
        <v>0</v>
      </c>
    </row>
    <row r="82" spans="1:54" hidden="1" x14ac:dyDescent="0.2">
      <c r="A82" s="202">
        <v>42339</v>
      </c>
      <c r="B82" s="78" t="s">
        <v>284</v>
      </c>
      <c r="W82">
        <f t="shared" si="7"/>
        <v>0</v>
      </c>
      <c r="X82">
        <f t="shared" si="8"/>
        <v>0</v>
      </c>
      <c r="Y82">
        <f t="shared" si="9"/>
        <v>0</v>
      </c>
      <c r="AA82" s="202">
        <v>42339</v>
      </c>
      <c r="AB82" s="78" t="s">
        <v>284</v>
      </c>
      <c r="AC82">
        <f>IF(C82="",0,VLOOKUP(C82,'Dados de consulta'!$H$2:$I$25,2,0))</f>
        <v>0</v>
      </c>
      <c r="AD82">
        <f>IF(D82="",0,VLOOKUP(D82,'Dados de consulta'!$H$2:$I$25,2,0))</f>
        <v>0</v>
      </c>
      <c r="AE82">
        <f>IF(E82="",0,VLOOKUP(E82,'Dados de consulta'!$H$2:$I$25,2,0))</f>
        <v>0</v>
      </c>
      <c r="AF82">
        <f>IF(F82="",0,VLOOKUP(F82,'Dados de consulta'!$H$2:$I$25,2,0))</f>
        <v>0</v>
      </c>
      <c r="AG82">
        <f>IF(G82="",0,VLOOKUP(G82,'Dados de consulta'!$H$2:$I$25,2,0))</f>
        <v>0</v>
      </c>
      <c r="AH82">
        <f>IF(H82="",0,VLOOKUP(H82,'Dados de consulta'!$H$2:$I$25,2,0))</f>
        <v>0</v>
      </c>
      <c r="AI82">
        <f>IF(I82="",0,VLOOKUP(I82,'Dados de consulta'!$H$2:$I$25,2,0))</f>
        <v>0</v>
      </c>
      <c r="AJ82">
        <f>IF(J82="",0,VLOOKUP(J82,'Dados de consulta'!$H$2:$I$25,2,0))</f>
        <v>0</v>
      </c>
      <c r="AK82">
        <f>IF(K82="",0,VLOOKUP(K82,'Dados de consulta'!$H$2:$I$25,2,0))</f>
        <v>0</v>
      </c>
      <c r="AL82">
        <f>IF(L82="",0,VLOOKUP(L82,'Dados de consulta'!$H$2:$I$25,2,0))</f>
        <v>0</v>
      </c>
      <c r="AM82">
        <f>IF(M82="",0,VLOOKUP(M82,'Dados de consulta'!$H$2:$I$25,2,0))</f>
        <v>0</v>
      </c>
      <c r="AN82">
        <f>IF(N82="",0,VLOOKUP(N82,'Dados de consulta'!$H$2:$I$25,2,0))</f>
        <v>0</v>
      </c>
      <c r="AO82">
        <f>IF(O82="",0,VLOOKUP(O82,'Dados de consulta'!$H$2:$I$25,2,0))</f>
        <v>0</v>
      </c>
      <c r="AP82">
        <f>IF(P82="",0,VLOOKUP(P82,'Dados de consulta'!$H$2:$I$25,2,0))</f>
        <v>0</v>
      </c>
      <c r="AQ82">
        <f>IF(Q82="",0,VLOOKUP(Q82,'Dados de consulta'!$H$2:$I$25,2,0))</f>
        <v>0</v>
      </c>
      <c r="AR82">
        <f>IF(R82="",0,VLOOKUP(R82,'Dados de consulta'!$H$2:$I$25,2,0))</f>
        <v>0</v>
      </c>
      <c r="AS82">
        <f>IF(S82="",0,VLOOKUP(S82,'Dados de consulta'!$H$2:$I$25,2,0))</f>
        <v>0</v>
      </c>
      <c r="AT82">
        <f>IF(T82="",0,VLOOKUP(T82,'Dados de consulta'!$H$2:$I$25,2,0))</f>
        <v>0</v>
      </c>
      <c r="AU82">
        <f>IF(U82="",0,VLOOKUP(U82,'Dados de consulta'!$H$2:$I$25,2,0))</f>
        <v>0</v>
      </c>
      <c r="AV82">
        <f>IF(V82="",0,VLOOKUP(V82,'Dados de consulta'!$H$2:$I$25,2,0))</f>
        <v>0</v>
      </c>
      <c r="AW82">
        <f t="shared" si="10"/>
        <v>0</v>
      </c>
      <c r="AX82">
        <f t="shared" si="11"/>
        <v>0</v>
      </c>
      <c r="AY82">
        <f t="shared" si="12"/>
        <v>0</v>
      </c>
      <c r="BA82" s="27">
        <v>44682</v>
      </c>
      <c r="BB82">
        <f t="shared" si="13"/>
        <v>0</v>
      </c>
    </row>
    <row r="83" spans="1:54" hidden="1" x14ac:dyDescent="0.2">
      <c r="A83" s="202">
        <v>42340</v>
      </c>
      <c r="B83" s="78" t="s">
        <v>285</v>
      </c>
      <c r="W83">
        <f t="shared" si="7"/>
        <v>0</v>
      </c>
      <c r="X83">
        <f t="shared" si="8"/>
        <v>0</v>
      </c>
      <c r="Y83">
        <f t="shared" si="9"/>
        <v>0</v>
      </c>
      <c r="AA83" s="202">
        <v>42340</v>
      </c>
      <c r="AB83" s="78" t="s">
        <v>285</v>
      </c>
      <c r="AC83">
        <f>IF(C83="",0,VLOOKUP(C83,'Dados de consulta'!$H$2:$I$25,2,0))</f>
        <v>0</v>
      </c>
      <c r="AD83">
        <f>IF(D83="",0,VLOOKUP(D83,'Dados de consulta'!$H$2:$I$25,2,0))</f>
        <v>0</v>
      </c>
      <c r="AE83">
        <f>IF(E83="",0,VLOOKUP(E83,'Dados de consulta'!$H$2:$I$25,2,0))</f>
        <v>0</v>
      </c>
      <c r="AF83">
        <f>IF(F83="",0,VLOOKUP(F83,'Dados de consulta'!$H$2:$I$25,2,0))</f>
        <v>0</v>
      </c>
      <c r="AG83">
        <f>IF(G83="",0,VLOOKUP(G83,'Dados de consulta'!$H$2:$I$25,2,0))</f>
        <v>0</v>
      </c>
      <c r="AH83">
        <f>IF(H83="",0,VLOOKUP(H83,'Dados de consulta'!$H$2:$I$25,2,0))</f>
        <v>0</v>
      </c>
      <c r="AI83">
        <f>IF(I83="",0,VLOOKUP(I83,'Dados de consulta'!$H$2:$I$25,2,0))</f>
        <v>0</v>
      </c>
      <c r="AJ83">
        <f>IF(J83="",0,VLOOKUP(J83,'Dados de consulta'!$H$2:$I$25,2,0))</f>
        <v>0</v>
      </c>
      <c r="AK83">
        <f>IF(K83="",0,VLOOKUP(K83,'Dados de consulta'!$H$2:$I$25,2,0))</f>
        <v>0</v>
      </c>
      <c r="AL83">
        <f>IF(L83="",0,VLOOKUP(L83,'Dados de consulta'!$H$2:$I$25,2,0))</f>
        <v>0</v>
      </c>
      <c r="AM83">
        <f>IF(M83="",0,VLOOKUP(M83,'Dados de consulta'!$H$2:$I$25,2,0))</f>
        <v>0</v>
      </c>
      <c r="AN83">
        <f>IF(N83="",0,VLOOKUP(N83,'Dados de consulta'!$H$2:$I$25,2,0))</f>
        <v>0</v>
      </c>
      <c r="AO83">
        <f>IF(O83="",0,VLOOKUP(O83,'Dados de consulta'!$H$2:$I$25,2,0))</f>
        <v>0</v>
      </c>
      <c r="AP83">
        <f>IF(P83="",0,VLOOKUP(P83,'Dados de consulta'!$H$2:$I$25,2,0))</f>
        <v>0</v>
      </c>
      <c r="AQ83">
        <f>IF(Q83="",0,VLOOKUP(Q83,'Dados de consulta'!$H$2:$I$25,2,0))</f>
        <v>0</v>
      </c>
      <c r="AR83">
        <f>IF(R83="",0,VLOOKUP(R83,'Dados de consulta'!$H$2:$I$25,2,0))</f>
        <v>0</v>
      </c>
      <c r="AS83">
        <f>IF(S83="",0,VLOOKUP(S83,'Dados de consulta'!$H$2:$I$25,2,0))</f>
        <v>0</v>
      </c>
      <c r="AT83">
        <f>IF(T83="",0,VLOOKUP(T83,'Dados de consulta'!$H$2:$I$25,2,0))</f>
        <v>0</v>
      </c>
      <c r="AU83">
        <f>IF(U83="",0,VLOOKUP(U83,'Dados de consulta'!$H$2:$I$25,2,0))</f>
        <v>0</v>
      </c>
      <c r="AV83">
        <f>IF(V83="",0,VLOOKUP(V83,'Dados de consulta'!$H$2:$I$25,2,0))</f>
        <v>0</v>
      </c>
      <c r="AW83">
        <f t="shared" si="10"/>
        <v>0</v>
      </c>
      <c r="AX83">
        <f t="shared" si="11"/>
        <v>0</v>
      </c>
      <c r="AY83">
        <f t="shared" si="12"/>
        <v>0</v>
      </c>
      <c r="BA83" s="27">
        <v>44713</v>
      </c>
      <c r="BB83">
        <f t="shared" si="13"/>
        <v>0</v>
      </c>
    </row>
    <row r="84" spans="1:54" hidden="1" x14ac:dyDescent="0.2">
      <c r="A84" s="202">
        <v>42341</v>
      </c>
      <c r="B84" s="78" t="s">
        <v>286</v>
      </c>
      <c r="W84">
        <f t="shared" si="7"/>
        <v>0</v>
      </c>
      <c r="X84">
        <f t="shared" si="8"/>
        <v>0</v>
      </c>
      <c r="Y84">
        <f t="shared" si="9"/>
        <v>0</v>
      </c>
      <c r="AA84" s="202">
        <v>42341</v>
      </c>
      <c r="AB84" s="78" t="s">
        <v>286</v>
      </c>
      <c r="AC84">
        <f>IF(C84="",0,VLOOKUP(C84,'Dados de consulta'!$H$2:$I$25,2,0))</f>
        <v>0</v>
      </c>
      <c r="AD84">
        <f>IF(D84="",0,VLOOKUP(D84,'Dados de consulta'!$H$2:$I$25,2,0))</f>
        <v>0</v>
      </c>
      <c r="AE84">
        <f>IF(E84="",0,VLOOKUP(E84,'Dados de consulta'!$H$2:$I$25,2,0))</f>
        <v>0</v>
      </c>
      <c r="AF84">
        <f>IF(F84="",0,VLOOKUP(F84,'Dados de consulta'!$H$2:$I$25,2,0))</f>
        <v>0</v>
      </c>
      <c r="AG84">
        <f>IF(G84="",0,VLOOKUP(G84,'Dados de consulta'!$H$2:$I$25,2,0))</f>
        <v>0</v>
      </c>
      <c r="AH84">
        <f>IF(H84="",0,VLOOKUP(H84,'Dados de consulta'!$H$2:$I$25,2,0))</f>
        <v>0</v>
      </c>
      <c r="AI84">
        <f>IF(I84="",0,VLOOKUP(I84,'Dados de consulta'!$H$2:$I$25,2,0))</f>
        <v>0</v>
      </c>
      <c r="AJ84">
        <f>IF(J84="",0,VLOOKUP(J84,'Dados de consulta'!$H$2:$I$25,2,0))</f>
        <v>0</v>
      </c>
      <c r="AK84">
        <f>IF(K84="",0,VLOOKUP(K84,'Dados de consulta'!$H$2:$I$25,2,0))</f>
        <v>0</v>
      </c>
      <c r="AL84">
        <f>IF(L84="",0,VLOOKUP(L84,'Dados de consulta'!$H$2:$I$25,2,0))</f>
        <v>0</v>
      </c>
      <c r="AM84">
        <f>IF(M84="",0,VLOOKUP(M84,'Dados de consulta'!$H$2:$I$25,2,0))</f>
        <v>0</v>
      </c>
      <c r="AN84">
        <f>IF(N84="",0,VLOOKUP(N84,'Dados de consulta'!$H$2:$I$25,2,0))</f>
        <v>0</v>
      </c>
      <c r="AO84">
        <f>IF(O84="",0,VLOOKUP(O84,'Dados de consulta'!$H$2:$I$25,2,0))</f>
        <v>0</v>
      </c>
      <c r="AP84">
        <f>IF(P84="",0,VLOOKUP(P84,'Dados de consulta'!$H$2:$I$25,2,0))</f>
        <v>0</v>
      </c>
      <c r="AQ84">
        <f>IF(Q84="",0,VLOOKUP(Q84,'Dados de consulta'!$H$2:$I$25,2,0))</f>
        <v>0</v>
      </c>
      <c r="AR84">
        <f>IF(R84="",0,VLOOKUP(R84,'Dados de consulta'!$H$2:$I$25,2,0))</f>
        <v>0</v>
      </c>
      <c r="AS84">
        <f>IF(S84="",0,VLOOKUP(S84,'Dados de consulta'!$H$2:$I$25,2,0))</f>
        <v>0</v>
      </c>
      <c r="AT84">
        <f>IF(T84="",0,VLOOKUP(T84,'Dados de consulta'!$H$2:$I$25,2,0))</f>
        <v>0</v>
      </c>
      <c r="AU84">
        <f>IF(U84="",0,VLOOKUP(U84,'Dados de consulta'!$H$2:$I$25,2,0))</f>
        <v>0</v>
      </c>
      <c r="AV84">
        <f>IF(V84="",0,VLOOKUP(V84,'Dados de consulta'!$H$2:$I$25,2,0))</f>
        <v>0</v>
      </c>
      <c r="AW84">
        <f t="shared" si="10"/>
        <v>0</v>
      </c>
      <c r="AX84">
        <f t="shared" si="11"/>
        <v>0</v>
      </c>
      <c r="AY84">
        <f t="shared" si="12"/>
        <v>0</v>
      </c>
      <c r="BA84" s="27">
        <v>44743</v>
      </c>
      <c r="BB84">
        <f t="shared" si="13"/>
        <v>0</v>
      </c>
    </row>
    <row r="85" spans="1:54" hidden="1" x14ac:dyDescent="0.2">
      <c r="A85" s="202">
        <v>42342</v>
      </c>
      <c r="B85" s="78" t="s">
        <v>287</v>
      </c>
      <c r="W85">
        <f t="shared" si="7"/>
        <v>0</v>
      </c>
      <c r="X85">
        <f t="shared" si="8"/>
        <v>0</v>
      </c>
      <c r="Y85">
        <f t="shared" si="9"/>
        <v>0</v>
      </c>
      <c r="AA85" s="202">
        <v>42342</v>
      </c>
      <c r="AB85" s="78" t="s">
        <v>287</v>
      </c>
      <c r="AC85">
        <f>IF(C85="",0,VLOOKUP(C85,'Dados de consulta'!$H$2:$I$25,2,0))</f>
        <v>0</v>
      </c>
      <c r="AD85">
        <f>IF(D85="",0,VLOOKUP(D85,'Dados de consulta'!$H$2:$I$25,2,0))</f>
        <v>0</v>
      </c>
      <c r="AE85">
        <f>IF(E85="",0,VLOOKUP(E85,'Dados de consulta'!$H$2:$I$25,2,0))</f>
        <v>0</v>
      </c>
      <c r="AF85">
        <f>IF(F85="",0,VLOOKUP(F85,'Dados de consulta'!$H$2:$I$25,2,0))</f>
        <v>0</v>
      </c>
      <c r="AG85">
        <f>IF(G85="",0,VLOOKUP(G85,'Dados de consulta'!$H$2:$I$25,2,0))</f>
        <v>0</v>
      </c>
      <c r="AH85">
        <f>IF(H85="",0,VLOOKUP(H85,'Dados de consulta'!$H$2:$I$25,2,0))</f>
        <v>0</v>
      </c>
      <c r="AI85">
        <f>IF(I85="",0,VLOOKUP(I85,'Dados de consulta'!$H$2:$I$25,2,0))</f>
        <v>0</v>
      </c>
      <c r="AJ85">
        <f>IF(J85="",0,VLOOKUP(J85,'Dados de consulta'!$H$2:$I$25,2,0))</f>
        <v>0</v>
      </c>
      <c r="AK85">
        <f>IF(K85="",0,VLOOKUP(K85,'Dados de consulta'!$H$2:$I$25,2,0))</f>
        <v>0</v>
      </c>
      <c r="AL85">
        <f>IF(L85="",0,VLOOKUP(L85,'Dados de consulta'!$H$2:$I$25,2,0))</f>
        <v>0</v>
      </c>
      <c r="AM85">
        <f>IF(M85="",0,VLOOKUP(M85,'Dados de consulta'!$H$2:$I$25,2,0))</f>
        <v>0</v>
      </c>
      <c r="AN85">
        <f>IF(N85="",0,VLOOKUP(N85,'Dados de consulta'!$H$2:$I$25,2,0))</f>
        <v>0</v>
      </c>
      <c r="AO85">
        <f>IF(O85="",0,VLOOKUP(O85,'Dados de consulta'!$H$2:$I$25,2,0))</f>
        <v>0</v>
      </c>
      <c r="AP85">
        <f>IF(P85="",0,VLOOKUP(P85,'Dados de consulta'!$H$2:$I$25,2,0))</f>
        <v>0</v>
      </c>
      <c r="AQ85">
        <f>IF(Q85="",0,VLOOKUP(Q85,'Dados de consulta'!$H$2:$I$25,2,0))</f>
        <v>0</v>
      </c>
      <c r="AR85">
        <f>IF(R85="",0,VLOOKUP(R85,'Dados de consulta'!$H$2:$I$25,2,0))</f>
        <v>0</v>
      </c>
      <c r="AS85">
        <f>IF(S85="",0,VLOOKUP(S85,'Dados de consulta'!$H$2:$I$25,2,0))</f>
        <v>0</v>
      </c>
      <c r="AT85">
        <f>IF(T85="",0,VLOOKUP(T85,'Dados de consulta'!$H$2:$I$25,2,0))</f>
        <v>0</v>
      </c>
      <c r="AU85">
        <f>IF(U85="",0,VLOOKUP(U85,'Dados de consulta'!$H$2:$I$25,2,0))</f>
        <v>0</v>
      </c>
      <c r="AV85">
        <f>IF(V85="",0,VLOOKUP(V85,'Dados de consulta'!$H$2:$I$25,2,0))</f>
        <v>0</v>
      </c>
      <c r="AW85">
        <f t="shared" si="10"/>
        <v>0</v>
      </c>
      <c r="AX85">
        <f t="shared" si="11"/>
        <v>0</v>
      </c>
      <c r="AY85">
        <f t="shared" si="12"/>
        <v>0</v>
      </c>
      <c r="BA85" s="27">
        <v>44774</v>
      </c>
      <c r="BB85">
        <f t="shared" si="13"/>
        <v>0</v>
      </c>
    </row>
    <row r="86" spans="1:54" hidden="1" x14ac:dyDescent="0.2">
      <c r="A86" s="202">
        <v>42343</v>
      </c>
      <c r="B86" s="78" t="s">
        <v>281</v>
      </c>
      <c r="N86" s="78" t="s">
        <v>219</v>
      </c>
      <c r="S86" s="78" t="s">
        <v>219</v>
      </c>
      <c r="W86">
        <f t="shared" si="7"/>
        <v>12</v>
      </c>
      <c r="X86">
        <f t="shared" si="8"/>
        <v>0</v>
      </c>
      <c r="Y86">
        <f t="shared" si="9"/>
        <v>0</v>
      </c>
      <c r="AA86" s="202">
        <v>42343</v>
      </c>
      <c r="AB86" s="78" t="s">
        <v>281</v>
      </c>
      <c r="AC86">
        <f>IF(C86="",0,VLOOKUP(C86,'Dados de consulta'!$H$2:$I$25,2,0))</f>
        <v>0</v>
      </c>
      <c r="AD86">
        <f>IF(D86="",0,VLOOKUP(D86,'Dados de consulta'!$H$2:$I$25,2,0))</f>
        <v>0</v>
      </c>
      <c r="AE86">
        <f>IF(E86="",0,VLOOKUP(E86,'Dados de consulta'!$H$2:$I$25,2,0))</f>
        <v>0</v>
      </c>
      <c r="AF86">
        <f>IF(F86="",0,VLOOKUP(F86,'Dados de consulta'!$H$2:$I$25,2,0))</f>
        <v>0</v>
      </c>
      <c r="AG86">
        <f>IF(G86="",0,VLOOKUP(G86,'Dados de consulta'!$H$2:$I$25,2,0))</f>
        <v>0</v>
      </c>
      <c r="AH86">
        <f>IF(H86="",0,VLOOKUP(H86,'Dados de consulta'!$H$2:$I$25,2,0))</f>
        <v>0</v>
      </c>
      <c r="AI86">
        <f>IF(I86="",0,VLOOKUP(I86,'Dados de consulta'!$H$2:$I$25,2,0))</f>
        <v>0</v>
      </c>
      <c r="AJ86">
        <f>IF(J86="",0,VLOOKUP(J86,'Dados de consulta'!$H$2:$I$25,2,0))</f>
        <v>0</v>
      </c>
      <c r="AK86">
        <f>IF(K86="",0,VLOOKUP(K86,'Dados de consulta'!$H$2:$I$25,2,0))</f>
        <v>0</v>
      </c>
      <c r="AL86">
        <f>IF(L86="",0,VLOOKUP(L86,'Dados de consulta'!$H$2:$I$25,2,0))</f>
        <v>0</v>
      </c>
      <c r="AM86">
        <f>IF(M86="",0,VLOOKUP(M86,'Dados de consulta'!$H$2:$I$25,2,0))</f>
        <v>0</v>
      </c>
      <c r="AN86">
        <f>IF(N86="",0,VLOOKUP(N86,'Dados de consulta'!$H$2:$I$25,2,0))</f>
        <v>6</v>
      </c>
      <c r="AO86">
        <f>IF(O86="",0,VLOOKUP(O86,'Dados de consulta'!$H$2:$I$25,2,0))</f>
        <v>0</v>
      </c>
      <c r="AP86">
        <f>IF(P86="",0,VLOOKUP(P86,'Dados de consulta'!$H$2:$I$25,2,0))</f>
        <v>0</v>
      </c>
      <c r="AQ86">
        <f>IF(Q86="",0,VLOOKUP(Q86,'Dados de consulta'!$H$2:$I$25,2,0))</f>
        <v>0</v>
      </c>
      <c r="AR86">
        <f>IF(R86="",0,VLOOKUP(R86,'Dados de consulta'!$H$2:$I$25,2,0))</f>
        <v>0</v>
      </c>
      <c r="AS86">
        <f>IF(S86="",0,VLOOKUP(S86,'Dados de consulta'!$H$2:$I$25,2,0))</f>
        <v>6</v>
      </c>
      <c r="AT86">
        <f>IF(T86="",0,VLOOKUP(T86,'Dados de consulta'!$H$2:$I$25,2,0))</f>
        <v>0</v>
      </c>
      <c r="AU86">
        <f>IF(U86="",0,VLOOKUP(U86,'Dados de consulta'!$H$2:$I$25,2,0))</f>
        <v>0</v>
      </c>
      <c r="AV86">
        <f>IF(V86="",0,VLOOKUP(V86,'Dados de consulta'!$H$2:$I$25,2,0))</f>
        <v>0</v>
      </c>
      <c r="AW86">
        <f t="shared" si="10"/>
        <v>12</v>
      </c>
      <c r="AX86">
        <f t="shared" si="11"/>
        <v>0</v>
      </c>
      <c r="AY86">
        <f t="shared" si="12"/>
        <v>0</v>
      </c>
      <c r="BA86" s="27">
        <v>44805</v>
      </c>
      <c r="BB86">
        <f t="shared" si="13"/>
        <v>0</v>
      </c>
    </row>
    <row r="87" spans="1:54" hidden="1" x14ac:dyDescent="0.2">
      <c r="A87" s="202">
        <v>42344</v>
      </c>
      <c r="B87" s="78" t="s">
        <v>282</v>
      </c>
      <c r="W87">
        <f t="shared" si="7"/>
        <v>0</v>
      </c>
      <c r="X87">
        <f t="shared" si="8"/>
        <v>0</v>
      </c>
      <c r="Y87">
        <f t="shared" si="9"/>
        <v>0</v>
      </c>
      <c r="AA87" s="202">
        <v>42344</v>
      </c>
      <c r="AB87" s="78" t="s">
        <v>282</v>
      </c>
      <c r="AC87">
        <f>IF(C87="",0,VLOOKUP(C87,'Dados de consulta'!$H$2:$I$25,2,0))</f>
        <v>0</v>
      </c>
      <c r="AD87">
        <f>IF(D87="",0,VLOOKUP(D87,'Dados de consulta'!$H$2:$I$25,2,0))</f>
        <v>0</v>
      </c>
      <c r="AE87">
        <f>IF(E87="",0,VLOOKUP(E87,'Dados de consulta'!$H$2:$I$25,2,0))</f>
        <v>0</v>
      </c>
      <c r="AF87">
        <f>IF(F87="",0,VLOOKUP(F87,'Dados de consulta'!$H$2:$I$25,2,0))</f>
        <v>0</v>
      </c>
      <c r="AG87">
        <f>IF(G87="",0,VLOOKUP(G87,'Dados de consulta'!$H$2:$I$25,2,0))</f>
        <v>0</v>
      </c>
      <c r="AH87">
        <f>IF(H87="",0,VLOOKUP(H87,'Dados de consulta'!$H$2:$I$25,2,0))</f>
        <v>0</v>
      </c>
      <c r="AI87">
        <f>IF(I87="",0,VLOOKUP(I87,'Dados de consulta'!$H$2:$I$25,2,0))</f>
        <v>0</v>
      </c>
      <c r="AJ87">
        <f>IF(J87="",0,VLOOKUP(J87,'Dados de consulta'!$H$2:$I$25,2,0))</f>
        <v>0</v>
      </c>
      <c r="AK87">
        <f>IF(K87="",0,VLOOKUP(K87,'Dados de consulta'!$H$2:$I$25,2,0))</f>
        <v>0</v>
      </c>
      <c r="AL87">
        <f>IF(L87="",0,VLOOKUP(L87,'Dados de consulta'!$H$2:$I$25,2,0))</f>
        <v>0</v>
      </c>
      <c r="AM87">
        <f>IF(M87="",0,VLOOKUP(M87,'Dados de consulta'!$H$2:$I$25,2,0))</f>
        <v>0</v>
      </c>
      <c r="AN87">
        <f>IF(N87="",0,VLOOKUP(N87,'Dados de consulta'!$H$2:$I$25,2,0))</f>
        <v>0</v>
      </c>
      <c r="AO87">
        <f>IF(O87="",0,VLOOKUP(O87,'Dados de consulta'!$H$2:$I$25,2,0))</f>
        <v>0</v>
      </c>
      <c r="AP87">
        <f>IF(P87="",0,VLOOKUP(P87,'Dados de consulta'!$H$2:$I$25,2,0))</f>
        <v>0</v>
      </c>
      <c r="AQ87">
        <f>IF(Q87="",0,VLOOKUP(Q87,'Dados de consulta'!$H$2:$I$25,2,0))</f>
        <v>0</v>
      </c>
      <c r="AR87">
        <f>IF(R87="",0,VLOOKUP(R87,'Dados de consulta'!$H$2:$I$25,2,0))</f>
        <v>0</v>
      </c>
      <c r="AS87">
        <f>IF(S87="",0,VLOOKUP(S87,'Dados de consulta'!$H$2:$I$25,2,0))</f>
        <v>0</v>
      </c>
      <c r="AT87">
        <f>IF(T87="",0,VLOOKUP(T87,'Dados de consulta'!$H$2:$I$25,2,0))</f>
        <v>0</v>
      </c>
      <c r="AU87">
        <f>IF(U87="",0,VLOOKUP(U87,'Dados de consulta'!$H$2:$I$25,2,0))</f>
        <v>0</v>
      </c>
      <c r="AV87">
        <f>IF(V87="",0,VLOOKUP(V87,'Dados de consulta'!$H$2:$I$25,2,0))</f>
        <v>0</v>
      </c>
      <c r="AW87">
        <f t="shared" si="10"/>
        <v>0</v>
      </c>
      <c r="AX87">
        <f t="shared" si="11"/>
        <v>0</v>
      </c>
      <c r="AY87">
        <f t="shared" si="12"/>
        <v>0</v>
      </c>
      <c r="BA87" s="27">
        <v>44835</v>
      </c>
      <c r="BB87">
        <f t="shared" si="13"/>
        <v>0</v>
      </c>
    </row>
    <row r="88" spans="1:54" hidden="1" x14ac:dyDescent="0.2">
      <c r="A88" s="202">
        <v>42345</v>
      </c>
      <c r="B88" s="78" t="s">
        <v>283</v>
      </c>
      <c r="W88">
        <f t="shared" si="7"/>
        <v>0</v>
      </c>
      <c r="X88">
        <f t="shared" si="8"/>
        <v>0</v>
      </c>
      <c r="Y88">
        <f t="shared" si="9"/>
        <v>0</v>
      </c>
      <c r="AA88" s="202">
        <v>42345</v>
      </c>
      <c r="AB88" s="78" t="s">
        <v>283</v>
      </c>
      <c r="AC88">
        <f>IF(C88="",0,VLOOKUP(C88,'Dados de consulta'!$H$2:$I$25,2,0))</f>
        <v>0</v>
      </c>
      <c r="AD88">
        <f>IF(D88="",0,VLOOKUP(D88,'Dados de consulta'!$H$2:$I$25,2,0))</f>
        <v>0</v>
      </c>
      <c r="AE88">
        <f>IF(E88="",0,VLOOKUP(E88,'Dados de consulta'!$H$2:$I$25,2,0))</f>
        <v>0</v>
      </c>
      <c r="AF88">
        <f>IF(F88="",0,VLOOKUP(F88,'Dados de consulta'!$H$2:$I$25,2,0))</f>
        <v>0</v>
      </c>
      <c r="AG88">
        <f>IF(G88="",0,VLOOKUP(G88,'Dados de consulta'!$H$2:$I$25,2,0))</f>
        <v>0</v>
      </c>
      <c r="AH88">
        <f>IF(H88="",0,VLOOKUP(H88,'Dados de consulta'!$H$2:$I$25,2,0))</f>
        <v>0</v>
      </c>
      <c r="AI88">
        <f>IF(I88="",0,VLOOKUP(I88,'Dados de consulta'!$H$2:$I$25,2,0))</f>
        <v>0</v>
      </c>
      <c r="AJ88">
        <f>IF(J88="",0,VLOOKUP(J88,'Dados de consulta'!$H$2:$I$25,2,0))</f>
        <v>0</v>
      </c>
      <c r="AK88">
        <f>IF(K88="",0,VLOOKUP(K88,'Dados de consulta'!$H$2:$I$25,2,0))</f>
        <v>0</v>
      </c>
      <c r="AL88">
        <f>IF(L88="",0,VLOOKUP(L88,'Dados de consulta'!$H$2:$I$25,2,0))</f>
        <v>0</v>
      </c>
      <c r="AM88">
        <f>IF(M88="",0,VLOOKUP(M88,'Dados de consulta'!$H$2:$I$25,2,0))</f>
        <v>0</v>
      </c>
      <c r="AN88">
        <f>IF(N88="",0,VLOOKUP(N88,'Dados de consulta'!$H$2:$I$25,2,0))</f>
        <v>0</v>
      </c>
      <c r="AO88">
        <f>IF(O88="",0,VLOOKUP(O88,'Dados de consulta'!$H$2:$I$25,2,0))</f>
        <v>0</v>
      </c>
      <c r="AP88">
        <f>IF(P88="",0,VLOOKUP(P88,'Dados de consulta'!$H$2:$I$25,2,0))</f>
        <v>0</v>
      </c>
      <c r="AQ88">
        <f>IF(Q88="",0,VLOOKUP(Q88,'Dados de consulta'!$H$2:$I$25,2,0))</f>
        <v>0</v>
      </c>
      <c r="AR88">
        <f>IF(R88="",0,VLOOKUP(R88,'Dados de consulta'!$H$2:$I$25,2,0))</f>
        <v>0</v>
      </c>
      <c r="AS88">
        <f>IF(S88="",0,VLOOKUP(S88,'Dados de consulta'!$H$2:$I$25,2,0))</f>
        <v>0</v>
      </c>
      <c r="AT88">
        <f>IF(T88="",0,VLOOKUP(T88,'Dados de consulta'!$H$2:$I$25,2,0))</f>
        <v>0</v>
      </c>
      <c r="AU88">
        <f>IF(U88="",0,VLOOKUP(U88,'Dados de consulta'!$H$2:$I$25,2,0))</f>
        <v>0</v>
      </c>
      <c r="AV88">
        <f>IF(V88="",0,VLOOKUP(V88,'Dados de consulta'!$H$2:$I$25,2,0))</f>
        <v>0</v>
      </c>
      <c r="AW88">
        <f t="shared" si="10"/>
        <v>0</v>
      </c>
      <c r="AX88">
        <f t="shared" si="11"/>
        <v>0</v>
      </c>
      <c r="AY88">
        <f t="shared" si="12"/>
        <v>0</v>
      </c>
      <c r="BA88" s="27">
        <v>44866</v>
      </c>
      <c r="BB88">
        <f t="shared" si="13"/>
        <v>0</v>
      </c>
    </row>
    <row r="89" spans="1:54" hidden="1" x14ac:dyDescent="0.2">
      <c r="A89" s="202">
        <v>42346</v>
      </c>
      <c r="B89" s="78" t="s">
        <v>284</v>
      </c>
      <c r="W89">
        <f t="shared" si="7"/>
        <v>0</v>
      </c>
      <c r="X89">
        <f t="shared" si="8"/>
        <v>0</v>
      </c>
      <c r="Y89">
        <f t="shared" si="9"/>
        <v>0</v>
      </c>
      <c r="AA89" s="202">
        <v>42346</v>
      </c>
      <c r="AB89" s="78" t="s">
        <v>284</v>
      </c>
      <c r="AC89">
        <f>IF(C89="",0,VLOOKUP(C89,'Dados de consulta'!$H$2:$I$25,2,0))</f>
        <v>0</v>
      </c>
      <c r="AD89">
        <f>IF(D89="",0,VLOOKUP(D89,'Dados de consulta'!$H$2:$I$25,2,0))</f>
        <v>0</v>
      </c>
      <c r="AE89">
        <f>IF(E89="",0,VLOOKUP(E89,'Dados de consulta'!$H$2:$I$25,2,0))</f>
        <v>0</v>
      </c>
      <c r="AF89">
        <f>IF(F89="",0,VLOOKUP(F89,'Dados de consulta'!$H$2:$I$25,2,0))</f>
        <v>0</v>
      </c>
      <c r="AG89">
        <f>IF(G89="",0,VLOOKUP(G89,'Dados de consulta'!$H$2:$I$25,2,0))</f>
        <v>0</v>
      </c>
      <c r="AH89">
        <f>IF(H89="",0,VLOOKUP(H89,'Dados de consulta'!$H$2:$I$25,2,0))</f>
        <v>0</v>
      </c>
      <c r="AI89">
        <f>IF(I89="",0,VLOOKUP(I89,'Dados de consulta'!$H$2:$I$25,2,0))</f>
        <v>0</v>
      </c>
      <c r="AJ89">
        <f>IF(J89="",0,VLOOKUP(J89,'Dados de consulta'!$H$2:$I$25,2,0))</f>
        <v>0</v>
      </c>
      <c r="AK89">
        <f>IF(K89="",0,VLOOKUP(K89,'Dados de consulta'!$H$2:$I$25,2,0))</f>
        <v>0</v>
      </c>
      <c r="AL89">
        <f>IF(L89="",0,VLOOKUP(L89,'Dados de consulta'!$H$2:$I$25,2,0))</f>
        <v>0</v>
      </c>
      <c r="AM89">
        <f>IF(M89="",0,VLOOKUP(M89,'Dados de consulta'!$H$2:$I$25,2,0))</f>
        <v>0</v>
      </c>
      <c r="AN89">
        <f>IF(N89="",0,VLOOKUP(N89,'Dados de consulta'!$H$2:$I$25,2,0))</f>
        <v>0</v>
      </c>
      <c r="AO89">
        <f>IF(O89="",0,VLOOKUP(O89,'Dados de consulta'!$H$2:$I$25,2,0))</f>
        <v>0</v>
      </c>
      <c r="AP89">
        <f>IF(P89="",0,VLOOKUP(P89,'Dados de consulta'!$H$2:$I$25,2,0))</f>
        <v>0</v>
      </c>
      <c r="AQ89">
        <f>IF(Q89="",0,VLOOKUP(Q89,'Dados de consulta'!$H$2:$I$25,2,0))</f>
        <v>0</v>
      </c>
      <c r="AR89">
        <f>IF(R89="",0,VLOOKUP(R89,'Dados de consulta'!$H$2:$I$25,2,0))</f>
        <v>0</v>
      </c>
      <c r="AS89">
        <f>IF(S89="",0,VLOOKUP(S89,'Dados de consulta'!$H$2:$I$25,2,0))</f>
        <v>0</v>
      </c>
      <c r="AT89">
        <f>IF(T89="",0,VLOOKUP(T89,'Dados de consulta'!$H$2:$I$25,2,0))</f>
        <v>0</v>
      </c>
      <c r="AU89">
        <f>IF(U89="",0,VLOOKUP(U89,'Dados de consulta'!$H$2:$I$25,2,0))</f>
        <v>0</v>
      </c>
      <c r="AV89">
        <f>IF(V89="",0,VLOOKUP(V89,'Dados de consulta'!$H$2:$I$25,2,0))</f>
        <v>0</v>
      </c>
      <c r="AW89">
        <f t="shared" si="10"/>
        <v>0</v>
      </c>
      <c r="AX89">
        <f t="shared" si="11"/>
        <v>0</v>
      </c>
      <c r="AY89">
        <f t="shared" si="12"/>
        <v>0</v>
      </c>
      <c r="BA89" s="27">
        <v>44896</v>
      </c>
      <c r="BB89">
        <f t="shared" si="13"/>
        <v>0</v>
      </c>
    </row>
    <row r="90" spans="1:54" hidden="1" x14ac:dyDescent="0.2">
      <c r="A90" s="202">
        <v>42347</v>
      </c>
      <c r="B90" s="78" t="s">
        <v>285</v>
      </c>
      <c r="W90">
        <f t="shared" si="7"/>
        <v>0</v>
      </c>
      <c r="X90">
        <f t="shared" si="8"/>
        <v>0</v>
      </c>
      <c r="Y90">
        <f t="shared" si="9"/>
        <v>0</v>
      </c>
      <c r="AA90" s="202">
        <v>42347</v>
      </c>
      <c r="AB90" s="78" t="s">
        <v>285</v>
      </c>
      <c r="AC90">
        <f>IF(C90="",0,VLOOKUP(C90,'Dados de consulta'!$H$2:$I$25,2,0))</f>
        <v>0</v>
      </c>
      <c r="AD90">
        <f>IF(D90="",0,VLOOKUP(D90,'Dados de consulta'!$H$2:$I$25,2,0))</f>
        <v>0</v>
      </c>
      <c r="AE90">
        <f>IF(E90="",0,VLOOKUP(E90,'Dados de consulta'!$H$2:$I$25,2,0))</f>
        <v>0</v>
      </c>
      <c r="AF90">
        <f>IF(F90="",0,VLOOKUP(F90,'Dados de consulta'!$H$2:$I$25,2,0))</f>
        <v>0</v>
      </c>
      <c r="AG90">
        <f>IF(G90="",0,VLOOKUP(G90,'Dados de consulta'!$H$2:$I$25,2,0))</f>
        <v>0</v>
      </c>
      <c r="AH90">
        <f>IF(H90="",0,VLOOKUP(H90,'Dados de consulta'!$H$2:$I$25,2,0))</f>
        <v>0</v>
      </c>
      <c r="AI90">
        <f>IF(I90="",0,VLOOKUP(I90,'Dados de consulta'!$H$2:$I$25,2,0))</f>
        <v>0</v>
      </c>
      <c r="AJ90">
        <f>IF(J90="",0,VLOOKUP(J90,'Dados de consulta'!$H$2:$I$25,2,0))</f>
        <v>0</v>
      </c>
      <c r="AK90">
        <f>IF(K90="",0,VLOOKUP(K90,'Dados de consulta'!$H$2:$I$25,2,0))</f>
        <v>0</v>
      </c>
      <c r="AL90">
        <f>IF(L90="",0,VLOOKUP(L90,'Dados de consulta'!$H$2:$I$25,2,0))</f>
        <v>0</v>
      </c>
      <c r="AM90">
        <f>IF(M90="",0,VLOOKUP(M90,'Dados de consulta'!$H$2:$I$25,2,0))</f>
        <v>0</v>
      </c>
      <c r="AN90">
        <f>IF(N90="",0,VLOOKUP(N90,'Dados de consulta'!$H$2:$I$25,2,0))</f>
        <v>0</v>
      </c>
      <c r="AO90">
        <f>IF(O90="",0,VLOOKUP(O90,'Dados de consulta'!$H$2:$I$25,2,0))</f>
        <v>0</v>
      </c>
      <c r="AP90">
        <f>IF(P90="",0,VLOOKUP(P90,'Dados de consulta'!$H$2:$I$25,2,0))</f>
        <v>0</v>
      </c>
      <c r="AQ90">
        <f>IF(Q90="",0,VLOOKUP(Q90,'Dados de consulta'!$H$2:$I$25,2,0))</f>
        <v>0</v>
      </c>
      <c r="AR90">
        <f>IF(R90="",0,VLOOKUP(R90,'Dados de consulta'!$H$2:$I$25,2,0))</f>
        <v>0</v>
      </c>
      <c r="AS90">
        <f>IF(S90="",0,VLOOKUP(S90,'Dados de consulta'!$H$2:$I$25,2,0))</f>
        <v>0</v>
      </c>
      <c r="AT90">
        <f>IF(T90="",0,VLOOKUP(T90,'Dados de consulta'!$H$2:$I$25,2,0))</f>
        <v>0</v>
      </c>
      <c r="AU90">
        <f>IF(U90="",0,VLOOKUP(U90,'Dados de consulta'!$H$2:$I$25,2,0))</f>
        <v>0</v>
      </c>
      <c r="AV90">
        <f>IF(V90="",0,VLOOKUP(V90,'Dados de consulta'!$H$2:$I$25,2,0))</f>
        <v>0</v>
      </c>
      <c r="AW90">
        <f t="shared" si="10"/>
        <v>0</v>
      </c>
      <c r="AX90">
        <f t="shared" si="11"/>
        <v>0</v>
      </c>
      <c r="AY90">
        <f t="shared" si="12"/>
        <v>0</v>
      </c>
      <c r="BA90" s="27">
        <v>44927</v>
      </c>
      <c r="BB90">
        <f t="shared" si="13"/>
        <v>0</v>
      </c>
    </row>
    <row r="91" spans="1:54" hidden="1" x14ac:dyDescent="0.2">
      <c r="A91" s="202">
        <v>42348</v>
      </c>
      <c r="B91" s="78" t="s">
        <v>286</v>
      </c>
      <c r="W91">
        <f t="shared" si="7"/>
        <v>0</v>
      </c>
      <c r="X91">
        <f t="shared" si="8"/>
        <v>0</v>
      </c>
      <c r="Y91">
        <f t="shared" si="9"/>
        <v>0</v>
      </c>
      <c r="AA91" s="202">
        <v>42348</v>
      </c>
      <c r="AB91" s="78" t="s">
        <v>286</v>
      </c>
      <c r="AC91">
        <f>IF(C91="",0,VLOOKUP(C91,'Dados de consulta'!$H$2:$I$25,2,0))</f>
        <v>0</v>
      </c>
      <c r="AD91">
        <f>IF(D91="",0,VLOOKUP(D91,'Dados de consulta'!$H$2:$I$25,2,0))</f>
        <v>0</v>
      </c>
      <c r="AE91">
        <f>IF(E91="",0,VLOOKUP(E91,'Dados de consulta'!$H$2:$I$25,2,0))</f>
        <v>0</v>
      </c>
      <c r="AF91">
        <f>IF(F91="",0,VLOOKUP(F91,'Dados de consulta'!$H$2:$I$25,2,0))</f>
        <v>0</v>
      </c>
      <c r="AG91">
        <f>IF(G91="",0,VLOOKUP(G91,'Dados de consulta'!$H$2:$I$25,2,0))</f>
        <v>0</v>
      </c>
      <c r="AH91">
        <f>IF(H91="",0,VLOOKUP(H91,'Dados de consulta'!$H$2:$I$25,2,0))</f>
        <v>0</v>
      </c>
      <c r="AI91">
        <f>IF(I91="",0,VLOOKUP(I91,'Dados de consulta'!$H$2:$I$25,2,0))</f>
        <v>0</v>
      </c>
      <c r="AJ91">
        <f>IF(J91="",0,VLOOKUP(J91,'Dados de consulta'!$H$2:$I$25,2,0))</f>
        <v>0</v>
      </c>
      <c r="AK91">
        <f>IF(K91="",0,VLOOKUP(K91,'Dados de consulta'!$H$2:$I$25,2,0))</f>
        <v>0</v>
      </c>
      <c r="AL91">
        <f>IF(L91="",0,VLOOKUP(L91,'Dados de consulta'!$H$2:$I$25,2,0))</f>
        <v>0</v>
      </c>
      <c r="AM91">
        <f>IF(M91="",0,VLOOKUP(M91,'Dados de consulta'!$H$2:$I$25,2,0))</f>
        <v>0</v>
      </c>
      <c r="AN91">
        <f>IF(N91="",0,VLOOKUP(N91,'Dados de consulta'!$H$2:$I$25,2,0))</f>
        <v>0</v>
      </c>
      <c r="AO91">
        <f>IF(O91="",0,VLOOKUP(O91,'Dados de consulta'!$H$2:$I$25,2,0))</f>
        <v>0</v>
      </c>
      <c r="AP91">
        <f>IF(P91="",0,VLOOKUP(P91,'Dados de consulta'!$H$2:$I$25,2,0))</f>
        <v>0</v>
      </c>
      <c r="AQ91">
        <f>IF(Q91="",0,VLOOKUP(Q91,'Dados de consulta'!$H$2:$I$25,2,0))</f>
        <v>0</v>
      </c>
      <c r="AR91">
        <f>IF(R91="",0,VLOOKUP(R91,'Dados de consulta'!$H$2:$I$25,2,0))</f>
        <v>0</v>
      </c>
      <c r="AS91">
        <f>IF(S91="",0,VLOOKUP(S91,'Dados de consulta'!$H$2:$I$25,2,0))</f>
        <v>0</v>
      </c>
      <c r="AT91">
        <f>IF(T91="",0,VLOOKUP(T91,'Dados de consulta'!$H$2:$I$25,2,0))</f>
        <v>0</v>
      </c>
      <c r="AU91">
        <f>IF(U91="",0,VLOOKUP(U91,'Dados de consulta'!$H$2:$I$25,2,0))</f>
        <v>0</v>
      </c>
      <c r="AV91">
        <f>IF(V91="",0,VLOOKUP(V91,'Dados de consulta'!$H$2:$I$25,2,0))</f>
        <v>0</v>
      </c>
      <c r="AW91">
        <f t="shared" si="10"/>
        <v>0</v>
      </c>
      <c r="AX91">
        <f t="shared" si="11"/>
        <v>0</v>
      </c>
      <c r="AY91">
        <f t="shared" si="12"/>
        <v>0</v>
      </c>
      <c r="BA91" s="27">
        <v>44958</v>
      </c>
      <c r="BB91">
        <f t="shared" si="13"/>
        <v>0</v>
      </c>
    </row>
    <row r="92" spans="1:54" hidden="1" x14ac:dyDescent="0.2">
      <c r="A92" s="202">
        <v>42349</v>
      </c>
      <c r="B92" s="78" t="s">
        <v>287</v>
      </c>
      <c r="W92">
        <f t="shared" si="7"/>
        <v>0</v>
      </c>
      <c r="X92">
        <f t="shared" si="8"/>
        <v>0</v>
      </c>
      <c r="Y92">
        <f t="shared" si="9"/>
        <v>0</v>
      </c>
      <c r="AA92" s="202">
        <v>42349</v>
      </c>
      <c r="AB92" s="78" t="s">
        <v>287</v>
      </c>
      <c r="AC92">
        <f>IF(C92="",0,VLOOKUP(C92,'Dados de consulta'!$H$2:$I$25,2,0))</f>
        <v>0</v>
      </c>
      <c r="AD92">
        <f>IF(D92="",0,VLOOKUP(D92,'Dados de consulta'!$H$2:$I$25,2,0))</f>
        <v>0</v>
      </c>
      <c r="AE92">
        <f>IF(E92="",0,VLOOKUP(E92,'Dados de consulta'!$H$2:$I$25,2,0))</f>
        <v>0</v>
      </c>
      <c r="AF92">
        <f>IF(F92="",0,VLOOKUP(F92,'Dados de consulta'!$H$2:$I$25,2,0))</f>
        <v>0</v>
      </c>
      <c r="AG92">
        <f>IF(G92="",0,VLOOKUP(G92,'Dados de consulta'!$H$2:$I$25,2,0))</f>
        <v>0</v>
      </c>
      <c r="AH92">
        <f>IF(H92="",0,VLOOKUP(H92,'Dados de consulta'!$H$2:$I$25,2,0))</f>
        <v>0</v>
      </c>
      <c r="AI92">
        <f>IF(I92="",0,VLOOKUP(I92,'Dados de consulta'!$H$2:$I$25,2,0))</f>
        <v>0</v>
      </c>
      <c r="AJ92">
        <f>IF(J92="",0,VLOOKUP(J92,'Dados de consulta'!$H$2:$I$25,2,0))</f>
        <v>0</v>
      </c>
      <c r="AK92">
        <f>IF(K92="",0,VLOOKUP(K92,'Dados de consulta'!$H$2:$I$25,2,0))</f>
        <v>0</v>
      </c>
      <c r="AL92">
        <f>IF(L92="",0,VLOOKUP(L92,'Dados de consulta'!$H$2:$I$25,2,0))</f>
        <v>0</v>
      </c>
      <c r="AM92">
        <f>IF(M92="",0,VLOOKUP(M92,'Dados de consulta'!$H$2:$I$25,2,0))</f>
        <v>0</v>
      </c>
      <c r="AN92">
        <f>IF(N92="",0,VLOOKUP(N92,'Dados de consulta'!$H$2:$I$25,2,0))</f>
        <v>0</v>
      </c>
      <c r="AO92">
        <f>IF(O92="",0,VLOOKUP(O92,'Dados de consulta'!$H$2:$I$25,2,0))</f>
        <v>0</v>
      </c>
      <c r="AP92">
        <f>IF(P92="",0,VLOOKUP(P92,'Dados de consulta'!$H$2:$I$25,2,0))</f>
        <v>0</v>
      </c>
      <c r="AQ92">
        <f>IF(Q92="",0,VLOOKUP(Q92,'Dados de consulta'!$H$2:$I$25,2,0))</f>
        <v>0</v>
      </c>
      <c r="AR92">
        <f>IF(R92="",0,VLOOKUP(R92,'Dados de consulta'!$H$2:$I$25,2,0))</f>
        <v>0</v>
      </c>
      <c r="AS92">
        <f>IF(S92="",0,VLOOKUP(S92,'Dados de consulta'!$H$2:$I$25,2,0))</f>
        <v>0</v>
      </c>
      <c r="AT92">
        <f>IF(T92="",0,VLOOKUP(T92,'Dados de consulta'!$H$2:$I$25,2,0))</f>
        <v>0</v>
      </c>
      <c r="AU92">
        <f>IF(U92="",0,VLOOKUP(U92,'Dados de consulta'!$H$2:$I$25,2,0))</f>
        <v>0</v>
      </c>
      <c r="AV92">
        <f>IF(V92="",0,VLOOKUP(V92,'Dados de consulta'!$H$2:$I$25,2,0))</f>
        <v>0</v>
      </c>
      <c r="AW92">
        <f t="shared" si="10"/>
        <v>0</v>
      </c>
      <c r="AX92">
        <f t="shared" si="11"/>
        <v>0</v>
      </c>
      <c r="AY92">
        <f t="shared" si="12"/>
        <v>0</v>
      </c>
      <c r="BA92" s="27">
        <v>44986</v>
      </c>
      <c r="BB92">
        <f t="shared" si="13"/>
        <v>0</v>
      </c>
    </row>
    <row r="93" spans="1:54" hidden="1" x14ac:dyDescent="0.2">
      <c r="A93" s="202">
        <v>42350</v>
      </c>
      <c r="B93" s="78" t="s">
        <v>281</v>
      </c>
      <c r="C93" s="78" t="s">
        <v>219</v>
      </c>
      <c r="F93" s="78" t="s">
        <v>219</v>
      </c>
      <c r="J93" s="78" t="s">
        <v>219</v>
      </c>
      <c r="N93" s="78" t="s">
        <v>219</v>
      </c>
      <c r="P93" s="78" t="s">
        <v>219</v>
      </c>
      <c r="S93" s="78" t="s">
        <v>219</v>
      </c>
      <c r="W93">
        <f t="shared" si="7"/>
        <v>36</v>
      </c>
      <c r="X93">
        <f t="shared" si="8"/>
        <v>0</v>
      </c>
      <c r="Y93">
        <f t="shared" si="9"/>
        <v>0</v>
      </c>
      <c r="AA93" s="202">
        <v>42350</v>
      </c>
      <c r="AB93" s="78" t="s">
        <v>281</v>
      </c>
      <c r="AC93">
        <f>IF(C93="",0,VLOOKUP(C93,'Dados de consulta'!$H$2:$I$25,2,0))</f>
        <v>6</v>
      </c>
      <c r="AD93">
        <f>IF(D93="",0,VLOOKUP(D93,'Dados de consulta'!$H$2:$I$25,2,0))</f>
        <v>0</v>
      </c>
      <c r="AE93">
        <f>IF(E93="",0,VLOOKUP(E93,'Dados de consulta'!$H$2:$I$25,2,0))</f>
        <v>0</v>
      </c>
      <c r="AF93">
        <f>IF(F93="",0,VLOOKUP(F93,'Dados de consulta'!$H$2:$I$25,2,0))</f>
        <v>6</v>
      </c>
      <c r="AG93">
        <f>IF(G93="",0,VLOOKUP(G93,'Dados de consulta'!$H$2:$I$25,2,0))</f>
        <v>0</v>
      </c>
      <c r="AH93">
        <f>IF(H93="",0,VLOOKUP(H93,'Dados de consulta'!$H$2:$I$25,2,0))</f>
        <v>0</v>
      </c>
      <c r="AI93">
        <f>IF(I93="",0,VLOOKUP(I93,'Dados de consulta'!$H$2:$I$25,2,0))</f>
        <v>0</v>
      </c>
      <c r="AJ93">
        <f>IF(J93="",0,VLOOKUP(J93,'Dados de consulta'!$H$2:$I$25,2,0))</f>
        <v>6</v>
      </c>
      <c r="AK93">
        <f>IF(K93="",0,VLOOKUP(K93,'Dados de consulta'!$H$2:$I$25,2,0))</f>
        <v>0</v>
      </c>
      <c r="AL93">
        <f>IF(L93="",0,VLOOKUP(L93,'Dados de consulta'!$H$2:$I$25,2,0))</f>
        <v>0</v>
      </c>
      <c r="AM93">
        <f>IF(M93="",0,VLOOKUP(M93,'Dados de consulta'!$H$2:$I$25,2,0))</f>
        <v>0</v>
      </c>
      <c r="AN93">
        <f>IF(N93="",0,VLOOKUP(N93,'Dados de consulta'!$H$2:$I$25,2,0))</f>
        <v>6</v>
      </c>
      <c r="AO93">
        <f>IF(O93="",0,VLOOKUP(O93,'Dados de consulta'!$H$2:$I$25,2,0))</f>
        <v>0</v>
      </c>
      <c r="AP93">
        <f>IF(P93="",0,VLOOKUP(P93,'Dados de consulta'!$H$2:$I$25,2,0))</f>
        <v>6</v>
      </c>
      <c r="AQ93">
        <f>IF(Q93="",0,VLOOKUP(Q93,'Dados de consulta'!$H$2:$I$25,2,0))</f>
        <v>0</v>
      </c>
      <c r="AR93">
        <f>IF(R93="",0,VLOOKUP(R93,'Dados de consulta'!$H$2:$I$25,2,0))</f>
        <v>0</v>
      </c>
      <c r="AS93">
        <f>IF(S93="",0,VLOOKUP(S93,'Dados de consulta'!$H$2:$I$25,2,0))</f>
        <v>6</v>
      </c>
      <c r="AT93">
        <f>IF(T93="",0,VLOOKUP(T93,'Dados de consulta'!$H$2:$I$25,2,0))</f>
        <v>0</v>
      </c>
      <c r="AU93">
        <f>IF(U93="",0,VLOOKUP(U93,'Dados de consulta'!$H$2:$I$25,2,0))</f>
        <v>0</v>
      </c>
      <c r="AV93">
        <f>IF(V93="",0,VLOOKUP(V93,'Dados de consulta'!$H$2:$I$25,2,0))</f>
        <v>0</v>
      </c>
      <c r="AW93">
        <f t="shared" si="10"/>
        <v>36</v>
      </c>
      <c r="AX93">
        <f t="shared" si="11"/>
        <v>0</v>
      </c>
      <c r="AY93">
        <f t="shared" si="12"/>
        <v>0</v>
      </c>
      <c r="BA93" s="27">
        <v>45017</v>
      </c>
      <c r="BB93">
        <f t="shared" si="13"/>
        <v>0</v>
      </c>
    </row>
    <row r="94" spans="1:54" hidden="1" x14ac:dyDescent="0.2">
      <c r="A94" s="202">
        <v>42351</v>
      </c>
      <c r="B94" s="78" t="s">
        <v>282</v>
      </c>
      <c r="W94">
        <f t="shared" si="7"/>
        <v>0</v>
      </c>
      <c r="X94">
        <f t="shared" si="8"/>
        <v>0</v>
      </c>
      <c r="Y94">
        <f t="shared" si="9"/>
        <v>0</v>
      </c>
      <c r="AA94" s="202">
        <v>42351</v>
      </c>
      <c r="AB94" s="78" t="s">
        <v>282</v>
      </c>
      <c r="AC94">
        <f>IF(C94="",0,VLOOKUP(C94,'Dados de consulta'!$H$2:$I$25,2,0))</f>
        <v>0</v>
      </c>
      <c r="AD94">
        <f>IF(D94="",0,VLOOKUP(D94,'Dados de consulta'!$H$2:$I$25,2,0))</f>
        <v>0</v>
      </c>
      <c r="AE94">
        <f>IF(E94="",0,VLOOKUP(E94,'Dados de consulta'!$H$2:$I$25,2,0))</f>
        <v>0</v>
      </c>
      <c r="AF94">
        <f>IF(F94="",0,VLOOKUP(F94,'Dados de consulta'!$H$2:$I$25,2,0))</f>
        <v>0</v>
      </c>
      <c r="AG94">
        <f>IF(G94="",0,VLOOKUP(G94,'Dados de consulta'!$H$2:$I$25,2,0))</f>
        <v>0</v>
      </c>
      <c r="AH94">
        <f>IF(H94="",0,VLOOKUP(H94,'Dados de consulta'!$H$2:$I$25,2,0))</f>
        <v>0</v>
      </c>
      <c r="AI94">
        <f>IF(I94="",0,VLOOKUP(I94,'Dados de consulta'!$H$2:$I$25,2,0))</f>
        <v>0</v>
      </c>
      <c r="AJ94">
        <f>IF(J94="",0,VLOOKUP(J94,'Dados de consulta'!$H$2:$I$25,2,0))</f>
        <v>0</v>
      </c>
      <c r="AK94">
        <f>IF(K94="",0,VLOOKUP(K94,'Dados de consulta'!$H$2:$I$25,2,0))</f>
        <v>0</v>
      </c>
      <c r="AL94">
        <f>IF(L94="",0,VLOOKUP(L94,'Dados de consulta'!$H$2:$I$25,2,0))</f>
        <v>0</v>
      </c>
      <c r="AM94">
        <f>IF(M94="",0,VLOOKUP(M94,'Dados de consulta'!$H$2:$I$25,2,0))</f>
        <v>0</v>
      </c>
      <c r="AN94">
        <f>IF(N94="",0,VLOOKUP(N94,'Dados de consulta'!$H$2:$I$25,2,0))</f>
        <v>0</v>
      </c>
      <c r="AO94">
        <f>IF(O94="",0,VLOOKUP(O94,'Dados de consulta'!$H$2:$I$25,2,0))</f>
        <v>0</v>
      </c>
      <c r="AP94">
        <f>IF(P94="",0,VLOOKUP(P94,'Dados de consulta'!$H$2:$I$25,2,0))</f>
        <v>0</v>
      </c>
      <c r="AQ94">
        <f>IF(Q94="",0,VLOOKUP(Q94,'Dados de consulta'!$H$2:$I$25,2,0))</f>
        <v>0</v>
      </c>
      <c r="AR94">
        <f>IF(R94="",0,VLOOKUP(R94,'Dados de consulta'!$H$2:$I$25,2,0))</f>
        <v>0</v>
      </c>
      <c r="AS94">
        <f>IF(S94="",0,VLOOKUP(S94,'Dados de consulta'!$H$2:$I$25,2,0))</f>
        <v>0</v>
      </c>
      <c r="AT94">
        <f>IF(T94="",0,VLOOKUP(T94,'Dados de consulta'!$H$2:$I$25,2,0))</f>
        <v>0</v>
      </c>
      <c r="AU94">
        <f>IF(U94="",0,VLOOKUP(U94,'Dados de consulta'!$H$2:$I$25,2,0))</f>
        <v>0</v>
      </c>
      <c r="AV94">
        <f>IF(V94="",0,VLOOKUP(V94,'Dados de consulta'!$H$2:$I$25,2,0))</f>
        <v>0</v>
      </c>
      <c r="AW94">
        <f t="shared" si="10"/>
        <v>0</v>
      </c>
      <c r="AX94">
        <f t="shared" si="11"/>
        <v>0</v>
      </c>
      <c r="AY94">
        <f t="shared" si="12"/>
        <v>0</v>
      </c>
      <c r="BA94" s="27">
        <v>45047</v>
      </c>
      <c r="BB94">
        <f t="shared" si="13"/>
        <v>0</v>
      </c>
    </row>
    <row r="95" spans="1:54" hidden="1" x14ac:dyDescent="0.2">
      <c r="A95" s="202">
        <v>42352</v>
      </c>
      <c r="B95" s="78" t="s">
        <v>283</v>
      </c>
      <c r="W95">
        <f t="shared" si="7"/>
        <v>0</v>
      </c>
      <c r="X95">
        <f t="shared" si="8"/>
        <v>0</v>
      </c>
      <c r="Y95">
        <f t="shared" si="9"/>
        <v>0</v>
      </c>
      <c r="AA95" s="202">
        <v>42352</v>
      </c>
      <c r="AB95" s="78" t="s">
        <v>283</v>
      </c>
      <c r="AC95">
        <f>IF(C95="",0,VLOOKUP(C95,'Dados de consulta'!$H$2:$I$25,2,0))</f>
        <v>0</v>
      </c>
      <c r="AD95">
        <f>IF(D95="",0,VLOOKUP(D95,'Dados de consulta'!$H$2:$I$25,2,0))</f>
        <v>0</v>
      </c>
      <c r="AE95">
        <f>IF(E95="",0,VLOOKUP(E95,'Dados de consulta'!$H$2:$I$25,2,0))</f>
        <v>0</v>
      </c>
      <c r="AF95">
        <f>IF(F95="",0,VLOOKUP(F95,'Dados de consulta'!$H$2:$I$25,2,0))</f>
        <v>0</v>
      </c>
      <c r="AG95">
        <f>IF(G95="",0,VLOOKUP(G95,'Dados de consulta'!$H$2:$I$25,2,0))</f>
        <v>0</v>
      </c>
      <c r="AH95">
        <f>IF(H95="",0,VLOOKUP(H95,'Dados de consulta'!$H$2:$I$25,2,0))</f>
        <v>0</v>
      </c>
      <c r="AI95">
        <f>IF(I95="",0,VLOOKUP(I95,'Dados de consulta'!$H$2:$I$25,2,0))</f>
        <v>0</v>
      </c>
      <c r="AJ95">
        <f>IF(J95="",0,VLOOKUP(J95,'Dados de consulta'!$H$2:$I$25,2,0))</f>
        <v>0</v>
      </c>
      <c r="AK95">
        <f>IF(K95="",0,VLOOKUP(K95,'Dados de consulta'!$H$2:$I$25,2,0))</f>
        <v>0</v>
      </c>
      <c r="AL95">
        <f>IF(L95="",0,VLOOKUP(L95,'Dados de consulta'!$H$2:$I$25,2,0))</f>
        <v>0</v>
      </c>
      <c r="AM95">
        <f>IF(M95="",0,VLOOKUP(M95,'Dados de consulta'!$H$2:$I$25,2,0))</f>
        <v>0</v>
      </c>
      <c r="AN95">
        <f>IF(N95="",0,VLOOKUP(N95,'Dados de consulta'!$H$2:$I$25,2,0))</f>
        <v>0</v>
      </c>
      <c r="AO95">
        <f>IF(O95="",0,VLOOKUP(O95,'Dados de consulta'!$H$2:$I$25,2,0))</f>
        <v>0</v>
      </c>
      <c r="AP95">
        <f>IF(P95="",0,VLOOKUP(P95,'Dados de consulta'!$H$2:$I$25,2,0))</f>
        <v>0</v>
      </c>
      <c r="AQ95">
        <f>IF(Q95="",0,VLOOKUP(Q95,'Dados de consulta'!$H$2:$I$25,2,0))</f>
        <v>0</v>
      </c>
      <c r="AR95">
        <f>IF(R95="",0,VLOOKUP(R95,'Dados de consulta'!$H$2:$I$25,2,0))</f>
        <v>0</v>
      </c>
      <c r="AS95">
        <f>IF(S95="",0,VLOOKUP(S95,'Dados de consulta'!$H$2:$I$25,2,0))</f>
        <v>0</v>
      </c>
      <c r="AT95">
        <f>IF(T95="",0,VLOOKUP(T95,'Dados de consulta'!$H$2:$I$25,2,0))</f>
        <v>0</v>
      </c>
      <c r="AU95">
        <f>IF(U95="",0,VLOOKUP(U95,'Dados de consulta'!$H$2:$I$25,2,0))</f>
        <v>0</v>
      </c>
      <c r="AV95">
        <f>IF(V95="",0,VLOOKUP(V95,'Dados de consulta'!$H$2:$I$25,2,0))</f>
        <v>0</v>
      </c>
      <c r="AW95">
        <f t="shared" si="10"/>
        <v>0</v>
      </c>
      <c r="AX95">
        <f t="shared" si="11"/>
        <v>0</v>
      </c>
      <c r="AY95">
        <f t="shared" si="12"/>
        <v>0</v>
      </c>
      <c r="BA95" s="27">
        <v>45078</v>
      </c>
      <c r="BB95">
        <f t="shared" si="13"/>
        <v>0</v>
      </c>
    </row>
    <row r="96" spans="1:54" hidden="1" x14ac:dyDescent="0.2">
      <c r="A96" s="202">
        <v>42353</v>
      </c>
      <c r="B96" s="78" t="s">
        <v>284</v>
      </c>
      <c r="W96">
        <f t="shared" si="7"/>
        <v>0</v>
      </c>
      <c r="X96">
        <f t="shared" si="8"/>
        <v>0</v>
      </c>
      <c r="Y96">
        <f t="shared" si="9"/>
        <v>0</v>
      </c>
      <c r="AA96" s="202">
        <v>42353</v>
      </c>
      <c r="AB96" s="78" t="s">
        <v>284</v>
      </c>
      <c r="AC96">
        <f>IF(C96="",0,VLOOKUP(C96,'Dados de consulta'!$H$2:$I$25,2,0))</f>
        <v>0</v>
      </c>
      <c r="AD96">
        <f>IF(D96="",0,VLOOKUP(D96,'Dados de consulta'!$H$2:$I$25,2,0))</f>
        <v>0</v>
      </c>
      <c r="AE96">
        <f>IF(E96="",0,VLOOKUP(E96,'Dados de consulta'!$H$2:$I$25,2,0))</f>
        <v>0</v>
      </c>
      <c r="AF96">
        <f>IF(F96="",0,VLOOKUP(F96,'Dados de consulta'!$H$2:$I$25,2,0))</f>
        <v>0</v>
      </c>
      <c r="AG96">
        <f>IF(G96="",0,VLOOKUP(G96,'Dados de consulta'!$H$2:$I$25,2,0))</f>
        <v>0</v>
      </c>
      <c r="AH96">
        <f>IF(H96="",0,VLOOKUP(H96,'Dados de consulta'!$H$2:$I$25,2,0))</f>
        <v>0</v>
      </c>
      <c r="AI96">
        <f>IF(I96="",0,VLOOKUP(I96,'Dados de consulta'!$H$2:$I$25,2,0))</f>
        <v>0</v>
      </c>
      <c r="AJ96">
        <f>IF(J96="",0,VLOOKUP(J96,'Dados de consulta'!$H$2:$I$25,2,0))</f>
        <v>0</v>
      </c>
      <c r="AK96">
        <f>IF(K96="",0,VLOOKUP(K96,'Dados de consulta'!$H$2:$I$25,2,0))</f>
        <v>0</v>
      </c>
      <c r="AL96">
        <f>IF(L96="",0,VLOOKUP(L96,'Dados de consulta'!$H$2:$I$25,2,0))</f>
        <v>0</v>
      </c>
      <c r="AM96">
        <f>IF(M96="",0,VLOOKUP(M96,'Dados de consulta'!$H$2:$I$25,2,0))</f>
        <v>0</v>
      </c>
      <c r="AN96">
        <f>IF(N96="",0,VLOOKUP(N96,'Dados de consulta'!$H$2:$I$25,2,0))</f>
        <v>0</v>
      </c>
      <c r="AO96">
        <f>IF(O96="",0,VLOOKUP(O96,'Dados de consulta'!$H$2:$I$25,2,0))</f>
        <v>0</v>
      </c>
      <c r="AP96">
        <f>IF(P96="",0,VLOOKUP(P96,'Dados de consulta'!$H$2:$I$25,2,0))</f>
        <v>0</v>
      </c>
      <c r="AQ96">
        <f>IF(Q96="",0,VLOOKUP(Q96,'Dados de consulta'!$H$2:$I$25,2,0))</f>
        <v>0</v>
      </c>
      <c r="AR96">
        <f>IF(R96="",0,VLOOKUP(R96,'Dados de consulta'!$H$2:$I$25,2,0))</f>
        <v>0</v>
      </c>
      <c r="AS96">
        <f>IF(S96="",0,VLOOKUP(S96,'Dados de consulta'!$H$2:$I$25,2,0))</f>
        <v>0</v>
      </c>
      <c r="AT96">
        <f>IF(T96="",0,VLOOKUP(T96,'Dados de consulta'!$H$2:$I$25,2,0))</f>
        <v>0</v>
      </c>
      <c r="AU96">
        <f>IF(U96="",0,VLOOKUP(U96,'Dados de consulta'!$H$2:$I$25,2,0))</f>
        <v>0</v>
      </c>
      <c r="AV96">
        <f>IF(V96="",0,VLOOKUP(V96,'Dados de consulta'!$H$2:$I$25,2,0))</f>
        <v>0</v>
      </c>
      <c r="AW96">
        <f t="shared" si="10"/>
        <v>0</v>
      </c>
      <c r="AX96">
        <f t="shared" si="11"/>
        <v>0</v>
      </c>
      <c r="AY96">
        <f t="shared" si="12"/>
        <v>0</v>
      </c>
      <c r="BA96" s="27">
        <v>45108</v>
      </c>
      <c r="BB96">
        <f t="shared" si="13"/>
        <v>0</v>
      </c>
    </row>
    <row r="97" spans="1:54" hidden="1" x14ac:dyDescent="0.2">
      <c r="A97" s="202">
        <v>42354</v>
      </c>
      <c r="B97" s="78" t="s">
        <v>285</v>
      </c>
      <c r="W97">
        <f t="shared" si="7"/>
        <v>0</v>
      </c>
      <c r="X97">
        <f t="shared" si="8"/>
        <v>0</v>
      </c>
      <c r="Y97">
        <f t="shared" si="9"/>
        <v>0</v>
      </c>
      <c r="AA97" s="202">
        <v>42354</v>
      </c>
      <c r="AB97" s="78" t="s">
        <v>285</v>
      </c>
      <c r="AC97">
        <f>IF(C97="",0,VLOOKUP(C97,'Dados de consulta'!$H$2:$I$25,2,0))</f>
        <v>0</v>
      </c>
      <c r="AD97">
        <f>IF(D97="",0,VLOOKUP(D97,'Dados de consulta'!$H$2:$I$25,2,0))</f>
        <v>0</v>
      </c>
      <c r="AE97">
        <f>IF(E97="",0,VLOOKUP(E97,'Dados de consulta'!$H$2:$I$25,2,0))</f>
        <v>0</v>
      </c>
      <c r="AF97">
        <f>IF(F97="",0,VLOOKUP(F97,'Dados de consulta'!$H$2:$I$25,2,0))</f>
        <v>0</v>
      </c>
      <c r="AG97">
        <f>IF(G97="",0,VLOOKUP(G97,'Dados de consulta'!$H$2:$I$25,2,0))</f>
        <v>0</v>
      </c>
      <c r="AH97">
        <f>IF(H97="",0,VLOOKUP(H97,'Dados de consulta'!$H$2:$I$25,2,0))</f>
        <v>0</v>
      </c>
      <c r="AI97">
        <f>IF(I97="",0,VLOOKUP(I97,'Dados de consulta'!$H$2:$I$25,2,0))</f>
        <v>0</v>
      </c>
      <c r="AJ97">
        <f>IF(J97="",0,VLOOKUP(J97,'Dados de consulta'!$H$2:$I$25,2,0))</f>
        <v>0</v>
      </c>
      <c r="AK97">
        <f>IF(K97="",0,VLOOKUP(K97,'Dados de consulta'!$H$2:$I$25,2,0))</f>
        <v>0</v>
      </c>
      <c r="AL97">
        <f>IF(L97="",0,VLOOKUP(L97,'Dados de consulta'!$H$2:$I$25,2,0))</f>
        <v>0</v>
      </c>
      <c r="AM97">
        <f>IF(M97="",0,VLOOKUP(M97,'Dados de consulta'!$H$2:$I$25,2,0))</f>
        <v>0</v>
      </c>
      <c r="AN97">
        <f>IF(N97="",0,VLOOKUP(N97,'Dados de consulta'!$H$2:$I$25,2,0))</f>
        <v>0</v>
      </c>
      <c r="AO97">
        <f>IF(O97="",0,VLOOKUP(O97,'Dados de consulta'!$H$2:$I$25,2,0))</f>
        <v>0</v>
      </c>
      <c r="AP97">
        <f>IF(P97="",0,VLOOKUP(P97,'Dados de consulta'!$H$2:$I$25,2,0))</f>
        <v>0</v>
      </c>
      <c r="AQ97">
        <f>IF(Q97="",0,VLOOKUP(Q97,'Dados de consulta'!$H$2:$I$25,2,0))</f>
        <v>0</v>
      </c>
      <c r="AR97">
        <f>IF(R97="",0,VLOOKUP(R97,'Dados de consulta'!$H$2:$I$25,2,0))</f>
        <v>0</v>
      </c>
      <c r="AS97">
        <f>IF(S97="",0,VLOOKUP(S97,'Dados de consulta'!$H$2:$I$25,2,0))</f>
        <v>0</v>
      </c>
      <c r="AT97">
        <f>IF(T97="",0,VLOOKUP(T97,'Dados de consulta'!$H$2:$I$25,2,0))</f>
        <v>0</v>
      </c>
      <c r="AU97">
        <f>IF(U97="",0,VLOOKUP(U97,'Dados de consulta'!$H$2:$I$25,2,0))</f>
        <v>0</v>
      </c>
      <c r="AV97">
        <f>IF(V97="",0,VLOOKUP(V97,'Dados de consulta'!$H$2:$I$25,2,0))</f>
        <v>0</v>
      </c>
      <c r="AW97">
        <f t="shared" si="10"/>
        <v>0</v>
      </c>
      <c r="AX97">
        <f t="shared" si="11"/>
        <v>0</v>
      </c>
      <c r="AY97">
        <f t="shared" si="12"/>
        <v>0</v>
      </c>
      <c r="BA97" s="27">
        <v>45139</v>
      </c>
      <c r="BB97">
        <f t="shared" si="13"/>
        <v>0</v>
      </c>
    </row>
    <row r="98" spans="1:54" hidden="1" x14ac:dyDescent="0.2">
      <c r="A98" s="202">
        <v>42355</v>
      </c>
      <c r="B98" s="78" t="s">
        <v>286</v>
      </c>
      <c r="W98">
        <f t="shared" si="7"/>
        <v>0</v>
      </c>
      <c r="X98">
        <f t="shared" si="8"/>
        <v>0</v>
      </c>
      <c r="Y98">
        <f t="shared" si="9"/>
        <v>0</v>
      </c>
      <c r="AA98" s="202">
        <v>42355</v>
      </c>
      <c r="AB98" s="78" t="s">
        <v>286</v>
      </c>
      <c r="AC98">
        <f>IF(C98="",0,VLOOKUP(C98,'Dados de consulta'!$H$2:$I$25,2,0))</f>
        <v>0</v>
      </c>
      <c r="AD98">
        <f>IF(D98="",0,VLOOKUP(D98,'Dados de consulta'!$H$2:$I$25,2,0))</f>
        <v>0</v>
      </c>
      <c r="AE98">
        <f>IF(E98="",0,VLOOKUP(E98,'Dados de consulta'!$H$2:$I$25,2,0))</f>
        <v>0</v>
      </c>
      <c r="AF98">
        <f>IF(F98="",0,VLOOKUP(F98,'Dados de consulta'!$H$2:$I$25,2,0))</f>
        <v>0</v>
      </c>
      <c r="AG98">
        <f>IF(G98="",0,VLOOKUP(G98,'Dados de consulta'!$H$2:$I$25,2,0))</f>
        <v>0</v>
      </c>
      <c r="AH98">
        <f>IF(H98="",0,VLOOKUP(H98,'Dados de consulta'!$H$2:$I$25,2,0))</f>
        <v>0</v>
      </c>
      <c r="AI98">
        <f>IF(I98="",0,VLOOKUP(I98,'Dados de consulta'!$H$2:$I$25,2,0))</f>
        <v>0</v>
      </c>
      <c r="AJ98">
        <f>IF(J98="",0,VLOOKUP(J98,'Dados de consulta'!$H$2:$I$25,2,0))</f>
        <v>0</v>
      </c>
      <c r="AK98">
        <f>IF(K98="",0,VLOOKUP(K98,'Dados de consulta'!$H$2:$I$25,2,0))</f>
        <v>0</v>
      </c>
      <c r="AL98">
        <f>IF(L98="",0,VLOOKUP(L98,'Dados de consulta'!$H$2:$I$25,2,0))</f>
        <v>0</v>
      </c>
      <c r="AM98">
        <f>IF(M98="",0,VLOOKUP(M98,'Dados de consulta'!$H$2:$I$25,2,0))</f>
        <v>0</v>
      </c>
      <c r="AN98">
        <f>IF(N98="",0,VLOOKUP(N98,'Dados de consulta'!$H$2:$I$25,2,0))</f>
        <v>0</v>
      </c>
      <c r="AO98">
        <f>IF(O98="",0,VLOOKUP(O98,'Dados de consulta'!$H$2:$I$25,2,0))</f>
        <v>0</v>
      </c>
      <c r="AP98">
        <f>IF(P98="",0,VLOOKUP(P98,'Dados de consulta'!$H$2:$I$25,2,0))</f>
        <v>0</v>
      </c>
      <c r="AQ98">
        <f>IF(Q98="",0,VLOOKUP(Q98,'Dados de consulta'!$H$2:$I$25,2,0))</f>
        <v>0</v>
      </c>
      <c r="AR98">
        <f>IF(R98="",0,VLOOKUP(R98,'Dados de consulta'!$H$2:$I$25,2,0))</f>
        <v>0</v>
      </c>
      <c r="AS98">
        <f>IF(S98="",0,VLOOKUP(S98,'Dados de consulta'!$H$2:$I$25,2,0))</f>
        <v>0</v>
      </c>
      <c r="AT98">
        <f>IF(T98="",0,VLOOKUP(T98,'Dados de consulta'!$H$2:$I$25,2,0))</f>
        <v>0</v>
      </c>
      <c r="AU98">
        <f>IF(U98="",0,VLOOKUP(U98,'Dados de consulta'!$H$2:$I$25,2,0))</f>
        <v>0</v>
      </c>
      <c r="AV98">
        <f>IF(V98="",0,VLOOKUP(V98,'Dados de consulta'!$H$2:$I$25,2,0))</f>
        <v>0</v>
      </c>
      <c r="AW98">
        <f t="shared" si="10"/>
        <v>0</v>
      </c>
      <c r="AX98">
        <f t="shared" si="11"/>
        <v>0</v>
      </c>
      <c r="AY98">
        <f t="shared" si="12"/>
        <v>0</v>
      </c>
      <c r="BA98" s="27">
        <v>45170</v>
      </c>
      <c r="BB98">
        <f t="shared" si="13"/>
        <v>0</v>
      </c>
    </row>
    <row r="99" spans="1:54" hidden="1" x14ac:dyDescent="0.2">
      <c r="A99" s="202">
        <v>42356</v>
      </c>
      <c r="B99" s="78" t="s">
        <v>287</v>
      </c>
      <c r="W99">
        <f t="shared" si="7"/>
        <v>0</v>
      </c>
      <c r="X99">
        <f t="shared" si="8"/>
        <v>0</v>
      </c>
      <c r="Y99">
        <f t="shared" si="9"/>
        <v>0</v>
      </c>
      <c r="AA99" s="202">
        <v>42356</v>
      </c>
      <c r="AB99" s="78" t="s">
        <v>287</v>
      </c>
      <c r="AC99">
        <f>IF(C99="",0,VLOOKUP(C99,'Dados de consulta'!$H$2:$I$25,2,0))</f>
        <v>0</v>
      </c>
      <c r="AD99">
        <f>IF(D99="",0,VLOOKUP(D99,'Dados de consulta'!$H$2:$I$25,2,0))</f>
        <v>0</v>
      </c>
      <c r="AE99">
        <f>IF(E99="",0,VLOOKUP(E99,'Dados de consulta'!$H$2:$I$25,2,0))</f>
        <v>0</v>
      </c>
      <c r="AF99">
        <f>IF(F99="",0,VLOOKUP(F99,'Dados de consulta'!$H$2:$I$25,2,0))</f>
        <v>0</v>
      </c>
      <c r="AG99">
        <f>IF(G99="",0,VLOOKUP(G99,'Dados de consulta'!$H$2:$I$25,2,0))</f>
        <v>0</v>
      </c>
      <c r="AH99">
        <f>IF(H99="",0,VLOOKUP(H99,'Dados de consulta'!$H$2:$I$25,2,0))</f>
        <v>0</v>
      </c>
      <c r="AI99">
        <f>IF(I99="",0,VLOOKUP(I99,'Dados de consulta'!$H$2:$I$25,2,0))</f>
        <v>0</v>
      </c>
      <c r="AJ99">
        <f>IF(J99="",0,VLOOKUP(J99,'Dados de consulta'!$H$2:$I$25,2,0))</f>
        <v>0</v>
      </c>
      <c r="AK99">
        <f>IF(K99="",0,VLOOKUP(K99,'Dados de consulta'!$H$2:$I$25,2,0))</f>
        <v>0</v>
      </c>
      <c r="AL99">
        <f>IF(L99="",0,VLOOKUP(L99,'Dados de consulta'!$H$2:$I$25,2,0))</f>
        <v>0</v>
      </c>
      <c r="AM99">
        <f>IF(M99="",0,VLOOKUP(M99,'Dados de consulta'!$H$2:$I$25,2,0))</f>
        <v>0</v>
      </c>
      <c r="AN99">
        <f>IF(N99="",0,VLOOKUP(N99,'Dados de consulta'!$H$2:$I$25,2,0))</f>
        <v>0</v>
      </c>
      <c r="AO99">
        <f>IF(O99="",0,VLOOKUP(O99,'Dados de consulta'!$H$2:$I$25,2,0))</f>
        <v>0</v>
      </c>
      <c r="AP99">
        <f>IF(P99="",0,VLOOKUP(P99,'Dados de consulta'!$H$2:$I$25,2,0))</f>
        <v>0</v>
      </c>
      <c r="AQ99">
        <f>IF(Q99="",0,VLOOKUP(Q99,'Dados de consulta'!$H$2:$I$25,2,0))</f>
        <v>0</v>
      </c>
      <c r="AR99">
        <f>IF(R99="",0,VLOOKUP(R99,'Dados de consulta'!$H$2:$I$25,2,0))</f>
        <v>0</v>
      </c>
      <c r="AS99">
        <f>IF(S99="",0,VLOOKUP(S99,'Dados de consulta'!$H$2:$I$25,2,0))</f>
        <v>0</v>
      </c>
      <c r="AT99">
        <f>IF(T99="",0,VLOOKUP(T99,'Dados de consulta'!$H$2:$I$25,2,0))</f>
        <v>0</v>
      </c>
      <c r="AU99">
        <f>IF(U99="",0,VLOOKUP(U99,'Dados de consulta'!$H$2:$I$25,2,0))</f>
        <v>0</v>
      </c>
      <c r="AV99">
        <f>IF(V99="",0,VLOOKUP(V99,'Dados de consulta'!$H$2:$I$25,2,0))</f>
        <v>0</v>
      </c>
      <c r="AW99">
        <f t="shared" si="10"/>
        <v>0</v>
      </c>
      <c r="AX99">
        <f t="shared" si="11"/>
        <v>0</v>
      </c>
      <c r="AY99">
        <f t="shared" si="12"/>
        <v>0</v>
      </c>
      <c r="BA99" s="27">
        <v>45200</v>
      </c>
      <c r="BB99">
        <f t="shared" si="13"/>
        <v>0</v>
      </c>
    </row>
    <row r="100" spans="1:54" hidden="1" x14ac:dyDescent="0.2">
      <c r="A100" s="202">
        <v>42357</v>
      </c>
      <c r="B100" s="78" t="s">
        <v>281</v>
      </c>
      <c r="C100" s="78" t="s">
        <v>219</v>
      </c>
      <c r="F100" s="78" t="s">
        <v>219</v>
      </c>
      <c r="L100" s="78" t="s">
        <v>219</v>
      </c>
      <c r="N100" s="78" t="s">
        <v>219</v>
      </c>
      <c r="P100" s="78" t="s">
        <v>219</v>
      </c>
      <c r="W100">
        <f t="shared" si="7"/>
        <v>30</v>
      </c>
      <c r="X100">
        <f t="shared" si="8"/>
        <v>0</v>
      </c>
      <c r="Y100">
        <f t="shared" si="9"/>
        <v>0</v>
      </c>
      <c r="AA100" s="202">
        <v>42357</v>
      </c>
      <c r="AB100" s="78" t="s">
        <v>281</v>
      </c>
      <c r="AC100">
        <f>IF(C100="",0,VLOOKUP(C100,'Dados de consulta'!$H$2:$I$25,2,0))</f>
        <v>6</v>
      </c>
      <c r="AD100">
        <f>IF(D100="",0,VLOOKUP(D100,'Dados de consulta'!$H$2:$I$25,2,0))</f>
        <v>0</v>
      </c>
      <c r="AE100">
        <f>IF(E100="",0,VLOOKUP(E100,'Dados de consulta'!$H$2:$I$25,2,0))</f>
        <v>0</v>
      </c>
      <c r="AF100">
        <f>IF(F100="",0,VLOOKUP(F100,'Dados de consulta'!$H$2:$I$25,2,0))</f>
        <v>6</v>
      </c>
      <c r="AG100">
        <f>IF(G100="",0,VLOOKUP(G100,'Dados de consulta'!$H$2:$I$25,2,0))</f>
        <v>0</v>
      </c>
      <c r="AH100">
        <f>IF(H100="",0,VLOOKUP(H100,'Dados de consulta'!$H$2:$I$25,2,0))</f>
        <v>0</v>
      </c>
      <c r="AI100">
        <f>IF(I100="",0,VLOOKUP(I100,'Dados de consulta'!$H$2:$I$25,2,0))</f>
        <v>0</v>
      </c>
      <c r="AJ100">
        <f>IF(J100="",0,VLOOKUP(J100,'Dados de consulta'!$H$2:$I$25,2,0))</f>
        <v>0</v>
      </c>
      <c r="AK100">
        <f>IF(K100="",0,VLOOKUP(K100,'Dados de consulta'!$H$2:$I$25,2,0))</f>
        <v>0</v>
      </c>
      <c r="AL100">
        <f>IF(L100="",0,VLOOKUP(L100,'Dados de consulta'!$H$2:$I$25,2,0))</f>
        <v>6</v>
      </c>
      <c r="AM100">
        <f>IF(M100="",0,VLOOKUP(M100,'Dados de consulta'!$H$2:$I$25,2,0))</f>
        <v>0</v>
      </c>
      <c r="AN100">
        <f>IF(N100="",0,VLOOKUP(N100,'Dados de consulta'!$H$2:$I$25,2,0))</f>
        <v>6</v>
      </c>
      <c r="AO100">
        <f>IF(O100="",0,VLOOKUP(O100,'Dados de consulta'!$H$2:$I$25,2,0))</f>
        <v>0</v>
      </c>
      <c r="AP100">
        <f>IF(P100="",0,VLOOKUP(P100,'Dados de consulta'!$H$2:$I$25,2,0))</f>
        <v>6</v>
      </c>
      <c r="AQ100">
        <f>IF(Q100="",0,VLOOKUP(Q100,'Dados de consulta'!$H$2:$I$25,2,0))</f>
        <v>0</v>
      </c>
      <c r="AR100">
        <f>IF(R100="",0,VLOOKUP(R100,'Dados de consulta'!$H$2:$I$25,2,0))</f>
        <v>0</v>
      </c>
      <c r="AS100">
        <f>IF(S100="",0,VLOOKUP(S100,'Dados de consulta'!$H$2:$I$25,2,0))</f>
        <v>0</v>
      </c>
      <c r="AT100">
        <f>IF(T100="",0,VLOOKUP(T100,'Dados de consulta'!$H$2:$I$25,2,0))</f>
        <v>0</v>
      </c>
      <c r="AU100">
        <f>IF(U100="",0,VLOOKUP(U100,'Dados de consulta'!$H$2:$I$25,2,0))</f>
        <v>0</v>
      </c>
      <c r="AV100">
        <f>IF(V100="",0,VLOOKUP(V100,'Dados de consulta'!$H$2:$I$25,2,0))</f>
        <v>0</v>
      </c>
      <c r="AW100">
        <f t="shared" si="10"/>
        <v>30</v>
      </c>
      <c r="AX100">
        <f t="shared" si="11"/>
        <v>0</v>
      </c>
      <c r="AY100">
        <f t="shared" si="12"/>
        <v>0</v>
      </c>
      <c r="BA100" s="27">
        <v>45231</v>
      </c>
      <c r="BB100">
        <f t="shared" si="13"/>
        <v>0</v>
      </c>
    </row>
    <row r="101" spans="1:54" hidden="1" x14ac:dyDescent="0.2">
      <c r="A101" s="202">
        <v>42358</v>
      </c>
      <c r="B101" s="78" t="s">
        <v>282</v>
      </c>
      <c r="W101">
        <f t="shared" si="7"/>
        <v>0</v>
      </c>
      <c r="X101">
        <f t="shared" si="8"/>
        <v>0</v>
      </c>
      <c r="Y101">
        <f t="shared" si="9"/>
        <v>0</v>
      </c>
      <c r="AA101" s="202">
        <v>42358</v>
      </c>
      <c r="AB101" s="78" t="s">
        <v>282</v>
      </c>
      <c r="AC101">
        <f>IF(C101="",0,VLOOKUP(C101,'Dados de consulta'!$H$2:$I$25,2,0))</f>
        <v>0</v>
      </c>
      <c r="AD101">
        <f>IF(D101="",0,VLOOKUP(D101,'Dados de consulta'!$H$2:$I$25,2,0))</f>
        <v>0</v>
      </c>
      <c r="AE101">
        <f>IF(E101="",0,VLOOKUP(E101,'Dados de consulta'!$H$2:$I$25,2,0))</f>
        <v>0</v>
      </c>
      <c r="AF101">
        <f>IF(F101="",0,VLOOKUP(F101,'Dados de consulta'!$H$2:$I$25,2,0))</f>
        <v>0</v>
      </c>
      <c r="AG101">
        <f>IF(G101="",0,VLOOKUP(G101,'Dados de consulta'!$H$2:$I$25,2,0))</f>
        <v>0</v>
      </c>
      <c r="AH101">
        <f>IF(H101="",0,VLOOKUP(H101,'Dados de consulta'!$H$2:$I$25,2,0))</f>
        <v>0</v>
      </c>
      <c r="AI101">
        <f>IF(I101="",0,VLOOKUP(I101,'Dados de consulta'!$H$2:$I$25,2,0))</f>
        <v>0</v>
      </c>
      <c r="AJ101">
        <f>IF(J101="",0,VLOOKUP(J101,'Dados de consulta'!$H$2:$I$25,2,0))</f>
        <v>0</v>
      </c>
      <c r="AK101">
        <f>IF(K101="",0,VLOOKUP(K101,'Dados de consulta'!$H$2:$I$25,2,0))</f>
        <v>0</v>
      </c>
      <c r="AL101">
        <f>IF(L101="",0,VLOOKUP(L101,'Dados de consulta'!$H$2:$I$25,2,0))</f>
        <v>0</v>
      </c>
      <c r="AM101">
        <f>IF(M101="",0,VLOOKUP(M101,'Dados de consulta'!$H$2:$I$25,2,0))</f>
        <v>0</v>
      </c>
      <c r="AN101">
        <f>IF(N101="",0,VLOOKUP(N101,'Dados de consulta'!$H$2:$I$25,2,0))</f>
        <v>0</v>
      </c>
      <c r="AO101">
        <f>IF(O101="",0,VLOOKUP(O101,'Dados de consulta'!$H$2:$I$25,2,0))</f>
        <v>0</v>
      </c>
      <c r="AP101">
        <f>IF(P101="",0,VLOOKUP(P101,'Dados de consulta'!$H$2:$I$25,2,0))</f>
        <v>0</v>
      </c>
      <c r="AQ101">
        <f>IF(Q101="",0,VLOOKUP(Q101,'Dados de consulta'!$H$2:$I$25,2,0))</f>
        <v>0</v>
      </c>
      <c r="AR101">
        <f>IF(R101="",0,VLOOKUP(R101,'Dados de consulta'!$H$2:$I$25,2,0))</f>
        <v>0</v>
      </c>
      <c r="AS101">
        <f>IF(S101="",0,VLOOKUP(S101,'Dados de consulta'!$H$2:$I$25,2,0))</f>
        <v>0</v>
      </c>
      <c r="AT101">
        <f>IF(T101="",0,VLOOKUP(T101,'Dados de consulta'!$H$2:$I$25,2,0))</f>
        <v>0</v>
      </c>
      <c r="AU101">
        <f>IF(U101="",0,VLOOKUP(U101,'Dados de consulta'!$H$2:$I$25,2,0))</f>
        <v>0</v>
      </c>
      <c r="AV101">
        <f>IF(V101="",0,VLOOKUP(V101,'Dados de consulta'!$H$2:$I$25,2,0))</f>
        <v>0</v>
      </c>
      <c r="AW101">
        <f t="shared" si="10"/>
        <v>0</v>
      </c>
      <c r="AX101">
        <f t="shared" si="11"/>
        <v>0</v>
      </c>
      <c r="AY101">
        <f t="shared" si="12"/>
        <v>0</v>
      </c>
      <c r="BA101" s="27">
        <v>45261</v>
      </c>
      <c r="BB101">
        <f t="shared" si="13"/>
        <v>0</v>
      </c>
    </row>
    <row r="102" spans="1:54" hidden="1" x14ac:dyDescent="0.2">
      <c r="A102" s="202">
        <v>42359</v>
      </c>
      <c r="B102" s="78" t="s">
        <v>283</v>
      </c>
      <c r="W102">
        <f t="shared" si="7"/>
        <v>0</v>
      </c>
      <c r="X102">
        <f t="shared" si="8"/>
        <v>0</v>
      </c>
      <c r="Y102">
        <f t="shared" si="9"/>
        <v>0</v>
      </c>
      <c r="AA102" s="202">
        <v>42359</v>
      </c>
      <c r="AB102" s="78" t="s">
        <v>283</v>
      </c>
      <c r="AC102">
        <f>IF(C102="",0,VLOOKUP(C102,'Dados de consulta'!$H$2:$I$25,2,0))</f>
        <v>0</v>
      </c>
      <c r="AD102">
        <f>IF(D102="",0,VLOOKUP(D102,'Dados de consulta'!$H$2:$I$25,2,0))</f>
        <v>0</v>
      </c>
      <c r="AE102">
        <f>IF(E102="",0,VLOOKUP(E102,'Dados de consulta'!$H$2:$I$25,2,0))</f>
        <v>0</v>
      </c>
      <c r="AF102">
        <f>IF(F102="",0,VLOOKUP(F102,'Dados de consulta'!$H$2:$I$25,2,0))</f>
        <v>0</v>
      </c>
      <c r="AG102">
        <f>IF(G102="",0,VLOOKUP(G102,'Dados de consulta'!$H$2:$I$25,2,0))</f>
        <v>0</v>
      </c>
      <c r="AH102">
        <f>IF(H102="",0,VLOOKUP(H102,'Dados de consulta'!$H$2:$I$25,2,0))</f>
        <v>0</v>
      </c>
      <c r="AI102">
        <f>IF(I102="",0,VLOOKUP(I102,'Dados de consulta'!$H$2:$I$25,2,0))</f>
        <v>0</v>
      </c>
      <c r="AJ102">
        <f>IF(J102="",0,VLOOKUP(J102,'Dados de consulta'!$H$2:$I$25,2,0))</f>
        <v>0</v>
      </c>
      <c r="AK102">
        <f>IF(K102="",0,VLOOKUP(K102,'Dados de consulta'!$H$2:$I$25,2,0))</f>
        <v>0</v>
      </c>
      <c r="AL102">
        <f>IF(L102="",0,VLOOKUP(L102,'Dados de consulta'!$H$2:$I$25,2,0))</f>
        <v>0</v>
      </c>
      <c r="AM102">
        <f>IF(M102="",0,VLOOKUP(M102,'Dados de consulta'!$H$2:$I$25,2,0))</f>
        <v>0</v>
      </c>
      <c r="AN102">
        <f>IF(N102="",0,VLOOKUP(N102,'Dados de consulta'!$H$2:$I$25,2,0))</f>
        <v>0</v>
      </c>
      <c r="AO102">
        <f>IF(O102="",0,VLOOKUP(O102,'Dados de consulta'!$H$2:$I$25,2,0))</f>
        <v>0</v>
      </c>
      <c r="AP102">
        <f>IF(P102="",0,VLOOKUP(P102,'Dados de consulta'!$H$2:$I$25,2,0))</f>
        <v>0</v>
      </c>
      <c r="AQ102">
        <f>IF(Q102="",0,VLOOKUP(Q102,'Dados de consulta'!$H$2:$I$25,2,0))</f>
        <v>0</v>
      </c>
      <c r="AR102">
        <f>IF(R102="",0,VLOOKUP(R102,'Dados de consulta'!$H$2:$I$25,2,0))</f>
        <v>0</v>
      </c>
      <c r="AS102">
        <f>IF(S102="",0,VLOOKUP(S102,'Dados de consulta'!$H$2:$I$25,2,0))</f>
        <v>0</v>
      </c>
      <c r="AT102">
        <f>IF(T102="",0,VLOOKUP(T102,'Dados de consulta'!$H$2:$I$25,2,0))</f>
        <v>0</v>
      </c>
      <c r="AU102">
        <f>IF(U102="",0,VLOOKUP(U102,'Dados de consulta'!$H$2:$I$25,2,0))</f>
        <v>0</v>
      </c>
      <c r="AV102">
        <f>IF(V102="",0,VLOOKUP(V102,'Dados de consulta'!$H$2:$I$25,2,0))</f>
        <v>0</v>
      </c>
      <c r="AW102">
        <f t="shared" si="10"/>
        <v>0</v>
      </c>
      <c r="AX102">
        <f t="shared" si="11"/>
        <v>0</v>
      </c>
      <c r="AY102">
        <f t="shared" si="12"/>
        <v>0</v>
      </c>
    </row>
    <row r="103" spans="1:54" hidden="1" x14ac:dyDescent="0.2">
      <c r="A103" s="202">
        <v>42360</v>
      </c>
      <c r="B103" s="78" t="s">
        <v>284</v>
      </c>
      <c r="W103">
        <f t="shared" si="7"/>
        <v>0</v>
      </c>
      <c r="X103">
        <f t="shared" si="8"/>
        <v>0</v>
      </c>
      <c r="Y103">
        <f t="shared" si="9"/>
        <v>0</v>
      </c>
      <c r="AA103" s="202">
        <v>42360</v>
      </c>
      <c r="AB103" s="78" t="s">
        <v>284</v>
      </c>
      <c r="AC103">
        <f>IF(C103="",0,VLOOKUP(C103,'Dados de consulta'!$H$2:$I$25,2,0))</f>
        <v>0</v>
      </c>
      <c r="AD103">
        <f>IF(D103="",0,VLOOKUP(D103,'Dados de consulta'!$H$2:$I$25,2,0))</f>
        <v>0</v>
      </c>
      <c r="AE103">
        <f>IF(E103="",0,VLOOKUP(E103,'Dados de consulta'!$H$2:$I$25,2,0))</f>
        <v>0</v>
      </c>
      <c r="AF103">
        <f>IF(F103="",0,VLOOKUP(F103,'Dados de consulta'!$H$2:$I$25,2,0))</f>
        <v>0</v>
      </c>
      <c r="AG103">
        <f>IF(G103="",0,VLOOKUP(G103,'Dados de consulta'!$H$2:$I$25,2,0))</f>
        <v>0</v>
      </c>
      <c r="AH103">
        <f>IF(H103="",0,VLOOKUP(H103,'Dados de consulta'!$H$2:$I$25,2,0))</f>
        <v>0</v>
      </c>
      <c r="AI103">
        <f>IF(I103="",0,VLOOKUP(I103,'Dados de consulta'!$H$2:$I$25,2,0))</f>
        <v>0</v>
      </c>
      <c r="AJ103">
        <f>IF(J103="",0,VLOOKUP(J103,'Dados de consulta'!$H$2:$I$25,2,0))</f>
        <v>0</v>
      </c>
      <c r="AK103">
        <f>IF(K103="",0,VLOOKUP(K103,'Dados de consulta'!$H$2:$I$25,2,0))</f>
        <v>0</v>
      </c>
      <c r="AL103">
        <f>IF(L103="",0,VLOOKUP(L103,'Dados de consulta'!$H$2:$I$25,2,0))</f>
        <v>0</v>
      </c>
      <c r="AM103">
        <f>IF(M103="",0,VLOOKUP(M103,'Dados de consulta'!$H$2:$I$25,2,0))</f>
        <v>0</v>
      </c>
      <c r="AN103">
        <f>IF(N103="",0,VLOOKUP(N103,'Dados de consulta'!$H$2:$I$25,2,0))</f>
        <v>0</v>
      </c>
      <c r="AO103">
        <f>IF(O103="",0,VLOOKUP(O103,'Dados de consulta'!$H$2:$I$25,2,0))</f>
        <v>0</v>
      </c>
      <c r="AP103">
        <f>IF(P103="",0,VLOOKUP(P103,'Dados de consulta'!$H$2:$I$25,2,0))</f>
        <v>0</v>
      </c>
      <c r="AQ103">
        <f>IF(Q103="",0,VLOOKUP(Q103,'Dados de consulta'!$H$2:$I$25,2,0))</f>
        <v>0</v>
      </c>
      <c r="AR103">
        <f>IF(R103="",0,VLOOKUP(R103,'Dados de consulta'!$H$2:$I$25,2,0))</f>
        <v>0</v>
      </c>
      <c r="AS103">
        <f>IF(S103="",0,VLOOKUP(S103,'Dados de consulta'!$H$2:$I$25,2,0))</f>
        <v>0</v>
      </c>
      <c r="AT103">
        <f>IF(T103="",0,VLOOKUP(T103,'Dados de consulta'!$H$2:$I$25,2,0))</f>
        <v>0</v>
      </c>
      <c r="AU103">
        <f>IF(U103="",0,VLOOKUP(U103,'Dados de consulta'!$H$2:$I$25,2,0))</f>
        <v>0</v>
      </c>
      <c r="AV103">
        <f>IF(V103="",0,VLOOKUP(V103,'Dados de consulta'!$H$2:$I$25,2,0))</f>
        <v>0</v>
      </c>
      <c r="AW103">
        <f t="shared" si="10"/>
        <v>0</v>
      </c>
      <c r="AX103">
        <f t="shared" si="11"/>
        <v>0</v>
      </c>
      <c r="AY103">
        <f t="shared" si="12"/>
        <v>0</v>
      </c>
    </row>
    <row r="104" spans="1:54" hidden="1" x14ac:dyDescent="0.2">
      <c r="A104" s="202">
        <v>42361</v>
      </c>
      <c r="B104" s="78" t="s">
        <v>285</v>
      </c>
      <c r="W104">
        <f t="shared" si="7"/>
        <v>0</v>
      </c>
      <c r="X104">
        <f t="shared" si="8"/>
        <v>0</v>
      </c>
      <c r="Y104">
        <f t="shared" si="9"/>
        <v>0</v>
      </c>
      <c r="AA104" s="202">
        <v>42361</v>
      </c>
      <c r="AB104" s="78" t="s">
        <v>285</v>
      </c>
      <c r="AC104">
        <f>IF(C104="",0,VLOOKUP(C104,'Dados de consulta'!$H$2:$I$25,2,0))</f>
        <v>0</v>
      </c>
      <c r="AD104">
        <f>IF(D104="",0,VLOOKUP(D104,'Dados de consulta'!$H$2:$I$25,2,0))</f>
        <v>0</v>
      </c>
      <c r="AE104">
        <f>IF(E104="",0,VLOOKUP(E104,'Dados de consulta'!$H$2:$I$25,2,0))</f>
        <v>0</v>
      </c>
      <c r="AF104">
        <f>IF(F104="",0,VLOOKUP(F104,'Dados de consulta'!$H$2:$I$25,2,0))</f>
        <v>0</v>
      </c>
      <c r="AG104">
        <f>IF(G104="",0,VLOOKUP(G104,'Dados de consulta'!$H$2:$I$25,2,0))</f>
        <v>0</v>
      </c>
      <c r="AH104">
        <f>IF(H104="",0,VLOOKUP(H104,'Dados de consulta'!$H$2:$I$25,2,0))</f>
        <v>0</v>
      </c>
      <c r="AI104">
        <f>IF(I104="",0,VLOOKUP(I104,'Dados de consulta'!$H$2:$I$25,2,0))</f>
        <v>0</v>
      </c>
      <c r="AJ104">
        <f>IF(J104="",0,VLOOKUP(J104,'Dados de consulta'!$H$2:$I$25,2,0))</f>
        <v>0</v>
      </c>
      <c r="AK104">
        <f>IF(K104="",0,VLOOKUP(K104,'Dados de consulta'!$H$2:$I$25,2,0))</f>
        <v>0</v>
      </c>
      <c r="AL104">
        <f>IF(L104="",0,VLOOKUP(L104,'Dados de consulta'!$H$2:$I$25,2,0))</f>
        <v>0</v>
      </c>
      <c r="AM104">
        <f>IF(M104="",0,VLOOKUP(M104,'Dados de consulta'!$H$2:$I$25,2,0))</f>
        <v>0</v>
      </c>
      <c r="AN104">
        <f>IF(N104="",0,VLOOKUP(N104,'Dados de consulta'!$H$2:$I$25,2,0))</f>
        <v>0</v>
      </c>
      <c r="AO104">
        <f>IF(O104="",0,VLOOKUP(O104,'Dados de consulta'!$H$2:$I$25,2,0))</f>
        <v>0</v>
      </c>
      <c r="AP104">
        <f>IF(P104="",0,VLOOKUP(P104,'Dados de consulta'!$H$2:$I$25,2,0))</f>
        <v>0</v>
      </c>
      <c r="AQ104">
        <f>IF(Q104="",0,VLOOKUP(Q104,'Dados de consulta'!$H$2:$I$25,2,0))</f>
        <v>0</v>
      </c>
      <c r="AR104">
        <f>IF(R104="",0,VLOOKUP(R104,'Dados de consulta'!$H$2:$I$25,2,0))</f>
        <v>0</v>
      </c>
      <c r="AS104">
        <f>IF(S104="",0,VLOOKUP(S104,'Dados de consulta'!$H$2:$I$25,2,0))</f>
        <v>0</v>
      </c>
      <c r="AT104">
        <f>IF(T104="",0,VLOOKUP(T104,'Dados de consulta'!$H$2:$I$25,2,0))</f>
        <v>0</v>
      </c>
      <c r="AU104">
        <f>IF(U104="",0,VLOOKUP(U104,'Dados de consulta'!$H$2:$I$25,2,0))</f>
        <v>0</v>
      </c>
      <c r="AV104">
        <f>IF(V104="",0,VLOOKUP(V104,'Dados de consulta'!$H$2:$I$25,2,0))</f>
        <v>0</v>
      </c>
      <c r="AW104">
        <f t="shared" si="10"/>
        <v>0</v>
      </c>
      <c r="AX104">
        <f t="shared" si="11"/>
        <v>0</v>
      </c>
      <c r="AY104">
        <f t="shared" si="12"/>
        <v>0</v>
      </c>
    </row>
    <row r="105" spans="1:54" hidden="1" x14ac:dyDescent="0.2">
      <c r="A105" s="202">
        <v>42362</v>
      </c>
      <c r="B105" s="78" t="s">
        <v>286</v>
      </c>
      <c r="W105">
        <f t="shared" si="7"/>
        <v>0</v>
      </c>
      <c r="X105">
        <f t="shared" si="8"/>
        <v>0</v>
      </c>
      <c r="Y105">
        <f t="shared" si="9"/>
        <v>0</v>
      </c>
      <c r="AA105" s="202">
        <v>42362</v>
      </c>
      <c r="AB105" s="78" t="s">
        <v>286</v>
      </c>
      <c r="AC105">
        <f>IF(C105="",0,VLOOKUP(C105,'Dados de consulta'!$H$2:$I$25,2,0))</f>
        <v>0</v>
      </c>
      <c r="AD105">
        <f>IF(D105="",0,VLOOKUP(D105,'Dados de consulta'!$H$2:$I$25,2,0))</f>
        <v>0</v>
      </c>
      <c r="AE105">
        <f>IF(E105="",0,VLOOKUP(E105,'Dados de consulta'!$H$2:$I$25,2,0))</f>
        <v>0</v>
      </c>
      <c r="AF105">
        <f>IF(F105="",0,VLOOKUP(F105,'Dados de consulta'!$H$2:$I$25,2,0))</f>
        <v>0</v>
      </c>
      <c r="AG105">
        <f>IF(G105="",0,VLOOKUP(G105,'Dados de consulta'!$H$2:$I$25,2,0))</f>
        <v>0</v>
      </c>
      <c r="AH105">
        <f>IF(H105="",0,VLOOKUP(H105,'Dados de consulta'!$H$2:$I$25,2,0))</f>
        <v>0</v>
      </c>
      <c r="AI105">
        <f>IF(I105="",0,VLOOKUP(I105,'Dados de consulta'!$H$2:$I$25,2,0))</f>
        <v>0</v>
      </c>
      <c r="AJ105">
        <f>IF(J105="",0,VLOOKUP(J105,'Dados de consulta'!$H$2:$I$25,2,0))</f>
        <v>0</v>
      </c>
      <c r="AK105">
        <f>IF(K105="",0,VLOOKUP(K105,'Dados de consulta'!$H$2:$I$25,2,0))</f>
        <v>0</v>
      </c>
      <c r="AL105">
        <f>IF(L105="",0,VLOOKUP(L105,'Dados de consulta'!$H$2:$I$25,2,0))</f>
        <v>0</v>
      </c>
      <c r="AM105">
        <f>IF(M105="",0,VLOOKUP(M105,'Dados de consulta'!$H$2:$I$25,2,0))</f>
        <v>0</v>
      </c>
      <c r="AN105">
        <f>IF(N105="",0,VLOOKUP(N105,'Dados de consulta'!$H$2:$I$25,2,0))</f>
        <v>0</v>
      </c>
      <c r="AO105">
        <f>IF(O105="",0,VLOOKUP(O105,'Dados de consulta'!$H$2:$I$25,2,0))</f>
        <v>0</v>
      </c>
      <c r="AP105">
        <f>IF(P105="",0,VLOOKUP(P105,'Dados de consulta'!$H$2:$I$25,2,0))</f>
        <v>0</v>
      </c>
      <c r="AQ105">
        <f>IF(Q105="",0,VLOOKUP(Q105,'Dados de consulta'!$H$2:$I$25,2,0))</f>
        <v>0</v>
      </c>
      <c r="AR105">
        <f>IF(R105="",0,VLOOKUP(R105,'Dados de consulta'!$H$2:$I$25,2,0))</f>
        <v>0</v>
      </c>
      <c r="AS105">
        <f>IF(S105="",0,VLOOKUP(S105,'Dados de consulta'!$H$2:$I$25,2,0))</f>
        <v>0</v>
      </c>
      <c r="AT105">
        <f>IF(T105="",0,VLOOKUP(T105,'Dados de consulta'!$H$2:$I$25,2,0))</f>
        <v>0</v>
      </c>
      <c r="AU105">
        <f>IF(U105="",0,VLOOKUP(U105,'Dados de consulta'!$H$2:$I$25,2,0))</f>
        <v>0</v>
      </c>
      <c r="AV105">
        <f>IF(V105="",0,VLOOKUP(V105,'Dados de consulta'!$H$2:$I$25,2,0))</f>
        <v>0</v>
      </c>
      <c r="AW105">
        <f t="shared" si="10"/>
        <v>0</v>
      </c>
      <c r="AX105">
        <f t="shared" si="11"/>
        <v>0</v>
      </c>
      <c r="AY105">
        <f t="shared" si="12"/>
        <v>0</v>
      </c>
    </row>
    <row r="106" spans="1:54" hidden="1" x14ac:dyDescent="0.2">
      <c r="A106" s="202">
        <v>42363</v>
      </c>
      <c r="B106" s="78" t="s">
        <v>287</v>
      </c>
      <c r="W106">
        <f t="shared" si="7"/>
        <v>0</v>
      </c>
      <c r="X106">
        <f t="shared" si="8"/>
        <v>0</v>
      </c>
      <c r="Y106">
        <f t="shared" si="9"/>
        <v>0</v>
      </c>
      <c r="AA106" s="202">
        <v>42363</v>
      </c>
      <c r="AB106" s="78" t="s">
        <v>287</v>
      </c>
      <c r="AC106">
        <f>IF(C106="",0,VLOOKUP(C106,'Dados de consulta'!$H$2:$I$25,2,0))</f>
        <v>0</v>
      </c>
      <c r="AD106">
        <f>IF(D106="",0,VLOOKUP(D106,'Dados de consulta'!$H$2:$I$25,2,0))</f>
        <v>0</v>
      </c>
      <c r="AE106">
        <f>IF(E106="",0,VLOOKUP(E106,'Dados de consulta'!$H$2:$I$25,2,0))</f>
        <v>0</v>
      </c>
      <c r="AF106">
        <f>IF(F106="",0,VLOOKUP(F106,'Dados de consulta'!$H$2:$I$25,2,0))</f>
        <v>0</v>
      </c>
      <c r="AG106">
        <f>IF(G106="",0,VLOOKUP(G106,'Dados de consulta'!$H$2:$I$25,2,0))</f>
        <v>0</v>
      </c>
      <c r="AH106">
        <f>IF(H106="",0,VLOOKUP(H106,'Dados de consulta'!$H$2:$I$25,2,0))</f>
        <v>0</v>
      </c>
      <c r="AI106">
        <f>IF(I106="",0,VLOOKUP(I106,'Dados de consulta'!$H$2:$I$25,2,0))</f>
        <v>0</v>
      </c>
      <c r="AJ106">
        <f>IF(J106="",0,VLOOKUP(J106,'Dados de consulta'!$H$2:$I$25,2,0))</f>
        <v>0</v>
      </c>
      <c r="AK106">
        <f>IF(K106="",0,VLOOKUP(K106,'Dados de consulta'!$H$2:$I$25,2,0))</f>
        <v>0</v>
      </c>
      <c r="AL106">
        <f>IF(L106="",0,VLOOKUP(L106,'Dados de consulta'!$H$2:$I$25,2,0))</f>
        <v>0</v>
      </c>
      <c r="AM106">
        <f>IF(M106="",0,VLOOKUP(M106,'Dados de consulta'!$H$2:$I$25,2,0))</f>
        <v>0</v>
      </c>
      <c r="AN106">
        <f>IF(N106="",0,VLOOKUP(N106,'Dados de consulta'!$H$2:$I$25,2,0))</f>
        <v>0</v>
      </c>
      <c r="AO106">
        <f>IF(O106="",0,VLOOKUP(O106,'Dados de consulta'!$H$2:$I$25,2,0))</f>
        <v>0</v>
      </c>
      <c r="AP106">
        <f>IF(P106="",0,VLOOKUP(P106,'Dados de consulta'!$H$2:$I$25,2,0))</f>
        <v>0</v>
      </c>
      <c r="AQ106">
        <f>IF(Q106="",0,VLOOKUP(Q106,'Dados de consulta'!$H$2:$I$25,2,0))</f>
        <v>0</v>
      </c>
      <c r="AR106">
        <f>IF(R106="",0,VLOOKUP(R106,'Dados de consulta'!$H$2:$I$25,2,0))</f>
        <v>0</v>
      </c>
      <c r="AS106">
        <f>IF(S106="",0,VLOOKUP(S106,'Dados de consulta'!$H$2:$I$25,2,0))</f>
        <v>0</v>
      </c>
      <c r="AT106">
        <f>IF(T106="",0,VLOOKUP(T106,'Dados de consulta'!$H$2:$I$25,2,0))</f>
        <v>0</v>
      </c>
      <c r="AU106">
        <f>IF(U106="",0,VLOOKUP(U106,'Dados de consulta'!$H$2:$I$25,2,0))</f>
        <v>0</v>
      </c>
      <c r="AV106">
        <f>IF(V106="",0,VLOOKUP(V106,'Dados de consulta'!$H$2:$I$25,2,0))</f>
        <v>0</v>
      </c>
      <c r="AW106">
        <f t="shared" si="10"/>
        <v>0</v>
      </c>
      <c r="AX106">
        <f t="shared" si="11"/>
        <v>0</v>
      </c>
      <c r="AY106">
        <f t="shared" si="12"/>
        <v>0</v>
      </c>
    </row>
    <row r="107" spans="1:54" hidden="1" x14ac:dyDescent="0.2">
      <c r="A107" s="202">
        <v>42364</v>
      </c>
      <c r="B107" s="78" t="s">
        <v>281</v>
      </c>
      <c r="W107">
        <f t="shared" si="7"/>
        <v>0</v>
      </c>
      <c r="X107">
        <f t="shared" si="8"/>
        <v>0</v>
      </c>
      <c r="Y107">
        <f t="shared" si="9"/>
        <v>0</v>
      </c>
      <c r="AA107" s="202">
        <v>42364</v>
      </c>
      <c r="AB107" s="78" t="s">
        <v>281</v>
      </c>
      <c r="AC107">
        <f>IF(C107="",0,VLOOKUP(C107,'Dados de consulta'!$H$2:$I$25,2,0))</f>
        <v>0</v>
      </c>
      <c r="AD107">
        <f>IF(D107="",0,VLOOKUP(D107,'Dados de consulta'!$H$2:$I$25,2,0))</f>
        <v>0</v>
      </c>
      <c r="AE107">
        <f>IF(E107="",0,VLOOKUP(E107,'Dados de consulta'!$H$2:$I$25,2,0))</f>
        <v>0</v>
      </c>
      <c r="AF107">
        <f>IF(F107="",0,VLOOKUP(F107,'Dados de consulta'!$H$2:$I$25,2,0))</f>
        <v>0</v>
      </c>
      <c r="AG107">
        <f>IF(G107="",0,VLOOKUP(G107,'Dados de consulta'!$H$2:$I$25,2,0))</f>
        <v>0</v>
      </c>
      <c r="AH107">
        <f>IF(H107="",0,VLOOKUP(H107,'Dados de consulta'!$H$2:$I$25,2,0))</f>
        <v>0</v>
      </c>
      <c r="AI107">
        <f>IF(I107="",0,VLOOKUP(I107,'Dados de consulta'!$H$2:$I$25,2,0))</f>
        <v>0</v>
      </c>
      <c r="AJ107">
        <f>IF(J107="",0,VLOOKUP(J107,'Dados de consulta'!$H$2:$I$25,2,0))</f>
        <v>0</v>
      </c>
      <c r="AK107">
        <f>IF(K107="",0,VLOOKUP(K107,'Dados de consulta'!$H$2:$I$25,2,0))</f>
        <v>0</v>
      </c>
      <c r="AL107">
        <f>IF(L107="",0,VLOOKUP(L107,'Dados de consulta'!$H$2:$I$25,2,0))</f>
        <v>0</v>
      </c>
      <c r="AM107">
        <f>IF(M107="",0,VLOOKUP(M107,'Dados de consulta'!$H$2:$I$25,2,0))</f>
        <v>0</v>
      </c>
      <c r="AN107">
        <f>IF(N107="",0,VLOOKUP(N107,'Dados de consulta'!$H$2:$I$25,2,0))</f>
        <v>0</v>
      </c>
      <c r="AO107">
        <f>IF(O107="",0,VLOOKUP(O107,'Dados de consulta'!$H$2:$I$25,2,0))</f>
        <v>0</v>
      </c>
      <c r="AP107">
        <f>IF(P107="",0,VLOOKUP(P107,'Dados de consulta'!$H$2:$I$25,2,0))</f>
        <v>0</v>
      </c>
      <c r="AQ107">
        <f>IF(Q107="",0,VLOOKUP(Q107,'Dados de consulta'!$H$2:$I$25,2,0))</f>
        <v>0</v>
      </c>
      <c r="AR107">
        <f>IF(R107="",0,VLOOKUP(R107,'Dados de consulta'!$H$2:$I$25,2,0))</f>
        <v>0</v>
      </c>
      <c r="AS107">
        <f>IF(S107="",0,VLOOKUP(S107,'Dados de consulta'!$H$2:$I$25,2,0))</f>
        <v>0</v>
      </c>
      <c r="AT107">
        <f>IF(T107="",0,VLOOKUP(T107,'Dados de consulta'!$H$2:$I$25,2,0))</f>
        <v>0</v>
      </c>
      <c r="AU107">
        <f>IF(U107="",0,VLOOKUP(U107,'Dados de consulta'!$H$2:$I$25,2,0))</f>
        <v>0</v>
      </c>
      <c r="AV107">
        <f>IF(V107="",0,VLOOKUP(V107,'Dados de consulta'!$H$2:$I$25,2,0))</f>
        <v>0</v>
      </c>
      <c r="AW107">
        <f t="shared" si="10"/>
        <v>0</v>
      </c>
      <c r="AX107">
        <f t="shared" si="11"/>
        <v>0</v>
      </c>
      <c r="AY107">
        <f t="shared" si="12"/>
        <v>0</v>
      </c>
    </row>
    <row r="108" spans="1:54" hidden="1" x14ac:dyDescent="0.2">
      <c r="A108" s="202">
        <v>42365</v>
      </c>
      <c r="B108" s="78" t="s">
        <v>282</v>
      </c>
      <c r="W108">
        <f t="shared" si="7"/>
        <v>0</v>
      </c>
      <c r="X108">
        <f t="shared" si="8"/>
        <v>0</v>
      </c>
      <c r="Y108">
        <f t="shared" si="9"/>
        <v>0</v>
      </c>
      <c r="AA108" s="202">
        <v>42365</v>
      </c>
      <c r="AB108" s="78" t="s">
        <v>282</v>
      </c>
      <c r="AC108">
        <f>IF(C108="",0,VLOOKUP(C108,'Dados de consulta'!$H$2:$I$25,2,0))</f>
        <v>0</v>
      </c>
      <c r="AD108">
        <f>IF(D108="",0,VLOOKUP(D108,'Dados de consulta'!$H$2:$I$25,2,0))</f>
        <v>0</v>
      </c>
      <c r="AE108">
        <f>IF(E108="",0,VLOOKUP(E108,'Dados de consulta'!$H$2:$I$25,2,0))</f>
        <v>0</v>
      </c>
      <c r="AF108">
        <f>IF(F108="",0,VLOOKUP(F108,'Dados de consulta'!$H$2:$I$25,2,0))</f>
        <v>0</v>
      </c>
      <c r="AG108">
        <f>IF(G108="",0,VLOOKUP(G108,'Dados de consulta'!$H$2:$I$25,2,0))</f>
        <v>0</v>
      </c>
      <c r="AH108">
        <f>IF(H108="",0,VLOOKUP(H108,'Dados de consulta'!$H$2:$I$25,2,0))</f>
        <v>0</v>
      </c>
      <c r="AI108">
        <f>IF(I108="",0,VLOOKUP(I108,'Dados de consulta'!$H$2:$I$25,2,0))</f>
        <v>0</v>
      </c>
      <c r="AJ108">
        <f>IF(J108="",0,VLOOKUP(J108,'Dados de consulta'!$H$2:$I$25,2,0))</f>
        <v>0</v>
      </c>
      <c r="AK108">
        <f>IF(K108="",0,VLOOKUP(K108,'Dados de consulta'!$H$2:$I$25,2,0))</f>
        <v>0</v>
      </c>
      <c r="AL108">
        <f>IF(L108="",0,VLOOKUP(L108,'Dados de consulta'!$H$2:$I$25,2,0))</f>
        <v>0</v>
      </c>
      <c r="AM108">
        <f>IF(M108="",0,VLOOKUP(M108,'Dados de consulta'!$H$2:$I$25,2,0))</f>
        <v>0</v>
      </c>
      <c r="AN108">
        <f>IF(N108="",0,VLOOKUP(N108,'Dados de consulta'!$H$2:$I$25,2,0))</f>
        <v>0</v>
      </c>
      <c r="AO108">
        <f>IF(O108="",0,VLOOKUP(O108,'Dados de consulta'!$H$2:$I$25,2,0))</f>
        <v>0</v>
      </c>
      <c r="AP108">
        <f>IF(P108="",0,VLOOKUP(P108,'Dados de consulta'!$H$2:$I$25,2,0))</f>
        <v>0</v>
      </c>
      <c r="AQ108">
        <f>IF(Q108="",0,VLOOKUP(Q108,'Dados de consulta'!$H$2:$I$25,2,0))</f>
        <v>0</v>
      </c>
      <c r="AR108">
        <f>IF(R108="",0,VLOOKUP(R108,'Dados de consulta'!$H$2:$I$25,2,0))</f>
        <v>0</v>
      </c>
      <c r="AS108">
        <f>IF(S108="",0,VLOOKUP(S108,'Dados de consulta'!$H$2:$I$25,2,0))</f>
        <v>0</v>
      </c>
      <c r="AT108">
        <f>IF(T108="",0,VLOOKUP(T108,'Dados de consulta'!$H$2:$I$25,2,0))</f>
        <v>0</v>
      </c>
      <c r="AU108">
        <f>IF(U108="",0,VLOOKUP(U108,'Dados de consulta'!$H$2:$I$25,2,0))</f>
        <v>0</v>
      </c>
      <c r="AV108">
        <f>IF(V108="",0,VLOOKUP(V108,'Dados de consulta'!$H$2:$I$25,2,0))</f>
        <v>0</v>
      </c>
      <c r="AW108">
        <f t="shared" si="10"/>
        <v>0</v>
      </c>
      <c r="AX108">
        <f t="shared" si="11"/>
        <v>0</v>
      </c>
      <c r="AY108">
        <f t="shared" si="12"/>
        <v>0</v>
      </c>
    </row>
    <row r="109" spans="1:54" hidden="1" x14ac:dyDescent="0.2">
      <c r="A109" s="202">
        <v>42366</v>
      </c>
      <c r="B109" s="78" t="s">
        <v>283</v>
      </c>
      <c r="W109">
        <f t="shared" si="7"/>
        <v>0</v>
      </c>
      <c r="X109">
        <f t="shared" si="8"/>
        <v>0</v>
      </c>
      <c r="Y109">
        <f t="shared" si="9"/>
        <v>0</v>
      </c>
      <c r="AA109" s="202">
        <v>42366</v>
      </c>
      <c r="AB109" s="78" t="s">
        <v>283</v>
      </c>
      <c r="AC109">
        <f>IF(C109="",0,VLOOKUP(C109,'Dados de consulta'!$H$2:$I$25,2,0))</f>
        <v>0</v>
      </c>
      <c r="AD109">
        <f>IF(D109="",0,VLOOKUP(D109,'Dados de consulta'!$H$2:$I$25,2,0))</f>
        <v>0</v>
      </c>
      <c r="AE109">
        <f>IF(E109="",0,VLOOKUP(E109,'Dados de consulta'!$H$2:$I$25,2,0))</f>
        <v>0</v>
      </c>
      <c r="AF109">
        <f>IF(F109="",0,VLOOKUP(F109,'Dados de consulta'!$H$2:$I$25,2,0))</f>
        <v>0</v>
      </c>
      <c r="AG109">
        <f>IF(G109="",0,VLOOKUP(G109,'Dados de consulta'!$H$2:$I$25,2,0))</f>
        <v>0</v>
      </c>
      <c r="AH109">
        <f>IF(H109="",0,VLOOKUP(H109,'Dados de consulta'!$H$2:$I$25,2,0))</f>
        <v>0</v>
      </c>
      <c r="AI109">
        <f>IF(I109="",0,VLOOKUP(I109,'Dados de consulta'!$H$2:$I$25,2,0))</f>
        <v>0</v>
      </c>
      <c r="AJ109">
        <f>IF(J109="",0,VLOOKUP(J109,'Dados de consulta'!$H$2:$I$25,2,0))</f>
        <v>0</v>
      </c>
      <c r="AK109">
        <f>IF(K109="",0,VLOOKUP(K109,'Dados de consulta'!$H$2:$I$25,2,0))</f>
        <v>0</v>
      </c>
      <c r="AL109">
        <f>IF(L109="",0,VLOOKUP(L109,'Dados de consulta'!$H$2:$I$25,2,0))</f>
        <v>0</v>
      </c>
      <c r="AM109">
        <f>IF(M109="",0,VLOOKUP(M109,'Dados de consulta'!$H$2:$I$25,2,0))</f>
        <v>0</v>
      </c>
      <c r="AN109">
        <f>IF(N109="",0,VLOOKUP(N109,'Dados de consulta'!$H$2:$I$25,2,0))</f>
        <v>0</v>
      </c>
      <c r="AO109">
        <f>IF(O109="",0,VLOOKUP(O109,'Dados de consulta'!$H$2:$I$25,2,0))</f>
        <v>0</v>
      </c>
      <c r="AP109">
        <f>IF(P109="",0,VLOOKUP(P109,'Dados de consulta'!$H$2:$I$25,2,0))</f>
        <v>0</v>
      </c>
      <c r="AQ109">
        <f>IF(Q109="",0,VLOOKUP(Q109,'Dados de consulta'!$H$2:$I$25,2,0))</f>
        <v>0</v>
      </c>
      <c r="AR109">
        <f>IF(R109="",0,VLOOKUP(R109,'Dados de consulta'!$H$2:$I$25,2,0))</f>
        <v>0</v>
      </c>
      <c r="AS109">
        <f>IF(S109="",0,VLOOKUP(S109,'Dados de consulta'!$H$2:$I$25,2,0))</f>
        <v>0</v>
      </c>
      <c r="AT109">
        <f>IF(T109="",0,VLOOKUP(T109,'Dados de consulta'!$H$2:$I$25,2,0))</f>
        <v>0</v>
      </c>
      <c r="AU109">
        <f>IF(U109="",0,VLOOKUP(U109,'Dados de consulta'!$H$2:$I$25,2,0))</f>
        <v>0</v>
      </c>
      <c r="AV109">
        <f>IF(V109="",0,VLOOKUP(V109,'Dados de consulta'!$H$2:$I$25,2,0))</f>
        <v>0</v>
      </c>
      <c r="AW109">
        <f t="shared" si="10"/>
        <v>0</v>
      </c>
      <c r="AX109">
        <f t="shared" si="11"/>
        <v>0</v>
      </c>
      <c r="AY109">
        <f t="shared" si="12"/>
        <v>0</v>
      </c>
    </row>
    <row r="110" spans="1:54" hidden="1" x14ac:dyDescent="0.2">
      <c r="A110" s="202">
        <v>42367</v>
      </c>
      <c r="B110" s="78" t="s">
        <v>284</v>
      </c>
      <c r="W110">
        <f t="shared" si="7"/>
        <v>0</v>
      </c>
      <c r="X110">
        <f t="shared" si="8"/>
        <v>0</v>
      </c>
      <c r="Y110">
        <f t="shared" si="9"/>
        <v>0</v>
      </c>
      <c r="AA110" s="202">
        <v>42367</v>
      </c>
      <c r="AB110" s="78" t="s">
        <v>284</v>
      </c>
      <c r="AC110">
        <f>IF(C110="",0,VLOOKUP(C110,'Dados de consulta'!$H$2:$I$25,2,0))</f>
        <v>0</v>
      </c>
      <c r="AD110">
        <f>IF(D110="",0,VLOOKUP(D110,'Dados de consulta'!$H$2:$I$25,2,0))</f>
        <v>0</v>
      </c>
      <c r="AE110">
        <f>IF(E110="",0,VLOOKUP(E110,'Dados de consulta'!$H$2:$I$25,2,0))</f>
        <v>0</v>
      </c>
      <c r="AF110">
        <f>IF(F110="",0,VLOOKUP(F110,'Dados de consulta'!$H$2:$I$25,2,0))</f>
        <v>0</v>
      </c>
      <c r="AG110">
        <f>IF(G110="",0,VLOOKUP(G110,'Dados de consulta'!$H$2:$I$25,2,0))</f>
        <v>0</v>
      </c>
      <c r="AH110">
        <f>IF(H110="",0,VLOOKUP(H110,'Dados de consulta'!$H$2:$I$25,2,0))</f>
        <v>0</v>
      </c>
      <c r="AI110">
        <f>IF(I110="",0,VLOOKUP(I110,'Dados de consulta'!$H$2:$I$25,2,0))</f>
        <v>0</v>
      </c>
      <c r="AJ110">
        <f>IF(J110="",0,VLOOKUP(J110,'Dados de consulta'!$H$2:$I$25,2,0))</f>
        <v>0</v>
      </c>
      <c r="AK110">
        <f>IF(K110="",0,VLOOKUP(K110,'Dados de consulta'!$H$2:$I$25,2,0))</f>
        <v>0</v>
      </c>
      <c r="AL110">
        <f>IF(L110="",0,VLOOKUP(L110,'Dados de consulta'!$H$2:$I$25,2,0))</f>
        <v>0</v>
      </c>
      <c r="AM110">
        <f>IF(M110="",0,VLOOKUP(M110,'Dados de consulta'!$H$2:$I$25,2,0))</f>
        <v>0</v>
      </c>
      <c r="AN110">
        <f>IF(N110="",0,VLOOKUP(N110,'Dados de consulta'!$H$2:$I$25,2,0))</f>
        <v>0</v>
      </c>
      <c r="AO110">
        <f>IF(O110="",0,VLOOKUP(O110,'Dados de consulta'!$H$2:$I$25,2,0))</f>
        <v>0</v>
      </c>
      <c r="AP110">
        <f>IF(P110="",0,VLOOKUP(P110,'Dados de consulta'!$H$2:$I$25,2,0))</f>
        <v>0</v>
      </c>
      <c r="AQ110">
        <f>IF(Q110="",0,VLOOKUP(Q110,'Dados de consulta'!$H$2:$I$25,2,0))</f>
        <v>0</v>
      </c>
      <c r="AR110">
        <f>IF(R110="",0,VLOOKUP(R110,'Dados de consulta'!$H$2:$I$25,2,0))</f>
        <v>0</v>
      </c>
      <c r="AS110">
        <f>IF(S110="",0,VLOOKUP(S110,'Dados de consulta'!$H$2:$I$25,2,0))</f>
        <v>0</v>
      </c>
      <c r="AT110">
        <f>IF(T110="",0,VLOOKUP(T110,'Dados de consulta'!$H$2:$I$25,2,0))</f>
        <v>0</v>
      </c>
      <c r="AU110">
        <f>IF(U110="",0,VLOOKUP(U110,'Dados de consulta'!$H$2:$I$25,2,0))</f>
        <v>0</v>
      </c>
      <c r="AV110">
        <f>IF(V110="",0,VLOOKUP(V110,'Dados de consulta'!$H$2:$I$25,2,0))</f>
        <v>0</v>
      </c>
      <c r="AW110">
        <f t="shared" si="10"/>
        <v>0</v>
      </c>
      <c r="AX110">
        <f t="shared" si="11"/>
        <v>0</v>
      </c>
      <c r="AY110">
        <f t="shared" si="12"/>
        <v>0</v>
      </c>
    </row>
    <row r="111" spans="1:54" hidden="1" x14ac:dyDescent="0.2">
      <c r="A111" s="202">
        <v>42368</v>
      </c>
      <c r="B111" s="78" t="s">
        <v>285</v>
      </c>
      <c r="W111">
        <f t="shared" si="7"/>
        <v>0</v>
      </c>
      <c r="X111">
        <f t="shared" si="8"/>
        <v>0</v>
      </c>
      <c r="Y111">
        <f t="shared" si="9"/>
        <v>0</v>
      </c>
      <c r="AA111" s="202">
        <v>42368</v>
      </c>
      <c r="AB111" s="78" t="s">
        <v>285</v>
      </c>
      <c r="AC111">
        <f>IF(C111="",0,VLOOKUP(C111,'Dados de consulta'!$H$2:$I$25,2,0))</f>
        <v>0</v>
      </c>
      <c r="AD111">
        <f>IF(D111="",0,VLOOKUP(D111,'Dados de consulta'!$H$2:$I$25,2,0))</f>
        <v>0</v>
      </c>
      <c r="AE111">
        <f>IF(E111="",0,VLOOKUP(E111,'Dados de consulta'!$H$2:$I$25,2,0))</f>
        <v>0</v>
      </c>
      <c r="AF111">
        <f>IF(F111="",0,VLOOKUP(F111,'Dados de consulta'!$H$2:$I$25,2,0))</f>
        <v>0</v>
      </c>
      <c r="AG111">
        <f>IF(G111="",0,VLOOKUP(G111,'Dados de consulta'!$H$2:$I$25,2,0))</f>
        <v>0</v>
      </c>
      <c r="AH111">
        <f>IF(H111="",0,VLOOKUP(H111,'Dados de consulta'!$H$2:$I$25,2,0))</f>
        <v>0</v>
      </c>
      <c r="AI111">
        <f>IF(I111="",0,VLOOKUP(I111,'Dados de consulta'!$H$2:$I$25,2,0))</f>
        <v>0</v>
      </c>
      <c r="AJ111">
        <f>IF(J111="",0,VLOOKUP(J111,'Dados de consulta'!$H$2:$I$25,2,0))</f>
        <v>0</v>
      </c>
      <c r="AK111">
        <f>IF(K111="",0,VLOOKUP(K111,'Dados de consulta'!$H$2:$I$25,2,0))</f>
        <v>0</v>
      </c>
      <c r="AL111">
        <f>IF(L111="",0,VLOOKUP(L111,'Dados de consulta'!$H$2:$I$25,2,0))</f>
        <v>0</v>
      </c>
      <c r="AM111">
        <f>IF(M111="",0,VLOOKUP(M111,'Dados de consulta'!$H$2:$I$25,2,0))</f>
        <v>0</v>
      </c>
      <c r="AN111">
        <f>IF(N111="",0,VLOOKUP(N111,'Dados de consulta'!$H$2:$I$25,2,0))</f>
        <v>0</v>
      </c>
      <c r="AO111">
        <f>IF(O111="",0,VLOOKUP(O111,'Dados de consulta'!$H$2:$I$25,2,0))</f>
        <v>0</v>
      </c>
      <c r="AP111">
        <f>IF(P111="",0,VLOOKUP(P111,'Dados de consulta'!$H$2:$I$25,2,0))</f>
        <v>0</v>
      </c>
      <c r="AQ111">
        <f>IF(Q111="",0,VLOOKUP(Q111,'Dados de consulta'!$H$2:$I$25,2,0))</f>
        <v>0</v>
      </c>
      <c r="AR111">
        <f>IF(R111="",0,VLOOKUP(R111,'Dados de consulta'!$H$2:$I$25,2,0))</f>
        <v>0</v>
      </c>
      <c r="AS111">
        <f>IF(S111="",0,VLOOKUP(S111,'Dados de consulta'!$H$2:$I$25,2,0))</f>
        <v>0</v>
      </c>
      <c r="AT111">
        <f>IF(T111="",0,VLOOKUP(T111,'Dados de consulta'!$H$2:$I$25,2,0))</f>
        <v>0</v>
      </c>
      <c r="AU111">
        <f>IF(U111="",0,VLOOKUP(U111,'Dados de consulta'!$H$2:$I$25,2,0))</f>
        <v>0</v>
      </c>
      <c r="AV111">
        <f>IF(V111="",0,VLOOKUP(V111,'Dados de consulta'!$H$2:$I$25,2,0))</f>
        <v>0</v>
      </c>
      <c r="AW111">
        <f t="shared" si="10"/>
        <v>0</v>
      </c>
      <c r="AX111">
        <f t="shared" si="11"/>
        <v>0</v>
      </c>
      <c r="AY111">
        <f t="shared" si="12"/>
        <v>0</v>
      </c>
    </row>
    <row r="112" spans="1:54" hidden="1" x14ac:dyDescent="0.2">
      <c r="A112" s="202">
        <v>42369</v>
      </c>
      <c r="B112" s="78" t="s">
        <v>286</v>
      </c>
      <c r="W112">
        <f t="shared" si="7"/>
        <v>0</v>
      </c>
      <c r="X112">
        <f t="shared" si="8"/>
        <v>0</v>
      </c>
      <c r="Y112">
        <f t="shared" si="9"/>
        <v>0</v>
      </c>
      <c r="AA112" s="202">
        <v>42369</v>
      </c>
      <c r="AB112" s="78" t="s">
        <v>286</v>
      </c>
      <c r="AC112">
        <f>IF(C112="",0,VLOOKUP(C112,'Dados de consulta'!$H$2:$I$25,2,0))</f>
        <v>0</v>
      </c>
      <c r="AD112">
        <f>IF(D112="",0,VLOOKUP(D112,'Dados de consulta'!$H$2:$I$25,2,0))</f>
        <v>0</v>
      </c>
      <c r="AE112">
        <f>IF(E112="",0,VLOOKUP(E112,'Dados de consulta'!$H$2:$I$25,2,0))</f>
        <v>0</v>
      </c>
      <c r="AF112">
        <f>IF(F112="",0,VLOOKUP(F112,'Dados de consulta'!$H$2:$I$25,2,0))</f>
        <v>0</v>
      </c>
      <c r="AG112">
        <f>IF(G112="",0,VLOOKUP(G112,'Dados de consulta'!$H$2:$I$25,2,0))</f>
        <v>0</v>
      </c>
      <c r="AH112">
        <f>IF(H112="",0,VLOOKUP(H112,'Dados de consulta'!$H$2:$I$25,2,0))</f>
        <v>0</v>
      </c>
      <c r="AI112">
        <f>IF(I112="",0,VLOOKUP(I112,'Dados de consulta'!$H$2:$I$25,2,0))</f>
        <v>0</v>
      </c>
      <c r="AJ112">
        <f>IF(J112="",0,VLOOKUP(J112,'Dados de consulta'!$H$2:$I$25,2,0))</f>
        <v>0</v>
      </c>
      <c r="AK112">
        <f>IF(K112="",0,VLOOKUP(K112,'Dados de consulta'!$H$2:$I$25,2,0))</f>
        <v>0</v>
      </c>
      <c r="AL112">
        <f>IF(L112="",0,VLOOKUP(L112,'Dados de consulta'!$H$2:$I$25,2,0))</f>
        <v>0</v>
      </c>
      <c r="AM112">
        <f>IF(M112="",0,VLOOKUP(M112,'Dados de consulta'!$H$2:$I$25,2,0))</f>
        <v>0</v>
      </c>
      <c r="AN112">
        <f>IF(N112="",0,VLOOKUP(N112,'Dados de consulta'!$H$2:$I$25,2,0))</f>
        <v>0</v>
      </c>
      <c r="AO112">
        <f>IF(O112="",0,VLOOKUP(O112,'Dados de consulta'!$H$2:$I$25,2,0))</f>
        <v>0</v>
      </c>
      <c r="AP112">
        <f>IF(P112="",0,VLOOKUP(P112,'Dados de consulta'!$H$2:$I$25,2,0))</f>
        <v>0</v>
      </c>
      <c r="AQ112">
        <f>IF(Q112="",0,VLOOKUP(Q112,'Dados de consulta'!$H$2:$I$25,2,0))</f>
        <v>0</v>
      </c>
      <c r="AR112">
        <f>IF(R112="",0,VLOOKUP(R112,'Dados de consulta'!$H$2:$I$25,2,0))</f>
        <v>0</v>
      </c>
      <c r="AS112">
        <f>IF(S112="",0,VLOOKUP(S112,'Dados de consulta'!$H$2:$I$25,2,0))</f>
        <v>0</v>
      </c>
      <c r="AT112">
        <f>IF(T112="",0,VLOOKUP(T112,'Dados de consulta'!$H$2:$I$25,2,0))</f>
        <v>0</v>
      </c>
      <c r="AU112">
        <f>IF(U112="",0,VLOOKUP(U112,'Dados de consulta'!$H$2:$I$25,2,0))</f>
        <v>0</v>
      </c>
      <c r="AV112">
        <f>IF(V112="",0,VLOOKUP(V112,'Dados de consulta'!$H$2:$I$25,2,0))</f>
        <v>0</v>
      </c>
      <c r="AW112">
        <f t="shared" si="10"/>
        <v>0</v>
      </c>
      <c r="AX112">
        <f t="shared" si="11"/>
        <v>0</v>
      </c>
      <c r="AY112">
        <f t="shared" si="12"/>
        <v>0</v>
      </c>
    </row>
    <row r="113" spans="1:51" hidden="1" x14ac:dyDescent="0.2">
      <c r="A113" s="202">
        <v>42370</v>
      </c>
      <c r="B113" s="78" t="s">
        <v>287</v>
      </c>
      <c r="W113">
        <f t="shared" si="7"/>
        <v>0</v>
      </c>
      <c r="X113">
        <f t="shared" si="8"/>
        <v>0</v>
      </c>
      <c r="Y113">
        <f t="shared" si="9"/>
        <v>0</v>
      </c>
      <c r="AA113" s="202">
        <v>42370</v>
      </c>
      <c r="AB113" s="78" t="s">
        <v>287</v>
      </c>
      <c r="AC113">
        <f>IF(C113="",0,VLOOKUP(C113,'Dados de consulta'!$H$2:$I$25,2,0))</f>
        <v>0</v>
      </c>
      <c r="AD113">
        <f>IF(D113="",0,VLOOKUP(D113,'Dados de consulta'!$H$2:$I$25,2,0))</f>
        <v>0</v>
      </c>
      <c r="AE113">
        <f>IF(E113="",0,VLOOKUP(E113,'Dados de consulta'!$H$2:$I$25,2,0))</f>
        <v>0</v>
      </c>
      <c r="AF113">
        <f>IF(F113="",0,VLOOKUP(F113,'Dados de consulta'!$H$2:$I$25,2,0))</f>
        <v>0</v>
      </c>
      <c r="AG113">
        <f>IF(G113="",0,VLOOKUP(G113,'Dados de consulta'!$H$2:$I$25,2,0))</f>
        <v>0</v>
      </c>
      <c r="AH113">
        <f>IF(H113="",0,VLOOKUP(H113,'Dados de consulta'!$H$2:$I$25,2,0))</f>
        <v>0</v>
      </c>
      <c r="AI113">
        <f>IF(I113="",0,VLOOKUP(I113,'Dados de consulta'!$H$2:$I$25,2,0))</f>
        <v>0</v>
      </c>
      <c r="AJ113">
        <f>IF(J113="",0,VLOOKUP(J113,'Dados de consulta'!$H$2:$I$25,2,0))</f>
        <v>0</v>
      </c>
      <c r="AK113">
        <f>IF(K113="",0,VLOOKUP(K113,'Dados de consulta'!$H$2:$I$25,2,0))</f>
        <v>0</v>
      </c>
      <c r="AL113">
        <f>IF(L113="",0,VLOOKUP(L113,'Dados de consulta'!$H$2:$I$25,2,0))</f>
        <v>0</v>
      </c>
      <c r="AM113">
        <f>IF(M113="",0,VLOOKUP(M113,'Dados de consulta'!$H$2:$I$25,2,0))</f>
        <v>0</v>
      </c>
      <c r="AN113">
        <f>IF(N113="",0,VLOOKUP(N113,'Dados de consulta'!$H$2:$I$25,2,0))</f>
        <v>0</v>
      </c>
      <c r="AO113">
        <f>IF(O113="",0,VLOOKUP(O113,'Dados de consulta'!$H$2:$I$25,2,0))</f>
        <v>0</v>
      </c>
      <c r="AP113">
        <f>IF(P113="",0,VLOOKUP(P113,'Dados de consulta'!$H$2:$I$25,2,0))</f>
        <v>0</v>
      </c>
      <c r="AQ113">
        <f>IF(Q113="",0,VLOOKUP(Q113,'Dados de consulta'!$H$2:$I$25,2,0))</f>
        <v>0</v>
      </c>
      <c r="AR113">
        <f>IF(R113="",0,VLOOKUP(R113,'Dados de consulta'!$H$2:$I$25,2,0))</f>
        <v>0</v>
      </c>
      <c r="AS113">
        <f>IF(S113="",0,VLOOKUP(S113,'Dados de consulta'!$H$2:$I$25,2,0))</f>
        <v>0</v>
      </c>
      <c r="AT113">
        <f>IF(T113="",0,VLOOKUP(T113,'Dados de consulta'!$H$2:$I$25,2,0))</f>
        <v>0</v>
      </c>
      <c r="AU113">
        <f>IF(U113="",0,VLOOKUP(U113,'Dados de consulta'!$H$2:$I$25,2,0))</f>
        <v>0</v>
      </c>
      <c r="AV113">
        <f>IF(V113="",0,VLOOKUP(V113,'Dados de consulta'!$H$2:$I$25,2,0))</f>
        <v>0</v>
      </c>
      <c r="AW113">
        <f t="shared" si="10"/>
        <v>0</v>
      </c>
      <c r="AX113">
        <f t="shared" si="11"/>
        <v>0</v>
      </c>
      <c r="AY113">
        <f t="shared" si="12"/>
        <v>0</v>
      </c>
    </row>
    <row r="114" spans="1:51" hidden="1" x14ac:dyDescent="0.2">
      <c r="A114" s="202">
        <v>42371</v>
      </c>
      <c r="B114" s="78" t="s">
        <v>281</v>
      </c>
      <c r="W114">
        <f t="shared" si="7"/>
        <v>0</v>
      </c>
      <c r="X114">
        <f t="shared" si="8"/>
        <v>0</v>
      </c>
      <c r="Y114">
        <f t="shared" si="9"/>
        <v>0</v>
      </c>
      <c r="AA114" s="202">
        <v>42371</v>
      </c>
      <c r="AB114" s="78" t="s">
        <v>281</v>
      </c>
      <c r="AC114">
        <f>IF(C114="",0,VLOOKUP(C114,'Dados de consulta'!$H$2:$I$25,2,0))</f>
        <v>0</v>
      </c>
      <c r="AD114">
        <f>IF(D114="",0,VLOOKUP(D114,'Dados de consulta'!$H$2:$I$25,2,0))</f>
        <v>0</v>
      </c>
      <c r="AE114">
        <f>IF(E114="",0,VLOOKUP(E114,'Dados de consulta'!$H$2:$I$25,2,0))</f>
        <v>0</v>
      </c>
      <c r="AF114">
        <f>IF(F114="",0,VLOOKUP(F114,'Dados de consulta'!$H$2:$I$25,2,0))</f>
        <v>0</v>
      </c>
      <c r="AG114">
        <f>IF(G114="",0,VLOOKUP(G114,'Dados de consulta'!$H$2:$I$25,2,0))</f>
        <v>0</v>
      </c>
      <c r="AH114">
        <f>IF(H114="",0,VLOOKUP(H114,'Dados de consulta'!$H$2:$I$25,2,0))</f>
        <v>0</v>
      </c>
      <c r="AI114">
        <f>IF(I114="",0,VLOOKUP(I114,'Dados de consulta'!$H$2:$I$25,2,0))</f>
        <v>0</v>
      </c>
      <c r="AJ114">
        <f>IF(J114="",0,VLOOKUP(J114,'Dados de consulta'!$H$2:$I$25,2,0))</f>
        <v>0</v>
      </c>
      <c r="AK114">
        <f>IF(K114="",0,VLOOKUP(K114,'Dados de consulta'!$H$2:$I$25,2,0))</f>
        <v>0</v>
      </c>
      <c r="AL114">
        <f>IF(L114="",0,VLOOKUP(L114,'Dados de consulta'!$H$2:$I$25,2,0))</f>
        <v>0</v>
      </c>
      <c r="AM114">
        <f>IF(M114="",0,VLOOKUP(M114,'Dados de consulta'!$H$2:$I$25,2,0))</f>
        <v>0</v>
      </c>
      <c r="AN114">
        <f>IF(N114="",0,VLOOKUP(N114,'Dados de consulta'!$H$2:$I$25,2,0))</f>
        <v>0</v>
      </c>
      <c r="AO114">
        <f>IF(O114="",0,VLOOKUP(O114,'Dados de consulta'!$H$2:$I$25,2,0))</f>
        <v>0</v>
      </c>
      <c r="AP114">
        <f>IF(P114="",0,VLOOKUP(P114,'Dados de consulta'!$H$2:$I$25,2,0))</f>
        <v>0</v>
      </c>
      <c r="AQ114">
        <f>IF(Q114="",0,VLOOKUP(Q114,'Dados de consulta'!$H$2:$I$25,2,0))</f>
        <v>0</v>
      </c>
      <c r="AR114">
        <f>IF(R114="",0,VLOOKUP(R114,'Dados de consulta'!$H$2:$I$25,2,0))</f>
        <v>0</v>
      </c>
      <c r="AS114">
        <f>IF(S114="",0,VLOOKUP(S114,'Dados de consulta'!$H$2:$I$25,2,0))</f>
        <v>0</v>
      </c>
      <c r="AT114">
        <f>IF(T114="",0,VLOOKUP(T114,'Dados de consulta'!$H$2:$I$25,2,0))</f>
        <v>0</v>
      </c>
      <c r="AU114">
        <f>IF(U114="",0,VLOOKUP(U114,'Dados de consulta'!$H$2:$I$25,2,0))</f>
        <v>0</v>
      </c>
      <c r="AV114">
        <f>IF(V114="",0,VLOOKUP(V114,'Dados de consulta'!$H$2:$I$25,2,0))</f>
        <v>0</v>
      </c>
      <c r="AW114">
        <f t="shared" si="10"/>
        <v>0</v>
      </c>
      <c r="AX114">
        <f t="shared" si="11"/>
        <v>0</v>
      </c>
      <c r="AY114">
        <f t="shared" si="12"/>
        <v>0</v>
      </c>
    </row>
    <row r="115" spans="1:51" hidden="1" x14ac:dyDescent="0.2">
      <c r="A115" s="202">
        <v>42372</v>
      </c>
      <c r="B115" s="78" t="s">
        <v>282</v>
      </c>
      <c r="W115">
        <f t="shared" si="7"/>
        <v>0</v>
      </c>
      <c r="X115">
        <f t="shared" si="8"/>
        <v>0</v>
      </c>
      <c r="Y115">
        <f t="shared" si="9"/>
        <v>0</v>
      </c>
      <c r="AA115" s="202">
        <v>42372</v>
      </c>
      <c r="AB115" s="78" t="s">
        <v>282</v>
      </c>
      <c r="AC115">
        <f>IF(C115="",0,VLOOKUP(C115,'Dados de consulta'!$H$2:$I$25,2,0))</f>
        <v>0</v>
      </c>
      <c r="AD115">
        <f>IF(D115="",0,VLOOKUP(D115,'Dados de consulta'!$H$2:$I$25,2,0))</f>
        <v>0</v>
      </c>
      <c r="AE115">
        <f>IF(E115="",0,VLOOKUP(E115,'Dados de consulta'!$H$2:$I$25,2,0))</f>
        <v>0</v>
      </c>
      <c r="AF115">
        <f>IF(F115="",0,VLOOKUP(F115,'Dados de consulta'!$H$2:$I$25,2,0))</f>
        <v>0</v>
      </c>
      <c r="AG115">
        <f>IF(G115="",0,VLOOKUP(G115,'Dados de consulta'!$H$2:$I$25,2,0))</f>
        <v>0</v>
      </c>
      <c r="AH115">
        <f>IF(H115="",0,VLOOKUP(H115,'Dados de consulta'!$H$2:$I$25,2,0))</f>
        <v>0</v>
      </c>
      <c r="AI115">
        <f>IF(I115="",0,VLOOKUP(I115,'Dados de consulta'!$H$2:$I$25,2,0))</f>
        <v>0</v>
      </c>
      <c r="AJ115">
        <f>IF(J115="",0,VLOOKUP(J115,'Dados de consulta'!$H$2:$I$25,2,0))</f>
        <v>0</v>
      </c>
      <c r="AK115">
        <f>IF(K115="",0,VLOOKUP(K115,'Dados de consulta'!$H$2:$I$25,2,0))</f>
        <v>0</v>
      </c>
      <c r="AL115">
        <f>IF(L115="",0,VLOOKUP(L115,'Dados de consulta'!$H$2:$I$25,2,0))</f>
        <v>0</v>
      </c>
      <c r="AM115">
        <f>IF(M115="",0,VLOOKUP(M115,'Dados de consulta'!$H$2:$I$25,2,0))</f>
        <v>0</v>
      </c>
      <c r="AN115">
        <f>IF(N115="",0,VLOOKUP(N115,'Dados de consulta'!$H$2:$I$25,2,0))</f>
        <v>0</v>
      </c>
      <c r="AO115">
        <f>IF(O115="",0,VLOOKUP(O115,'Dados de consulta'!$H$2:$I$25,2,0))</f>
        <v>0</v>
      </c>
      <c r="AP115">
        <f>IF(P115="",0,VLOOKUP(P115,'Dados de consulta'!$H$2:$I$25,2,0))</f>
        <v>0</v>
      </c>
      <c r="AQ115">
        <f>IF(Q115="",0,VLOOKUP(Q115,'Dados de consulta'!$H$2:$I$25,2,0))</f>
        <v>0</v>
      </c>
      <c r="AR115">
        <f>IF(R115="",0,VLOOKUP(R115,'Dados de consulta'!$H$2:$I$25,2,0))</f>
        <v>0</v>
      </c>
      <c r="AS115">
        <f>IF(S115="",0,VLOOKUP(S115,'Dados de consulta'!$H$2:$I$25,2,0))</f>
        <v>0</v>
      </c>
      <c r="AT115">
        <f>IF(T115="",0,VLOOKUP(T115,'Dados de consulta'!$H$2:$I$25,2,0))</f>
        <v>0</v>
      </c>
      <c r="AU115">
        <f>IF(U115="",0,VLOOKUP(U115,'Dados de consulta'!$H$2:$I$25,2,0))</f>
        <v>0</v>
      </c>
      <c r="AV115">
        <f>IF(V115="",0,VLOOKUP(V115,'Dados de consulta'!$H$2:$I$25,2,0))</f>
        <v>0</v>
      </c>
      <c r="AW115">
        <f t="shared" si="10"/>
        <v>0</v>
      </c>
      <c r="AX115">
        <f t="shared" si="11"/>
        <v>0</v>
      </c>
      <c r="AY115">
        <f t="shared" si="12"/>
        <v>0</v>
      </c>
    </row>
    <row r="116" spans="1:51" hidden="1" x14ac:dyDescent="0.2">
      <c r="A116" s="202">
        <v>42373</v>
      </c>
      <c r="B116" s="78" t="s">
        <v>283</v>
      </c>
      <c r="W116">
        <f t="shared" si="7"/>
        <v>0</v>
      </c>
      <c r="X116">
        <f t="shared" si="8"/>
        <v>0</v>
      </c>
      <c r="Y116">
        <f t="shared" si="9"/>
        <v>0</v>
      </c>
      <c r="AA116" s="202">
        <v>42373</v>
      </c>
      <c r="AB116" s="78" t="s">
        <v>283</v>
      </c>
      <c r="AC116">
        <f>IF(C116="",0,VLOOKUP(C116,'Dados de consulta'!$H$2:$I$25,2,0))</f>
        <v>0</v>
      </c>
      <c r="AD116">
        <f>IF(D116="",0,VLOOKUP(D116,'Dados de consulta'!$H$2:$I$25,2,0))</f>
        <v>0</v>
      </c>
      <c r="AE116">
        <f>IF(E116="",0,VLOOKUP(E116,'Dados de consulta'!$H$2:$I$25,2,0))</f>
        <v>0</v>
      </c>
      <c r="AF116">
        <f>IF(F116="",0,VLOOKUP(F116,'Dados de consulta'!$H$2:$I$25,2,0))</f>
        <v>0</v>
      </c>
      <c r="AG116">
        <f>IF(G116="",0,VLOOKUP(G116,'Dados de consulta'!$H$2:$I$25,2,0))</f>
        <v>0</v>
      </c>
      <c r="AH116">
        <f>IF(H116="",0,VLOOKUP(H116,'Dados de consulta'!$H$2:$I$25,2,0))</f>
        <v>0</v>
      </c>
      <c r="AI116">
        <f>IF(I116="",0,VLOOKUP(I116,'Dados de consulta'!$H$2:$I$25,2,0))</f>
        <v>0</v>
      </c>
      <c r="AJ116">
        <f>IF(J116="",0,VLOOKUP(J116,'Dados de consulta'!$H$2:$I$25,2,0))</f>
        <v>0</v>
      </c>
      <c r="AK116">
        <f>IF(K116="",0,VLOOKUP(K116,'Dados de consulta'!$H$2:$I$25,2,0))</f>
        <v>0</v>
      </c>
      <c r="AL116">
        <f>IF(L116="",0,VLOOKUP(L116,'Dados de consulta'!$H$2:$I$25,2,0))</f>
        <v>0</v>
      </c>
      <c r="AM116">
        <f>IF(M116="",0,VLOOKUP(M116,'Dados de consulta'!$H$2:$I$25,2,0))</f>
        <v>0</v>
      </c>
      <c r="AN116">
        <f>IF(N116="",0,VLOOKUP(N116,'Dados de consulta'!$H$2:$I$25,2,0))</f>
        <v>0</v>
      </c>
      <c r="AO116">
        <f>IF(O116="",0,VLOOKUP(O116,'Dados de consulta'!$H$2:$I$25,2,0))</f>
        <v>0</v>
      </c>
      <c r="AP116">
        <f>IF(P116="",0,VLOOKUP(P116,'Dados de consulta'!$H$2:$I$25,2,0))</f>
        <v>0</v>
      </c>
      <c r="AQ116">
        <f>IF(Q116="",0,VLOOKUP(Q116,'Dados de consulta'!$H$2:$I$25,2,0))</f>
        <v>0</v>
      </c>
      <c r="AR116">
        <f>IF(R116="",0,VLOOKUP(R116,'Dados de consulta'!$H$2:$I$25,2,0))</f>
        <v>0</v>
      </c>
      <c r="AS116">
        <f>IF(S116="",0,VLOOKUP(S116,'Dados de consulta'!$H$2:$I$25,2,0))</f>
        <v>0</v>
      </c>
      <c r="AT116">
        <f>IF(T116="",0,VLOOKUP(T116,'Dados de consulta'!$H$2:$I$25,2,0))</f>
        <v>0</v>
      </c>
      <c r="AU116">
        <f>IF(U116="",0,VLOOKUP(U116,'Dados de consulta'!$H$2:$I$25,2,0))</f>
        <v>0</v>
      </c>
      <c r="AV116">
        <f>IF(V116="",0,VLOOKUP(V116,'Dados de consulta'!$H$2:$I$25,2,0))</f>
        <v>0</v>
      </c>
      <c r="AW116">
        <f t="shared" si="10"/>
        <v>0</v>
      </c>
      <c r="AX116">
        <f t="shared" si="11"/>
        <v>0</v>
      </c>
      <c r="AY116">
        <f t="shared" si="12"/>
        <v>0</v>
      </c>
    </row>
    <row r="117" spans="1:51" hidden="1" x14ac:dyDescent="0.2">
      <c r="A117" s="202">
        <v>42374</v>
      </c>
      <c r="B117" s="78" t="s">
        <v>284</v>
      </c>
      <c r="W117">
        <f t="shared" si="7"/>
        <v>0</v>
      </c>
      <c r="X117">
        <f t="shared" si="8"/>
        <v>0</v>
      </c>
      <c r="Y117">
        <f t="shared" si="9"/>
        <v>0</v>
      </c>
      <c r="AA117" s="202">
        <v>42374</v>
      </c>
      <c r="AB117" s="78" t="s">
        <v>284</v>
      </c>
      <c r="AC117">
        <f>IF(C117="",0,VLOOKUP(C117,'Dados de consulta'!$H$2:$I$25,2,0))</f>
        <v>0</v>
      </c>
      <c r="AD117">
        <f>IF(D117="",0,VLOOKUP(D117,'Dados de consulta'!$H$2:$I$25,2,0))</f>
        <v>0</v>
      </c>
      <c r="AE117">
        <f>IF(E117="",0,VLOOKUP(E117,'Dados de consulta'!$H$2:$I$25,2,0))</f>
        <v>0</v>
      </c>
      <c r="AF117">
        <f>IF(F117="",0,VLOOKUP(F117,'Dados de consulta'!$H$2:$I$25,2,0))</f>
        <v>0</v>
      </c>
      <c r="AG117">
        <f>IF(G117="",0,VLOOKUP(G117,'Dados de consulta'!$H$2:$I$25,2,0))</f>
        <v>0</v>
      </c>
      <c r="AH117">
        <f>IF(H117="",0,VLOOKUP(H117,'Dados de consulta'!$H$2:$I$25,2,0))</f>
        <v>0</v>
      </c>
      <c r="AI117">
        <f>IF(I117="",0,VLOOKUP(I117,'Dados de consulta'!$H$2:$I$25,2,0))</f>
        <v>0</v>
      </c>
      <c r="AJ117">
        <f>IF(J117="",0,VLOOKUP(J117,'Dados de consulta'!$H$2:$I$25,2,0))</f>
        <v>0</v>
      </c>
      <c r="AK117">
        <f>IF(K117="",0,VLOOKUP(K117,'Dados de consulta'!$H$2:$I$25,2,0))</f>
        <v>0</v>
      </c>
      <c r="AL117">
        <f>IF(L117="",0,VLOOKUP(L117,'Dados de consulta'!$H$2:$I$25,2,0))</f>
        <v>0</v>
      </c>
      <c r="AM117">
        <f>IF(M117="",0,VLOOKUP(M117,'Dados de consulta'!$H$2:$I$25,2,0))</f>
        <v>0</v>
      </c>
      <c r="AN117">
        <f>IF(N117="",0,VLOOKUP(N117,'Dados de consulta'!$H$2:$I$25,2,0))</f>
        <v>0</v>
      </c>
      <c r="AO117">
        <f>IF(O117="",0,VLOOKUP(O117,'Dados de consulta'!$H$2:$I$25,2,0))</f>
        <v>0</v>
      </c>
      <c r="AP117">
        <f>IF(P117="",0,VLOOKUP(P117,'Dados de consulta'!$H$2:$I$25,2,0))</f>
        <v>0</v>
      </c>
      <c r="AQ117">
        <f>IF(Q117="",0,VLOOKUP(Q117,'Dados de consulta'!$H$2:$I$25,2,0))</f>
        <v>0</v>
      </c>
      <c r="AR117">
        <f>IF(R117="",0,VLOOKUP(R117,'Dados de consulta'!$H$2:$I$25,2,0))</f>
        <v>0</v>
      </c>
      <c r="AS117">
        <f>IF(S117="",0,VLOOKUP(S117,'Dados de consulta'!$H$2:$I$25,2,0))</f>
        <v>0</v>
      </c>
      <c r="AT117">
        <f>IF(T117="",0,VLOOKUP(T117,'Dados de consulta'!$H$2:$I$25,2,0))</f>
        <v>0</v>
      </c>
      <c r="AU117">
        <f>IF(U117="",0,VLOOKUP(U117,'Dados de consulta'!$H$2:$I$25,2,0))</f>
        <v>0</v>
      </c>
      <c r="AV117">
        <f>IF(V117="",0,VLOOKUP(V117,'Dados de consulta'!$H$2:$I$25,2,0))</f>
        <v>0</v>
      </c>
      <c r="AW117">
        <f t="shared" si="10"/>
        <v>0</v>
      </c>
      <c r="AX117">
        <f t="shared" si="11"/>
        <v>0</v>
      </c>
      <c r="AY117">
        <f t="shared" si="12"/>
        <v>0</v>
      </c>
    </row>
    <row r="118" spans="1:51" hidden="1" x14ac:dyDescent="0.2">
      <c r="A118" s="202">
        <v>42375</v>
      </c>
      <c r="B118" s="78" t="s">
        <v>285</v>
      </c>
      <c r="W118">
        <f t="shared" si="7"/>
        <v>0</v>
      </c>
      <c r="X118">
        <f t="shared" si="8"/>
        <v>0</v>
      </c>
      <c r="Y118">
        <f t="shared" si="9"/>
        <v>0</v>
      </c>
      <c r="AA118" s="202">
        <v>42375</v>
      </c>
      <c r="AB118" s="78" t="s">
        <v>285</v>
      </c>
      <c r="AC118">
        <f>IF(C118="",0,VLOOKUP(C118,'Dados de consulta'!$H$2:$I$25,2,0))</f>
        <v>0</v>
      </c>
      <c r="AD118">
        <f>IF(D118="",0,VLOOKUP(D118,'Dados de consulta'!$H$2:$I$25,2,0))</f>
        <v>0</v>
      </c>
      <c r="AE118">
        <f>IF(E118="",0,VLOOKUP(E118,'Dados de consulta'!$H$2:$I$25,2,0))</f>
        <v>0</v>
      </c>
      <c r="AF118">
        <f>IF(F118="",0,VLOOKUP(F118,'Dados de consulta'!$H$2:$I$25,2,0))</f>
        <v>0</v>
      </c>
      <c r="AG118">
        <f>IF(G118="",0,VLOOKUP(G118,'Dados de consulta'!$H$2:$I$25,2,0))</f>
        <v>0</v>
      </c>
      <c r="AH118">
        <f>IF(H118="",0,VLOOKUP(H118,'Dados de consulta'!$H$2:$I$25,2,0))</f>
        <v>0</v>
      </c>
      <c r="AI118">
        <f>IF(I118="",0,VLOOKUP(I118,'Dados de consulta'!$H$2:$I$25,2,0))</f>
        <v>0</v>
      </c>
      <c r="AJ118">
        <f>IF(J118="",0,VLOOKUP(J118,'Dados de consulta'!$H$2:$I$25,2,0))</f>
        <v>0</v>
      </c>
      <c r="AK118">
        <f>IF(K118="",0,VLOOKUP(K118,'Dados de consulta'!$H$2:$I$25,2,0))</f>
        <v>0</v>
      </c>
      <c r="AL118">
        <f>IF(L118="",0,VLOOKUP(L118,'Dados de consulta'!$H$2:$I$25,2,0))</f>
        <v>0</v>
      </c>
      <c r="AM118">
        <f>IF(M118="",0,VLOOKUP(M118,'Dados de consulta'!$H$2:$I$25,2,0))</f>
        <v>0</v>
      </c>
      <c r="AN118">
        <f>IF(N118="",0,VLOOKUP(N118,'Dados de consulta'!$H$2:$I$25,2,0))</f>
        <v>0</v>
      </c>
      <c r="AO118">
        <f>IF(O118="",0,VLOOKUP(O118,'Dados de consulta'!$H$2:$I$25,2,0))</f>
        <v>0</v>
      </c>
      <c r="AP118">
        <f>IF(P118="",0,VLOOKUP(P118,'Dados de consulta'!$H$2:$I$25,2,0))</f>
        <v>0</v>
      </c>
      <c r="AQ118">
        <f>IF(Q118="",0,VLOOKUP(Q118,'Dados de consulta'!$H$2:$I$25,2,0))</f>
        <v>0</v>
      </c>
      <c r="AR118">
        <f>IF(R118="",0,VLOOKUP(R118,'Dados de consulta'!$H$2:$I$25,2,0))</f>
        <v>0</v>
      </c>
      <c r="AS118">
        <f>IF(S118="",0,VLOOKUP(S118,'Dados de consulta'!$H$2:$I$25,2,0))</f>
        <v>0</v>
      </c>
      <c r="AT118">
        <f>IF(T118="",0,VLOOKUP(T118,'Dados de consulta'!$H$2:$I$25,2,0))</f>
        <v>0</v>
      </c>
      <c r="AU118">
        <f>IF(U118="",0,VLOOKUP(U118,'Dados de consulta'!$H$2:$I$25,2,0))</f>
        <v>0</v>
      </c>
      <c r="AV118">
        <f>IF(V118="",0,VLOOKUP(V118,'Dados de consulta'!$H$2:$I$25,2,0))</f>
        <v>0</v>
      </c>
      <c r="AW118">
        <f t="shared" si="10"/>
        <v>0</v>
      </c>
      <c r="AX118">
        <f t="shared" si="11"/>
        <v>0</v>
      </c>
      <c r="AY118">
        <f t="shared" si="12"/>
        <v>0</v>
      </c>
    </row>
    <row r="119" spans="1:51" hidden="1" x14ac:dyDescent="0.2">
      <c r="A119" s="202">
        <v>42376</v>
      </c>
      <c r="B119" s="78" t="s">
        <v>286</v>
      </c>
      <c r="W119">
        <f t="shared" si="7"/>
        <v>0</v>
      </c>
      <c r="X119">
        <f t="shared" si="8"/>
        <v>0</v>
      </c>
      <c r="Y119">
        <f t="shared" si="9"/>
        <v>0</v>
      </c>
      <c r="AA119" s="202">
        <v>42376</v>
      </c>
      <c r="AB119" s="78" t="s">
        <v>286</v>
      </c>
      <c r="AC119">
        <f>IF(C119="",0,VLOOKUP(C119,'Dados de consulta'!$H$2:$I$25,2,0))</f>
        <v>0</v>
      </c>
      <c r="AD119">
        <f>IF(D119="",0,VLOOKUP(D119,'Dados de consulta'!$H$2:$I$25,2,0))</f>
        <v>0</v>
      </c>
      <c r="AE119">
        <f>IF(E119="",0,VLOOKUP(E119,'Dados de consulta'!$H$2:$I$25,2,0))</f>
        <v>0</v>
      </c>
      <c r="AF119">
        <f>IF(F119="",0,VLOOKUP(F119,'Dados de consulta'!$H$2:$I$25,2,0))</f>
        <v>0</v>
      </c>
      <c r="AG119">
        <f>IF(G119="",0,VLOOKUP(G119,'Dados de consulta'!$H$2:$I$25,2,0))</f>
        <v>0</v>
      </c>
      <c r="AH119">
        <f>IF(H119="",0,VLOOKUP(H119,'Dados de consulta'!$H$2:$I$25,2,0))</f>
        <v>0</v>
      </c>
      <c r="AI119">
        <f>IF(I119="",0,VLOOKUP(I119,'Dados de consulta'!$H$2:$I$25,2,0))</f>
        <v>0</v>
      </c>
      <c r="AJ119">
        <f>IF(J119="",0,VLOOKUP(J119,'Dados de consulta'!$H$2:$I$25,2,0))</f>
        <v>0</v>
      </c>
      <c r="AK119">
        <f>IF(K119="",0,VLOOKUP(K119,'Dados de consulta'!$H$2:$I$25,2,0))</f>
        <v>0</v>
      </c>
      <c r="AL119">
        <f>IF(L119="",0,VLOOKUP(L119,'Dados de consulta'!$H$2:$I$25,2,0))</f>
        <v>0</v>
      </c>
      <c r="AM119">
        <f>IF(M119="",0,VLOOKUP(M119,'Dados de consulta'!$H$2:$I$25,2,0))</f>
        <v>0</v>
      </c>
      <c r="AN119">
        <f>IF(N119="",0,VLOOKUP(N119,'Dados de consulta'!$H$2:$I$25,2,0))</f>
        <v>0</v>
      </c>
      <c r="AO119">
        <f>IF(O119="",0,VLOOKUP(O119,'Dados de consulta'!$H$2:$I$25,2,0))</f>
        <v>0</v>
      </c>
      <c r="AP119">
        <f>IF(P119="",0,VLOOKUP(P119,'Dados de consulta'!$H$2:$I$25,2,0))</f>
        <v>0</v>
      </c>
      <c r="AQ119">
        <f>IF(Q119="",0,VLOOKUP(Q119,'Dados de consulta'!$H$2:$I$25,2,0))</f>
        <v>0</v>
      </c>
      <c r="AR119">
        <f>IF(R119="",0,VLOOKUP(R119,'Dados de consulta'!$H$2:$I$25,2,0))</f>
        <v>0</v>
      </c>
      <c r="AS119">
        <f>IF(S119="",0,VLOOKUP(S119,'Dados de consulta'!$H$2:$I$25,2,0))</f>
        <v>0</v>
      </c>
      <c r="AT119">
        <f>IF(T119="",0,VLOOKUP(T119,'Dados de consulta'!$H$2:$I$25,2,0))</f>
        <v>0</v>
      </c>
      <c r="AU119">
        <f>IF(U119="",0,VLOOKUP(U119,'Dados de consulta'!$H$2:$I$25,2,0))</f>
        <v>0</v>
      </c>
      <c r="AV119">
        <f>IF(V119="",0,VLOOKUP(V119,'Dados de consulta'!$H$2:$I$25,2,0))</f>
        <v>0</v>
      </c>
      <c r="AW119">
        <f t="shared" si="10"/>
        <v>0</v>
      </c>
      <c r="AX119">
        <f t="shared" si="11"/>
        <v>0</v>
      </c>
      <c r="AY119">
        <f t="shared" si="12"/>
        <v>0</v>
      </c>
    </row>
    <row r="120" spans="1:51" hidden="1" x14ac:dyDescent="0.2">
      <c r="A120" s="202">
        <v>42377</v>
      </c>
      <c r="B120" s="78" t="s">
        <v>287</v>
      </c>
      <c r="W120">
        <f t="shared" si="7"/>
        <v>0</v>
      </c>
      <c r="X120">
        <f t="shared" si="8"/>
        <v>0</v>
      </c>
      <c r="Y120">
        <f t="shared" si="9"/>
        <v>0</v>
      </c>
      <c r="AA120" s="202">
        <v>42377</v>
      </c>
      <c r="AB120" s="78" t="s">
        <v>287</v>
      </c>
      <c r="AC120">
        <f>IF(C120="",0,VLOOKUP(C120,'Dados de consulta'!$H$2:$I$25,2,0))</f>
        <v>0</v>
      </c>
      <c r="AD120">
        <f>IF(D120="",0,VLOOKUP(D120,'Dados de consulta'!$H$2:$I$25,2,0))</f>
        <v>0</v>
      </c>
      <c r="AE120">
        <f>IF(E120="",0,VLOOKUP(E120,'Dados de consulta'!$H$2:$I$25,2,0))</f>
        <v>0</v>
      </c>
      <c r="AF120">
        <f>IF(F120="",0,VLOOKUP(F120,'Dados de consulta'!$H$2:$I$25,2,0))</f>
        <v>0</v>
      </c>
      <c r="AG120">
        <f>IF(G120="",0,VLOOKUP(G120,'Dados de consulta'!$H$2:$I$25,2,0))</f>
        <v>0</v>
      </c>
      <c r="AH120">
        <f>IF(H120="",0,VLOOKUP(H120,'Dados de consulta'!$H$2:$I$25,2,0))</f>
        <v>0</v>
      </c>
      <c r="AI120">
        <f>IF(I120="",0,VLOOKUP(I120,'Dados de consulta'!$H$2:$I$25,2,0))</f>
        <v>0</v>
      </c>
      <c r="AJ120">
        <f>IF(J120="",0,VLOOKUP(J120,'Dados de consulta'!$H$2:$I$25,2,0))</f>
        <v>0</v>
      </c>
      <c r="AK120">
        <f>IF(K120="",0,VLOOKUP(K120,'Dados de consulta'!$H$2:$I$25,2,0))</f>
        <v>0</v>
      </c>
      <c r="AL120">
        <f>IF(L120="",0,VLOOKUP(L120,'Dados de consulta'!$H$2:$I$25,2,0))</f>
        <v>0</v>
      </c>
      <c r="AM120">
        <f>IF(M120="",0,VLOOKUP(M120,'Dados de consulta'!$H$2:$I$25,2,0))</f>
        <v>0</v>
      </c>
      <c r="AN120">
        <f>IF(N120="",0,VLOOKUP(N120,'Dados de consulta'!$H$2:$I$25,2,0))</f>
        <v>0</v>
      </c>
      <c r="AO120">
        <f>IF(O120="",0,VLOOKUP(O120,'Dados de consulta'!$H$2:$I$25,2,0))</f>
        <v>0</v>
      </c>
      <c r="AP120">
        <f>IF(P120="",0,VLOOKUP(P120,'Dados de consulta'!$H$2:$I$25,2,0))</f>
        <v>0</v>
      </c>
      <c r="AQ120">
        <f>IF(Q120="",0,VLOOKUP(Q120,'Dados de consulta'!$H$2:$I$25,2,0))</f>
        <v>0</v>
      </c>
      <c r="AR120">
        <f>IF(R120="",0,VLOOKUP(R120,'Dados de consulta'!$H$2:$I$25,2,0))</f>
        <v>0</v>
      </c>
      <c r="AS120">
        <f>IF(S120="",0,VLOOKUP(S120,'Dados de consulta'!$H$2:$I$25,2,0))</f>
        <v>0</v>
      </c>
      <c r="AT120">
        <f>IF(T120="",0,VLOOKUP(T120,'Dados de consulta'!$H$2:$I$25,2,0))</f>
        <v>0</v>
      </c>
      <c r="AU120">
        <f>IF(U120="",0,VLOOKUP(U120,'Dados de consulta'!$H$2:$I$25,2,0))</f>
        <v>0</v>
      </c>
      <c r="AV120">
        <f>IF(V120="",0,VLOOKUP(V120,'Dados de consulta'!$H$2:$I$25,2,0))</f>
        <v>0</v>
      </c>
      <c r="AW120">
        <f t="shared" si="10"/>
        <v>0</v>
      </c>
      <c r="AX120">
        <f t="shared" si="11"/>
        <v>0</v>
      </c>
      <c r="AY120">
        <f t="shared" si="12"/>
        <v>0</v>
      </c>
    </row>
    <row r="121" spans="1:51" hidden="1" x14ac:dyDescent="0.2">
      <c r="A121" s="202">
        <v>42378</v>
      </c>
      <c r="B121" s="78" t="s">
        <v>281</v>
      </c>
      <c r="N121" s="78" t="s">
        <v>219</v>
      </c>
      <c r="W121">
        <f t="shared" si="7"/>
        <v>6</v>
      </c>
      <c r="X121">
        <f t="shared" si="8"/>
        <v>0</v>
      </c>
      <c r="Y121">
        <f t="shared" si="9"/>
        <v>0</v>
      </c>
      <c r="AA121" s="202">
        <v>42378</v>
      </c>
      <c r="AB121" s="78" t="s">
        <v>281</v>
      </c>
      <c r="AC121">
        <f>IF(C121="",0,VLOOKUP(C121,'Dados de consulta'!$H$2:$I$25,2,0))</f>
        <v>0</v>
      </c>
      <c r="AD121">
        <f>IF(D121="",0,VLOOKUP(D121,'Dados de consulta'!$H$2:$I$25,2,0))</f>
        <v>0</v>
      </c>
      <c r="AE121">
        <f>IF(E121="",0,VLOOKUP(E121,'Dados de consulta'!$H$2:$I$25,2,0))</f>
        <v>0</v>
      </c>
      <c r="AF121">
        <f>IF(F121="",0,VLOOKUP(F121,'Dados de consulta'!$H$2:$I$25,2,0))</f>
        <v>0</v>
      </c>
      <c r="AG121">
        <f>IF(G121="",0,VLOOKUP(G121,'Dados de consulta'!$H$2:$I$25,2,0))</f>
        <v>0</v>
      </c>
      <c r="AH121">
        <f>IF(H121="",0,VLOOKUP(H121,'Dados de consulta'!$H$2:$I$25,2,0))</f>
        <v>0</v>
      </c>
      <c r="AI121">
        <f>IF(I121="",0,VLOOKUP(I121,'Dados de consulta'!$H$2:$I$25,2,0))</f>
        <v>0</v>
      </c>
      <c r="AJ121">
        <f>IF(J121="",0,VLOOKUP(J121,'Dados de consulta'!$H$2:$I$25,2,0))</f>
        <v>0</v>
      </c>
      <c r="AK121">
        <f>IF(K121="",0,VLOOKUP(K121,'Dados de consulta'!$H$2:$I$25,2,0))</f>
        <v>0</v>
      </c>
      <c r="AL121">
        <f>IF(L121="",0,VLOOKUP(L121,'Dados de consulta'!$H$2:$I$25,2,0))</f>
        <v>0</v>
      </c>
      <c r="AM121">
        <f>IF(M121="",0,VLOOKUP(M121,'Dados de consulta'!$H$2:$I$25,2,0))</f>
        <v>0</v>
      </c>
      <c r="AN121">
        <f>IF(N121="",0,VLOOKUP(N121,'Dados de consulta'!$H$2:$I$25,2,0))</f>
        <v>6</v>
      </c>
      <c r="AO121">
        <f>IF(O121="",0,VLOOKUP(O121,'Dados de consulta'!$H$2:$I$25,2,0))</f>
        <v>0</v>
      </c>
      <c r="AP121">
        <f>IF(P121="",0,VLOOKUP(P121,'Dados de consulta'!$H$2:$I$25,2,0))</f>
        <v>0</v>
      </c>
      <c r="AQ121">
        <f>IF(Q121="",0,VLOOKUP(Q121,'Dados de consulta'!$H$2:$I$25,2,0))</f>
        <v>0</v>
      </c>
      <c r="AR121">
        <f>IF(R121="",0,VLOOKUP(R121,'Dados de consulta'!$H$2:$I$25,2,0))</f>
        <v>0</v>
      </c>
      <c r="AS121">
        <f>IF(S121="",0,VLOOKUP(S121,'Dados de consulta'!$H$2:$I$25,2,0))</f>
        <v>0</v>
      </c>
      <c r="AT121">
        <f>IF(T121="",0,VLOOKUP(T121,'Dados de consulta'!$H$2:$I$25,2,0))</f>
        <v>0</v>
      </c>
      <c r="AU121">
        <f>IF(U121="",0,VLOOKUP(U121,'Dados de consulta'!$H$2:$I$25,2,0))</f>
        <v>0</v>
      </c>
      <c r="AV121">
        <f>IF(V121="",0,VLOOKUP(V121,'Dados de consulta'!$H$2:$I$25,2,0))</f>
        <v>0</v>
      </c>
      <c r="AW121">
        <f t="shared" si="10"/>
        <v>6</v>
      </c>
      <c r="AX121">
        <f t="shared" si="11"/>
        <v>0</v>
      </c>
      <c r="AY121">
        <f t="shared" si="12"/>
        <v>0</v>
      </c>
    </row>
    <row r="122" spans="1:51" hidden="1" x14ac:dyDescent="0.2">
      <c r="A122" s="202">
        <v>42379</v>
      </c>
      <c r="B122" s="78" t="s">
        <v>282</v>
      </c>
      <c r="W122">
        <f t="shared" si="7"/>
        <v>0</v>
      </c>
      <c r="X122">
        <f t="shared" si="8"/>
        <v>0</v>
      </c>
      <c r="Y122">
        <f t="shared" si="9"/>
        <v>0</v>
      </c>
      <c r="AA122" s="202">
        <v>42379</v>
      </c>
      <c r="AB122" s="78" t="s">
        <v>282</v>
      </c>
      <c r="AC122">
        <f>IF(C122="",0,VLOOKUP(C122,'Dados de consulta'!$H$2:$I$25,2,0))</f>
        <v>0</v>
      </c>
      <c r="AD122">
        <f>IF(D122="",0,VLOOKUP(D122,'Dados de consulta'!$H$2:$I$25,2,0))</f>
        <v>0</v>
      </c>
      <c r="AE122">
        <f>IF(E122="",0,VLOOKUP(E122,'Dados de consulta'!$H$2:$I$25,2,0))</f>
        <v>0</v>
      </c>
      <c r="AF122">
        <f>IF(F122="",0,VLOOKUP(F122,'Dados de consulta'!$H$2:$I$25,2,0))</f>
        <v>0</v>
      </c>
      <c r="AG122">
        <f>IF(G122="",0,VLOOKUP(G122,'Dados de consulta'!$H$2:$I$25,2,0))</f>
        <v>0</v>
      </c>
      <c r="AH122">
        <f>IF(H122="",0,VLOOKUP(H122,'Dados de consulta'!$H$2:$I$25,2,0))</f>
        <v>0</v>
      </c>
      <c r="AI122">
        <f>IF(I122="",0,VLOOKUP(I122,'Dados de consulta'!$H$2:$I$25,2,0))</f>
        <v>0</v>
      </c>
      <c r="AJ122">
        <f>IF(J122="",0,VLOOKUP(J122,'Dados de consulta'!$H$2:$I$25,2,0))</f>
        <v>0</v>
      </c>
      <c r="AK122">
        <f>IF(K122="",0,VLOOKUP(K122,'Dados de consulta'!$H$2:$I$25,2,0))</f>
        <v>0</v>
      </c>
      <c r="AL122">
        <f>IF(L122="",0,VLOOKUP(L122,'Dados de consulta'!$H$2:$I$25,2,0))</f>
        <v>0</v>
      </c>
      <c r="AM122">
        <f>IF(M122="",0,VLOOKUP(M122,'Dados de consulta'!$H$2:$I$25,2,0))</f>
        <v>0</v>
      </c>
      <c r="AN122">
        <f>IF(N122="",0,VLOOKUP(N122,'Dados de consulta'!$H$2:$I$25,2,0))</f>
        <v>0</v>
      </c>
      <c r="AO122">
        <f>IF(O122="",0,VLOOKUP(O122,'Dados de consulta'!$H$2:$I$25,2,0))</f>
        <v>0</v>
      </c>
      <c r="AP122">
        <f>IF(P122="",0,VLOOKUP(P122,'Dados de consulta'!$H$2:$I$25,2,0))</f>
        <v>0</v>
      </c>
      <c r="AQ122">
        <f>IF(Q122="",0,VLOOKUP(Q122,'Dados de consulta'!$H$2:$I$25,2,0))</f>
        <v>0</v>
      </c>
      <c r="AR122">
        <f>IF(R122="",0,VLOOKUP(R122,'Dados de consulta'!$H$2:$I$25,2,0))</f>
        <v>0</v>
      </c>
      <c r="AS122">
        <f>IF(S122="",0,VLOOKUP(S122,'Dados de consulta'!$H$2:$I$25,2,0))</f>
        <v>0</v>
      </c>
      <c r="AT122">
        <f>IF(T122="",0,VLOOKUP(T122,'Dados de consulta'!$H$2:$I$25,2,0))</f>
        <v>0</v>
      </c>
      <c r="AU122">
        <f>IF(U122="",0,VLOOKUP(U122,'Dados de consulta'!$H$2:$I$25,2,0))</f>
        <v>0</v>
      </c>
      <c r="AV122">
        <f>IF(V122="",0,VLOOKUP(V122,'Dados de consulta'!$H$2:$I$25,2,0))</f>
        <v>0</v>
      </c>
      <c r="AW122">
        <f t="shared" si="10"/>
        <v>0</v>
      </c>
      <c r="AX122">
        <f t="shared" si="11"/>
        <v>0</v>
      </c>
      <c r="AY122">
        <f t="shared" si="12"/>
        <v>0</v>
      </c>
    </row>
    <row r="123" spans="1:51" hidden="1" x14ac:dyDescent="0.2">
      <c r="A123" s="202">
        <v>42380</v>
      </c>
      <c r="B123" s="78" t="s">
        <v>283</v>
      </c>
      <c r="W123">
        <f t="shared" si="7"/>
        <v>0</v>
      </c>
      <c r="X123">
        <f t="shared" si="8"/>
        <v>0</v>
      </c>
      <c r="Y123">
        <f t="shared" si="9"/>
        <v>0</v>
      </c>
      <c r="AA123" s="202">
        <v>42380</v>
      </c>
      <c r="AB123" s="78" t="s">
        <v>283</v>
      </c>
      <c r="AC123">
        <f>IF(C123="",0,VLOOKUP(C123,'Dados de consulta'!$H$2:$I$25,2,0))</f>
        <v>0</v>
      </c>
      <c r="AD123">
        <f>IF(D123="",0,VLOOKUP(D123,'Dados de consulta'!$H$2:$I$25,2,0))</f>
        <v>0</v>
      </c>
      <c r="AE123">
        <f>IF(E123="",0,VLOOKUP(E123,'Dados de consulta'!$H$2:$I$25,2,0))</f>
        <v>0</v>
      </c>
      <c r="AF123">
        <f>IF(F123="",0,VLOOKUP(F123,'Dados de consulta'!$H$2:$I$25,2,0))</f>
        <v>0</v>
      </c>
      <c r="AG123">
        <f>IF(G123="",0,VLOOKUP(G123,'Dados de consulta'!$H$2:$I$25,2,0))</f>
        <v>0</v>
      </c>
      <c r="AH123">
        <f>IF(H123="",0,VLOOKUP(H123,'Dados de consulta'!$H$2:$I$25,2,0))</f>
        <v>0</v>
      </c>
      <c r="AI123">
        <f>IF(I123="",0,VLOOKUP(I123,'Dados de consulta'!$H$2:$I$25,2,0))</f>
        <v>0</v>
      </c>
      <c r="AJ123">
        <f>IF(J123="",0,VLOOKUP(J123,'Dados de consulta'!$H$2:$I$25,2,0))</f>
        <v>0</v>
      </c>
      <c r="AK123">
        <f>IF(K123="",0,VLOOKUP(K123,'Dados de consulta'!$H$2:$I$25,2,0))</f>
        <v>0</v>
      </c>
      <c r="AL123">
        <f>IF(L123="",0,VLOOKUP(L123,'Dados de consulta'!$H$2:$I$25,2,0))</f>
        <v>0</v>
      </c>
      <c r="AM123">
        <f>IF(M123="",0,VLOOKUP(M123,'Dados de consulta'!$H$2:$I$25,2,0))</f>
        <v>0</v>
      </c>
      <c r="AN123">
        <f>IF(N123="",0,VLOOKUP(N123,'Dados de consulta'!$H$2:$I$25,2,0))</f>
        <v>0</v>
      </c>
      <c r="AO123">
        <f>IF(O123="",0,VLOOKUP(O123,'Dados de consulta'!$H$2:$I$25,2,0))</f>
        <v>0</v>
      </c>
      <c r="AP123">
        <f>IF(P123="",0,VLOOKUP(P123,'Dados de consulta'!$H$2:$I$25,2,0))</f>
        <v>0</v>
      </c>
      <c r="AQ123">
        <f>IF(Q123="",0,VLOOKUP(Q123,'Dados de consulta'!$H$2:$I$25,2,0))</f>
        <v>0</v>
      </c>
      <c r="AR123">
        <f>IF(R123="",0,VLOOKUP(R123,'Dados de consulta'!$H$2:$I$25,2,0))</f>
        <v>0</v>
      </c>
      <c r="AS123">
        <f>IF(S123="",0,VLOOKUP(S123,'Dados de consulta'!$H$2:$I$25,2,0))</f>
        <v>0</v>
      </c>
      <c r="AT123">
        <f>IF(T123="",0,VLOOKUP(T123,'Dados de consulta'!$H$2:$I$25,2,0))</f>
        <v>0</v>
      </c>
      <c r="AU123">
        <f>IF(U123="",0,VLOOKUP(U123,'Dados de consulta'!$H$2:$I$25,2,0))</f>
        <v>0</v>
      </c>
      <c r="AV123">
        <f>IF(V123="",0,VLOOKUP(V123,'Dados de consulta'!$H$2:$I$25,2,0))</f>
        <v>0</v>
      </c>
      <c r="AW123">
        <f t="shared" si="10"/>
        <v>0</v>
      </c>
      <c r="AX123">
        <f t="shared" si="11"/>
        <v>0</v>
      </c>
      <c r="AY123">
        <f t="shared" si="12"/>
        <v>0</v>
      </c>
    </row>
    <row r="124" spans="1:51" hidden="1" x14ac:dyDescent="0.2">
      <c r="A124" s="202">
        <v>42381</v>
      </c>
      <c r="B124" s="78" t="s">
        <v>284</v>
      </c>
      <c r="W124">
        <f t="shared" si="7"/>
        <v>0</v>
      </c>
      <c r="X124">
        <f t="shared" si="8"/>
        <v>0</v>
      </c>
      <c r="Y124">
        <f t="shared" si="9"/>
        <v>0</v>
      </c>
      <c r="AA124" s="202">
        <v>42381</v>
      </c>
      <c r="AB124" s="78" t="s">
        <v>284</v>
      </c>
      <c r="AC124">
        <f>IF(C124="",0,VLOOKUP(C124,'Dados de consulta'!$H$2:$I$25,2,0))</f>
        <v>0</v>
      </c>
      <c r="AD124">
        <f>IF(D124="",0,VLOOKUP(D124,'Dados de consulta'!$H$2:$I$25,2,0))</f>
        <v>0</v>
      </c>
      <c r="AE124">
        <f>IF(E124="",0,VLOOKUP(E124,'Dados de consulta'!$H$2:$I$25,2,0))</f>
        <v>0</v>
      </c>
      <c r="AF124">
        <f>IF(F124="",0,VLOOKUP(F124,'Dados de consulta'!$H$2:$I$25,2,0))</f>
        <v>0</v>
      </c>
      <c r="AG124">
        <f>IF(G124="",0,VLOOKUP(G124,'Dados de consulta'!$H$2:$I$25,2,0))</f>
        <v>0</v>
      </c>
      <c r="AH124">
        <f>IF(H124="",0,VLOOKUP(H124,'Dados de consulta'!$H$2:$I$25,2,0))</f>
        <v>0</v>
      </c>
      <c r="AI124">
        <f>IF(I124="",0,VLOOKUP(I124,'Dados de consulta'!$H$2:$I$25,2,0))</f>
        <v>0</v>
      </c>
      <c r="AJ124">
        <f>IF(J124="",0,VLOOKUP(J124,'Dados de consulta'!$H$2:$I$25,2,0))</f>
        <v>0</v>
      </c>
      <c r="AK124">
        <f>IF(K124="",0,VLOOKUP(K124,'Dados de consulta'!$H$2:$I$25,2,0))</f>
        <v>0</v>
      </c>
      <c r="AL124">
        <f>IF(L124="",0,VLOOKUP(L124,'Dados de consulta'!$H$2:$I$25,2,0))</f>
        <v>0</v>
      </c>
      <c r="AM124">
        <f>IF(M124="",0,VLOOKUP(M124,'Dados de consulta'!$H$2:$I$25,2,0))</f>
        <v>0</v>
      </c>
      <c r="AN124">
        <f>IF(N124="",0,VLOOKUP(N124,'Dados de consulta'!$H$2:$I$25,2,0))</f>
        <v>0</v>
      </c>
      <c r="AO124">
        <f>IF(O124="",0,VLOOKUP(O124,'Dados de consulta'!$H$2:$I$25,2,0))</f>
        <v>0</v>
      </c>
      <c r="AP124">
        <f>IF(P124="",0,VLOOKUP(P124,'Dados de consulta'!$H$2:$I$25,2,0))</f>
        <v>0</v>
      </c>
      <c r="AQ124">
        <f>IF(Q124="",0,VLOOKUP(Q124,'Dados de consulta'!$H$2:$I$25,2,0))</f>
        <v>0</v>
      </c>
      <c r="AR124">
        <f>IF(R124="",0,VLOOKUP(R124,'Dados de consulta'!$H$2:$I$25,2,0))</f>
        <v>0</v>
      </c>
      <c r="AS124">
        <f>IF(S124="",0,VLOOKUP(S124,'Dados de consulta'!$H$2:$I$25,2,0))</f>
        <v>0</v>
      </c>
      <c r="AT124">
        <f>IF(T124="",0,VLOOKUP(T124,'Dados de consulta'!$H$2:$I$25,2,0))</f>
        <v>0</v>
      </c>
      <c r="AU124">
        <f>IF(U124="",0,VLOOKUP(U124,'Dados de consulta'!$H$2:$I$25,2,0))</f>
        <v>0</v>
      </c>
      <c r="AV124">
        <f>IF(V124="",0,VLOOKUP(V124,'Dados de consulta'!$H$2:$I$25,2,0))</f>
        <v>0</v>
      </c>
      <c r="AW124">
        <f t="shared" si="10"/>
        <v>0</v>
      </c>
      <c r="AX124">
        <f t="shared" si="11"/>
        <v>0</v>
      </c>
      <c r="AY124">
        <f t="shared" si="12"/>
        <v>0</v>
      </c>
    </row>
    <row r="125" spans="1:51" hidden="1" x14ac:dyDescent="0.2">
      <c r="A125" s="202">
        <v>42382</v>
      </c>
      <c r="B125" s="78" t="s">
        <v>285</v>
      </c>
      <c r="W125">
        <f t="shared" si="7"/>
        <v>0</v>
      </c>
      <c r="X125">
        <f t="shared" si="8"/>
        <v>0</v>
      </c>
      <c r="Y125">
        <f t="shared" si="9"/>
        <v>0</v>
      </c>
      <c r="AA125" s="202">
        <v>42382</v>
      </c>
      <c r="AB125" s="78" t="s">
        <v>285</v>
      </c>
      <c r="AC125">
        <f>IF(C125="",0,VLOOKUP(C125,'Dados de consulta'!$H$2:$I$25,2,0))</f>
        <v>0</v>
      </c>
      <c r="AD125">
        <f>IF(D125="",0,VLOOKUP(D125,'Dados de consulta'!$H$2:$I$25,2,0))</f>
        <v>0</v>
      </c>
      <c r="AE125">
        <f>IF(E125="",0,VLOOKUP(E125,'Dados de consulta'!$H$2:$I$25,2,0))</f>
        <v>0</v>
      </c>
      <c r="AF125">
        <f>IF(F125="",0,VLOOKUP(F125,'Dados de consulta'!$H$2:$I$25,2,0))</f>
        <v>0</v>
      </c>
      <c r="AG125">
        <f>IF(G125="",0,VLOOKUP(G125,'Dados de consulta'!$H$2:$I$25,2,0))</f>
        <v>0</v>
      </c>
      <c r="AH125">
        <f>IF(H125="",0,VLOOKUP(H125,'Dados de consulta'!$H$2:$I$25,2,0))</f>
        <v>0</v>
      </c>
      <c r="AI125">
        <f>IF(I125="",0,VLOOKUP(I125,'Dados de consulta'!$H$2:$I$25,2,0))</f>
        <v>0</v>
      </c>
      <c r="AJ125">
        <f>IF(J125="",0,VLOOKUP(J125,'Dados de consulta'!$H$2:$I$25,2,0))</f>
        <v>0</v>
      </c>
      <c r="AK125">
        <f>IF(K125="",0,VLOOKUP(K125,'Dados de consulta'!$H$2:$I$25,2,0))</f>
        <v>0</v>
      </c>
      <c r="AL125">
        <f>IF(L125="",0,VLOOKUP(L125,'Dados de consulta'!$H$2:$I$25,2,0))</f>
        <v>0</v>
      </c>
      <c r="AM125">
        <f>IF(M125="",0,VLOOKUP(M125,'Dados de consulta'!$H$2:$I$25,2,0))</f>
        <v>0</v>
      </c>
      <c r="AN125">
        <f>IF(N125="",0,VLOOKUP(N125,'Dados de consulta'!$H$2:$I$25,2,0))</f>
        <v>0</v>
      </c>
      <c r="AO125">
        <f>IF(O125="",0,VLOOKUP(O125,'Dados de consulta'!$H$2:$I$25,2,0))</f>
        <v>0</v>
      </c>
      <c r="AP125">
        <f>IF(P125="",0,VLOOKUP(P125,'Dados de consulta'!$H$2:$I$25,2,0))</f>
        <v>0</v>
      </c>
      <c r="AQ125">
        <f>IF(Q125="",0,VLOOKUP(Q125,'Dados de consulta'!$H$2:$I$25,2,0))</f>
        <v>0</v>
      </c>
      <c r="AR125">
        <f>IF(R125="",0,VLOOKUP(R125,'Dados de consulta'!$H$2:$I$25,2,0))</f>
        <v>0</v>
      </c>
      <c r="AS125">
        <f>IF(S125="",0,VLOOKUP(S125,'Dados de consulta'!$H$2:$I$25,2,0))</f>
        <v>0</v>
      </c>
      <c r="AT125">
        <f>IF(T125="",0,VLOOKUP(T125,'Dados de consulta'!$H$2:$I$25,2,0))</f>
        <v>0</v>
      </c>
      <c r="AU125">
        <f>IF(U125="",0,VLOOKUP(U125,'Dados de consulta'!$H$2:$I$25,2,0))</f>
        <v>0</v>
      </c>
      <c r="AV125">
        <f>IF(V125="",0,VLOOKUP(V125,'Dados de consulta'!$H$2:$I$25,2,0))</f>
        <v>0</v>
      </c>
      <c r="AW125">
        <f t="shared" si="10"/>
        <v>0</v>
      </c>
      <c r="AX125">
        <f t="shared" si="11"/>
        <v>0</v>
      </c>
      <c r="AY125">
        <f t="shared" si="12"/>
        <v>0</v>
      </c>
    </row>
    <row r="126" spans="1:51" hidden="1" x14ac:dyDescent="0.2">
      <c r="A126" s="202">
        <v>42383</v>
      </c>
      <c r="B126" s="78" t="s">
        <v>286</v>
      </c>
      <c r="W126">
        <f t="shared" si="7"/>
        <v>0</v>
      </c>
      <c r="X126">
        <f t="shared" si="8"/>
        <v>0</v>
      </c>
      <c r="Y126">
        <f t="shared" si="9"/>
        <v>0</v>
      </c>
      <c r="AA126" s="202">
        <v>42383</v>
      </c>
      <c r="AB126" s="78" t="s">
        <v>286</v>
      </c>
      <c r="AC126">
        <f>IF(C126="",0,VLOOKUP(C126,'Dados de consulta'!$H$2:$I$25,2,0))</f>
        <v>0</v>
      </c>
      <c r="AD126">
        <f>IF(D126="",0,VLOOKUP(D126,'Dados de consulta'!$H$2:$I$25,2,0))</f>
        <v>0</v>
      </c>
      <c r="AE126">
        <f>IF(E126="",0,VLOOKUP(E126,'Dados de consulta'!$H$2:$I$25,2,0))</f>
        <v>0</v>
      </c>
      <c r="AF126">
        <f>IF(F126="",0,VLOOKUP(F126,'Dados de consulta'!$H$2:$I$25,2,0))</f>
        <v>0</v>
      </c>
      <c r="AG126">
        <f>IF(G126="",0,VLOOKUP(G126,'Dados de consulta'!$H$2:$I$25,2,0))</f>
        <v>0</v>
      </c>
      <c r="AH126">
        <f>IF(H126="",0,VLOOKUP(H126,'Dados de consulta'!$H$2:$I$25,2,0))</f>
        <v>0</v>
      </c>
      <c r="AI126">
        <f>IF(I126="",0,VLOOKUP(I126,'Dados de consulta'!$H$2:$I$25,2,0))</f>
        <v>0</v>
      </c>
      <c r="AJ126">
        <f>IF(J126="",0,VLOOKUP(J126,'Dados de consulta'!$H$2:$I$25,2,0))</f>
        <v>0</v>
      </c>
      <c r="AK126">
        <f>IF(K126="",0,VLOOKUP(K126,'Dados de consulta'!$H$2:$I$25,2,0))</f>
        <v>0</v>
      </c>
      <c r="AL126">
        <f>IF(L126="",0,VLOOKUP(L126,'Dados de consulta'!$H$2:$I$25,2,0))</f>
        <v>0</v>
      </c>
      <c r="AM126">
        <f>IF(M126="",0,VLOOKUP(M126,'Dados de consulta'!$H$2:$I$25,2,0))</f>
        <v>0</v>
      </c>
      <c r="AN126">
        <f>IF(N126="",0,VLOOKUP(N126,'Dados de consulta'!$H$2:$I$25,2,0))</f>
        <v>0</v>
      </c>
      <c r="AO126">
        <f>IF(O126="",0,VLOOKUP(O126,'Dados de consulta'!$H$2:$I$25,2,0))</f>
        <v>0</v>
      </c>
      <c r="AP126">
        <f>IF(P126="",0,VLOOKUP(P126,'Dados de consulta'!$H$2:$I$25,2,0))</f>
        <v>0</v>
      </c>
      <c r="AQ126">
        <f>IF(Q126="",0,VLOOKUP(Q126,'Dados de consulta'!$H$2:$I$25,2,0))</f>
        <v>0</v>
      </c>
      <c r="AR126">
        <f>IF(R126="",0,VLOOKUP(R126,'Dados de consulta'!$H$2:$I$25,2,0))</f>
        <v>0</v>
      </c>
      <c r="AS126">
        <f>IF(S126="",0,VLOOKUP(S126,'Dados de consulta'!$H$2:$I$25,2,0))</f>
        <v>0</v>
      </c>
      <c r="AT126">
        <f>IF(T126="",0,VLOOKUP(T126,'Dados de consulta'!$H$2:$I$25,2,0))</f>
        <v>0</v>
      </c>
      <c r="AU126">
        <f>IF(U126="",0,VLOOKUP(U126,'Dados de consulta'!$H$2:$I$25,2,0))</f>
        <v>0</v>
      </c>
      <c r="AV126">
        <f>IF(V126="",0,VLOOKUP(V126,'Dados de consulta'!$H$2:$I$25,2,0))</f>
        <v>0</v>
      </c>
      <c r="AW126">
        <f t="shared" si="10"/>
        <v>0</v>
      </c>
      <c r="AX126">
        <f t="shared" si="11"/>
        <v>0</v>
      </c>
      <c r="AY126">
        <f t="shared" si="12"/>
        <v>0</v>
      </c>
    </row>
    <row r="127" spans="1:51" hidden="1" x14ac:dyDescent="0.2">
      <c r="A127" s="202">
        <v>42384</v>
      </c>
      <c r="B127" s="78" t="s">
        <v>287</v>
      </c>
      <c r="W127">
        <f t="shared" si="7"/>
        <v>0</v>
      </c>
      <c r="X127">
        <f t="shared" si="8"/>
        <v>0</v>
      </c>
      <c r="Y127">
        <f t="shared" si="9"/>
        <v>0</v>
      </c>
      <c r="AA127" s="202">
        <v>42384</v>
      </c>
      <c r="AB127" s="78" t="s">
        <v>287</v>
      </c>
      <c r="AC127">
        <f>IF(C127="",0,VLOOKUP(C127,'Dados de consulta'!$H$2:$I$25,2,0))</f>
        <v>0</v>
      </c>
      <c r="AD127">
        <f>IF(D127="",0,VLOOKUP(D127,'Dados de consulta'!$H$2:$I$25,2,0))</f>
        <v>0</v>
      </c>
      <c r="AE127">
        <f>IF(E127="",0,VLOOKUP(E127,'Dados de consulta'!$H$2:$I$25,2,0))</f>
        <v>0</v>
      </c>
      <c r="AF127">
        <f>IF(F127="",0,VLOOKUP(F127,'Dados de consulta'!$H$2:$I$25,2,0))</f>
        <v>0</v>
      </c>
      <c r="AG127">
        <f>IF(G127="",0,VLOOKUP(G127,'Dados de consulta'!$H$2:$I$25,2,0))</f>
        <v>0</v>
      </c>
      <c r="AH127">
        <f>IF(H127="",0,VLOOKUP(H127,'Dados de consulta'!$H$2:$I$25,2,0))</f>
        <v>0</v>
      </c>
      <c r="AI127">
        <f>IF(I127="",0,VLOOKUP(I127,'Dados de consulta'!$H$2:$I$25,2,0))</f>
        <v>0</v>
      </c>
      <c r="AJ127">
        <f>IF(J127="",0,VLOOKUP(J127,'Dados de consulta'!$H$2:$I$25,2,0))</f>
        <v>0</v>
      </c>
      <c r="AK127">
        <f>IF(K127="",0,VLOOKUP(K127,'Dados de consulta'!$H$2:$I$25,2,0))</f>
        <v>0</v>
      </c>
      <c r="AL127">
        <f>IF(L127="",0,VLOOKUP(L127,'Dados de consulta'!$H$2:$I$25,2,0))</f>
        <v>0</v>
      </c>
      <c r="AM127">
        <f>IF(M127="",0,VLOOKUP(M127,'Dados de consulta'!$H$2:$I$25,2,0))</f>
        <v>0</v>
      </c>
      <c r="AN127">
        <f>IF(N127="",0,VLOOKUP(N127,'Dados de consulta'!$H$2:$I$25,2,0))</f>
        <v>0</v>
      </c>
      <c r="AO127">
        <f>IF(O127="",0,VLOOKUP(O127,'Dados de consulta'!$H$2:$I$25,2,0))</f>
        <v>0</v>
      </c>
      <c r="AP127">
        <f>IF(P127="",0,VLOOKUP(P127,'Dados de consulta'!$H$2:$I$25,2,0))</f>
        <v>0</v>
      </c>
      <c r="AQ127">
        <f>IF(Q127="",0,VLOOKUP(Q127,'Dados de consulta'!$H$2:$I$25,2,0))</f>
        <v>0</v>
      </c>
      <c r="AR127">
        <f>IF(R127="",0,VLOOKUP(R127,'Dados de consulta'!$H$2:$I$25,2,0))</f>
        <v>0</v>
      </c>
      <c r="AS127">
        <f>IF(S127="",0,VLOOKUP(S127,'Dados de consulta'!$H$2:$I$25,2,0))</f>
        <v>0</v>
      </c>
      <c r="AT127">
        <f>IF(T127="",0,VLOOKUP(T127,'Dados de consulta'!$H$2:$I$25,2,0))</f>
        <v>0</v>
      </c>
      <c r="AU127">
        <f>IF(U127="",0,VLOOKUP(U127,'Dados de consulta'!$H$2:$I$25,2,0))</f>
        <v>0</v>
      </c>
      <c r="AV127">
        <f>IF(V127="",0,VLOOKUP(V127,'Dados de consulta'!$H$2:$I$25,2,0))</f>
        <v>0</v>
      </c>
      <c r="AW127">
        <f t="shared" si="10"/>
        <v>0</v>
      </c>
      <c r="AX127">
        <f t="shared" si="11"/>
        <v>0</v>
      </c>
      <c r="AY127">
        <f t="shared" si="12"/>
        <v>0</v>
      </c>
    </row>
    <row r="128" spans="1:51" hidden="1" x14ac:dyDescent="0.2">
      <c r="A128" s="202">
        <v>42385</v>
      </c>
      <c r="B128" s="78" t="s">
        <v>281</v>
      </c>
      <c r="C128" s="78" t="s">
        <v>219</v>
      </c>
      <c r="G128" s="78" t="s">
        <v>219</v>
      </c>
      <c r="I128" s="78" t="s">
        <v>219</v>
      </c>
      <c r="J128" s="78" t="s">
        <v>219</v>
      </c>
      <c r="L128" s="78" t="s">
        <v>219</v>
      </c>
      <c r="N128" s="78" t="s">
        <v>219</v>
      </c>
      <c r="S128" s="78" t="s">
        <v>219</v>
      </c>
      <c r="W128">
        <f t="shared" si="7"/>
        <v>42</v>
      </c>
      <c r="X128">
        <f t="shared" si="8"/>
        <v>0</v>
      </c>
      <c r="Y128">
        <f t="shared" si="9"/>
        <v>0</v>
      </c>
      <c r="AA128" s="202">
        <v>42385</v>
      </c>
      <c r="AB128" s="78" t="s">
        <v>281</v>
      </c>
      <c r="AC128">
        <f>IF(C128="",0,VLOOKUP(C128,'Dados de consulta'!$H$2:$I$25,2,0))</f>
        <v>6</v>
      </c>
      <c r="AD128">
        <f>IF(D128="",0,VLOOKUP(D128,'Dados de consulta'!$H$2:$I$25,2,0))</f>
        <v>0</v>
      </c>
      <c r="AE128">
        <f>IF(E128="",0,VLOOKUP(E128,'Dados de consulta'!$H$2:$I$25,2,0))</f>
        <v>0</v>
      </c>
      <c r="AF128">
        <f>IF(F128="",0,VLOOKUP(F128,'Dados de consulta'!$H$2:$I$25,2,0))</f>
        <v>0</v>
      </c>
      <c r="AG128">
        <f>IF(G128="",0,VLOOKUP(G128,'Dados de consulta'!$H$2:$I$25,2,0))</f>
        <v>6</v>
      </c>
      <c r="AH128">
        <f>IF(H128="",0,VLOOKUP(H128,'Dados de consulta'!$H$2:$I$25,2,0))</f>
        <v>0</v>
      </c>
      <c r="AI128">
        <f>IF(I128="",0,VLOOKUP(I128,'Dados de consulta'!$H$2:$I$25,2,0))</f>
        <v>6</v>
      </c>
      <c r="AJ128">
        <f>IF(J128="",0,VLOOKUP(J128,'Dados de consulta'!$H$2:$I$25,2,0))</f>
        <v>6</v>
      </c>
      <c r="AK128">
        <f>IF(K128="",0,VLOOKUP(K128,'Dados de consulta'!$H$2:$I$25,2,0))</f>
        <v>0</v>
      </c>
      <c r="AL128">
        <f>IF(L128="",0,VLOOKUP(L128,'Dados de consulta'!$H$2:$I$25,2,0))</f>
        <v>6</v>
      </c>
      <c r="AM128">
        <f>IF(M128="",0,VLOOKUP(M128,'Dados de consulta'!$H$2:$I$25,2,0))</f>
        <v>0</v>
      </c>
      <c r="AN128">
        <f>IF(N128="",0,VLOOKUP(N128,'Dados de consulta'!$H$2:$I$25,2,0))</f>
        <v>6</v>
      </c>
      <c r="AO128">
        <f>IF(O128="",0,VLOOKUP(O128,'Dados de consulta'!$H$2:$I$25,2,0))</f>
        <v>0</v>
      </c>
      <c r="AP128">
        <f>IF(P128="",0,VLOOKUP(P128,'Dados de consulta'!$H$2:$I$25,2,0))</f>
        <v>0</v>
      </c>
      <c r="AQ128">
        <f>IF(Q128="",0,VLOOKUP(Q128,'Dados de consulta'!$H$2:$I$25,2,0))</f>
        <v>0</v>
      </c>
      <c r="AR128">
        <f>IF(R128="",0,VLOOKUP(R128,'Dados de consulta'!$H$2:$I$25,2,0))</f>
        <v>0</v>
      </c>
      <c r="AS128">
        <f>IF(S128="",0,VLOOKUP(S128,'Dados de consulta'!$H$2:$I$25,2,0))</f>
        <v>6</v>
      </c>
      <c r="AT128">
        <f>IF(T128="",0,VLOOKUP(T128,'Dados de consulta'!$H$2:$I$25,2,0))</f>
        <v>0</v>
      </c>
      <c r="AU128">
        <f>IF(U128="",0,VLOOKUP(U128,'Dados de consulta'!$H$2:$I$25,2,0))</f>
        <v>0</v>
      </c>
      <c r="AV128">
        <f>IF(V128="",0,VLOOKUP(V128,'Dados de consulta'!$H$2:$I$25,2,0))</f>
        <v>0</v>
      </c>
      <c r="AW128">
        <f t="shared" si="10"/>
        <v>42</v>
      </c>
      <c r="AX128">
        <f t="shared" si="11"/>
        <v>0</v>
      </c>
      <c r="AY128">
        <f t="shared" si="12"/>
        <v>0</v>
      </c>
    </row>
    <row r="129" spans="1:51" hidden="1" x14ac:dyDescent="0.2">
      <c r="A129" s="202">
        <v>42386</v>
      </c>
      <c r="B129" s="78" t="s">
        <v>282</v>
      </c>
      <c r="W129">
        <f t="shared" si="7"/>
        <v>0</v>
      </c>
      <c r="X129">
        <f t="shared" si="8"/>
        <v>0</v>
      </c>
      <c r="Y129">
        <f t="shared" si="9"/>
        <v>0</v>
      </c>
      <c r="AA129" s="202">
        <v>42386</v>
      </c>
      <c r="AB129" s="78" t="s">
        <v>282</v>
      </c>
      <c r="AC129">
        <f>IF(C129="",0,VLOOKUP(C129,'Dados de consulta'!$H$2:$I$25,2,0))</f>
        <v>0</v>
      </c>
      <c r="AD129">
        <f>IF(D129="",0,VLOOKUP(D129,'Dados de consulta'!$H$2:$I$25,2,0))</f>
        <v>0</v>
      </c>
      <c r="AE129">
        <f>IF(E129="",0,VLOOKUP(E129,'Dados de consulta'!$H$2:$I$25,2,0))</f>
        <v>0</v>
      </c>
      <c r="AF129">
        <f>IF(F129="",0,VLOOKUP(F129,'Dados de consulta'!$H$2:$I$25,2,0))</f>
        <v>0</v>
      </c>
      <c r="AG129">
        <f>IF(G129="",0,VLOOKUP(G129,'Dados de consulta'!$H$2:$I$25,2,0))</f>
        <v>0</v>
      </c>
      <c r="AH129">
        <f>IF(H129="",0,VLOOKUP(H129,'Dados de consulta'!$H$2:$I$25,2,0))</f>
        <v>0</v>
      </c>
      <c r="AI129">
        <f>IF(I129="",0,VLOOKUP(I129,'Dados de consulta'!$H$2:$I$25,2,0))</f>
        <v>0</v>
      </c>
      <c r="AJ129">
        <f>IF(J129="",0,VLOOKUP(J129,'Dados de consulta'!$H$2:$I$25,2,0))</f>
        <v>0</v>
      </c>
      <c r="AK129">
        <f>IF(K129="",0,VLOOKUP(K129,'Dados de consulta'!$H$2:$I$25,2,0))</f>
        <v>0</v>
      </c>
      <c r="AL129">
        <f>IF(L129="",0,VLOOKUP(L129,'Dados de consulta'!$H$2:$I$25,2,0))</f>
        <v>0</v>
      </c>
      <c r="AM129">
        <f>IF(M129="",0,VLOOKUP(M129,'Dados de consulta'!$H$2:$I$25,2,0))</f>
        <v>0</v>
      </c>
      <c r="AN129">
        <f>IF(N129="",0,VLOOKUP(N129,'Dados de consulta'!$H$2:$I$25,2,0))</f>
        <v>0</v>
      </c>
      <c r="AO129">
        <f>IF(O129="",0,VLOOKUP(O129,'Dados de consulta'!$H$2:$I$25,2,0))</f>
        <v>0</v>
      </c>
      <c r="AP129">
        <f>IF(P129="",0,VLOOKUP(P129,'Dados de consulta'!$H$2:$I$25,2,0))</f>
        <v>0</v>
      </c>
      <c r="AQ129">
        <f>IF(Q129="",0,VLOOKUP(Q129,'Dados de consulta'!$H$2:$I$25,2,0))</f>
        <v>0</v>
      </c>
      <c r="AR129">
        <f>IF(R129="",0,VLOOKUP(R129,'Dados de consulta'!$H$2:$I$25,2,0))</f>
        <v>0</v>
      </c>
      <c r="AS129">
        <f>IF(S129="",0,VLOOKUP(S129,'Dados de consulta'!$H$2:$I$25,2,0))</f>
        <v>0</v>
      </c>
      <c r="AT129">
        <f>IF(T129="",0,VLOOKUP(T129,'Dados de consulta'!$H$2:$I$25,2,0))</f>
        <v>0</v>
      </c>
      <c r="AU129">
        <f>IF(U129="",0,VLOOKUP(U129,'Dados de consulta'!$H$2:$I$25,2,0))</f>
        <v>0</v>
      </c>
      <c r="AV129">
        <f>IF(V129="",0,VLOOKUP(V129,'Dados de consulta'!$H$2:$I$25,2,0))</f>
        <v>0</v>
      </c>
      <c r="AW129">
        <f t="shared" si="10"/>
        <v>0</v>
      </c>
      <c r="AX129">
        <f t="shared" si="11"/>
        <v>0</v>
      </c>
      <c r="AY129">
        <f t="shared" si="12"/>
        <v>0</v>
      </c>
    </row>
    <row r="130" spans="1:51" hidden="1" x14ac:dyDescent="0.2">
      <c r="A130" s="202">
        <v>42387</v>
      </c>
      <c r="B130" s="78" t="s">
        <v>283</v>
      </c>
      <c r="W130">
        <f t="shared" si="7"/>
        <v>0</v>
      </c>
      <c r="X130">
        <f t="shared" si="8"/>
        <v>0</v>
      </c>
      <c r="Y130">
        <f t="shared" si="9"/>
        <v>0</v>
      </c>
      <c r="AA130" s="202">
        <v>42387</v>
      </c>
      <c r="AB130" s="78" t="s">
        <v>283</v>
      </c>
      <c r="AC130">
        <f>IF(C130="",0,VLOOKUP(C130,'Dados de consulta'!$H$2:$I$25,2,0))</f>
        <v>0</v>
      </c>
      <c r="AD130">
        <f>IF(D130="",0,VLOOKUP(D130,'Dados de consulta'!$H$2:$I$25,2,0))</f>
        <v>0</v>
      </c>
      <c r="AE130">
        <f>IF(E130="",0,VLOOKUP(E130,'Dados de consulta'!$H$2:$I$25,2,0))</f>
        <v>0</v>
      </c>
      <c r="AF130">
        <f>IF(F130="",0,VLOOKUP(F130,'Dados de consulta'!$H$2:$I$25,2,0))</f>
        <v>0</v>
      </c>
      <c r="AG130">
        <f>IF(G130="",0,VLOOKUP(G130,'Dados de consulta'!$H$2:$I$25,2,0))</f>
        <v>0</v>
      </c>
      <c r="AH130">
        <f>IF(H130="",0,VLOOKUP(H130,'Dados de consulta'!$H$2:$I$25,2,0))</f>
        <v>0</v>
      </c>
      <c r="AI130">
        <f>IF(I130="",0,VLOOKUP(I130,'Dados de consulta'!$H$2:$I$25,2,0))</f>
        <v>0</v>
      </c>
      <c r="AJ130">
        <f>IF(J130="",0,VLOOKUP(J130,'Dados de consulta'!$H$2:$I$25,2,0))</f>
        <v>0</v>
      </c>
      <c r="AK130">
        <f>IF(K130="",0,VLOOKUP(K130,'Dados de consulta'!$H$2:$I$25,2,0))</f>
        <v>0</v>
      </c>
      <c r="AL130">
        <f>IF(L130="",0,VLOOKUP(L130,'Dados de consulta'!$H$2:$I$25,2,0))</f>
        <v>0</v>
      </c>
      <c r="AM130">
        <f>IF(M130="",0,VLOOKUP(M130,'Dados de consulta'!$H$2:$I$25,2,0))</f>
        <v>0</v>
      </c>
      <c r="AN130">
        <f>IF(N130="",0,VLOOKUP(N130,'Dados de consulta'!$H$2:$I$25,2,0))</f>
        <v>0</v>
      </c>
      <c r="AO130">
        <f>IF(O130="",0,VLOOKUP(O130,'Dados de consulta'!$H$2:$I$25,2,0))</f>
        <v>0</v>
      </c>
      <c r="AP130">
        <f>IF(P130="",0,VLOOKUP(P130,'Dados de consulta'!$H$2:$I$25,2,0))</f>
        <v>0</v>
      </c>
      <c r="AQ130">
        <f>IF(Q130="",0,VLOOKUP(Q130,'Dados de consulta'!$H$2:$I$25,2,0))</f>
        <v>0</v>
      </c>
      <c r="AR130">
        <f>IF(R130="",0,VLOOKUP(R130,'Dados de consulta'!$H$2:$I$25,2,0))</f>
        <v>0</v>
      </c>
      <c r="AS130">
        <f>IF(S130="",0,VLOOKUP(S130,'Dados de consulta'!$H$2:$I$25,2,0))</f>
        <v>0</v>
      </c>
      <c r="AT130">
        <f>IF(T130="",0,VLOOKUP(T130,'Dados de consulta'!$H$2:$I$25,2,0))</f>
        <v>0</v>
      </c>
      <c r="AU130">
        <f>IF(U130="",0,VLOOKUP(U130,'Dados de consulta'!$H$2:$I$25,2,0))</f>
        <v>0</v>
      </c>
      <c r="AV130">
        <f>IF(V130="",0,VLOOKUP(V130,'Dados de consulta'!$H$2:$I$25,2,0))</f>
        <v>0</v>
      </c>
      <c r="AW130">
        <f t="shared" si="10"/>
        <v>0</v>
      </c>
      <c r="AX130">
        <f t="shared" si="11"/>
        <v>0</v>
      </c>
      <c r="AY130">
        <f t="shared" si="12"/>
        <v>0</v>
      </c>
    </row>
    <row r="131" spans="1:51" hidden="1" x14ac:dyDescent="0.2">
      <c r="A131" s="202">
        <v>42388</v>
      </c>
      <c r="B131" s="78" t="s">
        <v>284</v>
      </c>
      <c r="W131">
        <f t="shared" ref="W131:W194" si="14">AW131</f>
        <v>0</v>
      </c>
      <c r="X131">
        <f t="shared" ref="X131:X194" si="15">AX131</f>
        <v>0</v>
      </c>
      <c r="Y131">
        <f t="shared" ref="Y131:Y194" si="16">AY131</f>
        <v>0</v>
      </c>
      <c r="AA131" s="202">
        <v>42388</v>
      </c>
      <c r="AB131" s="78" t="s">
        <v>284</v>
      </c>
      <c r="AC131">
        <f>IF(C131="",0,VLOOKUP(C131,'Dados de consulta'!$H$2:$I$25,2,0))</f>
        <v>0</v>
      </c>
      <c r="AD131">
        <f>IF(D131="",0,VLOOKUP(D131,'Dados de consulta'!$H$2:$I$25,2,0))</f>
        <v>0</v>
      </c>
      <c r="AE131">
        <f>IF(E131="",0,VLOOKUP(E131,'Dados de consulta'!$H$2:$I$25,2,0))</f>
        <v>0</v>
      </c>
      <c r="AF131">
        <f>IF(F131="",0,VLOOKUP(F131,'Dados de consulta'!$H$2:$I$25,2,0))</f>
        <v>0</v>
      </c>
      <c r="AG131">
        <f>IF(G131="",0,VLOOKUP(G131,'Dados de consulta'!$H$2:$I$25,2,0))</f>
        <v>0</v>
      </c>
      <c r="AH131">
        <f>IF(H131="",0,VLOOKUP(H131,'Dados de consulta'!$H$2:$I$25,2,0))</f>
        <v>0</v>
      </c>
      <c r="AI131">
        <f>IF(I131="",0,VLOOKUP(I131,'Dados de consulta'!$H$2:$I$25,2,0))</f>
        <v>0</v>
      </c>
      <c r="AJ131">
        <f>IF(J131="",0,VLOOKUP(J131,'Dados de consulta'!$H$2:$I$25,2,0))</f>
        <v>0</v>
      </c>
      <c r="AK131">
        <f>IF(K131="",0,VLOOKUP(K131,'Dados de consulta'!$H$2:$I$25,2,0))</f>
        <v>0</v>
      </c>
      <c r="AL131">
        <f>IF(L131="",0,VLOOKUP(L131,'Dados de consulta'!$H$2:$I$25,2,0))</f>
        <v>0</v>
      </c>
      <c r="AM131">
        <f>IF(M131="",0,VLOOKUP(M131,'Dados de consulta'!$H$2:$I$25,2,0))</f>
        <v>0</v>
      </c>
      <c r="AN131">
        <f>IF(N131="",0,VLOOKUP(N131,'Dados de consulta'!$H$2:$I$25,2,0))</f>
        <v>0</v>
      </c>
      <c r="AO131">
        <f>IF(O131="",0,VLOOKUP(O131,'Dados de consulta'!$H$2:$I$25,2,0))</f>
        <v>0</v>
      </c>
      <c r="AP131">
        <f>IF(P131="",0,VLOOKUP(P131,'Dados de consulta'!$H$2:$I$25,2,0))</f>
        <v>0</v>
      </c>
      <c r="AQ131">
        <f>IF(Q131="",0,VLOOKUP(Q131,'Dados de consulta'!$H$2:$I$25,2,0))</f>
        <v>0</v>
      </c>
      <c r="AR131">
        <f>IF(R131="",0,VLOOKUP(R131,'Dados de consulta'!$H$2:$I$25,2,0))</f>
        <v>0</v>
      </c>
      <c r="AS131">
        <f>IF(S131="",0,VLOOKUP(S131,'Dados de consulta'!$H$2:$I$25,2,0))</f>
        <v>0</v>
      </c>
      <c r="AT131">
        <f>IF(T131="",0,VLOOKUP(T131,'Dados de consulta'!$H$2:$I$25,2,0))</f>
        <v>0</v>
      </c>
      <c r="AU131">
        <f>IF(U131="",0,VLOOKUP(U131,'Dados de consulta'!$H$2:$I$25,2,0))</f>
        <v>0</v>
      </c>
      <c r="AV131">
        <f>IF(V131="",0,VLOOKUP(V131,'Dados de consulta'!$H$2:$I$25,2,0))</f>
        <v>0</v>
      </c>
      <c r="AW131">
        <f t="shared" ref="AW131:AW149" si="17">SUMIF(AC131:AV131,"&lt;"&amp;9,AC131:AV131)</f>
        <v>0</v>
      </c>
      <c r="AX131">
        <f t="shared" ref="AX131:AX149" si="18">SUMIFS(AC131:AV131,AC131:AV131,"&gt;"&amp;8,AC131:AV131,"&lt;"&amp;19)-COUNTIFS(AC131:AV131,"&gt;"&amp;8,AC131:AV131,"&lt;"&amp;19)*10</f>
        <v>0</v>
      </c>
      <c r="AY131">
        <f t="shared" ref="AY131:AY149" si="19">SUMIFS(AC131:AV131,AC131:AV131,"&gt;"&amp;20,AC131:AV131,"&lt;"&amp;29)-COUNTIFS(AC131:AV131,"&gt;"&amp;20,AC131:AV131,"&lt;"&amp;29)*20</f>
        <v>0</v>
      </c>
    </row>
    <row r="132" spans="1:51" hidden="1" x14ac:dyDescent="0.2">
      <c r="A132" s="202">
        <v>42389</v>
      </c>
      <c r="B132" s="78" t="s">
        <v>285</v>
      </c>
      <c r="W132">
        <f t="shared" si="14"/>
        <v>0</v>
      </c>
      <c r="X132">
        <f t="shared" si="15"/>
        <v>0</v>
      </c>
      <c r="Y132">
        <f t="shared" si="16"/>
        <v>0</v>
      </c>
      <c r="AA132" s="202">
        <v>42389</v>
      </c>
      <c r="AB132" s="78" t="s">
        <v>285</v>
      </c>
      <c r="AC132">
        <f>IF(C132="",0,VLOOKUP(C132,'Dados de consulta'!$H$2:$I$25,2,0))</f>
        <v>0</v>
      </c>
      <c r="AD132">
        <f>IF(D132="",0,VLOOKUP(D132,'Dados de consulta'!$H$2:$I$25,2,0))</f>
        <v>0</v>
      </c>
      <c r="AE132">
        <f>IF(E132="",0,VLOOKUP(E132,'Dados de consulta'!$H$2:$I$25,2,0))</f>
        <v>0</v>
      </c>
      <c r="AF132">
        <f>IF(F132="",0,VLOOKUP(F132,'Dados de consulta'!$H$2:$I$25,2,0))</f>
        <v>0</v>
      </c>
      <c r="AG132">
        <f>IF(G132="",0,VLOOKUP(G132,'Dados de consulta'!$H$2:$I$25,2,0))</f>
        <v>0</v>
      </c>
      <c r="AH132">
        <f>IF(H132="",0,VLOOKUP(H132,'Dados de consulta'!$H$2:$I$25,2,0))</f>
        <v>0</v>
      </c>
      <c r="AI132">
        <f>IF(I132="",0,VLOOKUP(I132,'Dados de consulta'!$H$2:$I$25,2,0))</f>
        <v>0</v>
      </c>
      <c r="AJ132">
        <f>IF(J132="",0,VLOOKUP(J132,'Dados de consulta'!$H$2:$I$25,2,0))</f>
        <v>0</v>
      </c>
      <c r="AK132">
        <f>IF(K132="",0,VLOOKUP(K132,'Dados de consulta'!$H$2:$I$25,2,0))</f>
        <v>0</v>
      </c>
      <c r="AL132">
        <f>IF(L132="",0,VLOOKUP(L132,'Dados de consulta'!$H$2:$I$25,2,0))</f>
        <v>0</v>
      </c>
      <c r="AM132">
        <f>IF(M132="",0,VLOOKUP(M132,'Dados de consulta'!$H$2:$I$25,2,0))</f>
        <v>0</v>
      </c>
      <c r="AN132">
        <f>IF(N132="",0,VLOOKUP(N132,'Dados de consulta'!$H$2:$I$25,2,0))</f>
        <v>0</v>
      </c>
      <c r="AO132">
        <f>IF(O132="",0,VLOOKUP(O132,'Dados de consulta'!$H$2:$I$25,2,0))</f>
        <v>0</v>
      </c>
      <c r="AP132">
        <f>IF(P132="",0,VLOOKUP(P132,'Dados de consulta'!$H$2:$I$25,2,0))</f>
        <v>0</v>
      </c>
      <c r="AQ132">
        <f>IF(Q132="",0,VLOOKUP(Q132,'Dados de consulta'!$H$2:$I$25,2,0))</f>
        <v>0</v>
      </c>
      <c r="AR132">
        <f>IF(R132="",0,VLOOKUP(R132,'Dados de consulta'!$H$2:$I$25,2,0))</f>
        <v>0</v>
      </c>
      <c r="AS132">
        <f>IF(S132="",0,VLOOKUP(S132,'Dados de consulta'!$H$2:$I$25,2,0))</f>
        <v>0</v>
      </c>
      <c r="AT132">
        <f>IF(T132="",0,VLOOKUP(T132,'Dados de consulta'!$H$2:$I$25,2,0))</f>
        <v>0</v>
      </c>
      <c r="AU132">
        <f>IF(U132="",0,VLOOKUP(U132,'Dados de consulta'!$H$2:$I$25,2,0))</f>
        <v>0</v>
      </c>
      <c r="AV132">
        <f>IF(V132="",0,VLOOKUP(V132,'Dados de consulta'!$H$2:$I$25,2,0))</f>
        <v>0</v>
      </c>
      <c r="AW132">
        <f t="shared" si="17"/>
        <v>0</v>
      </c>
      <c r="AX132">
        <f t="shared" si="18"/>
        <v>0</v>
      </c>
      <c r="AY132">
        <f t="shared" si="19"/>
        <v>0</v>
      </c>
    </row>
    <row r="133" spans="1:51" hidden="1" x14ac:dyDescent="0.2">
      <c r="A133" s="202">
        <v>42390</v>
      </c>
      <c r="B133" s="78" t="s">
        <v>286</v>
      </c>
      <c r="W133">
        <f t="shared" si="14"/>
        <v>0</v>
      </c>
      <c r="X133">
        <f t="shared" si="15"/>
        <v>0</v>
      </c>
      <c r="Y133">
        <f t="shared" si="16"/>
        <v>0</v>
      </c>
      <c r="AA133" s="202">
        <v>42390</v>
      </c>
      <c r="AB133" s="78" t="s">
        <v>286</v>
      </c>
      <c r="AC133">
        <f>IF(C133="",0,VLOOKUP(C133,'Dados de consulta'!$H$2:$I$25,2,0))</f>
        <v>0</v>
      </c>
      <c r="AD133">
        <f>IF(D133="",0,VLOOKUP(D133,'Dados de consulta'!$H$2:$I$25,2,0))</f>
        <v>0</v>
      </c>
      <c r="AE133">
        <f>IF(E133="",0,VLOOKUP(E133,'Dados de consulta'!$H$2:$I$25,2,0))</f>
        <v>0</v>
      </c>
      <c r="AF133">
        <f>IF(F133="",0,VLOOKUP(F133,'Dados de consulta'!$H$2:$I$25,2,0))</f>
        <v>0</v>
      </c>
      <c r="AG133">
        <f>IF(G133="",0,VLOOKUP(G133,'Dados de consulta'!$H$2:$I$25,2,0))</f>
        <v>0</v>
      </c>
      <c r="AH133">
        <f>IF(H133="",0,VLOOKUP(H133,'Dados de consulta'!$H$2:$I$25,2,0))</f>
        <v>0</v>
      </c>
      <c r="AI133">
        <f>IF(I133="",0,VLOOKUP(I133,'Dados de consulta'!$H$2:$I$25,2,0))</f>
        <v>0</v>
      </c>
      <c r="AJ133">
        <f>IF(J133="",0,VLOOKUP(J133,'Dados de consulta'!$H$2:$I$25,2,0))</f>
        <v>0</v>
      </c>
      <c r="AK133">
        <f>IF(K133="",0,VLOOKUP(K133,'Dados de consulta'!$H$2:$I$25,2,0))</f>
        <v>0</v>
      </c>
      <c r="AL133">
        <f>IF(L133="",0,VLOOKUP(L133,'Dados de consulta'!$H$2:$I$25,2,0))</f>
        <v>0</v>
      </c>
      <c r="AM133">
        <f>IF(M133="",0,VLOOKUP(M133,'Dados de consulta'!$H$2:$I$25,2,0))</f>
        <v>0</v>
      </c>
      <c r="AN133">
        <f>IF(N133="",0,VLOOKUP(N133,'Dados de consulta'!$H$2:$I$25,2,0))</f>
        <v>0</v>
      </c>
      <c r="AO133">
        <f>IF(O133="",0,VLOOKUP(O133,'Dados de consulta'!$H$2:$I$25,2,0))</f>
        <v>0</v>
      </c>
      <c r="AP133">
        <f>IF(P133="",0,VLOOKUP(P133,'Dados de consulta'!$H$2:$I$25,2,0))</f>
        <v>0</v>
      </c>
      <c r="AQ133">
        <f>IF(Q133="",0,VLOOKUP(Q133,'Dados de consulta'!$H$2:$I$25,2,0))</f>
        <v>0</v>
      </c>
      <c r="AR133">
        <f>IF(R133="",0,VLOOKUP(R133,'Dados de consulta'!$H$2:$I$25,2,0))</f>
        <v>0</v>
      </c>
      <c r="AS133">
        <f>IF(S133="",0,VLOOKUP(S133,'Dados de consulta'!$H$2:$I$25,2,0))</f>
        <v>0</v>
      </c>
      <c r="AT133">
        <f>IF(T133="",0,VLOOKUP(T133,'Dados de consulta'!$H$2:$I$25,2,0))</f>
        <v>0</v>
      </c>
      <c r="AU133">
        <f>IF(U133="",0,VLOOKUP(U133,'Dados de consulta'!$H$2:$I$25,2,0))</f>
        <v>0</v>
      </c>
      <c r="AV133">
        <f>IF(V133="",0,VLOOKUP(V133,'Dados de consulta'!$H$2:$I$25,2,0))</f>
        <v>0</v>
      </c>
      <c r="AW133">
        <f t="shared" si="17"/>
        <v>0</v>
      </c>
      <c r="AX133">
        <f t="shared" si="18"/>
        <v>0</v>
      </c>
      <c r="AY133">
        <f t="shared" si="19"/>
        <v>0</v>
      </c>
    </row>
    <row r="134" spans="1:51" hidden="1" x14ac:dyDescent="0.2">
      <c r="A134" s="202">
        <v>42391</v>
      </c>
      <c r="B134" s="78" t="s">
        <v>287</v>
      </c>
      <c r="W134">
        <f t="shared" si="14"/>
        <v>0</v>
      </c>
      <c r="X134">
        <f t="shared" si="15"/>
        <v>0</v>
      </c>
      <c r="Y134">
        <f t="shared" si="16"/>
        <v>0</v>
      </c>
      <c r="AA134" s="202">
        <v>42391</v>
      </c>
      <c r="AB134" s="78" t="s">
        <v>287</v>
      </c>
      <c r="AC134">
        <f>IF(C134="",0,VLOOKUP(C134,'Dados de consulta'!$H$2:$I$25,2,0))</f>
        <v>0</v>
      </c>
      <c r="AD134">
        <f>IF(D134="",0,VLOOKUP(D134,'Dados de consulta'!$H$2:$I$25,2,0))</f>
        <v>0</v>
      </c>
      <c r="AE134">
        <f>IF(E134="",0,VLOOKUP(E134,'Dados de consulta'!$H$2:$I$25,2,0))</f>
        <v>0</v>
      </c>
      <c r="AF134">
        <f>IF(F134="",0,VLOOKUP(F134,'Dados de consulta'!$H$2:$I$25,2,0))</f>
        <v>0</v>
      </c>
      <c r="AG134">
        <f>IF(G134="",0,VLOOKUP(G134,'Dados de consulta'!$H$2:$I$25,2,0))</f>
        <v>0</v>
      </c>
      <c r="AH134">
        <f>IF(H134="",0,VLOOKUP(H134,'Dados de consulta'!$H$2:$I$25,2,0))</f>
        <v>0</v>
      </c>
      <c r="AI134">
        <f>IF(I134="",0,VLOOKUP(I134,'Dados de consulta'!$H$2:$I$25,2,0))</f>
        <v>0</v>
      </c>
      <c r="AJ134">
        <f>IF(J134="",0,VLOOKUP(J134,'Dados de consulta'!$H$2:$I$25,2,0))</f>
        <v>0</v>
      </c>
      <c r="AK134">
        <f>IF(K134="",0,VLOOKUP(K134,'Dados de consulta'!$H$2:$I$25,2,0))</f>
        <v>0</v>
      </c>
      <c r="AL134">
        <f>IF(L134="",0,VLOOKUP(L134,'Dados de consulta'!$H$2:$I$25,2,0))</f>
        <v>0</v>
      </c>
      <c r="AM134">
        <f>IF(M134="",0,VLOOKUP(M134,'Dados de consulta'!$H$2:$I$25,2,0))</f>
        <v>0</v>
      </c>
      <c r="AN134">
        <f>IF(N134="",0,VLOOKUP(N134,'Dados de consulta'!$H$2:$I$25,2,0))</f>
        <v>0</v>
      </c>
      <c r="AO134">
        <f>IF(O134="",0,VLOOKUP(O134,'Dados de consulta'!$H$2:$I$25,2,0))</f>
        <v>0</v>
      </c>
      <c r="AP134">
        <f>IF(P134="",0,VLOOKUP(P134,'Dados de consulta'!$H$2:$I$25,2,0))</f>
        <v>0</v>
      </c>
      <c r="AQ134">
        <f>IF(Q134="",0,VLOOKUP(Q134,'Dados de consulta'!$H$2:$I$25,2,0))</f>
        <v>0</v>
      </c>
      <c r="AR134">
        <f>IF(R134="",0,VLOOKUP(R134,'Dados de consulta'!$H$2:$I$25,2,0))</f>
        <v>0</v>
      </c>
      <c r="AS134">
        <f>IF(S134="",0,VLOOKUP(S134,'Dados de consulta'!$H$2:$I$25,2,0))</f>
        <v>0</v>
      </c>
      <c r="AT134">
        <f>IF(T134="",0,VLOOKUP(T134,'Dados de consulta'!$H$2:$I$25,2,0))</f>
        <v>0</v>
      </c>
      <c r="AU134">
        <f>IF(U134="",0,VLOOKUP(U134,'Dados de consulta'!$H$2:$I$25,2,0))</f>
        <v>0</v>
      </c>
      <c r="AV134">
        <f>IF(V134="",0,VLOOKUP(V134,'Dados de consulta'!$H$2:$I$25,2,0))</f>
        <v>0</v>
      </c>
      <c r="AW134">
        <f t="shared" si="17"/>
        <v>0</v>
      </c>
      <c r="AX134">
        <f t="shared" si="18"/>
        <v>0</v>
      </c>
      <c r="AY134">
        <f t="shared" si="19"/>
        <v>0</v>
      </c>
    </row>
    <row r="135" spans="1:51" hidden="1" x14ac:dyDescent="0.2">
      <c r="A135" s="202">
        <v>42392</v>
      </c>
      <c r="B135" s="78" t="s">
        <v>281</v>
      </c>
      <c r="F135" s="78" t="s">
        <v>219</v>
      </c>
      <c r="I135" s="78" t="s">
        <v>219</v>
      </c>
      <c r="L135" s="78" t="s">
        <v>219</v>
      </c>
      <c r="N135" s="78" t="s">
        <v>219</v>
      </c>
      <c r="W135">
        <f t="shared" si="14"/>
        <v>24</v>
      </c>
      <c r="X135">
        <f t="shared" si="15"/>
        <v>0</v>
      </c>
      <c r="Y135">
        <f t="shared" si="16"/>
        <v>0</v>
      </c>
      <c r="AA135" s="202">
        <v>42392</v>
      </c>
      <c r="AB135" s="78" t="s">
        <v>281</v>
      </c>
      <c r="AC135">
        <f>IF(C135="",0,VLOOKUP(C135,'Dados de consulta'!$H$2:$I$25,2,0))</f>
        <v>0</v>
      </c>
      <c r="AD135">
        <f>IF(D135="",0,VLOOKUP(D135,'Dados de consulta'!$H$2:$I$25,2,0))</f>
        <v>0</v>
      </c>
      <c r="AE135">
        <f>IF(E135="",0,VLOOKUP(E135,'Dados de consulta'!$H$2:$I$25,2,0))</f>
        <v>0</v>
      </c>
      <c r="AF135">
        <f>IF(F135="",0,VLOOKUP(F135,'Dados de consulta'!$H$2:$I$25,2,0))</f>
        <v>6</v>
      </c>
      <c r="AG135">
        <f>IF(G135="",0,VLOOKUP(G135,'Dados de consulta'!$H$2:$I$25,2,0))</f>
        <v>0</v>
      </c>
      <c r="AH135">
        <f>IF(H135="",0,VLOOKUP(H135,'Dados de consulta'!$H$2:$I$25,2,0))</f>
        <v>0</v>
      </c>
      <c r="AI135">
        <f>IF(I135="",0,VLOOKUP(I135,'Dados de consulta'!$H$2:$I$25,2,0))</f>
        <v>6</v>
      </c>
      <c r="AJ135">
        <f>IF(J135="",0,VLOOKUP(J135,'Dados de consulta'!$H$2:$I$25,2,0))</f>
        <v>0</v>
      </c>
      <c r="AK135">
        <f>IF(K135="",0,VLOOKUP(K135,'Dados de consulta'!$H$2:$I$25,2,0))</f>
        <v>0</v>
      </c>
      <c r="AL135">
        <f>IF(L135="",0,VLOOKUP(L135,'Dados de consulta'!$H$2:$I$25,2,0))</f>
        <v>6</v>
      </c>
      <c r="AM135">
        <f>IF(M135="",0,VLOOKUP(M135,'Dados de consulta'!$H$2:$I$25,2,0))</f>
        <v>0</v>
      </c>
      <c r="AN135">
        <f>IF(N135="",0,VLOOKUP(N135,'Dados de consulta'!$H$2:$I$25,2,0))</f>
        <v>6</v>
      </c>
      <c r="AO135">
        <f>IF(O135="",0,VLOOKUP(O135,'Dados de consulta'!$H$2:$I$25,2,0))</f>
        <v>0</v>
      </c>
      <c r="AP135">
        <f>IF(P135="",0,VLOOKUP(P135,'Dados de consulta'!$H$2:$I$25,2,0))</f>
        <v>0</v>
      </c>
      <c r="AQ135">
        <f>IF(Q135="",0,VLOOKUP(Q135,'Dados de consulta'!$H$2:$I$25,2,0))</f>
        <v>0</v>
      </c>
      <c r="AR135">
        <f>IF(R135="",0,VLOOKUP(R135,'Dados de consulta'!$H$2:$I$25,2,0))</f>
        <v>0</v>
      </c>
      <c r="AS135">
        <f>IF(S135="",0,VLOOKUP(S135,'Dados de consulta'!$H$2:$I$25,2,0))</f>
        <v>0</v>
      </c>
      <c r="AT135">
        <f>IF(T135="",0,VLOOKUP(T135,'Dados de consulta'!$H$2:$I$25,2,0))</f>
        <v>0</v>
      </c>
      <c r="AU135">
        <f>IF(U135="",0,VLOOKUP(U135,'Dados de consulta'!$H$2:$I$25,2,0))</f>
        <v>0</v>
      </c>
      <c r="AV135">
        <f>IF(V135="",0,VLOOKUP(V135,'Dados de consulta'!$H$2:$I$25,2,0))</f>
        <v>0</v>
      </c>
      <c r="AW135">
        <f t="shared" si="17"/>
        <v>24</v>
      </c>
      <c r="AX135">
        <f t="shared" si="18"/>
        <v>0</v>
      </c>
      <c r="AY135">
        <f t="shared" si="19"/>
        <v>0</v>
      </c>
    </row>
    <row r="136" spans="1:51" hidden="1" x14ac:dyDescent="0.2">
      <c r="A136" s="202">
        <v>42393</v>
      </c>
      <c r="B136" s="78" t="s">
        <v>282</v>
      </c>
      <c r="W136">
        <f t="shared" si="14"/>
        <v>0</v>
      </c>
      <c r="X136">
        <f t="shared" si="15"/>
        <v>0</v>
      </c>
      <c r="Y136">
        <f t="shared" si="16"/>
        <v>0</v>
      </c>
      <c r="AA136" s="202">
        <v>42393</v>
      </c>
      <c r="AB136" s="78" t="s">
        <v>282</v>
      </c>
      <c r="AC136">
        <f>IF(C136="",0,VLOOKUP(C136,'Dados de consulta'!$H$2:$I$25,2,0))</f>
        <v>0</v>
      </c>
      <c r="AD136">
        <f>IF(D136="",0,VLOOKUP(D136,'Dados de consulta'!$H$2:$I$25,2,0))</f>
        <v>0</v>
      </c>
      <c r="AE136">
        <f>IF(E136="",0,VLOOKUP(E136,'Dados de consulta'!$H$2:$I$25,2,0))</f>
        <v>0</v>
      </c>
      <c r="AF136">
        <f>IF(F136="",0,VLOOKUP(F136,'Dados de consulta'!$H$2:$I$25,2,0))</f>
        <v>0</v>
      </c>
      <c r="AG136">
        <f>IF(G136="",0,VLOOKUP(G136,'Dados de consulta'!$H$2:$I$25,2,0))</f>
        <v>0</v>
      </c>
      <c r="AH136">
        <f>IF(H136="",0,VLOOKUP(H136,'Dados de consulta'!$H$2:$I$25,2,0))</f>
        <v>0</v>
      </c>
      <c r="AI136">
        <f>IF(I136="",0,VLOOKUP(I136,'Dados de consulta'!$H$2:$I$25,2,0))</f>
        <v>0</v>
      </c>
      <c r="AJ136">
        <f>IF(J136="",0,VLOOKUP(J136,'Dados de consulta'!$H$2:$I$25,2,0))</f>
        <v>0</v>
      </c>
      <c r="AK136">
        <f>IF(K136="",0,VLOOKUP(K136,'Dados de consulta'!$H$2:$I$25,2,0))</f>
        <v>0</v>
      </c>
      <c r="AL136">
        <f>IF(L136="",0,VLOOKUP(L136,'Dados de consulta'!$H$2:$I$25,2,0))</f>
        <v>0</v>
      </c>
      <c r="AM136">
        <f>IF(M136="",0,VLOOKUP(M136,'Dados de consulta'!$H$2:$I$25,2,0))</f>
        <v>0</v>
      </c>
      <c r="AN136">
        <f>IF(N136="",0,VLOOKUP(N136,'Dados de consulta'!$H$2:$I$25,2,0))</f>
        <v>0</v>
      </c>
      <c r="AO136">
        <f>IF(O136="",0,VLOOKUP(O136,'Dados de consulta'!$H$2:$I$25,2,0))</f>
        <v>0</v>
      </c>
      <c r="AP136">
        <f>IF(P136="",0,VLOOKUP(P136,'Dados de consulta'!$H$2:$I$25,2,0))</f>
        <v>0</v>
      </c>
      <c r="AQ136">
        <f>IF(Q136="",0,VLOOKUP(Q136,'Dados de consulta'!$H$2:$I$25,2,0))</f>
        <v>0</v>
      </c>
      <c r="AR136">
        <f>IF(R136="",0,VLOOKUP(R136,'Dados de consulta'!$H$2:$I$25,2,0))</f>
        <v>0</v>
      </c>
      <c r="AS136">
        <f>IF(S136="",0,VLOOKUP(S136,'Dados de consulta'!$H$2:$I$25,2,0))</f>
        <v>0</v>
      </c>
      <c r="AT136">
        <f>IF(T136="",0,VLOOKUP(T136,'Dados de consulta'!$H$2:$I$25,2,0))</f>
        <v>0</v>
      </c>
      <c r="AU136">
        <f>IF(U136="",0,VLOOKUP(U136,'Dados de consulta'!$H$2:$I$25,2,0))</f>
        <v>0</v>
      </c>
      <c r="AV136">
        <f>IF(V136="",0,VLOOKUP(V136,'Dados de consulta'!$H$2:$I$25,2,0))</f>
        <v>0</v>
      </c>
      <c r="AW136">
        <f t="shared" si="17"/>
        <v>0</v>
      </c>
      <c r="AX136">
        <f t="shared" si="18"/>
        <v>0</v>
      </c>
      <c r="AY136">
        <f t="shared" si="19"/>
        <v>0</v>
      </c>
    </row>
    <row r="137" spans="1:51" hidden="1" x14ac:dyDescent="0.2">
      <c r="A137" s="202">
        <v>42394</v>
      </c>
      <c r="B137" s="78" t="s">
        <v>283</v>
      </c>
      <c r="W137">
        <f t="shared" si="14"/>
        <v>0</v>
      </c>
      <c r="X137">
        <f t="shared" si="15"/>
        <v>0</v>
      </c>
      <c r="Y137">
        <f t="shared" si="16"/>
        <v>0</v>
      </c>
      <c r="AA137" s="202">
        <v>42394</v>
      </c>
      <c r="AB137" s="78" t="s">
        <v>283</v>
      </c>
      <c r="AC137">
        <f>IF(C137="",0,VLOOKUP(C137,'Dados de consulta'!$H$2:$I$25,2,0))</f>
        <v>0</v>
      </c>
      <c r="AD137">
        <f>IF(D137="",0,VLOOKUP(D137,'Dados de consulta'!$H$2:$I$25,2,0))</f>
        <v>0</v>
      </c>
      <c r="AE137">
        <f>IF(E137="",0,VLOOKUP(E137,'Dados de consulta'!$H$2:$I$25,2,0))</f>
        <v>0</v>
      </c>
      <c r="AF137">
        <f>IF(F137="",0,VLOOKUP(F137,'Dados de consulta'!$H$2:$I$25,2,0))</f>
        <v>0</v>
      </c>
      <c r="AG137">
        <f>IF(G137="",0,VLOOKUP(G137,'Dados de consulta'!$H$2:$I$25,2,0))</f>
        <v>0</v>
      </c>
      <c r="AH137">
        <f>IF(H137="",0,VLOOKUP(H137,'Dados de consulta'!$H$2:$I$25,2,0))</f>
        <v>0</v>
      </c>
      <c r="AI137">
        <f>IF(I137="",0,VLOOKUP(I137,'Dados de consulta'!$H$2:$I$25,2,0))</f>
        <v>0</v>
      </c>
      <c r="AJ137">
        <f>IF(J137="",0,VLOOKUP(J137,'Dados de consulta'!$H$2:$I$25,2,0))</f>
        <v>0</v>
      </c>
      <c r="AK137">
        <f>IF(K137="",0,VLOOKUP(K137,'Dados de consulta'!$H$2:$I$25,2,0))</f>
        <v>0</v>
      </c>
      <c r="AL137">
        <f>IF(L137="",0,VLOOKUP(L137,'Dados de consulta'!$H$2:$I$25,2,0))</f>
        <v>0</v>
      </c>
      <c r="AM137">
        <f>IF(M137="",0,VLOOKUP(M137,'Dados de consulta'!$H$2:$I$25,2,0))</f>
        <v>0</v>
      </c>
      <c r="AN137">
        <f>IF(N137="",0,VLOOKUP(N137,'Dados de consulta'!$H$2:$I$25,2,0))</f>
        <v>0</v>
      </c>
      <c r="AO137">
        <f>IF(O137="",0,VLOOKUP(O137,'Dados de consulta'!$H$2:$I$25,2,0))</f>
        <v>0</v>
      </c>
      <c r="AP137">
        <f>IF(P137="",0,VLOOKUP(P137,'Dados de consulta'!$H$2:$I$25,2,0))</f>
        <v>0</v>
      </c>
      <c r="AQ137">
        <f>IF(Q137="",0,VLOOKUP(Q137,'Dados de consulta'!$H$2:$I$25,2,0))</f>
        <v>0</v>
      </c>
      <c r="AR137">
        <f>IF(R137="",0,VLOOKUP(R137,'Dados de consulta'!$H$2:$I$25,2,0))</f>
        <v>0</v>
      </c>
      <c r="AS137">
        <f>IF(S137="",0,VLOOKUP(S137,'Dados de consulta'!$H$2:$I$25,2,0))</f>
        <v>0</v>
      </c>
      <c r="AT137">
        <f>IF(T137="",0,VLOOKUP(T137,'Dados de consulta'!$H$2:$I$25,2,0))</f>
        <v>0</v>
      </c>
      <c r="AU137">
        <f>IF(U137="",0,VLOOKUP(U137,'Dados de consulta'!$H$2:$I$25,2,0))</f>
        <v>0</v>
      </c>
      <c r="AV137">
        <f>IF(V137="",0,VLOOKUP(V137,'Dados de consulta'!$H$2:$I$25,2,0))</f>
        <v>0</v>
      </c>
      <c r="AW137">
        <f t="shared" si="17"/>
        <v>0</v>
      </c>
      <c r="AX137">
        <f t="shared" si="18"/>
        <v>0</v>
      </c>
      <c r="AY137">
        <f t="shared" si="19"/>
        <v>0</v>
      </c>
    </row>
    <row r="138" spans="1:51" hidden="1" x14ac:dyDescent="0.2">
      <c r="A138" s="202">
        <v>42395</v>
      </c>
      <c r="B138" s="78" t="s">
        <v>284</v>
      </c>
      <c r="W138">
        <f t="shared" si="14"/>
        <v>0</v>
      </c>
      <c r="X138">
        <f t="shared" si="15"/>
        <v>0</v>
      </c>
      <c r="Y138">
        <f t="shared" si="16"/>
        <v>0</v>
      </c>
      <c r="AA138" s="202">
        <v>42395</v>
      </c>
      <c r="AB138" s="78" t="s">
        <v>284</v>
      </c>
      <c r="AC138">
        <f>IF(C138="",0,VLOOKUP(C138,'Dados de consulta'!$H$2:$I$25,2,0))</f>
        <v>0</v>
      </c>
      <c r="AD138">
        <f>IF(D138="",0,VLOOKUP(D138,'Dados de consulta'!$H$2:$I$25,2,0))</f>
        <v>0</v>
      </c>
      <c r="AE138">
        <f>IF(E138="",0,VLOOKUP(E138,'Dados de consulta'!$H$2:$I$25,2,0))</f>
        <v>0</v>
      </c>
      <c r="AF138">
        <f>IF(F138="",0,VLOOKUP(F138,'Dados de consulta'!$H$2:$I$25,2,0))</f>
        <v>0</v>
      </c>
      <c r="AG138">
        <f>IF(G138="",0,VLOOKUP(G138,'Dados de consulta'!$H$2:$I$25,2,0))</f>
        <v>0</v>
      </c>
      <c r="AH138">
        <f>IF(H138="",0,VLOOKUP(H138,'Dados de consulta'!$H$2:$I$25,2,0))</f>
        <v>0</v>
      </c>
      <c r="AI138">
        <f>IF(I138="",0,VLOOKUP(I138,'Dados de consulta'!$H$2:$I$25,2,0))</f>
        <v>0</v>
      </c>
      <c r="AJ138">
        <f>IF(J138="",0,VLOOKUP(J138,'Dados de consulta'!$H$2:$I$25,2,0))</f>
        <v>0</v>
      </c>
      <c r="AK138">
        <f>IF(K138="",0,VLOOKUP(K138,'Dados de consulta'!$H$2:$I$25,2,0))</f>
        <v>0</v>
      </c>
      <c r="AL138">
        <f>IF(L138="",0,VLOOKUP(L138,'Dados de consulta'!$H$2:$I$25,2,0))</f>
        <v>0</v>
      </c>
      <c r="AM138">
        <f>IF(M138="",0,VLOOKUP(M138,'Dados de consulta'!$H$2:$I$25,2,0))</f>
        <v>0</v>
      </c>
      <c r="AN138">
        <f>IF(N138="",0,VLOOKUP(N138,'Dados de consulta'!$H$2:$I$25,2,0))</f>
        <v>0</v>
      </c>
      <c r="AO138">
        <f>IF(O138="",0,VLOOKUP(O138,'Dados de consulta'!$H$2:$I$25,2,0))</f>
        <v>0</v>
      </c>
      <c r="AP138">
        <f>IF(P138="",0,VLOOKUP(P138,'Dados de consulta'!$H$2:$I$25,2,0))</f>
        <v>0</v>
      </c>
      <c r="AQ138">
        <f>IF(Q138="",0,VLOOKUP(Q138,'Dados de consulta'!$H$2:$I$25,2,0))</f>
        <v>0</v>
      </c>
      <c r="AR138">
        <f>IF(R138="",0,VLOOKUP(R138,'Dados de consulta'!$H$2:$I$25,2,0))</f>
        <v>0</v>
      </c>
      <c r="AS138">
        <f>IF(S138="",0,VLOOKUP(S138,'Dados de consulta'!$H$2:$I$25,2,0))</f>
        <v>0</v>
      </c>
      <c r="AT138">
        <f>IF(T138="",0,VLOOKUP(T138,'Dados de consulta'!$H$2:$I$25,2,0))</f>
        <v>0</v>
      </c>
      <c r="AU138">
        <f>IF(U138="",0,VLOOKUP(U138,'Dados de consulta'!$H$2:$I$25,2,0))</f>
        <v>0</v>
      </c>
      <c r="AV138">
        <f>IF(V138="",0,VLOOKUP(V138,'Dados de consulta'!$H$2:$I$25,2,0))</f>
        <v>0</v>
      </c>
      <c r="AW138">
        <f t="shared" si="17"/>
        <v>0</v>
      </c>
      <c r="AX138">
        <f t="shared" si="18"/>
        <v>0</v>
      </c>
      <c r="AY138">
        <f t="shared" si="19"/>
        <v>0</v>
      </c>
    </row>
    <row r="139" spans="1:51" hidden="1" x14ac:dyDescent="0.2">
      <c r="A139" s="202">
        <v>42396</v>
      </c>
      <c r="B139" s="78" t="s">
        <v>285</v>
      </c>
      <c r="W139">
        <f t="shared" si="14"/>
        <v>0</v>
      </c>
      <c r="X139">
        <f t="shared" si="15"/>
        <v>0</v>
      </c>
      <c r="Y139">
        <f t="shared" si="16"/>
        <v>0</v>
      </c>
      <c r="AA139" s="202">
        <v>42396</v>
      </c>
      <c r="AB139" s="78" t="s">
        <v>285</v>
      </c>
      <c r="AC139">
        <f>IF(C139="",0,VLOOKUP(C139,'Dados de consulta'!$H$2:$I$25,2,0))</f>
        <v>0</v>
      </c>
      <c r="AD139">
        <f>IF(D139="",0,VLOOKUP(D139,'Dados de consulta'!$H$2:$I$25,2,0))</f>
        <v>0</v>
      </c>
      <c r="AE139">
        <f>IF(E139="",0,VLOOKUP(E139,'Dados de consulta'!$H$2:$I$25,2,0))</f>
        <v>0</v>
      </c>
      <c r="AF139">
        <f>IF(F139="",0,VLOOKUP(F139,'Dados de consulta'!$H$2:$I$25,2,0))</f>
        <v>0</v>
      </c>
      <c r="AG139">
        <f>IF(G139="",0,VLOOKUP(G139,'Dados de consulta'!$H$2:$I$25,2,0))</f>
        <v>0</v>
      </c>
      <c r="AH139">
        <f>IF(H139="",0,VLOOKUP(H139,'Dados de consulta'!$H$2:$I$25,2,0))</f>
        <v>0</v>
      </c>
      <c r="AI139">
        <f>IF(I139="",0,VLOOKUP(I139,'Dados de consulta'!$H$2:$I$25,2,0))</f>
        <v>0</v>
      </c>
      <c r="AJ139">
        <f>IF(J139="",0,VLOOKUP(J139,'Dados de consulta'!$H$2:$I$25,2,0))</f>
        <v>0</v>
      </c>
      <c r="AK139">
        <f>IF(K139="",0,VLOOKUP(K139,'Dados de consulta'!$H$2:$I$25,2,0))</f>
        <v>0</v>
      </c>
      <c r="AL139">
        <f>IF(L139="",0,VLOOKUP(L139,'Dados de consulta'!$H$2:$I$25,2,0))</f>
        <v>0</v>
      </c>
      <c r="AM139">
        <f>IF(M139="",0,VLOOKUP(M139,'Dados de consulta'!$H$2:$I$25,2,0))</f>
        <v>0</v>
      </c>
      <c r="AN139">
        <f>IF(N139="",0,VLOOKUP(N139,'Dados de consulta'!$H$2:$I$25,2,0))</f>
        <v>0</v>
      </c>
      <c r="AO139">
        <f>IF(O139="",0,VLOOKUP(O139,'Dados de consulta'!$H$2:$I$25,2,0))</f>
        <v>0</v>
      </c>
      <c r="AP139">
        <f>IF(P139="",0,VLOOKUP(P139,'Dados de consulta'!$H$2:$I$25,2,0))</f>
        <v>0</v>
      </c>
      <c r="AQ139">
        <f>IF(Q139="",0,VLOOKUP(Q139,'Dados de consulta'!$H$2:$I$25,2,0))</f>
        <v>0</v>
      </c>
      <c r="AR139">
        <f>IF(R139="",0,VLOOKUP(R139,'Dados de consulta'!$H$2:$I$25,2,0))</f>
        <v>0</v>
      </c>
      <c r="AS139">
        <f>IF(S139="",0,VLOOKUP(S139,'Dados de consulta'!$H$2:$I$25,2,0))</f>
        <v>0</v>
      </c>
      <c r="AT139">
        <f>IF(T139="",0,VLOOKUP(T139,'Dados de consulta'!$H$2:$I$25,2,0))</f>
        <v>0</v>
      </c>
      <c r="AU139">
        <f>IF(U139="",0,VLOOKUP(U139,'Dados de consulta'!$H$2:$I$25,2,0))</f>
        <v>0</v>
      </c>
      <c r="AV139">
        <f>IF(V139="",0,VLOOKUP(V139,'Dados de consulta'!$H$2:$I$25,2,0))</f>
        <v>0</v>
      </c>
      <c r="AW139">
        <f t="shared" si="17"/>
        <v>0</v>
      </c>
      <c r="AX139">
        <f t="shared" si="18"/>
        <v>0</v>
      </c>
      <c r="AY139">
        <f t="shared" si="19"/>
        <v>0</v>
      </c>
    </row>
    <row r="140" spans="1:51" hidden="1" x14ac:dyDescent="0.2">
      <c r="A140" s="202">
        <v>42397</v>
      </c>
      <c r="B140" s="78" t="s">
        <v>286</v>
      </c>
      <c r="W140">
        <f t="shared" si="14"/>
        <v>0</v>
      </c>
      <c r="X140">
        <f t="shared" si="15"/>
        <v>0</v>
      </c>
      <c r="Y140">
        <f t="shared" si="16"/>
        <v>0</v>
      </c>
      <c r="AA140" s="202">
        <v>42397</v>
      </c>
      <c r="AB140" s="78" t="s">
        <v>286</v>
      </c>
      <c r="AC140">
        <f>IF(C140="",0,VLOOKUP(C140,'Dados de consulta'!$H$2:$I$25,2,0))</f>
        <v>0</v>
      </c>
      <c r="AD140">
        <f>IF(D140="",0,VLOOKUP(D140,'Dados de consulta'!$H$2:$I$25,2,0))</f>
        <v>0</v>
      </c>
      <c r="AE140">
        <f>IF(E140="",0,VLOOKUP(E140,'Dados de consulta'!$H$2:$I$25,2,0))</f>
        <v>0</v>
      </c>
      <c r="AF140">
        <f>IF(F140="",0,VLOOKUP(F140,'Dados de consulta'!$H$2:$I$25,2,0))</f>
        <v>0</v>
      </c>
      <c r="AG140">
        <f>IF(G140="",0,VLOOKUP(G140,'Dados de consulta'!$H$2:$I$25,2,0))</f>
        <v>0</v>
      </c>
      <c r="AH140">
        <f>IF(H140="",0,VLOOKUP(H140,'Dados de consulta'!$H$2:$I$25,2,0))</f>
        <v>0</v>
      </c>
      <c r="AI140">
        <f>IF(I140="",0,VLOOKUP(I140,'Dados de consulta'!$H$2:$I$25,2,0))</f>
        <v>0</v>
      </c>
      <c r="AJ140">
        <f>IF(J140="",0,VLOOKUP(J140,'Dados de consulta'!$H$2:$I$25,2,0))</f>
        <v>0</v>
      </c>
      <c r="AK140">
        <f>IF(K140="",0,VLOOKUP(K140,'Dados de consulta'!$H$2:$I$25,2,0))</f>
        <v>0</v>
      </c>
      <c r="AL140">
        <f>IF(L140="",0,VLOOKUP(L140,'Dados de consulta'!$H$2:$I$25,2,0))</f>
        <v>0</v>
      </c>
      <c r="AM140">
        <f>IF(M140="",0,VLOOKUP(M140,'Dados de consulta'!$H$2:$I$25,2,0))</f>
        <v>0</v>
      </c>
      <c r="AN140">
        <f>IF(N140="",0,VLOOKUP(N140,'Dados de consulta'!$H$2:$I$25,2,0))</f>
        <v>0</v>
      </c>
      <c r="AO140">
        <f>IF(O140="",0,VLOOKUP(O140,'Dados de consulta'!$H$2:$I$25,2,0))</f>
        <v>0</v>
      </c>
      <c r="AP140">
        <f>IF(P140="",0,VLOOKUP(P140,'Dados de consulta'!$H$2:$I$25,2,0))</f>
        <v>0</v>
      </c>
      <c r="AQ140">
        <f>IF(Q140="",0,VLOOKUP(Q140,'Dados de consulta'!$H$2:$I$25,2,0))</f>
        <v>0</v>
      </c>
      <c r="AR140">
        <f>IF(R140="",0,VLOOKUP(R140,'Dados de consulta'!$H$2:$I$25,2,0))</f>
        <v>0</v>
      </c>
      <c r="AS140">
        <f>IF(S140="",0,VLOOKUP(S140,'Dados de consulta'!$H$2:$I$25,2,0))</f>
        <v>0</v>
      </c>
      <c r="AT140">
        <f>IF(T140="",0,VLOOKUP(T140,'Dados de consulta'!$H$2:$I$25,2,0))</f>
        <v>0</v>
      </c>
      <c r="AU140">
        <f>IF(U140="",0,VLOOKUP(U140,'Dados de consulta'!$H$2:$I$25,2,0))</f>
        <v>0</v>
      </c>
      <c r="AV140">
        <f>IF(V140="",0,VLOOKUP(V140,'Dados de consulta'!$H$2:$I$25,2,0))</f>
        <v>0</v>
      </c>
      <c r="AW140">
        <f t="shared" si="17"/>
        <v>0</v>
      </c>
      <c r="AX140">
        <f t="shared" si="18"/>
        <v>0</v>
      </c>
      <c r="AY140">
        <f t="shared" si="19"/>
        <v>0</v>
      </c>
    </row>
    <row r="141" spans="1:51" hidden="1" x14ac:dyDescent="0.2">
      <c r="A141" s="202">
        <v>42398</v>
      </c>
      <c r="B141" s="78" t="s">
        <v>287</v>
      </c>
      <c r="W141">
        <f t="shared" si="14"/>
        <v>0</v>
      </c>
      <c r="X141">
        <f t="shared" si="15"/>
        <v>0</v>
      </c>
      <c r="Y141">
        <f t="shared" si="16"/>
        <v>0</v>
      </c>
      <c r="AA141" s="202">
        <v>42398</v>
      </c>
      <c r="AB141" s="78" t="s">
        <v>287</v>
      </c>
      <c r="AC141">
        <f>IF(C141="",0,VLOOKUP(C141,'Dados de consulta'!$H$2:$I$25,2,0))</f>
        <v>0</v>
      </c>
      <c r="AD141">
        <f>IF(D141="",0,VLOOKUP(D141,'Dados de consulta'!$H$2:$I$25,2,0))</f>
        <v>0</v>
      </c>
      <c r="AE141">
        <f>IF(E141="",0,VLOOKUP(E141,'Dados de consulta'!$H$2:$I$25,2,0))</f>
        <v>0</v>
      </c>
      <c r="AF141">
        <f>IF(F141="",0,VLOOKUP(F141,'Dados de consulta'!$H$2:$I$25,2,0))</f>
        <v>0</v>
      </c>
      <c r="AG141">
        <f>IF(G141="",0,VLOOKUP(G141,'Dados de consulta'!$H$2:$I$25,2,0))</f>
        <v>0</v>
      </c>
      <c r="AH141">
        <f>IF(H141="",0,VLOOKUP(H141,'Dados de consulta'!$H$2:$I$25,2,0))</f>
        <v>0</v>
      </c>
      <c r="AI141">
        <f>IF(I141="",0,VLOOKUP(I141,'Dados de consulta'!$H$2:$I$25,2,0))</f>
        <v>0</v>
      </c>
      <c r="AJ141">
        <f>IF(J141="",0,VLOOKUP(J141,'Dados de consulta'!$H$2:$I$25,2,0))</f>
        <v>0</v>
      </c>
      <c r="AK141">
        <f>IF(K141="",0,VLOOKUP(K141,'Dados de consulta'!$H$2:$I$25,2,0))</f>
        <v>0</v>
      </c>
      <c r="AL141">
        <f>IF(L141="",0,VLOOKUP(L141,'Dados de consulta'!$H$2:$I$25,2,0))</f>
        <v>0</v>
      </c>
      <c r="AM141">
        <f>IF(M141="",0,VLOOKUP(M141,'Dados de consulta'!$H$2:$I$25,2,0))</f>
        <v>0</v>
      </c>
      <c r="AN141">
        <f>IF(N141="",0,VLOOKUP(N141,'Dados de consulta'!$H$2:$I$25,2,0))</f>
        <v>0</v>
      </c>
      <c r="AO141">
        <f>IF(O141="",0,VLOOKUP(O141,'Dados de consulta'!$H$2:$I$25,2,0))</f>
        <v>0</v>
      </c>
      <c r="AP141">
        <f>IF(P141="",0,VLOOKUP(P141,'Dados de consulta'!$H$2:$I$25,2,0))</f>
        <v>0</v>
      </c>
      <c r="AQ141">
        <f>IF(Q141="",0,VLOOKUP(Q141,'Dados de consulta'!$H$2:$I$25,2,0))</f>
        <v>0</v>
      </c>
      <c r="AR141">
        <f>IF(R141="",0,VLOOKUP(R141,'Dados de consulta'!$H$2:$I$25,2,0))</f>
        <v>0</v>
      </c>
      <c r="AS141">
        <f>IF(S141="",0,VLOOKUP(S141,'Dados de consulta'!$H$2:$I$25,2,0))</f>
        <v>0</v>
      </c>
      <c r="AT141">
        <f>IF(T141="",0,VLOOKUP(T141,'Dados de consulta'!$H$2:$I$25,2,0))</f>
        <v>0</v>
      </c>
      <c r="AU141">
        <f>IF(U141="",0,VLOOKUP(U141,'Dados de consulta'!$H$2:$I$25,2,0))</f>
        <v>0</v>
      </c>
      <c r="AV141">
        <f>IF(V141="",0,VLOOKUP(V141,'Dados de consulta'!$H$2:$I$25,2,0))</f>
        <v>0</v>
      </c>
      <c r="AW141">
        <f t="shared" si="17"/>
        <v>0</v>
      </c>
      <c r="AX141">
        <f t="shared" si="18"/>
        <v>0</v>
      </c>
      <c r="AY141">
        <f t="shared" si="19"/>
        <v>0</v>
      </c>
    </row>
    <row r="142" spans="1:51" hidden="1" x14ac:dyDescent="0.2">
      <c r="A142" s="202">
        <v>42399</v>
      </c>
      <c r="B142" s="78" t="s">
        <v>281</v>
      </c>
      <c r="W142">
        <f t="shared" si="14"/>
        <v>0</v>
      </c>
      <c r="X142">
        <f t="shared" si="15"/>
        <v>0</v>
      </c>
      <c r="Y142">
        <f t="shared" si="16"/>
        <v>0</v>
      </c>
      <c r="AA142" s="202">
        <v>42399</v>
      </c>
      <c r="AB142" s="78" t="s">
        <v>281</v>
      </c>
      <c r="AC142">
        <f>IF(C142="",0,VLOOKUP(C142,'Dados de consulta'!$H$2:$I$25,2,0))</f>
        <v>0</v>
      </c>
      <c r="AD142">
        <f>IF(D142="",0,VLOOKUP(D142,'Dados de consulta'!$H$2:$I$25,2,0))</f>
        <v>0</v>
      </c>
      <c r="AE142">
        <f>IF(E142="",0,VLOOKUP(E142,'Dados de consulta'!$H$2:$I$25,2,0))</f>
        <v>0</v>
      </c>
      <c r="AF142">
        <f>IF(F142="",0,VLOOKUP(F142,'Dados de consulta'!$H$2:$I$25,2,0))</f>
        <v>0</v>
      </c>
      <c r="AG142">
        <f>IF(G142="",0,VLOOKUP(G142,'Dados de consulta'!$H$2:$I$25,2,0))</f>
        <v>0</v>
      </c>
      <c r="AH142">
        <f>IF(H142="",0,VLOOKUP(H142,'Dados de consulta'!$H$2:$I$25,2,0))</f>
        <v>0</v>
      </c>
      <c r="AI142">
        <f>IF(I142="",0,VLOOKUP(I142,'Dados de consulta'!$H$2:$I$25,2,0))</f>
        <v>0</v>
      </c>
      <c r="AJ142">
        <f>IF(J142="",0,VLOOKUP(J142,'Dados de consulta'!$H$2:$I$25,2,0))</f>
        <v>0</v>
      </c>
      <c r="AK142">
        <f>IF(K142="",0,VLOOKUP(K142,'Dados de consulta'!$H$2:$I$25,2,0))</f>
        <v>0</v>
      </c>
      <c r="AL142">
        <f>IF(L142="",0,VLOOKUP(L142,'Dados de consulta'!$H$2:$I$25,2,0))</f>
        <v>0</v>
      </c>
      <c r="AM142">
        <f>IF(M142="",0,VLOOKUP(M142,'Dados de consulta'!$H$2:$I$25,2,0))</f>
        <v>0</v>
      </c>
      <c r="AN142">
        <f>IF(N142="",0,VLOOKUP(N142,'Dados de consulta'!$H$2:$I$25,2,0))</f>
        <v>0</v>
      </c>
      <c r="AO142">
        <f>IF(O142="",0,VLOOKUP(O142,'Dados de consulta'!$H$2:$I$25,2,0))</f>
        <v>0</v>
      </c>
      <c r="AP142">
        <f>IF(P142="",0,VLOOKUP(P142,'Dados de consulta'!$H$2:$I$25,2,0))</f>
        <v>0</v>
      </c>
      <c r="AQ142">
        <f>IF(Q142="",0,VLOOKUP(Q142,'Dados de consulta'!$H$2:$I$25,2,0))</f>
        <v>0</v>
      </c>
      <c r="AR142">
        <f>IF(R142="",0,VLOOKUP(R142,'Dados de consulta'!$H$2:$I$25,2,0))</f>
        <v>0</v>
      </c>
      <c r="AS142">
        <f>IF(S142="",0,VLOOKUP(S142,'Dados de consulta'!$H$2:$I$25,2,0))</f>
        <v>0</v>
      </c>
      <c r="AT142">
        <f>IF(T142="",0,VLOOKUP(T142,'Dados de consulta'!$H$2:$I$25,2,0))</f>
        <v>0</v>
      </c>
      <c r="AU142">
        <f>IF(U142="",0,VLOOKUP(U142,'Dados de consulta'!$H$2:$I$25,2,0))</f>
        <v>0</v>
      </c>
      <c r="AV142">
        <f>IF(V142="",0,VLOOKUP(V142,'Dados de consulta'!$H$2:$I$25,2,0))</f>
        <v>0</v>
      </c>
      <c r="AW142">
        <f t="shared" si="17"/>
        <v>0</v>
      </c>
      <c r="AX142">
        <f t="shared" si="18"/>
        <v>0</v>
      </c>
      <c r="AY142">
        <f t="shared" si="19"/>
        <v>0</v>
      </c>
    </row>
    <row r="143" spans="1:51" hidden="1" x14ac:dyDescent="0.2">
      <c r="A143" s="202">
        <v>42400</v>
      </c>
      <c r="B143" s="78" t="s">
        <v>282</v>
      </c>
      <c r="W143">
        <f t="shared" si="14"/>
        <v>0</v>
      </c>
      <c r="X143">
        <f t="shared" si="15"/>
        <v>0</v>
      </c>
      <c r="Y143">
        <f t="shared" si="16"/>
        <v>0</v>
      </c>
      <c r="AA143" s="202">
        <v>42400</v>
      </c>
      <c r="AB143" s="78" t="s">
        <v>282</v>
      </c>
      <c r="AC143">
        <f>IF(C143="",0,VLOOKUP(C143,'Dados de consulta'!$H$2:$I$25,2,0))</f>
        <v>0</v>
      </c>
      <c r="AD143">
        <f>IF(D143="",0,VLOOKUP(D143,'Dados de consulta'!$H$2:$I$25,2,0))</f>
        <v>0</v>
      </c>
      <c r="AE143">
        <f>IF(E143="",0,VLOOKUP(E143,'Dados de consulta'!$H$2:$I$25,2,0))</f>
        <v>0</v>
      </c>
      <c r="AF143">
        <f>IF(F143="",0,VLOOKUP(F143,'Dados de consulta'!$H$2:$I$25,2,0))</f>
        <v>0</v>
      </c>
      <c r="AG143">
        <f>IF(G143="",0,VLOOKUP(G143,'Dados de consulta'!$H$2:$I$25,2,0))</f>
        <v>0</v>
      </c>
      <c r="AH143">
        <f>IF(H143="",0,VLOOKUP(H143,'Dados de consulta'!$H$2:$I$25,2,0))</f>
        <v>0</v>
      </c>
      <c r="AI143">
        <f>IF(I143="",0,VLOOKUP(I143,'Dados de consulta'!$H$2:$I$25,2,0))</f>
        <v>0</v>
      </c>
      <c r="AJ143">
        <f>IF(J143="",0,VLOOKUP(J143,'Dados de consulta'!$H$2:$I$25,2,0))</f>
        <v>0</v>
      </c>
      <c r="AK143">
        <f>IF(K143="",0,VLOOKUP(K143,'Dados de consulta'!$H$2:$I$25,2,0))</f>
        <v>0</v>
      </c>
      <c r="AL143">
        <f>IF(L143="",0,VLOOKUP(L143,'Dados de consulta'!$H$2:$I$25,2,0))</f>
        <v>0</v>
      </c>
      <c r="AM143">
        <f>IF(M143="",0,VLOOKUP(M143,'Dados de consulta'!$H$2:$I$25,2,0))</f>
        <v>0</v>
      </c>
      <c r="AN143">
        <f>IF(N143="",0,VLOOKUP(N143,'Dados de consulta'!$H$2:$I$25,2,0))</f>
        <v>0</v>
      </c>
      <c r="AO143">
        <f>IF(O143="",0,VLOOKUP(O143,'Dados de consulta'!$H$2:$I$25,2,0))</f>
        <v>0</v>
      </c>
      <c r="AP143">
        <f>IF(P143="",0,VLOOKUP(P143,'Dados de consulta'!$H$2:$I$25,2,0))</f>
        <v>0</v>
      </c>
      <c r="AQ143">
        <f>IF(Q143="",0,VLOOKUP(Q143,'Dados de consulta'!$H$2:$I$25,2,0))</f>
        <v>0</v>
      </c>
      <c r="AR143">
        <f>IF(R143="",0,VLOOKUP(R143,'Dados de consulta'!$H$2:$I$25,2,0))</f>
        <v>0</v>
      </c>
      <c r="AS143">
        <f>IF(S143="",0,VLOOKUP(S143,'Dados de consulta'!$H$2:$I$25,2,0))</f>
        <v>0</v>
      </c>
      <c r="AT143">
        <f>IF(T143="",0,VLOOKUP(T143,'Dados de consulta'!$H$2:$I$25,2,0))</f>
        <v>0</v>
      </c>
      <c r="AU143">
        <f>IF(U143="",0,VLOOKUP(U143,'Dados de consulta'!$H$2:$I$25,2,0))</f>
        <v>0</v>
      </c>
      <c r="AV143">
        <f>IF(V143="",0,VLOOKUP(V143,'Dados de consulta'!$H$2:$I$25,2,0))</f>
        <v>0</v>
      </c>
      <c r="AW143">
        <f t="shared" si="17"/>
        <v>0</v>
      </c>
      <c r="AX143">
        <f t="shared" si="18"/>
        <v>0</v>
      </c>
      <c r="AY143">
        <f t="shared" si="19"/>
        <v>0</v>
      </c>
    </row>
    <row r="144" spans="1:51" hidden="1" x14ac:dyDescent="0.2">
      <c r="A144" s="202">
        <v>42401</v>
      </c>
      <c r="B144" s="78" t="s">
        <v>283</v>
      </c>
      <c r="W144">
        <f t="shared" si="14"/>
        <v>0</v>
      </c>
      <c r="X144">
        <f t="shared" si="15"/>
        <v>0</v>
      </c>
      <c r="Y144">
        <f t="shared" si="16"/>
        <v>0</v>
      </c>
      <c r="AA144" s="202">
        <v>42401</v>
      </c>
      <c r="AB144" s="78" t="s">
        <v>283</v>
      </c>
      <c r="AC144">
        <f>IF(C144="",0,VLOOKUP(C144,'Dados de consulta'!$H$2:$I$25,2,0))</f>
        <v>0</v>
      </c>
      <c r="AD144">
        <f>IF(D144="",0,VLOOKUP(D144,'Dados de consulta'!$H$2:$I$25,2,0))</f>
        <v>0</v>
      </c>
      <c r="AE144">
        <f>IF(E144="",0,VLOOKUP(E144,'Dados de consulta'!$H$2:$I$25,2,0))</f>
        <v>0</v>
      </c>
      <c r="AF144">
        <f>IF(F144="",0,VLOOKUP(F144,'Dados de consulta'!$H$2:$I$25,2,0))</f>
        <v>0</v>
      </c>
      <c r="AG144">
        <f>IF(G144="",0,VLOOKUP(G144,'Dados de consulta'!$H$2:$I$25,2,0))</f>
        <v>0</v>
      </c>
      <c r="AH144">
        <f>IF(H144="",0,VLOOKUP(H144,'Dados de consulta'!$H$2:$I$25,2,0))</f>
        <v>0</v>
      </c>
      <c r="AI144">
        <f>IF(I144="",0,VLOOKUP(I144,'Dados de consulta'!$H$2:$I$25,2,0))</f>
        <v>0</v>
      </c>
      <c r="AJ144">
        <f>IF(J144="",0,VLOOKUP(J144,'Dados de consulta'!$H$2:$I$25,2,0))</f>
        <v>0</v>
      </c>
      <c r="AK144">
        <f>IF(K144="",0,VLOOKUP(K144,'Dados de consulta'!$H$2:$I$25,2,0))</f>
        <v>0</v>
      </c>
      <c r="AL144">
        <f>IF(L144="",0,VLOOKUP(L144,'Dados de consulta'!$H$2:$I$25,2,0))</f>
        <v>0</v>
      </c>
      <c r="AM144">
        <f>IF(M144="",0,VLOOKUP(M144,'Dados de consulta'!$H$2:$I$25,2,0))</f>
        <v>0</v>
      </c>
      <c r="AN144">
        <f>IF(N144="",0,VLOOKUP(N144,'Dados de consulta'!$H$2:$I$25,2,0))</f>
        <v>0</v>
      </c>
      <c r="AO144">
        <f>IF(O144="",0,VLOOKUP(O144,'Dados de consulta'!$H$2:$I$25,2,0))</f>
        <v>0</v>
      </c>
      <c r="AP144">
        <f>IF(P144="",0,VLOOKUP(P144,'Dados de consulta'!$H$2:$I$25,2,0))</f>
        <v>0</v>
      </c>
      <c r="AQ144">
        <f>IF(Q144="",0,VLOOKUP(Q144,'Dados de consulta'!$H$2:$I$25,2,0))</f>
        <v>0</v>
      </c>
      <c r="AR144">
        <f>IF(R144="",0,VLOOKUP(R144,'Dados de consulta'!$H$2:$I$25,2,0))</f>
        <v>0</v>
      </c>
      <c r="AS144">
        <f>IF(S144="",0,VLOOKUP(S144,'Dados de consulta'!$H$2:$I$25,2,0))</f>
        <v>0</v>
      </c>
      <c r="AT144">
        <f>IF(T144="",0,VLOOKUP(T144,'Dados de consulta'!$H$2:$I$25,2,0))</f>
        <v>0</v>
      </c>
      <c r="AU144">
        <f>IF(U144="",0,VLOOKUP(U144,'Dados de consulta'!$H$2:$I$25,2,0))</f>
        <v>0</v>
      </c>
      <c r="AV144">
        <f>IF(V144="",0,VLOOKUP(V144,'Dados de consulta'!$H$2:$I$25,2,0))</f>
        <v>0</v>
      </c>
      <c r="AW144">
        <f t="shared" si="17"/>
        <v>0</v>
      </c>
      <c r="AX144">
        <f t="shared" si="18"/>
        <v>0</v>
      </c>
      <c r="AY144">
        <f t="shared" si="19"/>
        <v>0</v>
      </c>
    </row>
    <row r="145" spans="1:51" hidden="1" x14ac:dyDescent="0.2">
      <c r="A145" s="202">
        <v>42402</v>
      </c>
      <c r="B145" s="78" t="s">
        <v>284</v>
      </c>
      <c r="W145">
        <f t="shared" si="14"/>
        <v>0</v>
      </c>
      <c r="X145">
        <f t="shared" si="15"/>
        <v>0</v>
      </c>
      <c r="Y145">
        <f t="shared" si="16"/>
        <v>0</v>
      </c>
      <c r="AA145" s="202">
        <v>42402</v>
      </c>
      <c r="AB145" s="78" t="s">
        <v>284</v>
      </c>
      <c r="AC145">
        <f>IF(C145="",0,VLOOKUP(C145,'Dados de consulta'!$H$2:$I$25,2,0))</f>
        <v>0</v>
      </c>
      <c r="AD145">
        <f>IF(D145="",0,VLOOKUP(D145,'Dados de consulta'!$H$2:$I$25,2,0))</f>
        <v>0</v>
      </c>
      <c r="AE145">
        <f>IF(E145="",0,VLOOKUP(E145,'Dados de consulta'!$H$2:$I$25,2,0))</f>
        <v>0</v>
      </c>
      <c r="AF145">
        <f>IF(F145="",0,VLOOKUP(F145,'Dados de consulta'!$H$2:$I$25,2,0))</f>
        <v>0</v>
      </c>
      <c r="AG145">
        <f>IF(G145="",0,VLOOKUP(G145,'Dados de consulta'!$H$2:$I$25,2,0))</f>
        <v>0</v>
      </c>
      <c r="AH145">
        <f>IF(H145="",0,VLOOKUP(H145,'Dados de consulta'!$H$2:$I$25,2,0))</f>
        <v>0</v>
      </c>
      <c r="AI145">
        <f>IF(I145="",0,VLOOKUP(I145,'Dados de consulta'!$H$2:$I$25,2,0))</f>
        <v>0</v>
      </c>
      <c r="AJ145">
        <f>IF(J145="",0,VLOOKUP(J145,'Dados de consulta'!$H$2:$I$25,2,0))</f>
        <v>0</v>
      </c>
      <c r="AK145">
        <f>IF(K145="",0,VLOOKUP(K145,'Dados de consulta'!$H$2:$I$25,2,0))</f>
        <v>0</v>
      </c>
      <c r="AL145">
        <f>IF(L145="",0,VLOOKUP(L145,'Dados de consulta'!$H$2:$I$25,2,0))</f>
        <v>0</v>
      </c>
      <c r="AM145">
        <f>IF(M145="",0,VLOOKUP(M145,'Dados de consulta'!$H$2:$I$25,2,0))</f>
        <v>0</v>
      </c>
      <c r="AN145">
        <f>IF(N145="",0,VLOOKUP(N145,'Dados de consulta'!$H$2:$I$25,2,0))</f>
        <v>0</v>
      </c>
      <c r="AO145">
        <f>IF(O145="",0,VLOOKUP(O145,'Dados de consulta'!$H$2:$I$25,2,0))</f>
        <v>0</v>
      </c>
      <c r="AP145">
        <f>IF(P145="",0,VLOOKUP(P145,'Dados de consulta'!$H$2:$I$25,2,0))</f>
        <v>0</v>
      </c>
      <c r="AQ145">
        <f>IF(Q145="",0,VLOOKUP(Q145,'Dados de consulta'!$H$2:$I$25,2,0))</f>
        <v>0</v>
      </c>
      <c r="AR145">
        <f>IF(R145="",0,VLOOKUP(R145,'Dados de consulta'!$H$2:$I$25,2,0))</f>
        <v>0</v>
      </c>
      <c r="AS145">
        <f>IF(S145="",0,VLOOKUP(S145,'Dados de consulta'!$H$2:$I$25,2,0))</f>
        <v>0</v>
      </c>
      <c r="AT145">
        <f>IF(T145="",0,VLOOKUP(T145,'Dados de consulta'!$H$2:$I$25,2,0))</f>
        <v>0</v>
      </c>
      <c r="AU145">
        <f>IF(U145="",0,VLOOKUP(U145,'Dados de consulta'!$H$2:$I$25,2,0))</f>
        <v>0</v>
      </c>
      <c r="AV145">
        <f>IF(V145="",0,VLOOKUP(V145,'Dados de consulta'!$H$2:$I$25,2,0))</f>
        <v>0</v>
      </c>
      <c r="AW145">
        <f t="shared" si="17"/>
        <v>0</v>
      </c>
      <c r="AX145">
        <f t="shared" si="18"/>
        <v>0</v>
      </c>
      <c r="AY145">
        <f t="shared" si="19"/>
        <v>0</v>
      </c>
    </row>
    <row r="146" spans="1:51" hidden="1" x14ac:dyDescent="0.2">
      <c r="A146" s="202">
        <v>42403</v>
      </c>
      <c r="B146" s="78" t="s">
        <v>285</v>
      </c>
      <c r="W146">
        <f t="shared" si="14"/>
        <v>0</v>
      </c>
      <c r="X146">
        <f t="shared" si="15"/>
        <v>0</v>
      </c>
      <c r="Y146">
        <f t="shared" si="16"/>
        <v>0</v>
      </c>
      <c r="AA146" s="202">
        <v>42403</v>
      </c>
      <c r="AB146" s="78" t="s">
        <v>285</v>
      </c>
      <c r="AC146">
        <f>IF(C146="",0,VLOOKUP(C146,'Dados de consulta'!$H$2:$I$25,2,0))</f>
        <v>0</v>
      </c>
      <c r="AD146">
        <f>IF(D146="",0,VLOOKUP(D146,'Dados de consulta'!$H$2:$I$25,2,0))</f>
        <v>0</v>
      </c>
      <c r="AE146">
        <f>IF(E146="",0,VLOOKUP(E146,'Dados de consulta'!$H$2:$I$25,2,0))</f>
        <v>0</v>
      </c>
      <c r="AF146">
        <f>IF(F146="",0,VLOOKUP(F146,'Dados de consulta'!$H$2:$I$25,2,0))</f>
        <v>0</v>
      </c>
      <c r="AG146">
        <f>IF(G146="",0,VLOOKUP(G146,'Dados de consulta'!$H$2:$I$25,2,0))</f>
        <v>0</v>
      </c>
      <c r="AH146">
        <f>IF(H146="",0,VLOOKUP(H146,'Dados de consulta'!$H$2:$I$25,2,0))</f>
        <v>0</v>
      </c>
      <c r="AI146">
        <f>IF(I146="",0,VLOOKUP(I146,'Dados de consulta'!$H$2:$I$25,2,0))</f>
        <v>0</v>
      </c>
      <c r="AJ146">
        <f>IF(J146="",0,VLOOKUP(J146,'Dados de consulta'!$H$2:$I$25,2,0))</f>
        <v>0</v>
      </c>
      <c r="AK146">
        <f>IF(K146="",0,VLOOKUP(K146,'Dados de consulta'!$H$2:$I$25,2,0))</f>
        <v>0</v>
      </c>
      <c r="AL146">
        <f>IF(L146="",0,VLOOKUP(L146,'Dados de consulta'!$H$2:$I$25,2,0))</f>
        <v>0</v>
      </c>
      <c r="AM146">
        <f>IF(M146="",0,VLOOKUP(M146,'Dados de consulta'!$H$2:$I$25,2,0))</f>
        <v>0</v>
      </c>
      <c r="AN146">
        <f>IF(N146="",0,VLOOKUP(N146,'Dados de consulta'!$H$2:$I$25,2,0))</f>
        <v>0</v>
      </c>
      <c r="AO146">
        <f>IF(O146="",0,VLOOKUP(O146,'Dados de consulta'!$H$2:$I$25,2,0))</f>
        <v>0</v>
      </c>
      <c r="AP146">
        <f>IF(P146="",0,VLOOKUP(P146,'Dados de consulta'!$H$2:$I$25,2,0))</f>
        <v>0</v>
      </c>
      <c r="AQ146">
        <f>IF(Q146="",0,VLOOKUP(Q146,'Dados de consulta'!$H$2:$I$25,2,0))</f>
        <v>0</v>
      </c>
      <c r="AR146">
        <f>IF(R146="",0,VLOOKUP(R146,'Dados de consulta'!$H$2:$I$25,2,0))</f>
        <v>0</v>
      </c>
      <c r="AS146">
        <f>IF(S146="",0,VLOOKUP(S146,'Dados de consulta'!$H$2:$I$25,2,0))</f>
        <v>0</v>
      </c>
      <c r="AT146">
        <f>IF(T146="",0,VLOOKUP(T146,'Dados de consulta'!$H$2:$I$25,2,0))</f>
        <v>0</v>
      </c>
      <c r="AU146">
        <f>IF(U146="",0,VLOOKUP(U146,'Dados de consulta'!$H$2:$I$25,2,0))</f>
        <v>0</v>
      </c>
      <c r="AV146">
        <f>IF(V146="",0,VLOOKUP(V146,'Dados de consulta'!$H$2:$I$25,2,0))</f>
        <v>0</v>
      </c>
      <c r="AW146">
        <f t="shared" si="17"/>
        <v>0</v>
      </c>
      <c r="AX146">
        <f t="shared" si="18"/>
        <v>0</v>
      </c>
      <c r="AY146">
        <f t="shared" si="19"/>
        <v>0</v>
      </c>
    </row>
    <row r="147" spans="1:51" hidden="1" x14ac:dyDescent="0.2">
      <c r="A147" s="202">
        <v>42404</v>
      </c>
      <c r="B147" s="78" t="s">
        <v>286</v>
      </c>
      <c r="W147">
        <f t="shared" si="14"/>
        <v>0</v>
      </c>
      <c r="X147">
        <f t="shared" si="15"/>
        <v>0</v>
      </c>
      <c r="Y147">
        <f t="shared" si="16"/>
        <v>0</v>
      </c>
      <c r="AA147" s="202">
        <v>42404</v>
      </c>
      <c r="AB147" s="78" t="s">
        <v>286</v>
      </c>
      <c r="AC147">
        <f>IF(C147="",0,VLOOKUP(C147,'Dados de consulta'!$H$2:$I$25,2,0))</f>
        <v>0</v>
      </c>
      <c r="AD147">
        <f>IF(D147="",0,VLOOKUP(D147,'Dados de consulta'!$H$2:$I$25,2,0))</f>
        <v>0</v>
      </c>
      <c r="AE147">
        <f>IF(E147="",0,VLOOKUP(E147,'Dados de consulta'!$H$2:$I$25,2,0))</f>
        <v>0</v>
      </c>
      <c r="AF147">
        <f>IF(F147="",0,VLOOKUP(F147,'Dados de consulta'!$H$2:$I$25,2,0))</f>
        <v>0</v>
      </c>
      <c r="AG147">
        <f>IF(G147="",0,VLOOKUP(G147,'Dados de consulta'!$H$2:$I$25,2,0))</f>
        <v>0</v>
      </c>
      <c r="AH147">
        <f>IF(H147="",0,VLOOKUP(H147,'Dados de consulta'!$H$2:$I$25,2,0))</f>
        <v>0</v>
      </c>
      <c r="AI147">
        <f>IF(I147="",0,VLOOKUP(I147,'Dados de consulta'!$H$2:$I$25,2,0))</f>
        <v>0</v>
      </c>
      <c r="AJ147">
        <f>IF(J147="",0,VLOOKUP(J147,'Dados de consulta'!$H$2:$I$25,2,0))</f>
        <v>0</v>
      </c>
      <c r="AK147">
        <f>IF(K147="",0,VLOOKUP(K147,'Dados de consulta'!$H$2:$I$25,2,0))</f>
        <v>0</v>
      </c>
      <c r="AL147">
        <f>IF(L147="",0,VLOOKUP(L147,'Dados de consulta'!$H$2:$I$25,2,0))</f>
        <v>0</v>
      </c>
      <c r="AM147">
        <f>IF(M147="",0,VLOOKUP(M147,'Dados de consulta'!$H$2:$I$25,2,0))</f>
        <v>0</v>
      </c>
      <c r="AN147">
        <f>IF(N147="",0,VLOOKUP(N147,'Dados de consulta'!$H$2:$I$25,2,0))</f>
        <v>0</v>
      </c>
      <c r="AO147">
        <f>IF(O147="",0,VLOOKUP(O147,'Dados de consulta'!$H$2:$I$25,2,0))</f>
        <v>0</v>
      </c>
      <c r="AP147">
        <f>IF(P147="",0,VLOOKUP(P147,'Dados de consulta'!$H$2:$I$25,2,0))</f>
        <v>0</v>
      </c>
      <c r="AQ147">
        <f>IF(Q147="",0,VLOOKUP(Q147,'Dados de consulta'!$H$2:$I$25,2,0))</f>
        <v>0</v>
      </c>
      <c r="AR147">
        <f>IF(R147="",0,VLOOKUP(R147,'Dados de consulta'!$H$2:$I$25,2,0))</f>
        <v>0</v>
      </c>
      <c r="AS147">
        <f>IF(S147="",0,VLOOKUP(S147,'Dados de consulta'!$H$2:$I$25,2,0))</f>
        <v>0</v>
      </c>
      <c r="AT147">
        <f>IF(T147="",0,VLOOKUP(T147,'Dados de consulta'!$H$2:$I$25,2,0))</f>
        <v>0</v>
      </c>
      <c r="AU147">
        <f>IF(U147="",0,VLOOKUP(U147,'Dados de consulta'!$H$2:$I$25,2,0))</f>
        <v>0</v>
      </c>
      <c r="AV147">
        <f>IF(V147="",0,VLOOKUP(V147,'Dados de consulta'!$H$2:$I$25,2,0))</f>
        <v>0</v>
      </c>
      <c r="AW147">
        <f t="shared" si="17"/>
        <v>0</v>
      </c>
      <c r="AX147">
        <f t="shared" si="18"/>
        <v>0</v>
      </c>
      <c r="AY147">
        <f t="shared" si="19"/>
        <v>0</v>
      </c>
    </row>
    <row r="148" spans="1:51" hidden="1" x14ac:dyDescent="0.2">
      <c r="A148" s="202">
        <v>42405</v>
      </c>
      <c r="B148" s="78" t="s">
        <v>287</v>
      </c>
      <c r="W148">
        <f t="shared" si="14"/>
        <v>0</v>
      </c>
      <c r="X148">
        <f t="shared" si="15"/>
        <v>0</v>
      </c>
      <c r="Y148">
        <f t="shared" si="16"/>
        <v>0</v>
      </c>
      <c r="AA148" s="202">
        <v>42405</v>
      </c>
      <c r="AB148" s="78" t="s">
        <v>287</v>
      </c>
      <c r="AC148">
        <f>IF(C148="",0,VLOOKUP(C148,'Dados de consulta'!$H$2:$I$25,2,0))</f>
        <v>0</v>
      </c>
      <c r="AD148">
        <f>IF(D148="",0,VLOOKUP(D148,'Dados de consulta'!$H$2:$I$25,2,0))</f>
        <v>0</v>
      </c>
      <c r="AE148">
        <f>IF(E148="",0,VLOOKUP(E148,'Dados de consulta'!$H$2:$I$25,2,0))</f>
        <v>0</v>
      </c>
      <c r="AF148">
        <f>IF(F148="",0,VLOOKUP(F148,'Dados de consulta'!$H$2:$I$25,2,0))</f>
        <v>0</v>
      </c>
      <c r="AG148">
        <f>IF(G148="",0,VLOOKUP(G148,'Dados de consulta'!$H$2:$I$25,2,0))</f>
        <v>0</v>
      </c>
      <c r="AH148">
        <f>IF(H148="",0,VLOOKUP(H148,'Dados de consulta'!$H$2:$I$25,2,0))</f>
        <v>0</v>
      </c>
      <c r="AI148">
        <f>IF(I148="",0,VLOOKUP(I148,'Dados de consulta'!$H$2:$I$25,2,0))</f>
        <v>0</v>
      </c>
      <c r="AJ148">
        <f>IF(J148="",0,VLOOKUP(J148,'Dados de consulta'!$H$2:$I$25,2,0))</f>
        <v>0</v>
      </c>
      <c r="AK148">
        <f>IF(K148="",0,VLOOKUP(K148,'Dados de consulta'!$H$2:$I$25,2,0))</f>
        <v>0</v>
      </c>
      <c r="AL148">
        <f>IF(L148="",0,VLOOKUP(L148,'Dados de consulta'!$H$2:$I$25,2,0))</f>
        <v>0</v>
      </c>
      <c r="AM148">
        <f>IF(M148="",0,VLOOKUP(M148,'Dados de consulta'!$H$2:$I$25,2,0))</f>
        <v>0</v>
      </c>
      <c r="AN148">
        <f>IF(N148="",0,VLOOKUP(N148,'Dados de consulta'!$H$2:$I$25,2,0))</f>
        <v>0</v>
      </c>
      <c r="AO148">
        <f>IF(O148="",0,VLOOKUP(O148,'Dados de consulta'!$H$2:$I$25,2,0))</f>
        <v>0</v>
      </c>
      <c r="AP148">
        <f>IF(P148="",0,VLOOKUP(P148,'Dados de consulta'!$H$2:$I$25,2,0))</f>
        <v>0</v>
      </c>
      <c r="AQ148">
        <f>IF(Q148="",0,VLOOKUP(Q148,'Dados de consulta'!$H$2:$I$25,2,0))</f>
        <v>0</v>
      </c>
      <c r="AR148">
        <f>IF(R148="",0,VLOOKUP(R148,'Dados de consulta'!$H$2:$I$25,2,0))</f>
        <v>0</v>
      </c>
      <c r="AS148">
        <f>IF(S148="",0,VLOOKUP(S148,'Dados de consulta'!$H$2:$I$25,2,0))</f>
        <v>0</v>
      </c>
      <c r="AT148">
        <f>IF(T148="",0,VLOOKUP(T148,'Dados de consulta'!$H$2:$I$25,2,0))</f>
        <v>0</v>
      </c>
      <c r="AU148">
        <f>IF(U148="",0,VLOOKUP(U148,'Dados de consulta'!$H$2:$I$25,2,0))</f>
        <v>0</v>
      </c>
      <c r="AV148">
        <f>IF(V148="",0,VLOOKUP(V148,'Dados de consulta'!$H$2:$I$25,2,0))</f>
        <v>0</v>
      </c>
      <c r="AW148">
        <f t="shared" si="17"/>
        <v>0</v>
      </c>
      <c r="AX148">
        <f t="shared" si="18"/>
        <v>0</v>
      </c>
      <c r="AY148">
        <f t="shared" si="19"/>
        <v>0</v>
      </c>
    </row>
    <row r="149" spans="1:51" hidden="1" x14ac:dyDescent="0.2">
      <c r="A149" s="202">
        <v>42406</v>
      </c>
      <c r="B149" s="78" t="s">
        <v>281</v>
      </c>
      <c r="I149" s="78" t="s">
        <v>219</v>
      </c>
      <c r="L149" s="78" t="s">
        <v>219</v>
      </c>
      <c r="N149" s="78" t="s">
        <v>219</v>
      </c>
      <c r="P149" s="78" t="s">
        <v>234</v>
      </c>
      <c r="W149">
        <f t="shared" si="14"/>
        <v>18</v>
      </c>
      <c r="X149">
        <f t="shared" si="15"/>
        <v>6</v>
      </c>
      <c r="Y149">
        <f t="shared" si="16"/>
        <v>0</v>
      </c>
      <c r="AA149" s="202">
        <v>42406</v>
      </c>
      <c r="AB149" s="78" t="s">
        <v>281</v>
      </c>
      <c r="AC149">
        <f>IF(C149="",0,VLOOKUP(C149,'Dados de consulta'!$H$2:$I$25,2,0))</f>
        <v>0</v>
      </c>
      <c r="AD149">
        <f>IF(D149="",0,VLOOKUP(D149,'Dados de consulta'!$H$2:$I$25,2,0))</f>
        <v>0</v>
      </c>
      <c r="AE149">
        <f>IF(E149="",0,VLOOKUP(E149,'Dados de consulta'!$H$2:$I$25,2,0))</f>
        <v>0</v>
      </c>
      <c r="AF149">
        <f>IF(F149="",0,VLOOKUP(F149,'Dados de consulta'!$H$2:$I$25,2,0))</f>
        <v>0</v>
      </c>
      <c r="AG149">
        <f>IF(G149="",0,VLOOKUP(G149,'Dados de consulta'!$H$2:$I$25,2,0))</f>
        <v>0</v>
      </c>
      <c r="AH149">
        <f>IF(H149="",0,VLOOKUP(H149,'Dados de consulta'!$H$2:$I$25,2,0))</f>
        <v>0</v>
      </c>
      <c r="AI149">
        <f>IF(I149="",0,VLOOKUP(I149,'Dados de consulta'!$H$2:$I$25,2,0))</f>
        <v>6</v>
      </c>
      <c r="AJ149">
        <f>IF(J149="",0,VLOOKUP(J149,'Dados de consulta'!$H$2:$I$25,2,0))</f>
        <v>0</v>
      </c>
      <c r="AK149">
        <f>IF(K149="",0,VLOOKUP(K149,'Dados de consulta'!$H$2:$I$25,2,0))</f>
        <v>0</v>
      </c>
      <c r="AL149">
        <f>IF(L149="",0,VLOOKUP(L149,'Dados de consulta'!$H$2:$I$25,2,0))</f>
        <v>6</v>
      </c>
      <c r="AM149">
        <f>IF(M149="",0,VLOOKUP(M149,'Dados de consulta'!$H$2:$I$25,2,0))</f>
        <v>0</v>
      </c>
      <c r="AN149">
        <f>IF(N149="",0,VLOOKUP(N149,'Dados de consulta'!$H$2:$I$25,2,0))</f>
        <v>6</v>
      </c>
      <c r="AO149">
        <f>IF(O149="",0,VLOOKUP(O149,'Dados de consulta'!$H$2:$I$25,2,0))</f>
        <v>0</v>
      </c>
      <c r="AP149">
        <f>IF(P149="",0,VLOOKUP(P149,'Dados de consulta'!$H$2:$I$25,2,0))</f>
        <v>16</v>
      </c>
      <c r="AQ149">
        <f>IF(Q149="",0,VLOOKUP(Q149,'Dados de consulta'!$H$2:$I$25,2,0))</f>
        <v>0</v>
      </c>
      <c r="AR149">
        <f>IF(R149="",0,VLOOKUP(R149,'Dados de consulta'!$H$2:$I$25,2,0))</f>
        <v>0</v>
      </c>
      <c r="AS149">
        <f>IF(S149="",0,VLOOKUP(S149,'Dados de consulta'!$H$2:$I$25,2,0))</f>
        <v>0</v>
      </c>
      <c r="AT149">
        <f>IF(T149="",0,VLOOKUP(T149,'Dados de consulta'!$H$2:$I$25,2,0))</f>
        <v>0</v>
      </c>
      <c r="AU149">
        <f>IF(U149="",0,VLOOKUP(U149,'Dados de consulta'!$H$2:$I$25,2,0))</f>
        <v>0</v>
      </c>
      <c r="AV149">
        <f>IF(V149="",0,VLOOKUP(V149,'Dados de consulta'!$H$2:$I$25,2,0))</f>
        <v>0</v>
      </c>
      <c r="AW149">
        <f t="shared" si="17"/>
        <v>18</v>
      </c>
      <c r="AX149">
        <f t="shared" si="18"/>
        <v>6</v>
      </c>
      <c r="AY149">
        <f t="shared" si="19"/>
        <v>0</v>
      </c>
    </row>
    <row r="150" spans="1:51" hidden="1" x14ac:dyDescent="0.2">
      <c r="A150" s="202">
        <v>42407</v>
      </c>
      <c r="B150" s="78" t="s">
        <v>282</v>
      </c>
      <c r="W150">
        <f t="shared" si="14"/>
        <v>0</v>
      </c>
      <c r="X150">
        <f t="shared" si="15"/>
        <v>0</v>
      </c>
      <c r="Y150">
        <f t="shared" si="16"/>
        <v>0</v>
      </c>
      <c r="AA150" s="202">
        <v>42407</v>
      </c>
      <c r="AB150" s="78" t="s">
        <v>282</v>
      </c>
      <c r="AC150">
        <f>IF(C150="",0,VLOOKUP(C150,'Dados de consulta'!$H$2:$I$25,2,0))</f>
        <v>0</v>
      </c>
      <c r="AD150">
        <f>IF(D150="",0,VLOOKUP(D150,'Dados de consulta'!$H$2:$I$25,2,0))</f>
        <v>0</v>
      </c>
      <c r="AE150">
        <f>IF(E150="",0,VLOOKUP(E150,'Dados de consulta'!$H$2:$I$25,2,0))</f>
        <v>0</v>
      </c>
      <c r="AF150">
        <f>IF(F150="",0,VLOOKUP(F150,'Dados de consulta'!$H$2:$I$25,2,0))</f>
        <v>0</v>
      </c>
      <c r="AG150">
        <f>IF(G150="",0,VLOOKUP(G150,'Dados de consulta'!$H$2:$I$25,2,0))</f>
        <v>0</v>
      </c>
      <c r="AH150">
        <f>IF(H150="",0,VLOOKUP(H150,'Dados de consulta'!$H$2:$I$25,2,0))</f>
        <v>0</v>
      </c>
      <c r="AI150">
        <f>IF(I150="",0,VLOOKUP(I150,'Dados de consulta'!$H$2:$I$25,2,0))</f>
        <v>0</v>
      </c>
      <c r="AJ150">
        <f>IF(J150="",0,VLOOKUP(J150,'Dados de consulta'!$H$2:$I$25,2,0))</f>
        <v>0</v>
      </c>
      <c r="AK150">
        <f>IF(K150="",0,VLOOKUP(K150,'Dados de consulta'!$H$2:$I$25,2,0))</f>
        <v>0</v>
      </c>
      <c r="AL150">
        <f>IF(L150="",0,VLOOKUP(L150,'Dados de consulta'!$H$2:$I$25,2,0))</f>
        <v>0</v>
      </c>
      <c r="AM150">
        <f>IF(M150="",0,VLOOKUP(M150,'Dados de consulta'!$H$2:$I$25,2,0))</f>
        <v>0</v>
      </c>
      <c r="AN150">
        <f>IF(N150="",0,VLOOKUP(N150,'Dados de consulta'!$H$2:$I$25,2,0))</f>
        <v>0</v>
      </c>
      <c r="AO150">
        <f>IF(O150="",0,VLOOKUP(O150,'Dados de consulta'!$H$2:$I$25,2,0))</f>
        <v>0</v>
      </c>
      <c r="AP150">
        <f>IF(P150="",0,VLOOKUP(P150,'Dados de consulta'!$H$2:$I$25,2,0))</f>
        <v>0</v>
      </c>
      <c r="AQ150">
        <f>IF(Q150="",0,VLOOKUP(Q150,'Dados de consulta'!$H$2:$I$25,2,0))</f>
        <v>0</v>
      </c>
      <c r="AR150">
        <f>IF(R150="",0,VLOOKUP(R150,'Dados de consulta'!$H$2:$I$25,2,0))</f>
        <v>0</v>
      </c>
      <c r="AS150">
        <f>IF(S150="",0,VLOOKUP(S150,'Dados de consulta'!$H$2:$I$25,2,0))</f>
        <v>0</v>
      </c>
      <c r="AT150">
        <f>IF(T150="",0,VLOOKUP(T150,'Dados de consulta'!$H$2:$I$25,2,0))</f>
        <v>0</v>
      </c>
      <c r="AU150">
        <f>IF(U150="",0,VLOOKUP(U150,'Dados de consulta'!$H$2:$I$25,2,0))</f>
        <v>0</v>
      </c>
      <c r="AV150">
        <f>IF(V150="",0,VLOOKUP(V150,'Dados de consulta'!$H$2:$I$25,2,0))</f>
        <v>0</v>
      </c>
      <c r="AW150">
        <f t="shared" ref="AW150:AW213" si="20">SUMIF(AC150:AV150,"&lt;"&amp;9,AC150:AV150)</f>
        <v>0</v>
      </c>
      <c r="AX150">
        <f t="shared" ref="AX150:AX213" si="21">SUMIFS(AC150:AV150,AC150:AV150,"&gt;"&amp;8,AC150:AV150,"&lt;"&amp;19)-COUNTIFS(AC150:AV150,"&gt;"&amp;8,AC150:AV150,"&lt;"&amp;19)*10</f>
        <v>0</v>
      </c>
      <c r="AY150">
        <f t="shared" ref="AY150:AY213" si="22">SUMIFS(AC150:AV150,AC150:AV150,"&gt;"&amp;20,AC150:AV150,"&lt;"&amp;29)-COUNTIFS(AC150:AV150,"&gt;"&amp;20,AC150:AV150,"&lt;"&amp;29)*20</f>
        <v>0</v>
      </c>
    </row>
    <row r="151" spans="1:51" hidden="1" x14ac:dyDescent="0.2">
      <c r="A151" s="202">
        <v>42408</v>
      </c>
      <c r="B151" s="78" t="s">
        <v>283</v>
      </c>
      <c r="W151">
        <f t="shared" si="14"/>
        <v>0</v>
      </c>
      <c r="X151">
        <f t="shared" si="15"/>
        <v>0</v>
      </c>
      <c r="Y151">
        <f t="shared" si="16"/>
        <v>0</v>
      </c>
      <c r="AA151" s="202">
        <v>42408</v>
      </c>
      <c r="AB151" s="78" t="s">
        <v>283</v>
      </c>
      <c r="AC151">
        <f>IF(C151="",0,VLOOKUP(C151,'Dados de consulta'!$H$2:$I$25,2,0))</f>
        <v>0</v>
      </c>
      <c r="AD151">
        <f>IF(D151="",0,VLOOKUP(D151,'Dados de consulta'!$H$2:$I$25,2,0))</f>
        <v>0</v>
      </c>
      <c r="AE151">
        <f>IF(E151="",0,VLOOKUP(E151,'Dados de consulta'!$H$2:$I$25,2,0))</f>
        <v>0</v>
      </c>
      <c r="AF151">
        <f>IF(F151="",0,VLOOKUP(F151,'Dados de consulta'!$H$2:$I$25,2,0))</f>
        <v>0</v>
      </c>
      <c r="AG151">
        <f>IF(G151="",0,VLOOKUP(G151,'Dados de consulta'!$H$2:$I$25,2,0))</f>
        <v>0</v>
      </c>
      <c r="AH151">
        <f>IF(H151="",0,VLOOKUP(H151,'Dados de consulta'!$H$2:$I$25,2,0))</f>
        <v>0</v>
      </c>
      <c r="AI151">
        <f>IF(I151="",0,VLOOKUP(I151,'Dados de consulta'!$H$2:$I$25,2,0))</f>
        <v>0</v>
      </c>
      <c r="AJ151">
        <f>IF(J151="",0,VLOOKUP(J151,'Dados de consulta'!$H$2:$I$25,2,0))</f>
        <v>0</v>
      </c>
      <c r="AK151">
        <f>IF(K151="",0,VLOOKUP(K151,'Dados de consulta'!$H$2:$I$25,2,0))</f>
        <v>0</v>
      </c>
      <c r="AL151">
        <f>IF(L151="",0,VLOOKUP(L151,'Dados de consulta'!$H$2:$I$25,2,0))</f>
        <v>0</v>
      </c>
      <c r="AM151">
        <f>IF(M151="",0,VLOOKUP(M151,'Dados de consulta'!$H$2:$I$25,2,0))</f>
        <v>0</v>
      </c>
      <c r="AN151">
        <f>IF(N151="",0,VLOOKUP(N151,'Dados de consulta'!$H$2:$I$25,2,0))</f>
        <v>0</v>
      </c>
      <c r="AO151">
        <f>IF(O151="",0,VLOOKUP(O151,'Dados de consulta'!$H$2:$I$25,2,0))</f>
        <v>0</v>
      </c>
      <c r="AP151">
        <f>IF(P151="",0,VLOOKUP(P151,'Dados de consulta'!$H$2:$I$25,2,0))</f>
        <v>0</v>
      </c>
      <c r="AQ151">
        <f>IF(Q151="",0,VLOOKUP(Q151,'Dados de consulta'!$H$2:$I$25,2,0))</f>
        <v>0</v>
      </c>
      <c r="AR151">
        <f>IF(R151="",0,VLOOKUP(R151,'Dados de consulta'!$H$2:$I$25,2,0))</f>
        <v>0</v>
      </c>
      <c r="AS151">
        <f>IF(S151="",0,VLOOKUP(S151,'Dados de consulta'!$H$2:$I$25,2,0))</f>
        <v>0</v>
      </c>
      <c r="AT151">
        <f>IF(T151="",0,VLOOKUP(T151,'Dados de consulta'!$H$2:$I$25,2,0))</f>
        <v>0</v>
      </c>
      <c r="AU151">
        <f>IF(U151="",0,VLOOKUP(U151,'Dados de consulta'!$H$2:$I$25,2,0))</f>
        <v>0</v>
      </c>
      <c r="AV151">
        <f>IF(V151="",0,VLOOKUP(V151,'Dados de consulta'!$H$2:$I$25,2,0))</f>
        <v>0</v>
      </c>
      <c r="AW151">
        <f t="shared" si="20"/>
        <v>0</v>
      </c>
      <c r="AX151">
        <f t="shared" si="21"/>
        <v>0</v>
      </c>
      <c r="AY151">
        <f t="shared" si="22"/>
        <v>0</v>
      </c>
    </row>
    <row r="152" spans="1:51" hidden="1" x14ac:dyDescent="0.2">
      <c r="A152" s="202">
        <v>42409</v>
      </c>
      <c r="B152" s="78" t="s">
        <v>284</v>
      </c>
      <c r="W152">
        <f t="shared" si="14"/>
        <v>0</v>
      </c>
      <c r="X152">
        <f t="shared" si="15"/>
        <v>0</v>
      </c>
      <c r="Y152">
        <f t="shared" si="16"/>
        <v>0</v>
      </c>
      <c r="AA152" s="202">
        <v>42409</v>
      </c>
      <c r="AB152" s="78" t="s">
        <v>284</v>
      </c>
      <c r="AC152">
        <f>IF(C152="",0,VLOOKUP(C152,'Dados de consulta'!$H$2:$I$25,2,0))</f>
        <v>0</v>
      </c>
      <c r="AD152">
        <f>IF(D152="",0,VLOOKUP(D152,'Dados de consulta'!$H$2:$I$25,2,0))</f>
        <v>0</v>
      </c>
      <c r="AE152">
        <f>IF(E152="",0,VLOOKUP(E152,'Dados de consulta'!$H$2:$I$25,2,0))</f>
        <v>0</v>
      </c>
      <c r="AF152">
        <f>IF(F152="",0,VLOOKUP(F152,'Dados de consulta'!$H$2:$I$25,2,0))</f>
        <v>0</v>
      </c>
      <c r="AG152">
        <f>IF(G152="",0,VLOOKUP(G152,'Dados de consulta'!$H$2:$I$25,2,0))</f>
        <v>0</v>
      </c>
      <c r="AH152">
        <f>IF(H152="",0,VLOOKUP(H152,'Dados de consulta'!$H$2:$I$25,2,0))</f>
        <v>0</v>
      </c>
      <c r="AI152">
        <f>IF(I152="",0,VLOOKUP(I152,'Dados de consulta'!$H$2:$I$25,2,0))</f>
        <v>0</v>
      </c>
      <c r="AJ152">
        <f>IF(J152="",0,VLOOKUP(J152,'Dados de consulta'!$H$2:$I$25,2,0))</f>
        <v>0</v>
      </c>
      <c r="AK152">
        <f>IF(K152="",0,VLOOKUP(K152,'Dados de consulta'!$H$2:$I$25,2,0))</f>
        <v>0</v>
      </c>
      <c r="AL152">
        <f>IF(L152="",0,VLOOKUP(L152,'Dados de consulta'!$H$2:$I$25,2,0))</f>
        <v>0</v>
      </c>
      <c r="AM152">
        <f>IF(M152="",0,VLOOKUP(M152,'Dados de consulta'!$H$2:$I$25,2,0))</f>
        <v>0</v>
      </c>
      <c r="AN152">
        <f>IF(N152="",0,VLOOKUP(N152,'Dados de consulta'!$H$2:$I$25,2,0))</f>
        <v>0</v>
      </c>
      <c r="AO152">
        <f>IF(O152="",0,VLOOKUP(O152,'Dados de consulta'!$H$2:$I$25,2,0))</f>
        <v>0</v>
      </c>
      <c r="AP152">
        <f>IF(P152="",0,VLOOKUP(P152,'Dados de consulta'!$H$2:$I$25,2,0))</f>
        <v>0</v>
      </c>
      <c r="AQ152">
        <f>IF(Q152="",0,VLOOKUP(Q152,'Dados de consulta'!$H$2:$I$25,2,0))</f>
        <v>0</v>
      </c>
      <c r="AR152">
        <f>IF(R152="",0,VLOOKUP(R152,'Dados de consulta'!$H$2:$I$25,2,0))</f>
        <v>0</v>
      </c>
      <c r="AS152">
        <f>IF(S152="",0,VLOOKUP(S152,'Dados de consulta'!$H$2:$I$25,2,0))</f>
        <v>0</v>
      </c>
      <c r="AT152">
        <f>IF(T152="",0,VLOOKUP(T152,'Dados de consulta'!$H$2:$I$25,2,0))</f>
        <v>0</v>
      </c>
      <c r="AU152">
        <f>IF(U152="",0,VLOOKUP(U152,'Dados de consulta'!$H$2:$I$25,2,0))</f>
        <v>0</v>
      </c>
      <c r="AV152">
        <f>IF(V152="",0,VLOOKUP(V152,'Dados de consulta'!$H$2:$I$25,2,0))</f>
        <v>0</v>
      </c>
      <c r="AW152">
        <f t="shared" si="20"/>
        <v>0</v>
      </c>
      <c r="AX152">
        <f t="shared" si="21"/>
        <v>0</v>
      </c>
      <c r="AY152">
        <f t="shared" si="22"/>
        <v>0</v>
      </c>
    </row>
    <row r="153" spans="1:51" hidden="1" x14ac:dyDescent="0.2">
      <c r="A153" s="202">
        <v>42410</v>
      </c>
      <c r="B153" s="78" t="s">
        <v>285</v>
      </c>
      <c r="W153">
        <f t="shared" si="14"/>
        <v>0</v>
      </c>
      <c r="X153">
        <f t="shared" si="15"/>
        <v>0</v>
      </c>
      <c r="Y153">
        <f t="shared" si="16"/>
        <v>0</v>
      </c>
      <c r="AA153" s="202">
        <v>42410</v>
      </c>
      <c r="AB153" s="78" t="s">
        <v>285</v>
      </c>
      <c r="AC153">
        <f>IF(C153="",0,VLOOKUP(C153,'Dados de consulta'!$H$2:$I$25,2,0))</f>
        <v>0</v>
      </c>
      <c r="AD153">
        <f>IF(D153="",0,VLOOKUP(D153,'Dados de consulta'!$H$2:$I$25,2,0))</f>
        <v>0</v>
      </c>
      <c r="AE153">
        <f>IF(E153="",0,VLOOKUP(E153,'Dados de consulta'!$H$2:$I$25,2,0))</f>
        <v>0</v>
      </c>
      <c r="AF153">
        <f>IF(F153="",0,VLOOKUP(F153,'Dados de consulta'!$H$2:$I$25,2,0))</f>
        <v>0</v>
      </c>
      <c r="AG153">
        <f>IF(G153="",0,VLOOKUP(G153,'Dados de consulta'!$H$2:$I$25,2,0))</f>
        <v>0</v>
      </c>
      <c r="AH153">
        <f>IF(H153="",0,VLOOKUP(H153,'Dados de consulta'!$H$2:$I$25,2,0))</f>
        <v>0</v>
      </c>
      <c r="AI153">
        <f>IF(I153="",0,VLOOKUP(I153,'Dados de consulta'!$H$2:$I$25,2,0))</f>
        <v>0</v>
      </c>
      <c r="AJ153">
        <f>IF(J153="",0,VLOOKUP(J153,'Dados de consulta'!$H$2:$I$25,2,0))</f>
        <v>0</v>
      </c>
      <c r="AK153">
        <f>IF(K153="",0,VLOOKUP(K153,'Dados de consulta'!$H$2:$I$25,2,0))</f>
        <v>0</v>
      </c>
      <c r="AL153">
        <f>IF(L153="",0,VLOOKUP(L153,'Dados de consulta'!$H$2:$I$25,2,0))</f>
        <v>0</v>
      </c>
      <c r="AM153">
        <f>IF(M153="",0,VLOOKUP(M153,'Dados de consulta'!$H$2:$I$25,2,0))</f>
        <v>0</v>
      </c>
      <c r="AN153">
        <f>IF(N153="",0,VLOOKUP(N153,'Dados de consulta'!$H$2:$I$25,2,0))</f>
        <v>0</v>
      </c>
      <c r="AO153">
        <f>IF(O153="",0,VLOOKUP(O153,'Dados de consulta'!$H$2:$I$25,2,0))</f>
        <v>0</v>
      </c>
      <c r="AP153">
        <f>IF(P153="",0,VLOOKUP(P153,'Dados de consulta'!$H$2:$I$25,2,0))</f>
        <v>0</v>
      </c>
      <c r="AQ153">
        <f>IF(Q153="",0,VLOOKUP(Q153,'Dados de consulta'!$H$2:$I$25,2,0))</f>
        <v>0</v>
      </c>
      <c r="AR153">
        <f>IF(R153="",0,VLOOKUP(R153,'Dados de consulta'!$H$2:$I$25,2,0))</f>
        <v>0</v>
      </c>
      <c r="AS153">
        <f>IF(S153="",0,VLOOKUP(S153,'Dados de consulta'!$H$2:$I$25,2,0))</f>
        <v>0</v>
      </c>
      <c r="AT153">
        <f>IF(T153="",0,VLOOKUP(T153,'Dados de consulta'!$H$2:$I$25,2,0))</f>
        <v>0</v>
      </c>
      <c r="AU153">
        <f>IF(U153="",0,VLOOKUP(U153,'Dados de consulta'!$H$2:$I$25,2,0))</f>
        <v>0</v>
      </c>
      <c r="AV153">
        <f>IF(V153="",0,VLOOKUP(V153,'Dados de consulta'!$H$2:$I$25,2,0))</f>
        <v>0</v>
      </c>
      <c r="AW153">
        <f t="shared" si="20"/>
        <v>0</v>
      </c>
      <c r="AX153">
        <f t="shared" si="21"/>
        <v>0</v>
      </c>
      <c r="AY153">
        <f t="shared" si="22"/>
        <v>0</v>
      </c>
    </row>
    <row r="154" spans="1:51" hidden="1" x14ac:dyDescent="0.2">
      <c r="A154" s="202">
        <v>42411</v>
      </c>
      <c r="B154" s="78" t="s">
        <v>286</v>
      </c>
      <c r="W154">
        <f t="shared" si="14"/>
        <v>0</v>
      </c>
      <c r="X154">
        <f t="shared" si="15"/>
        <v>0</v>
      </c>
      <c r="Y154">
        <f t="shared" si="16"/>
        <v>0</v>
      </c>
      <c r="AA154" s="202">
        <v>42411</v>
      </c>
      <c r="AB154" s="78" t="s">
        <v>286</v>
      </c>
      <c r="AC154">
        <f>IF(C154="",0,VLOOKUP(C154,'Dados de consulta'!$H$2:$I$25,2,0))</f>
        <v>0</v>
      </c>
      <c r="AD154">
        <f>IF(D154="",0,VLOOKUP(D154,'Dados de consulta'!$H$2:$I$25,2,0))</f>
        <v>0</v>
      </c>
      <c r="AE154">
        <f>IF(E154="",0,VLOOKUP(E154,'Dados de consulta'!$H$2:$I$25,2,0))</f>
        <v>0</v>
      </c>
      <c r="AF154">
        <f>IF(F154="",0,VLOOKUP(F154,'Dados de consulta'!$H$2:$I$25,2,0))</f>
        <v>0</v>
      </c>
      <c r="AG154">
        <f>IF(G154="",0,VLOOKUP(G154,'Dados de consulta'!$H$2:$I$25,2,0))</f>
        <v>0</v>
      </c>
      <c r="AH154">
        <f>IF(H154="",0,VLOOKUP(H154,'Dados de consulta'!$H$2:$I$25,2,0))</f>
        <v>0</v>
      </c>
      <c r="AI154">
        <f>IF(I154="",0,VLOOKUP(I154,'Dados de consulta'!$H$2:$I$25,2,0))</f>
        <v>0</v>
      </c>
      <c r="AJ154">
        <f>IF(J154="",0,VLOOKUP(J154,'Dados de consulta'!$H$2:$I$25,2,0))</f>
        <v>0</v>
      </c>
      <c r="AK154">
        <f>IF(K154="",0,VLOOKUP(K154,'Dados de consulta'!$H$2:$I$25,2,0))</f>
        <v>0</v>
      </c>
      <c r="AL154">
        <f>IF(L154="",0,VLOOKUP(L154,'Dados de consulta'!$H$2:$I$25,2,0))</f>
        <v>0</v>
      </c>
      <c r="AM154">
        <f>IF(M154="",0,VLOOKUP(M154,'Dados de consulta'!$H$2:$I$25,2,0))</f>
        <v>0</v>
      </c>
      <c r="AN154">
        <f>IF(N154="",0,VLOOKUP(N154,'Dados de consulta'!$H$2:$I$25,2,0))</f>
        <v>0</v>
      </c>
      <c r="AO154">
        <f>IF(O154="",0,VLOOKUP(O154,'Dados de consulta'!$H$2:$I$25,2,0))</f>
        <v>0</v>
      </c>
      <c r="AP154">
        <f>IF(P154="",0,VLOOKUP(P154,'Dados de consulta'!$H$2:$I$25,2,0))</f>
        <v>0</v>
      </c>
      <c r="AQ154">
        <f>IF(Q154="",0,VLOOKUP(Q154,'Dados de consulta'!$H$2:$I$25,2,0))</f>
        <v>0</v>
      </c>
      <c r="AR154">
        <f>IF(R154="",0,VLOOKUP(R154,'Dados de consulta'!$H$2:$I$25,2,0))</f>
        <v>0</v>
      </c>
      <c r="AS154">
        <f>IF(S154="",0,VLOOKUP(S154,'Dados de consulta'!$H$2:$I$25,2,0))</f>
        <v>0</v>
      </c>
      <c r="AT154">
        <f>IF(T154="",0,VLOOKUP(T154,'Dados de consulta'!$H$2:$I$25,2,0))</f>
        <v>0</v>
      </c>
      <c r="AU154">
        <f>IF(U154="",0,VLOOKUP(U154,'Dados de consulta'!$H$2:$I$25,2,0))</f>
        <v>0</v>
      </c>
      <c r="AV154">
        <f>IF(V154="",0,VLOOKUP(V154,'Dados de consulta'!$H$2:$I$25,2,0))</f>
        <v>0</v>
      </c>
      <c r="AW154">
        <f t="shared" si="20"/>
        <v>0</v>
      </c>
      <c r="AX154">
        <f t="shared" si="21"/>
        <v>0</v>
      </c>
      <c r="AY154">
        <f t="shared" si="22"/>
        <v>0</v>
      </c>
    </row>
    <row r="155" spans="1:51" hidden="1" x14ac:dyDescent="0.2">
      <c r="A155" s="202">
        <v>42412</v>
      </c>
      <c r="B155" s="78" t="s">
        <v>287</v>
      </c>
      <c r="W155">
        <f t="shared" si="14"/>
        <v>0</v>
      </c>
      <c r="X155">
        <f t="shared" si="15"/>
        <v>0</v>
      </c>
      <c r="Y155">
        <f t="shared" si="16"/>
        <v>0</v>
      </c>
      <c r="AA155" s="202">
        <v>42412</v>
      </c>
      <c r="AB155" s="78" t="s">
        <v>287</v>
      </c>
      <c r="AC155">
        <f>IF(C155="",0,VLOOKUP(C155,'Dados de consulta'!$H$2:$I$25,2,0))</f>
        <v>0</v>
      </c>
      <c r="AD155">
        <f>IF(D155="",0,VLOOKUP(D155,'Dados de consulta'!$H$2:$I$25,2,0))</f>
        <v>0</v>
      </c>
      <c r="AE155">
        <f>IF(E155="",0,VLOOKUP(E155,'Dados de consulta'!$H$2:$I$25,2,0))</f>
        <v>0</v>
      </c>
      <c r="AF155">
        <f>IF(F155="",0,VLOOKUP(F155,'Dados de consulta'!$H$2:$I$25,2,0))</f>
        <v>0</v>
      </c>
      <c r="AG155">
        <f>IF(G155="",0,VLOOKUP(G155,'Dados de consulta'!$H$2:$I$25,2,0))</f>
        <v>0</v>
      </c>
      <c r="AH155">
        <f>IF(H155="",0,VLOOKUP(H155,'Dados de consulta'!$H$2:$I$25,2,0))</f>
        <v>0</v>
      </c>
      <c r="AI155">
        <f>IF(I155="",0,VLOOKUP(I155,'Dados de consulta'!$H$2:$I$25,2,0))</f>
        <v>0</v>
      </c>
      <c r="AJ155">
        <f>IF(J155="",0,VLOOKUP(J155,'Dados de consulta'!$H$2:$I$25,2,0))</f>
        <v>0</v>
      </c>
      <c r="AK155">
        <f>IF(K155="",0,VLOOKUP(K155,'Dados de consulta'!$H$2:$I$25,2,0))</f>
        <v>0</v>
      </c>
      <c r="AL155">
        <f>IF(L155="",0,VLOOKUP(L155,'Dados de consulta'!$H$2:$I$25,2,0))</f>
        <v>0</v>
      </c>
      <c r="AM155">
        <f>IF(M155="",0,VLOOKUP(M155,'Dados de consulta'!$H$2:$I$25,2,0))</f>
        <v>0</v>
      </c>
      <c r="AN155">
        <f>IF(N155="",0,VLOOKUP(N155,'Dados de consulta'!$H$2:$I$25,2,0))</f>
        <v>0</v>
      </c>
      <c r="AO155">
        <f>IF(O155="",0,VLOOKUP(O155,'Dados de consulta'!$H$2:$I$25,2,0))</f>
        <v>0</v>
      </c>
      <c r="AP155">
        <f>IF(P155="",0,VLOOKUP(P155,'Dados de consulta'!$H$2:$I$25,2,0))</f>
        <v>0</v>
      </c>
      <c r="AQ155">
        <f>IF(Q155="",0,VLOOKUP(Q155,'Dados de consulta'!$H$2:$I$25,2,0))</f>
        <v>0</v>
      </c>
      <c r="AR155">
        <f>IF(R155="",0,VLOOKUP(R155,'Dados de consulta'!$H$2:$I$25,2,0))</f>
        <v>0</v>
      </c>
      <c r="AS155">
        <f>IF(S155="",0,VLOOKUP(S155,'Dados de consulta'!$H$2:$I$25,2,0))</f>
        <v>0</v>
      </c>
      <c r="AT155">
        <f>IF(T155="",0,VLOOKUP(T155,'Dados de consulta'!$H$2:$I$25,2,0))</f>
        <v>0</v>
      </c>
      <c r="AU155">
        <f>IF(U155="",0,VLOOKUP(U155,'Dados de consulta'!$H$2:$I$25,2,0))</f>
        <v>0</v>
      </c>
      <c r="AV155">
        <f>IF(V155="",0,VLOOKUP(V155,'Dados de consulta'!$H$2:$I$25,2,0))</f>
        <v>0</v>
      </c>
      <c r="AW155">
        <f t="shared" si="20"/>
        <v>0</v>
      </c>
      <c r="AX155">
        <f t="shared" si="21"/>
        <v>0</v>
      </c>
      <c r="AY155">
        <f t="shared" si="22"/>
        <v>0</v>
      </c>
    </row>
    <row r="156" spans="1:51" hidden="1" x14ac:dyDescent="0.2">
      <c r="A156" s="202">
        <v>42413</v>
      </c>
      <c r="B156" s="78" t="s">
        <v>281</v>
      </c>
      <c r="C156" s="78" t="s">
        <v>219</v>
      </c>
      <c r="I156" s="78" t="s">
        <v>219</v>
      </c>
      <c r="L156" s="78" t="s">
        <v>219</v>
      </c>
      <c r="P156" s="78" t="s">
        <v>234</v>
      </c>
      <c r="S156" s="78" t="s">
        <v>219</v>
      </c>
      <c r="W156">
        <f t="shared" si="14"/>
        <v>24</v>
      </c>
      <c r="X156">
        <f t="shared" si="15"/>
        <v>6</v>
      </c>
      <c r="Y156">
        <f t="shared" si="16"/>
        <v>0</v>
      </c>
      <c r="AA156" s="202">
        <v>42413</v>
      </c>
      <c r="AB156" s="78" t="s">
        <v>281</v>
      </c>
      <c r="AC156">
        <f>IF(C156="",0,VLOOKUP(C156,'Dados de consulta'!$H$2:$I$25,2,0))</f>
        <v>6</v>
      </c>
      <c r="AD156">
        <f>IF(D156="",0,VLOOKUP(D156,'Dados de consulta'!$H$2:$I$25,2,0))</f>
        <v>0</v>
      </c>
      <c r="AE156">
        <f>IF(E156="",0,VLOOKUP(E156,'Dados de consulta'!$H$2:$I$25,2,0))</f>
        <v>0</v>
      </c>
      <c r="AF156">
        <f>IF(F156="",0,VLOOKUP(F156,'Dados de consulta'!$H$2:$I$25,2,0))</f>
        <v>0</v>
      </c>
      <c r="AG156">
        <f>IF(G156="",0,VLOOKUP(G156,'Dados de consulta'!$H$2:$I$25,2,0))</f>
        <v>0</v>
      </c>
      <c r="AH156">
        <f>IF(H156="",0,VLOOKUP(H156,'Dados de consulta'!$H$2:$I$25,2,0))</f>
        <v>0</v>
      </c>
      <c r="AI156">
        <f>IF(I156="",0,VLOOKUP(I156,'Dados de consulta'!$H$2:$I$25,2,0))</f>
        <v>6</v>
      </c>
      <c r="AJ156">
        <f>IF(J156="",0,VLOOKUP(J156,'Dados de consulta'!$H$2:$I$25,2,0))</f>
        <v>0</v>
      </c>
      <c r="AK156">
        <f>IF(K156="",0,VLOOKUP(K156,'Dados de consulta'!$H$2:$I$25,2,0))</f>
        <v>0</v>
      </c>
      <c r="AL156">
        <f>IF(L156="",0,VLOOKUP(L156,'Dados de consulta'!$H$2:$I$25,2,0))</f>
        <v>6</v>
      </c>
      <c r="AM156">
        <f>IF(M156="",0,VLOOKUP(M156,'Dados de consulta'!$H$2:$I$25,2,0))</f>
        <v>0</v>
      </c>
      <c r="AN156">
        <f>IF(N156="",0,VLOOKUP(N156,'Dados de consulta'!$H$2:$I$25,2,0))</f>
        <v>0</v>
      </c>
      <c r="AO156">
        <f>IF(O156="",0,VLOOKUP(O156,'Dados de consulta'!$H$2:$I$25,2,0))</f>
        <v>0</v>
      </c>
      <c r="AP156">
        <f>IF(P156="",0,VLOOKUP(P156,'Dados de consulta'!$H$2:$I$25,2,0))</f>
        <v>16</v>
      </c>
      <c r="AQ156">
        <f>IF(Q156="",0,VLOOKUP(Q156,'Dados de consulta'!$H$2:$I$25,2,0))</f>
        <v>0</v>
      </c>
      <c r="AR156">
        <f>IF(R156="",0,VLOOKUP(R156,'Dados de consulta'!$H$2:$I$25,2,0))</f>
        <v>0</v>
      </c>
      <c r="AS156">
        <f>IF(S156="",0,VLOOKUP(S156,'Dados de consulta'!$H$2:$I$25,2,0))</f>
        <v>6</v>
      </c>
      <c r="AT156">
        <f>IF(T156="",0,VLOOKUP(T156,'Dados de consulta'!$H$2:$I$25,2,0))</f>
        <v>0</v>
      </c>
      <c r="AU156">
        <f>IF(U156="",0,VLOOKUP(U156,'Dados de consulta'!$H$2:$I$25,2,0))</f>
        <v>0</v>
      </c>
      <c r="AV156">
        <f>IF(V156="",0,VLOOKUP(V156,'Dados de consulta'!$H$2:$I$25,2,0))</f>
        <v>0</v>
      </c>
      <c r="AW156">
        <f t="shared" si="20"/>
        <v>24</v>
      </c>
      <c r="AX156">
        <f t="shared" si="21"/>
        <v>6</v>
      </c>
      <c r="AY156">
        <f t="shared" si="22"/>
        <v>0</v>
      </c>
    </row>
    <row r="157" spans="1:51" hidden="1" x14ac:dyDescent="0.2">
      <c r="A157" s="202">
        <v>42414</v>
      </c>
      <c r="B157" s="78" t="s">
        <v>282</v>
      </c>
      <c r="W157">
        <f t="shared" si="14"/>
        <v>0</v>
      </c>
      <c r="X157">
        <f t="shared" si="15"/>
        <v>0</v>
      </c>
      <c r="Y157">
        <f t="shared" si="16"/>
        <v>0</v>
      </c>
      <c r="AA157" s="202">
        <v>42414</v>
      </c>
      <c r="AB157" s="78" t="s">
        <v>282</v>
      </c>
      <c r="AC157">
        <f>IF(C157="",0,VLOOKUP(C157,'Dados de consulta'!$H$2:$I$25,2,0))</f>
        <v>0</v>
      </c>
      <c r="AD157">
        <f>IF(D157="",0,VLOOKUP(D157,'Dados de consulta'!$H$2:$I$25,2,0))</f>
        <v>0</v>
      </c>
      <c r="AE157">
        <f>IF(E157="",0,VLOOKUP(E157,'Dados de consulta'!$H$2:$I$25,2,0))</f>
        <v>0</v>
      </c>
      <c r="AF157">
        <f>IF(F157="",0,VLOOKUP(F157,'Dados de consulta'!$H$2:$I$25,2,0))</f>
        <v>0</v>
      </c>
      <c r="AG157">
        <f>IF(G157="",0,VLOOKUP(G157,'Dados de consulta'!$H$2:$I$25,2,0))</f>
        <v>0</v>
      </c>
      <c r="AH157">
        <f>IF(H157="",0,VLOOKUP(H157,'Dados de consulta'!$H$2:$I$25,2,0))</f>
        <v>0</v>
      </c>
      <c r="AI157">
        <f>IF(I157="",0,VLOOKUP(I157,'Dados de consulta'!$H$2:$I$25,2,0))</f>
        <v>0</v>
      </c>
      <c r="AJ157">
        <f>IF(J157="",0,VLOOKUP(J157,'Dados de consulta'!$H$2:$I$25,2,0))</f>
        <v>0</v>
      </c>
      <c r="AK157">
        <f>IF(K157="",0,VLOOKUP(K157,'Dados de consulta'!$H$2:$I$25,2,0))</f>
        <v>0</v>
      </c>
      <c r="AL157">
        <f>IF(L157="",0,VLOOKUP(L157,'Dados de consulta'!$H$2:$I$25,2,0))</f>
        <v>0</v>
      </c>
      <c r="AM157">
        <f>IF(M157="",0,VLOOKUP(M157,'Dados de consulta'!$H$2:$I$25,2,0))</f>
        <v>0</v>
      </c>
      <c r="AN157">
        <f>IF(N157="",0,VLOOKUP(N157,'Dados de consulta'!$H$2:$I$25,2,0))</f>
        <v>0</v>
      </c>
      <c r="AO157">
        <f>IF(O157="",0,VLOOKUP(O157,'Dados de consulta'!$H$2:$I$25,2,0))</f>
        <v>0</v>
      </c>
      <c r="AP157">
        <f>IF(P157="",0,VLOOKUP(P157,'Dados de consulta'!$H$2:$I$25,2,0))</f>
        <v>0</v>
      </c>
      <c r="AQ157">
        <f>IF(Q157="",0,VLOOKUP(Q157,'Dados de consulta'!$H$2:$I$25,2,0))</f>
        <v>0</v>
      </c>
      <c r="AR157">
        <f>IF(R157="",0,VLOOKUP(R157,'Dados de consulta'!$H$2:$I$25,2,0))</f>
        <v>0</v>
      </c>
      <c r="AS157">
        <f>IF(S157="",0,VLOOKUP(S157,'Dados de consulta'!$H$2:$I$25,2,0))</f>
        <v>0</v>
      </c>
      <c r="AT157">
        <f>IF(T157="",0,VLOOKUP(T157,'Dados de consulta'!$H$2:$I$25,2,0))</f>
        <v>0</v>
      </c>
      <c r="AU157">
        <f>IF(U157="",0,VLOOKUP(U157,'Dados de consulta'!$H$2:$I$25,2,0))</f>
        <v>0</v>
      </c>
      <c r="AV157">
        <f>IF(V157="",0,VLOOKUP(V157,'Dados de consulta'!$H$2:$I$25,2,0))</f>
        <v>0</v>
      </c>
      <c r="AW157">
        <f t="shared" si="20"/>
        <v>0</v>
      </c>
      <c r="AX157">
        <f t="shared" si="21"/>
        <v>0</v>
      </c>
      <c r="AY157">
        <f t="shared" si="22"/>
        <v>0</v>
      </c>
    </row>
    <row r="158" spans="1:51" hidden="1" x14ac:dyDescent="0.2">
      <c r="A158" s="202">
        <v>42415</v>
      </c>
      <c r="B158" s="78" t="s">
        <v>283</v>
      </c>
      <c r="W158">
        <f t="shared" si="14"/>
        <v>0</v>
      </c>
      <c r="X158">
        <f t="shared" si="15"/>
        <v>0</v>
      </c>
      <c r="Y158">
        <f t="shared" si="16"/>
        <v>0</v>
      </c>
      <c r="AA158" s="202">
        <v>42415</v>
      </c>
      <c r="AB158" s="78" t="s">
        <v>283</v>
      </c>
      <c r="AC158">
        <f>IF(C158="",0,VLOOKUP(C158,'Dados de consulta'!$H$2:$I$25,2,0))</f>
        <v>0</v>
      </c>
      <c r="AD158">
        <f>IF(D158="",0,VLOOKUP(D158,'Dados de consulta'!$H$2:$I$25,2,0))</f>
        <v>0</v>
      </c>
      <c r="AE158">
        <f>IF(E158="",0,VLOOKUP(E158,'Dados de consulta'!$H$2:$I$25,2,0))</f>
        <v>0</v>
      </c>
      <c r="AF158">
        <f>IF(F158="",0,VLOOKUP(F158,'Dados de consulta'!$H$2:$I$25,2,0))</f>
        <v>0</v>
      </c>
      <c r="AG158">
        <f>IF(G158="",0,VLOOKUP(G158,'Dados de consulta'!$H$2:$I$25,2,0))</f>
        <v>0</v>
      </c>
      <c r="AH158">
        <f>IF(H158="",0,VLOOKUP(H158,'Dados de consulta'!$H$2:$I$25,2,0))</f>
        <v>0</v>
      </c>
      <c r="AI158">
        <f>IF(I158="",0,VLOOKUP(I158,'Dados de consulta'!$H$2:$I$25,2,0))</f>
        <v>0</v>
      </c>
      <c r="AJ158">
        <f>IF(J158="",0,VLOOKUP(J158,'Dados de consulta'!$H$2:$I$25,2,0))</f>
        <v>0</v>
      </c>
      <c r="AK158">
        <f>IF(K158="",0,VLOOKUP(K158,'Dados de consulta'!$H$2:$I$25,2,0))</f>
        <v>0</v>
      </c>
      <c r="AL158">
        <f>IF(L158="",0,VLOOKUP(L158,'Dados de consulta'!$H$2:$I$25,2,0))</f>
        <v>0</v>
      </c>
      <c r="AM158">
        <f>IF(M158="",0,VLOOKUP(M158,'Dados de consulta'!$H$2:$I$25,2,0))</f>
        <v>0</v>
      </c>
      <c r="AN158">
        <f>IF(N158="",0,VLOOKUP(N158,'Dados de consulta'!$H$2:$I$25,2,0))</f>
        <v>0</v>
      </c>
      <c r="AO158">
        <f>IF(O158="",0,VLOOKUP(O158,'Dados de consulta'!$H$2:$I$25,2,0))</f>
        <v>0</v>
      </c>
      <c r="AP158">
        <f>IF(P158="",0,VLOOKUP(P158,'Dados de consulta'!$H$2:$I$25,2,0))</f>
        <v>0</v>
      </c>
      <c r="AQ158">
        <f>IF(Q158="",0,VLOOKUP(Q158,'Dados de consulta'!$H$2:$I$25,2,0))</f>
        <v>0</v>
      </c>
      <c r="AR158">
        <f>IF(R158="",0,VLOOKUP(R158,'Dados de consulta'!$H$2:$I$25,2,0))</f>
        <v>0</v>
      </c>
      <c r="AS158">
        <f>IF(S158="",0,VLOOKUP(S158,'Dados de consulta'!$H$2:$I$25,2,0))</f>
        <v>0</v>
      </c>
      <c r="AT158">
        <f>IF(T158="",0,VLOOKUP(T158,'Dados de consulta'!$H$2:$I$25,2,0))</f>
        <v>0</v>
      </c>
      <c r="AU158">
        <f>IF(U158="",0,VLOOKUP(U158,'Dados de consulta'!$H$2:$I$25,2,0))</f>
        <v>0</v>
      </c>
      <c r="AV158">
        <f>IF(V158="",0,VLOOKUP(V158,'Dados de consulta'!$H$2:$I$25,2,0))</f>
        <v>0</v>
      </c>
      <c r="AW158">
        <f t="shared" si="20"/>
        <v>0</v>
      </c>
      <c r="AX158">
        <f t="shared" si="21"/>
        <v>0</v>
      </c>
      <c r="AY158">
        <f t="shared" si="22"/>
        <v>0</v>
      </c>
    </row>
    <row r="159" spans="1:51" hidden="1" x14ac:dyDescent="0.2">
      <c r="A159" s="202">
        <v>42416</v>
      </c>
      <c r="B159" s="78" t="s">
        <v>284</v>
      </c>
      <c r="W159">
        <f t="shared" si="14"/>
        <v>0</v>
      </c>
      <c r="X159">
        <f t="shared" si="15"/>
        <v>0</v>
      </c>
      <c r="Y159">
        <f t="shared" si="16"/>
        <v>0</v>
      </c>
      <c r="AA159" s="202">
        <v>42416</v>
      </c>
      <c r="AB159" s="78" t="s">
        <v>284</v>
      </c>
      <c r="AC159">
        <f>IF(C159="",0,VLOOKUP(C159,'Dados de consulta'!$H$2:$I$25,2,0))</f>
        <v>0</v>
      </c>
      <c r="AD159">
        <f>IF(D159="",0,VLOOKUP(D159,'Dados de consulta'!$H$2:$I$25,2,0))</f>
        <v>0</v>
      </c>
      <c r="AE159">
        <f>IF(E159="",0,VLOOKUP(E159,'Dados de consulta'!$H$2:$I$25,2,0))</f>
        <v>0</v>
      </c>
      <c r="AF159">
        <f>IF(F159="",0,VLOOKUP(F159,'Dados de consulta'!$H$2:$I$25,2,0))</f>
        <v>0</v>
      </c>
      <c r="AG159">
        <f>IF(G159="",0,VLOOKUP(G159,'Dados de consulta'!$H$2:$I$25,2,0))</f>
        <v>0</v>
      </c>
      <c r="AH159">
        <f>IF(H159="",0,VLOOKUP(H159,'Dados de consulta'!$H$2:$I$25,2,0))</f>
        <v>0</v>
      </c>
      <c r="AI159">
        <f>IF(I159="",0,VLOOKUP(I159,'Dados de consulta'!$H$2:$I$25,2,0))</f>
        <v>0</v>
      </c>
      <c r="AJ159">
        <f>IF(J159="",0,VLOOKUP(J159,'Dados de consulta'!$H$2:$I$25,2,0))</f>
        <v>0</v>
      </c>
      <c r="AK159">
        <f>IF(K159="",0,VLOOKUP(K159,'Dados de consulta'!$H$2:$I$25,2,0))</f>
        <v>0</v>
      </c>
      <c r="AL159">
        <f>IF(L159="",0,VLOOKUP(L159,'Dados de consulta'!$H$2:$I$25,2,0))</f>
        <v>0</v>
      </c>
      <c r="AM159">
        <f>IF(M159="",0,VLOOKUP(M159,'Dados de consulta'!$H$2:$I$25,2,0))</f>
        <v>0</v>
      </c>
      <c r="AN159">
        <f>IF(N159="",0,VLOOKUP(N159,'Dados de consulta'!$H$2:$I$25,2,0))</f>
        <v>0</v>
      </c>
      <c r="AO159">
        <f>IF(O159="",0,VLOOKUP(O159,'Dados de consulta'!$H$2:$I$25,2,0))</f>
        <v>0</v>
      </c>
      <c r="AP159">
        <f>IF(P159="",0,VLOOKUP(P159,'Dados de consulta'!$H$2:$I$25,2,0))</f>
        <v>0</v>
      </c>
      <c r="AQ159">
        <f>IF(Q159="",0,VLOOKUP(Q159,'Dados de consulta'!$H$2:$I$25,2,0))</f>
        <v>0</v>
      </c>
      <c r="AR159">
        <f>IF(R159="",0,VLOOKUP(R159,'Dados de consulta'!$H$2:$I$25,2,0))</f>
        <v>0</v>
      </c>
      <c r="AS159">
        <f>IF(S159="",0,VLOOKUP(S159,'Dados de consulta'!$H$2:$I$25,2,0))</f>
        <v>0</v>
      </c>
      <c r="AT159">
        <f>IF(T159="",0,VLOOKUP(T159,'Dados de consulta'!$H$2:$I$25,2,0))</f>
        <v>0</v>
      </c>
      <c r="AU159">
        <f>IF(U159="",0,VLOOKUP(U159,'Dados de consulta'!$H$2:$I$25,2,0))</f>
        <v>0</v>
      </c>
      <c r="AV159">
        <f>IF(V159="",0,VLOOKUP(V159,'Dados de consulta'!$H$2:$I$25,2,0))</f>
        <v>0</v>
      </c>
      <c r="AW159">
        <f t="shared" si="20"/>
        <v>0</v>
      </c>
      <c r="AX159">
        <f t="shared" si="21"/>
        <v>0</v>
      </c>
      <c r="AY159">
        <f t="shared" si="22"/>
        <v>0</v>
      </c>
    </row>
    <row r="160" spans="1:51" hidden="1" x14ac:dyDescent="0.2">
      <c r="A160" s="202">
        <v>42417</v>
      </c>
      <c r="B160" s="78" t="s">
        <v>285</v>
      </c>
      <c r="W160">
        <f t="shared" si="14"/>
        <v>0</v>
      </c>
      <c r="X160">
        <f t="shared" si="15"/>
        <v>0</v>
      </c>
      <c r="Y160">
        <f t="shared" si="16"/>
        <v>0</v>
      </c>
      <c r="AA160" s="202">
        <v>42417</v>
      </c>
      <c r="AB160" s="78" t="s">
        <v>285</v>
      </c>
      <c r="AC160">
        <f>IF(C160="",0,VLOOKUP(C160,'Dados de consulta'!$H$2:$I$25,2,0))</f>
        <v>0</v>
      </c>
      <c r="AD160">
        <f>IF(D160="",0,VLOOKUP(D160,'Dados de consulta'!$H$2:$I$25,2,0))</f>
        <v>0</v>
      </c>
      <c r="AE160">
        <f>IF(E160="",0,VLOOKUP(E160,'Dados de consulta'!$H$2:$I$25,2,0))</f>
        <v>0</v>
      </c>
      <c r="AF160">
        <f>IF(F160="",0,VLOOKUP(F160,'Dados de consulta'!$H$2:$I$25,2,0))</f>
        <v>0</v>
      </c>
      <c r="AG160">
        <f>IF(G160="",0,VLOOKUP(G160,'Dados de consulta'!$H$2:$I$25,2,0))</f>
        <v>0</v>
      </c>
      <c r="AH160">
        <f>IF(H160="",0,VLOOKUP(H160,'Dados de consulta'!$H$2:$I$25,2,0))</f>
        <v>0</v>
      </c>
      <c r="AI160">
        <f>IF(I160="",0,VLOOKUP(I160,'Dados de consulta'!$H$2:$I$25,2,0))</f>
        <v>0</v>
      </c>
      <c r="AJ160">
        <f>IF(J160="",0,VLOOKUP(J160,'Dados de consulta'!$H$2:$I$25,2,0))</f>
        <v>0</v>
      </c>
      <c r="AK160">
        <f>IF(K160="",0,VLOOKUP(K160,'Dados de consulta'!$H$2:$I$25,2,0))</f>
        <v>0</v>
      </c>
      <c r="AL160">
        <f>IF(L160="",0,VLOOKUP(L160,'Dados de consulta'!$H$2:$I$25,2,0))</f>
        <v>0</v>
      </c>
      <c r="AM160">
        <f>IF(M160="",0,VLOOKUP(M160,'Dados de consulta'!$H$2:$I$25,2,0))</f>
        <v>0</v>
      </c>
      <c r="AN160">
        <f>IF(N160="",0,VLOOKUP(N160,'Dados de consulta'!$H$2:$I$25,2,0))</f>
        <v>0</v>
      </c>
      <c r="AO160">
        <f>IF(O160="",0,VLOOKUP(O160,'Dados de consulta'!$H$2:$I$25,2,0))</f>
        <v>0</v>
      </c>
      <c r="AP160">
        <f>IF(P160="",0,VLOOKUP(P160,'Dados de consulta'!$H$2:$I$25,2,0))</f>
        <v>0</v>
      </c>
      <c r="AQ160">
        <f>IF(Q160="",0,VLOOKUP(Q160,'Dados de consulta'!$H$2:$I$25,2,0))</f>
        <v>0</v>
      </c>
      <c r="AR160">
        <f>IF(R160="",0,VLOOKUP(R160,'Dados de consulta'!$H$2:$I$25,2,0))</f>
        <v>0</v>
      </c>
      <c r="AS160">
        <f>IF(S160="",0,VLOOKUP(S160,'Dados de consulta'!$H$2:$I$25,2,0))</f>
        <v>0</v>
      </c>
      <c r="AT160">
        <f>IF(T160="",0,VLOOKUP(T160,'Dados de consulta'!$H$2:$I$25,2,0))</f>
        <v>0</v>
      </c>
      <c r="AU160">
        <f>IF(U160="",0,VLOOKUP(U160,'Dados de consulta'!$H$2:$I$25,2,0))</f>
        <v>0</v>
      </c>
      <c r="AV160">
        <f>IF(V160="",0,VLOOKUP(V160,'Dados de consulta'!$H$2:$I$25,2,0))</f>
        <v>0</v>
      </c>
      <c r="AW160">
        <f t="shared" si="20"/>
        <v>0</v>
      </c>
      <c r="AX160">
        <f t="shared" si="21"/>
        <v>0</v>
      </c>
      <c r="AY160">
        <f t="shared" si="22"/>
        <v>0</v>
      </c>
    </row>
    <row r="161" spans="1:51" hidden="1" x14ac:dyDescent="0.2">
      <c r="A161" s="202">
        <v>42418</v>
      </c>
      <c r="B161" s="78" t="s">
        <v>286</v>
      </c>
      <c r="W161">
        <f t="shared" si="14"/>
        <v>0</v>
      </c>
      <c r="X161">
        <f t="shared" si="15"/>
        <v>0</v>
      </c>
      <c r="Y161">
        <f t="shared" si="16"/>
        <v>0</v>
      </c>
      <c r="AA161" s="202">
        <v>42418</v>
      </c>
      <c r="AB161" s="78" t="s">
        <v>286</v>
      </c>
      <c r="AC161">
        <f>IF(C161="",0,VLOOKUP(C161,'Dados de consulta'!$H$2:$I$25,2,0))</f>
        <v>0</v>
      </c>
      <c r="AD161">
        <f>IF(D161="",0,VLOOKUP(D161,'Dados de consulta'!$H$2:$I$25,2,0))</f>
        <v>0</v>
      </c>
      <c r="AE161">
        <f>IF(E161="",0,VLOOKUP(E161,'Dados de consulta'!$H$2:$I$25,2,0))</f>
        <v>0</v>
      </c>
      <c r="AF161">
        <f>IF(F161="",0,VLOOKUP(F161,'Dados de consulta'!$H$2:$I$25,2,0))</f>
        <v>0</v>
      </c>
      <c r="AG161">
        <f>IF(G161="",0,VLOOKUP(G161,'Dados de consulta'!$H$2:$I$25,2,0))</f>
        <v>0</v>
      </c>
      <c r="AH161">
        <f>IF(H161="",0,VLOOKUP(H161,'Dados de consulta'!$H$2:$I$25,2,0))</f>
        <v>0</v>
      </c>
      <c r="AI161">
        <f>IF(I161="",0,VLOOKUP(I161,'Dados de consulta'!$H$2:$I$25,2,0))</f>
        <v>0</v>
      </c>
      <c r="AJ161">
        <f>IF(J161="",0,VLOOKUP(J161,'Dados de consulta'!$H$2:$I$25,2,0))</f>
        <v>0</v>
      </c>
      <c r="AK161">
        <f>IF(K161="",0,VLOOKUP(K161,'Dados de consulta'!$H$2:$I$25,2,0))</f>
        <v>0</v>
      </c>
      <c r="AL161">
        <f>IF(L161="",0,VLOOKUP(L161,'Dados de consulta'!$H$2:$I$25,2,0))</f>
        <v>0</v>
      </c>
      <c r="AM161">
        <f>IF(M161="",0,VLOOKUP(M161,'Dados de consulta'!$H$2:$I$25,2,0))</f>
        <v>0</v>
      </c>
      <c r="AN161">
        <f>IF(N161="",0,VLOOKUP(N161,'Dados de consulta'!$H$2:$I$25,2,0))</f>
        <v>0</v>
      </c>
      <c r="AO161">
        <f>IF(O161="",0,VLOOKUP(O161,'Dados de consulta'!$H$2:$I$25,2,0))</f>
        <v>0</v>
      </c>
      <c r="AP161">
        <f>IF(P161="",0,VLOOKUP(P161,'Dados de consulta'!$H$2:$I$25,2,0))</f>
        <v>0</v>
      </c>
      <c r="AQ161">
        <f>IF(Q161="",0,VLOOKUP(Q161,'Dados de consulta'!$H$2:$I$25,2,0))</f>
        <v>0</v>
      </c>
      <c r="AR161">
        <f>IF(R161="",0,VLOOKUP(R161,'Dados de consulta'!$H$2:$I$25,2,0))</f>
        <v>0</v>
      </c>
      <c r="AS161">
        <f>IF(S161="",0,VLOOKUP(S161,'Dados de consulta'!$H$2:$I$25,2,0))</f>
        <v>0</v>
      </c>
      <c r="AT161">
        <f>IF(T161="",0,VLOOKUP(T161,'Dados de consulta'!$H$2:$I$25,2,0))</f>
        <v>0</v>
      </c>
      <c r="AU161">
        <f>IF(U161="",0,VLOOKUP(U161,'Dados de consulta'!$H$2:$I$25,2,0))</f>
        <v>0</v>
      </c>
      <c r="AV161">
        <f>IF(V161="",0,VLOOKUP(V161,'Dados de consulta'!$H$2:$I$25,2,0))</f>
        <v>0</v>
      </c>
      <c r="AW161">
        <f t="shared" si="20"/>
        <v>0</v>
      </c>
      <c r="AX161">
        <f t="shared" si="21"/>
        <v>0</v>
      </c>
      <c r="AY161">
        <f t="shared" si="22"/>
        <v>0</v>
      </c>
    </row>
    <row r="162" spans="1:51" hidden="1" x14ac:dyDescent="0.2">
      <c r="A162" s="202">
        <v>42419</v>
      </c>
      <c r="B162" s="78" t="s">
        <v>287</v>
      </c>
      <c r="W162">
        <f t="shared" si="14"/>
        <v>0</v>
      </c>
      <c r="X162">
        <f t="shared" si="15"/>
        <v>0</v>
      </c>
      <c r="Y162">
        <f t="shared" si="16"/>
        <v>0</v>
      </c>
      <c r="AA162" s="202">
        <v>42419</v>
      </c>
      <c r="AB162" s="78" t="s">
        <v>287</v>
      </c>
      <c r="AC162">
        <f>IF(C162="",0,VLOOKUP(C162,'Dados de consulta'!$H$2:$I$25,2,0))</f>
        <v>0</v>
      </c>
      <c r="AD162">
        <f>IF(D162="",0,VLOOKUP(D162,'Dados de consulta'!$H$2:$I$25,2,0))</f>
        <v>0</v>
      </c>
      <c r="AE162">
        <f>IF(E162="",0,VLOOKUP(E162,'Dados de consulta'!$H$2:$I$25,2,0))</f>
        <v>0</v>
      </c>
      <c r="AF162">
        <f>IF(F162="",0,VLOOKUP(F162,'Dados de consulta'!$H$2:$I$25,2,0))</f>
        <v>0</v>
      </c>
      <c r="AG162">
        <f>IF(G162="",0,VLOOKUP(G162,'Dados de consulta'!$H$2:$I$25,2,0))</f>
        <v>0</v>
      </c>
      <c r="AH162">
        <f>IF(H162="",0,VLOOKUP(H162,'Dados de consulta'!$H$2:$I$25,2,0))</f>
        <v>0</v>
      </c>
      <c r="AI162">
        <f>IF(I162="",0,VLOOKUP(I162,'Dados de consulta'!$H$2:$I$25,2,0))</f>
        <v>0</v>
      </c>
      <c r="AJ162">
        <f>IF(J162="",0,VLOOKUP(J162,'Dados de consulta'!$H$2:$I$25,2,0))</f>
        <v>0</v>
      </c>
      <c r="AK162">
        <f>IF(K162="",0,VLOOKUP(K162,'Dados de consulta'!$H$2:$I$25,2,0))</f>
        <v>0</v>
      </c>
      <c r="AL162">
        <f>IF(L162="",0,VLOOKUP(L162,'Dados de consulta'!$H$2:$I$25,2,0))</f>
        <v>0</v>
      </c>
      <c r="AM162">
        <f>IF(M162="",0,VLOOKUP(M162,'Dados de consulta'!$H$2:$I$25,2,0))</f>
        <v>0</v>
      </c>
      <c r="AN162">
        <f>IF(N162="",0,VLOOKUP(N162,'Dados de consulta'!$H$2:$I$25,2,0))</f>
        <v>0</v>
      </c>
      <c r="AO162">
        <f>IF(O162="",0,VLOOKUP(O162,'Dados de consulta'!$H$2:$I$25,2,0))</f>
        <v>0</v>
      </c>
      <c r="AP162">
        <f>IF(P162="",0,VLOOKUP(P162,'Dados de consulta'!$H$2:$I$25,2,0))</f>
        <v>0</v>
      </c>
      <c r="AQ162">
        <f>IF(Q162="",0,VLOOKUP(Q162,'Dados de consulta'!$H$2:$I$25,2,0))</f>
        <v>0</v>
      </c>
      <c r="AR162">
        <f>IF(R162="",0,VLOOKUP(R162,'Dados de consulta'!$H$2:$I$25,2,0))</f>
        <v>0</v>
      </c>
      <c r="AS162">
        <f>IF(S162="",0,VLOOKUP(S162,'Dados de consulta'!$H$2:$I$25,2,0))</f>
        <v>0</v>
      </c>
      <c r="AT162">
        <f>IF(T162="",0,VLOOKUP(T162,'Dados de consulta'!$H$2:$I$25,2,0))</f>
        <v>0</v>
      </c>
      <c r="AU162">
        <f>IF(U162="",0,VLOOKUP(U162,'Dados de consulta'!$H$2:$I$25,2,0))</f>
        <v>0</v>
      </c>
      <c r="AV162">
        <f>IF(V162="",0,VLOOKUP(V162,'Dados de consulta'!$H$2:$I$25,2,0))</f>
        <v>0</v>
      </c>
      <c r="AW162">
        <f t="shared" si="20"/>
        <v>0</v>
      </c>
      <c r="AX162">
        <f t="shared" si="21"/>
        <v>0</v>
      </c>
      <c r="AY162">
        <f t="shared" si="22"/>
        <v>0</v>
      </c>
    </row>
    <row r="163" spans="1:51" hidden="1" x14ac:dyDescent="0.2">
      <c r="A163" s="202">
        <v>42420</v>
      </c>
      <c r="B163" s="78" t="s">
        <v>281</v>
      </c>
      <c r="C163" s="78" t="s">
        <v>224</v>
      </c>
      <c r="J163" s="78" t="s">
        <v>219</v>
      </c>
      <c r="N163" s="78" t="s">
        <v>219</v>
      </c>
      <c r="P163" s="78" t="s">
        <v>234</v>
      </c>
      <c r="S163" s="78" t="s">
        <v>219</v>
      </c>
      <c r="W163">
        <f t="shared" si="14"/>
        <v>26</v>
      </c>
      <c r="X163">
        <f t="shared" si="15"/>
        <v>6</v>
      </c>
      <c r="Y163">
        <f t="shared" si="16"/>
        <v>0</v>
      </c>
      <c r="AA163" s="202">
        <v>42420</v>
      </c>
      <c r="AB163" s="78" t="s">
        <v>281</v>
      </c>
      <c r="AC163">
        <f>IF(C163="",0,VLOOKUP(C163,'Dados de consulta'!$H$2:$I$25,2,0))</f>
        <v>8</v>
      </c>
      <c r="AD163">
        <f>IF(D163="",0,VLOOKUP(D163,'Dados de consulta'!$H$2:$I$25,2,0))</f>
        <v>0</v>
      </c>
      <c r="AE163">
        <f>IF(E163="",0,VLOOKUP(E163,'Dados de consulta'!$H$2:$I$25,2,0))</f>
        <v>0</v>
      </c>
      <c r="AF163">
        <f>IF(F163="",0,VLOOKUP(F163,'Dados de consulta'!$H$2:$I$25,2,0))</f>
        <v>0</v>
      </c>
      <c r="AG163">
        <f>IF(G163="",0,VLOOKUP(G163,'Dados de consulta'!$H$2:$I$25,2,0))</f>
        <v>0</v>
      </c>
      <c r="AH163">
        <f>IF(H163="",0,VLOOKUP(H163,'Dados de consulta'!$H$2:$I$25,2,0))</f>
        <v>0</v>
      </c>
      <c r="AI163">
        <f>IF(I163="",0,VLOOKUP(I163,'Dados de consulta'!$H$2:$I$25,2,0))</f>
        <v>0</v>
      </c>
      <c r="AJ163">
        <f>IF(J163="",0,VLOOKUP(J163,'Dados de consulta'!$H$2:$I$25,2,0))</f>
        <v>6</v>
      </c>
      <c r="AK163">
        <f>IF(K163="",0,VLOOKUP(K163,'Dados de consulta'!$H$2:$I$25,2,0))</f>
        <v>0</v>
      </c>
      <c r="AL163">
        <f>IF(L163="",0,VLOOKUP(L163,'Dados de consulta'!$H$2:$I$25,2,0))</f>
        <v>0</v>
      </c>
      <c r="AM163">
        <f>IF(M163="",0,VLOOKUP(M163,'Dados de consulta'!$H$2:$I$25,2,0))</f>
        <v>0</v>
      </c>
      <c r="AN163">
        <f>IF(N163="",0,VLOOKUP(N163,'Dados de consulta'!$H$2:$I$25,2,0))</f>
        <v>6</v>
      </c>
      <c r="AO163">
        <f>IF(O163="",0,VLOOKUP(O163,'Dados de consulta'!$H$2:$I$25,2,0))</f>
        <v>0</v>
      </c>
      <c r="AP163">
        <f>IF(P163="",0,VLOOKUP(P163,'Dados de consulta'!$H$2:$I$25,2,0))</f>
        <v>16</v>
      </c>
      <c r="AQ163">
        <f>IF(Q163="",0,VLOOKUP(Q163,'Dados de consulta'!$H$2:$I$25,2,0))</f>
        <v>0</v>
      </c>
      <c r="AR163">
        <f>IF(R163="",0,VLOOKUP(R163,'Dados de consulta'!$H$2:$I$25,2,0))</f>
        <v>0</v>
      </c>
      <c r="AS163">
        <f>IF(S163="",0,VLOOKUP(S163,'Dados de consulta'!$H$2:$I$25,2,0))</f>
        <v>6</v>
      </c>
      <c r="AT163">
        <f>IF(T163="",0,VLOOKUP(T163,'Dados de consulta'!$H$2:$I$25,2,0))</f>
        <v>0</v>
      </c>
      <c r="AU163">
        <f>IF(U163="",0,VLOOKUP(U163,'Dados de consulta'!$H$2:$I$25,2,0))</f>
        <v>0</v>
      </c>
      <c r="AV163">
        <f>IF(V163="",0,VLOOKUP(V163,'Dados de consulta'!$H$2:$I$25,2,0))</f>
        <v>0</v>
      </c>
      <c r="AW163">
        <f t="shared" si="20"/>
        <v>26</v>
      </c>
      <c r="AX163">
        <f t="shared" si="21"/>
        <v>6</v>
      </c>
      <c r="AY163">
        <f t="shared" si="22"/>
        <v>0</v>
      </c>
    </row>
    <row r="164" spans="1:51" hidden="1" x14ac:dyDescent="0.2">
      <c r="A164" s="202">
        <v>42421</v>
      </c>
      <c r="B164" s="78" t="s">
        <v>282</v>
      </c>
      <c r="W164">
        <f t="shared" si="14"/>
        <v>0</v>
      </c>
      <c r="X164">
        <f t="shared" si="15"/>
        <v>0</v>
      </c>
      <c r="Y164">
        <f t="shared" si="16"/>
        <v>0</v>
      </c>
      <c r="AA164" s="202">
        <v>42421</v>
      </c>
      <c r="AB164" s="78" t="s">
        <v>282</v>
      </c>
      <c r="AC164">
        <f>IF(C164="",0,VLOOKUP(C164,'Dados de consulta'!$H$2:$I$25,2,0))</f>
        <v>0</v>
      </c>
      <c r="AD164">
        <f>IF(D164="",0,VLOOKUP(D164,'Dados de consulta'!$H$2:$I$25,2,0))</f>
        <v>0</v>
      </c>
      <c r="AE164">
        <f>IF(E164="",0,VLOOKUP(E164,'Dados de consulta'!$H$2:$I$25,2,0))</f>
        <v>0</v>
      </c>
      <c r="AF164">
        <f>IF(F164="",0,VLOOKUP(F164,'Dados de consulta'!$H$2:$I$25,2,0))</f>
        <v>0</v>
      </c>
      <c r="AG164">
        <f>IF(G164="",0,VLOOKUP(G164,'Dados de consulta'!$H$2:$I$25,2,0))</f>
        <v>0</v>
      </c>
      <c r="AH164">
        <f>IF(H164="",0,VLOOKUP(H164,'Dados de consulta'!$H$2:$I$25,2,0))</f>
        <v>0</v>
      </c>
      <c r="AI164">
        <f>IF(I164="",0,VLOOKUP(I164,'Dados de consulta'!$H$2:$I$25,2,0))</f>
        <v>0</v>
      </c>
      <c r="AJ164">
        <f>IF(J164="",0,VLOOKUP(J164,'Dados de consulta'!$H$2:$I$25,2,0))</f>
        <v>0</v>
      </c>
      <c r="AK164">
        <f>IF(K164="",0,VLOOKUP(K164,'Dados de consulta'!$H$2:$I$25,2,0))</f>
        <v>0</v>
      </c>
      <c r="AL164">
        <f>IF(L164="",0,VLOOKUP(L164,'Dados de consulta'!$H$2:$I$25,2,0))</f>
        <v>0</v>
      </c>
      <c r="AM164">
        <f>IF(M164="",0,VLOOKUP(M164,'Dados de consulta'!$H$2:$I$25,2,0))</f>
        <v>0</v>
      </c>
      <c r="AN164">
        <f>IF(N164="",0,VLOOKUP(N164,'Dados de consulta'!$H$2:$I$25,2,0))</f>
        <v>0</v>
      </c>
      <c r="AO164">
        <f>IF(O164="",0,VLOOKUP(O164,'Dados de consulta'!$H$2:$I$25,2,0))</f>
        <v>0</v>
      </c>
      <c r="AP164">
        <f>IF(P164="",0,VLOOKUP(P164,'Dados de consulta'!$H$2:$I$25,2,0))</f>
        <v>0</v>
      </c>
      <c r="AQ164">
        <f>IF(Q164="",0,VLOOKUP(Q164,'Dados de consulta'!$H$2:$I$25,2,0))</f>
        <v>0</v>
      </c>
      <c r="AR164">
        <f>IF(R164="",0,VLOOKUP(R164,'Dados de consulta'!$H$2:$I$25,2,0))</f>
        <v>0</v>
      </c>
      <c r="AS164">
        <f>IF(S164="",0,VLOOKUP(S164,'Dados de consulta'!$H$2:$I$25,2,0))</f>
        <v>0</v>
      </c>
      <c r="AT164">
        <f>IF(T164="",0,VLOOKUP(T164,'Dados de consulta'!$H$2:$I$25,2,0))</f>
        <v>0</v>
      </c>
      <c r="AU164">
        <f>IF(U164="",0,VLOOKUP(U164,'Dados de consulta'!$H$2:$I$25,2,0))</f>
        <v>0</v>
      </c>
      <c r="AV164">
        <f>IF(V164="",0,VLOOKUP(V164,'Dados de consulta'!$H$2:$I$25,2,0))</f>
        <v>0</v>
      </c>
      <c r="AW164">
        <f t="shared" si="20"/>
        <v>0</v>
      </c>
      <c r="AX164">
        <f t="shared" si="21"/>
        <v>0</v>
      </c>
      <c r="AY164">
        <f t="shared" si="22"/>
        <v>0</v>
      </c>
    </row>
    <row r="165" spans="1:51" hidden="1" x14ac:dyDescent="0.2">
      <c r="A165" s="202">
        <v>42422</v>
      </c>
      <c r="B165" s="78" t="s">
        <v>283</v>
      </c>
      <c r="W165">
        <f t="shared" si="14"/>
        <v>0</v>
      </c>
      <c r="X165">
        <f t="shared" si="15"/>
        <v>0</v>
      </c>
      <c r="Y165">
        <f t="shared" si="16"/>
        <v>0</v>
      </c>
      <c r="AA165" s="202">
        <v>42422</v>
      </c>
      <c r="AB165" s="78" t="s">
        <v>283</v>
      </c>
      <c r="AC165">
        <f>IF(C165="",0,VLOOKUP(C165,'Dados de consulta'!$H$2:$I$25,2,0))</f>
        <v>0</v>
      </c>
      <c r="AD165">
        <f>IF(D165="",0,VLOOKUP(D165,'Dados de consulta'!$H$2:$I$25,2,0))</f>
        <v>0</v>
      </c>
      <c r="AE165">
        <f>IF(E165="",0,VLOOKUP(E165,'Dados de consulta'!$H$2:$I$25,2,0))</f>
        <v>0</v>
      </c>
      <c r="AF165">
        <f>IF(F165="",0,VLOOKUP(F165,'Dados de consulta'!$H$2:$I$25,2,0))</f>
        <v>0</v>
      </c>
      <c r="AG165">
        <f>IF(G165="",0,VLOOKUP(G165,'Dados de consulta'!$H$2:$I$25,2,0))</f>
        <v>0</v>
      </c>
      <c r="AH165">
        <f>IF(H165="",0,VLOOKUP(H165,'Dados de consulta'!$H$2:$I$25,2,0))</f>
        <v>0</v>
      </c>
      <c r="AI165">
        <f>IF(I165="",0,VLOOKUP(I165,'Dados de consulta'!$H$2:$I$25,2,0))</f>
        <v>0</v>
      </c>
      <c r="AJ165">
        <f>IF(J165="",0,VLOOKUP(J165,'Dados de consulta'!$H$2:$I$25,2,0))</f>
        <v>0</v>
      </c>
      <c r="AK165">
        <f>IF(K165="",0,VLOOKUP(K165,'Dados de consulta'!$H$2:$I$25,2,0))</f>
        <v>0</v>
      </c>
      <c r="AL165">
        <f>IF(L165="",0,VLOOKUP(L165,'Dados de consulta'!$H$2:$I$25,2,0))</f>
        <v>0</v>
      </c>
      <c r="AM165">
        <f>IF(M165="",0,VLOOKUP(M165,'Dados de consulta'!$H$2:$I$25,2,0))</f>
        <v>0</v>
      </c>
      <c r="AN165">
        <f>IF(N165="",0,VLOOKUP(N165,'Dados de consulta'!$H$2:$I$25,2,0))</f>
        <v>0</v>
      </c>
      <c r="AO165">
        <f>IF(O165="",0,VLOOKUP(O165,'Dados de consulta'!$H$2:$I$25,2,0))</f>
        <v>0</v>
      </c>
      <c r="AP165">
        <f>IF(P165="",0,VLOOKUP(P165,'Dados de consulta'!$H$2:$I$25,2,0))</f>
        <v>0</v>
      </c>
      <c r="AQ165">
        <f>IF(Q165="",0,VLOOKUP(Q165,'Dados de consulta'!$H$2:$I$25,2,0))</f>
        <v>0</v>
      </c>
      <c r="AR165">
        <f>IF(R165="",0,VLOOKUP(R165,'Dados de consulta'!$H$2:$I$25,2,0))</f>
        <v>0</v>
      </c>
      <c r="AS165">
        <f>IF(S165="",0,VLOOKUP(S165,'Dados de consulta'!$H$2:$I$25,2,0))</f>
        <v>0</v>
      </c>
      <c r="AT165">
        <f>IF(T165="",0,VLOOKUP(T165,'Dados de consulta'!$H$2:$I$25,2,0))</f>
        <v>0</v>
      </c>
      <c r="AU165">
        <f>IF(U165="",0,VLOOKUP(U165,'Dados de consulta'!$H$2:$I$25,2,0))</f>
        <v>0</v>
      </c>
      <c r="AV165">
        <f>IF(V165="",0,VLOOKUP(V165,'Dados de consulta'!$H$2:$I$25,2,0))</f>
        <v>0</v>
      </c>
      <c r="AW165">
        <f t="shared" si="20"/>
        <v>0</v>
      </c>
      <c r="AX165">
        <f t="shared" si="21"/>
        <v>0</v>
      </c>
      <c r="AY165">
        <f t="shared" si="22"/>
        <v>0</v>
      </c>
    </row>
    <row r="166" spans="1:51" hidden="1" x14ac:dyDescent="0.2">
      <c r="A166" s="202">
        <v>42423</v>
      </c>
      <c r="B166" s="78" t="s">
        <v>284</v>
      </c>
      <c r="W166">
        <f t="shared" si="14"/>
        <v>0</v>
      </c>
      <c r="X166">
        <f t="shared" si="15"/>
        <v>0</v>
      </c>
      <c r="Y166">
        <f t="shared" si="16"/>
        <v>0</v>
      </c>
      <c r="AA166" s="202">
        <v>42423</v>
      </c>
      <c r="AB166" s="78" t="s">
        <v>284</v>
      </c>
      <c r="AC166">
        <f>IF(C166="",0,VLOOKUP(C166,'Dados de consulta'!$H$2:$I$25,2,0))</f>
        <v>0</v>
      </c>
      <c r="AD166">
        <f>IF(D166="",0,VLOOKUP(D166,'Dados de consulta'!$H$2:$I$25,2,0))</f>
        <v>0</v>
      </c>
      <c r="AE166">
        <f>IF(E166="",0,VLOOKUP(E166,'Dados de consulta'!$H$2:$I$25,2,0))</f>
        <v>0</v>
      </c>
      <c r="AF166">
        <f>IF(F166="",0,VLOOKUP(F166,'Dados de consulta'!$H$2:$I$25,2,0))</f>
        <v>0</v>
      </c>
      <c r="AG166">
        <f>IF(G166="",0,VLOOKUP(G166,'Dados de consulta'!$H$2:$I$25,2,0))</f>
        <v>0</v>
      </c>
      <c r="AH166">
        <f>IF(H166="",0,VLOOKUP(H166,'Dados de consulta'!$H$2:$I$25,2,0))</f>
        <v>0</v>
      </c>
      <c r="AI166">
        <f>IF(I166="",0,VLOOKUP(I166,'Dados de consulta'!$H$2:$I$25,2,0))</f>
        <v>0</v>
      </c>
      <c r="AJ166">
        <f>IF(J166="",0,VLOOKUP(J166,'Dados de consulta'!$H$2:$I$25,2,0))</f>
        <v>0</v>
      </c>
      <c r="AK166">
        <f>IF(K166="",0,VLOOKUP(K166,'Dados de consulta'!$H$2:$I$25,2,0))</f>
        <v>0</v>
      </c>
      <c r="AL166">
        <f>IF(L166="",0,VLOOKUP(L166,'Dados de consulta'!$H$2:$I$25,2,0))</f>
        <v>0</v>
      </c>
      <c r="AM166">
        <f>IF(M166="",0,VLOOKUP(M166,'Dados de consulta'!$H$2:$I$25,2,0))</f>
        <v>0</v>
      </c>
      <c r="AN166">
        <f>IF(N166="",0,VLOOKUP(N166,'Dados de consulta'!$H$2:$I$25,2,0))</f>
        <v>0</v>
      </c>
      <c r="AO166">
        <f>IF(O166="",0,VLOOKUP(O166,'Dados de consulta'!$H$2:$I$25,2,0))</f>
        <v>0</v>
      </c>
      <c r="AP166">
        <f>IF(P166="",0,VLOOKUP(P166,'Dados de consulta'!$H$2:$I$25,2,0))</f>
        <v>0</v>
      </c>
      <c r="AQ166">
        <f>IF(Q166="",0,VLOOKUP(Q166,'Dados de consulta'!$H$2:$I$25,2,0))</f>
        <v>0</v>
      </c>
      <c r="AR166">
        <f>IF(R166="",0,VLOOKUP(R166,'Dados de consulta'!$H$2:$I$25,2,0))</f>
        <v>0</v>
      </c>
      <c r="AS166">
        <f>IF(S166="",0,VLOOKUP(S166,'Dados de consulta'!$H$2:$I$25,2,0))</f>
        <v>0</v>
      </c>
      <c r="AT166">
        <f>IF(T166="",0,VLOOKUP(T166,'Dados de consulta'!$H$2:$I$25,2,0))</f>
        <v>0</v>
      </c>
      <c r="AU166">
        <f>IF(U166="",0,VLOOKUP(U166,'Dados de consulta'!$H$2:$I$25,2,0))</f>
        <v>0</v>
      </c>
      <c r="AV166">
        <f>IF(V166="",0,VLOOKUP(V166,'Dados de consulta'!$H$2:$I$25,2,0))</f>
        <v>0</v>
      </c>
      <c r="AW166">
        <f t="shared" si="20"/>
        <v>0</v>
      </c>
      <c r="AX166">
        <f t="shared" si="21"/>
        <v>0</v>
      </c>
      <c r="AY166">
        <f t="shared" si="22"/>
        <v>0</v>
      </c>
    </row>
    <row r="167" spans="1:51" hidden="1" x14ac:dyDescent="0.2">
      <c r="A167" s="202">
        <v>42424</v>
      </c>
      <c r="B167" s="78" t="s">
        <v>285</v>
      </c>
      <c r="W167">
        <f t="shared" si="14"/>
        <v>0</v>
      </c>
      <c r="X167">
        <f t="shared" si="15"/>
        <v>0</v>
      </c>
      <c r="Y167">
        <f t="shared" si="16"/>
        <v>0</v>
      </c>
      <c r="AA167" s="202">
        <v>42424</v>
      </c>
      <c r="AB167" s="78" t="s">
        <v>285</v>
      </c>
      <c r="AC167">
        <f>IF(C167="",0,VLOOKUP(C167,'Dados de consulta'!$H$2:$I$25,2,0))</f>
        <v>0</v>
      </c>
      <c r="AD167">
        <f>IF(D167="",0,VLOOKUP(D167,'Dados de consulta'!$H$2:$I$25,2,0))</f>
        <v>0</v>
      </c>
      <c r="AE167">
        <f>IF(E167="",0,VLOOKUP(E167,'Dados de consulta'!$H$2:$I$25,2,0))</f>
        <v>0</v>
      </c>
      <c r="AF167">
        <f>IF(F167="",0,VLOOKUP(F167,'Dados de consulta'!$H$2:$I$25,2,0))</f>
        <v>0</v>
      </c>
      <c r="AG167">
        <f>IF(G167="",0,VLOOKUP(G167,'Dados de consulta'!$H$2:$I$25,2,0))</f>
        <v>0</v>
      </c>
      <c r="AH167">
        <f>IF(H167="",0,VLOOKUP(H167,'Dados de consulta'!$H$2:$I$25,2,0))</f>
        <v>0</v>
      </c>
      <c r="AI167">
        <f>IF(I167="",0,VLOOKUP(I167,'Dados de consulta'!$H$2:$I$25,2,0))</f>
        <v>0</v>
      </c>
      <c r="AJ167">
        <f>IF(J167="",0,VLOOKUP(J167,'Dados de consulta'!$H$2:$I$25,2,0))</f>
        <v>0</v>
      </c>
      <c r="AK167">
        <f>IF(K167="",0,VLOOKUP(K167,'Dados de consulta'!$H$2:$I$25,2,0))</f>
        <v>0</v>
      </c>
      <c r="AL167">
        <f>IF(L167="",0,VLOOKUP(L167,'Dados de consulta'!$H$2:$I$25,2,0))</f>
        <v>0</v>
      </c>
      <c r="AM167">
        <f>IF(M167="",0,VLOOKUP(M167,'Dados de consulta'!$H$2:$I$25,2,0))</f>
        <v>0</v>
      </c>
      <c r="AN167">
        <f>IF(N167="",0,VLOOKUP(N167,'Dados de consulta'!$H$2:$I$25,2,0))</f>
        <v>0</v>
      </c>
      <c r="AO167">
        <f>IF(O167="",0,VLOOKUP(O167,'Dados de consulta'!$H$2:$I$25,2,0))</f>
        <v>0</v>
      </c>
      <c r="AP167">
        <f>IF(P167="",0,VLOOKUP(P167,'Dados de consulta'!$H$2:$I$25,2,0))</f>
        <v>0</v>
      </c>
      <c r="AQ167">
        <f>IF(Q167="",0,VLOOKUP(Q167,'Dados de consulta'!$H$2:$I$25,2,0))</f>
        <v>0</v>
      </c>
      <c r="AR167">
        <f>IF(R167="",0,VLOOKUP(R167,'Dados de consulta'!$H$2:$I$25,2,0))</f>
        <v>0</v>
      </c>
      <c r="AS167">
        <f>IF(S167="",0,VLOOKUP(S167,'Dados de consulta'!$H$2:$I$25,2,0))</f>
        <v>0</v>
      </c>
      <c r="AT167">
        <f>IF(T167="",0,VLOOKUP(T167,'Dados de consulta'!$H$2:$I$25,2,0))</f>
        <v>0</v>
      </c>
      <c r="AU167">
        <f>IF(U167="",0,VLOOKUP(U167,'Dados de consulta'!$H$2:$I$25,2,0))</f>
        <v>0</v>
      </c>
      <c r="AV167">
        <f>IF(V167="",0,VLOOKUP(V167,'Dados de consulta'!$H$2:$I$25,2,0))</f>
        <v>0</v>
      </c>
      <c r="AW167">
        <f t="shared" si="20"/>
        <v>0</v>
      </c>
      <c r="AX167">
        <f t="shared" si="21"/>
        <v>0</v>
      </c>
      <c r="AY167">
        <f t="shared" si="22"/>
        <v>0</v>
      </c>
    </row>
    <row r="168" spans="1:51" hidden="1" x14ac:dyDescent="0.2">
      <c r="A168" s="202">
        <v>42425</v>
      </c>
      <c r="B168" s="78" t="s">
        <v>286</v>
      </c>
      <c r="W168">
        <f t="shared" si="14"/>
        <v>0</v>
      </c>
      <c r="X168">
        <f t="shared" si="15"/>
        <v>0</v>
      </c>
      <c r="Y168">
        <f t="shared" si="16"/>
        <v>0</v>
      </c>
      <c r="AA168" s="202">
        <v>42425</v>
      </c>
      <c r="AB168" s="78" t="s">
        <v>286</v>
      </c>
      <c r="AC168">
        <f>IF(C168="",0,VLOOKUP(C168,'Dados de consulta'!$H$2:$I$25,2,0))</f>
        <v>0</v>
      </c>
      <c r="AD168">
        <f>IF(D168="",0,VLOOKUP(D168,'Dados de consulta'!$H$2:$I$25,2,0))</f>
        <v>0</v>
      </c>
      <c r="AE168">
        <f>IF(E168="",0,VLOOKUP(E168,'Dados de consulta'!$H$2:$I$25,2,0))</f>
        <v>0</v>
      </c>
      <c r="AF168">
        <f>IF(F168="",0,VLOOKUP(F168,'Dados de consulta'!$H$2:$I$25,2,0))</f>
        <v>0</v>
      </c>
      <c r="AG168">
        <f>IF(G168="",0,VLOOKUP(G168,'Dados de consulta'!$H$2:$I$25,2,0))</f>
        <v>0</v>
      </c>
      <c r="AH168">
        <f>IF(H168="",0,VLOOKUP(H168,'Dados de consulta'!$H$2:$I$25,2,0))</f>
        <v>0</v>
      </c>
      <c r="AI168">
        <f>IF(I168="",0,VLOOKUP(I168,'Dados de consulta'!$H$2:$I$25,2,0))</f>
        <v>0</v>
      </c>
      <c r="AJ168">
        <f>IF(J168="",0,VLOOKUP(J168,'Dados de consulta'!$H$2:$I$25,2,0))</f>
        <v>0</v>
      </c>
      <c r="AK168">
        <f>IF(K168="",0,VLOOKUP(K168,'Dados de consulta'!$H$2:$I$25,2,0))</f>
        <v>0</v>
      </c>
      <c r="AL168">
        <f>IF(L168="",0,VLOOKUP(L168,'Dados de consulta'!$H$2:$I$25,2,0))</f>
        <v>0</v>
      </c>
      <c r="AM168">
        <f>IF(M168="",0,VLOOKUP(M168,'Dados de consulta'!$H$2:$I$25,2,0))</f>
        <v>0</v>
      </c>
      <c r="AN168">
        <f>IF(N168="",0,VLOOKUP(N168,'Dados de consulta'!$H$2:$I$25,2,0))</f>
        <v>0</v>
      </c>
      <c r="AO168">
        <f>IF(O168="",0,VLOOKUP(O168,'Dados de consulta'!$H$2:$I$25,2,0))</f>
        <v>0</v>
      </c>
      <c r="AP168">
        <f>IF(P168="",0,VLOOKUP(P168,'Dados de consulta'!$H$2:$I$25,2,0))</f>
        <v>0</v>
      </c>
      <c r="AQ168">
        <f>IF(Q168="",0,VLOOKUP(Q168,'Dados de consulta'!$H$2:$I$25,2,0))</f>
        <v>0</v>
      </c>
      <c r="AR168">
        <f>IF(R168="",0,VLOOKUP(R168,'Dados de consulta'!$H$2:$I$25,2,0))</f>
        <v>0</v>
      </c>
      <c r="AS168">
        <f>IF(S168="",0,VLOOKUP(S168,'Dados de consulta'!$H$2:$I$25,2,0))</f>
        <v>0</v>
      </c>
      <c r="AT168">
        <f>IF(T168="",0,VLOOKUP(T168,'Dados de consulta'!$H$2:$I$25,2,0))</f>
        <v>0</v>
      </c>
      <c r="AU168">
        <f>IF(U168="",0,VLOOKUP(U168,'Dados de consulta'!$H$2:$I$25,2,0))</f>
        <v>0</v>
      </c>
      <c r="AV168">
        <f>IF(V168="",0,VLOOKUP(V168,'Dados de consulta'!$H$2:$I$25,2,0))</f>
        <v>0</v>
      </c>
      <c r="AW168">
        <f t="shared" si="20"/>
        <v>0</v>
      </c>
      <c r="AX168">
        <f t="shared" si="21"/>
        <v>0</v>
      </c>
      <c r="AY168">
        <f t="shared" si="22"/>
        <v>0</v>
      </c>
    </row>
    <row r="169" spans="1:51" hidden="1" x14ac:dyDescent="0.2">
      <c r="A169" s="202">
        <v>42426</v>
      </c>
      <c r="B169" s="78" t="s">
        <v>287</v>
      </c>
      <c r="W169">
        <f t="shared" si="14"/>
        <v>0</v>
      </c>
      <c r="X169">
        <f t="shared" si="15"/>
        <v>0</v>
      </c>
      <c r="Y169">
        <f t="shared" si="16"/>
        <v>0</v>
      </c>
      <c r="AA169" s="202">
        <v>42426</v>
      </c>
      <c r="AB169" s="78" t="s">
        <v>287</v>
      </c>
      <c r="AC169">
        <f>IF(C169="",0,VLOOKUP(C169,'Dados de consulta'!$H$2:$I$25,2,0))</f>
        <v>0</v>
      </c>
      <c r="AD169">
        <f>IF(D169="",0,VLOOKUP(D169,'Dados de consulta'!$H$2:$I$25,2,0))</f>
        <v>0</v>
      </c>
      <c r="AE169">
        <f>IF(E169="",0,VLOOKUP(E169,'Dados de consulta'!$H$2:$I$25,2,0))</f>
        <v>0</v>
      </c>
      <c r="AF169">
        <f>IF(F169="",0,VLOOKUP(F169,'Dados de consulta'!$H$2:$I$25,2,0))</f>
        <v>0</v>
      </c>
      <c r="AG169">
        <f>IF(G169="",0,VLOOKUP(G169,'Dados de consulta'!$H$2:$I$25,2,0))</f>
        <v>0</v>
      </c>
      <c r="AH169">
        <f>IF(H169="",0,VLOOKUP(H169,'Dados de consulta'!$H$2:$I$25,2,0))</f>
        <v>0</v>
      </c>
      <c r="AI169">
        <f>IF(I169="",0,VLOOKUP(I169,'Dados de consulta'!$H$2:$I$25,2,0))</f>
        <v>0</v>
      </c>
      <c r="AJ169">
        <f>IF(J169="",0,VLOOKUP(J169,'Dados de consulta'!$H$2:$I$25,2,0))</f>
        <v>0</v>
      </c>
      <c r="AK169">
        <f>IF(K169="",0,VLOOKUP(K169,'Dados de consulta'!$H$2:$I$25,2,0))</f>
        <v>0</v>
      </c>
      <c r="AL169">
        <f>IF(L169="",0,VLOOKUP(L169,'Dados de consulta'!$H$2:$I$25,2,0))</f>
        <v>0</v>
      </c>
      <c r="AM169">
        <f>IF(M169="",0,VLOOKUP(M169,'Dados de consulta'!$H$2:$I$25,2,0))</f>
        <v>0</v>
      </c>
      <c r="AN169">
        <f>IF(N169="",0,VLOOKUP(N169,'Dados de consulta'!$H$2:$I$25,2,0))</f>
        <v>0</v>
      </c>
      <c r="AO169">
        <f>IF(O169="",0,VLOOKUP(O169,'Dados de consulta'!$H$2:$I$25,2,0))</f>
        <v>0</v>
      </c>
      <c r="AP169">
        <f>IF(P169="",0,VLOOKUP(P169,'Dados de consulta'!$H$2:$I$25,2,0))</f>
        <v>0</v>
      </c>
      <c r="AQ169">
        <f>IF(Q169="",0,VLOOKUP(Q169,'Dados de consulta'!$H$2:$I$25,2,0))</f>
        <v>0</v>
      </c>
      <c r="AR169">
        <f>IF(R169="",0,VLOOKUP(R169,'Dados de consulta'!$H$2:$I$25,2,0))</f>
        <v>0</v>
      </c>
      <c r="AS169">
        <f>IF(S169="",0,VLOOKUP(S169,'Dados de consulta'!$H$2:$I$25,2,0))</f>
        <v>0</v>
      </c>
      <c r="AT169">
        <f>IF(T169="",0,VLOOKUP(T169,'Dados de consulta'!$H$2:$I$25,2,0))</f>
        <v>0</v>
      </c>
      <c r="AU169">
        <f>IF(U169="",0,VLOOKUP(U169,'Dados de consulta'!$H$2:$I$25,2,0))</f>
        <v>0</v>
      </c>
      <c r="AV169">
        <f>IF(V169="",0,VLOOKUP(V169,'Dados de consulta'!$H$2:$I$25,2,0))</f>
        <v>0</v>
      </c>
      <c r="AW169">
        <f t="shared" si="20"/>
        <v>0</v>
      </c>
      <c r="AX169">
        <f t="shared" si="21"/>
        <v>0</v>
      </c>
      <c r="AY169">
        <f t="shared" si="22"/>
        <v>0</v>
      </c>
    </row>
    <row r="170" spans="1:51" hidden="1" x14ac:dyDescent="0.2">
      <c r="A170" s="202">
        <v>42427</v>
      </c>
      <c r="B170" s="78" t="s">
        <v>281</v>
      </c>
      <c r="F170" s="78" t="s">
        <v>234</v>
      </c>
      <c r="I170" s="78" t="s">
        <v>219</v>
      </c>
      <c r="J170" s="78" t="s">
        <v>219</v>
      </c>
      <c r="K170" s="78" t="s">
        <v>224</v>
      </c>
      <c r="L170" s="78" t="s">
        <v>219</v>
      </c>
      <c r="N170" s="78" t="s">
        <v>219</v>
      </c>
      <c r="P170" s="78" t="s">
        <v>234</v>
      </c>
      <c r="W170">
        <f t="shared" si="14"/>
        <v>32</v>
      </c>
      <c r="X170">
        <f t="shared" si="15"/>
        <v>12</v>
      </c>
      <c r="Y170">
        <f t="shared" si="16"/>
        <v>0</v>
      </c>
      <c r="AA170" s="202">
        <v>42427</v>
      </c>
      <c r="AB170" s="78" t="s">
        <v>281</v>
      </c>
      <c r="AC170">
        <f>IF(C170="",0,VLOOKUP(C170,'Dados de consulta'!$H$2:$I$25,2,0))</f>
        <v>0</v>
      </c>
      <c r="AD170">
        <f>IF(D170="",0,VLOOKUP(D170,'Dados de consulta'!$H$2:$I$25,2,0))</f>
        <v>0</v>
      </c>
      <c r="AE170">
        <f>IF(E170="",0,VLOOKUP(E170,'Dados de consulta'!$H$2:$I$25,2,0))</f>
        <v>0</v>
      </c>
      <c r="AF170">
        <f>IF(F170="",0,VLOOKUP(F170,'Dados de consulta'!$H$2:$I$25,2,0))</f>
        <v>16</v>
      </c>
      <c r="AG170">
        <f>IF(G170="",0,VLOOKUP(G170,'Dados de consulta'!$H$2:$I$25,2,0))</f>
        <v>0</v>
      </c>
      <c r="AH170">
        <f>IF(H170="",0,VLOOKUP(H170,'Dados de consulta'!$H$2:$I$25,2,0))</f>
        <v>0</v>
      </c>
      <c r="AI170">
        <f>IF(I170="",0,VLOOKUP(I170,'Dados de consulta'!$H$2:$I$25,2,0))</f>
        <v>6</v>
      </c>
      <c r="AJ170">
        <f>IF(J170="",0,VLOOKUP(J170,'Dados de consulta'!$H$2:$I$25,2,0))</f>
        <v>6</v>
      </c>
      <c r="AK170">
        <f>IF(K170="",0,VLOOKUP(K170,'Dados de consulta'!$H$2:$I$25,2,0))</f>
        <v>8</v>
      </c>
      <c r="AL170">
        <f>IF(L170="",0,VLOOKUP(L170,'Dados de consulta'!$H$2:$I$25,2,0))</f>
        <v>6</v>
      </c>
      <c r="AM170">
        <f>IF(M170="",0,VLOOKUP(M170,'Dados de consulta'!$H$2:$I$25,2,0))</f>
        <v>0</v>
      </c>
      <c r="AN170">
        <f>IF(N170="",0,VLOOKUP(N170,'Dados de consulta'!$H$2:$I$25,2,0))</f>
        <v>6</v>
      </c>
      <c r="AO170">
        <f>IF(O170="",0,VLOOKUP(O170,'Dados de consulta'!$H$2:$I$25,2,0))</f>
        <v>0</v>
      </c>
      <c r="AP170">
        <f>IF(P170="",0,VLOOKUP(P170,'Dados de consulta'!$H$2:$I$25,2,0))</f>
        <v>16</v>
      </c>
      <c r="AQ170">
        <f>IF(Q170="",0,VLOOKUP(Q170,'Dados de consulta'!$H$2:$I$25,2,0))</f>
        <v>0</v>
      </c>
      <c r="AR170">
        <f>IF(R170="",0,VLOOKUP(R170,'Dados de consulta'!$H$2:$I$25,2,0))</f>
        <v>0</v>
      </c>
      <c r="AS170">
        <f>IF(S170="",0,VLOOKUP(S170,'Dados de consulta'!$H$2:$I$25,2,0))</f>
        <v>0</v>
      </c>
      <c r="AT170">
        <f>IF(T170="",0,VLOOKUP(T170,'Dados de consulta'!$H$2:$I$25,2,0))</f>
        <v>0</v>
      </c>
      <c r="AU170">
        <f>IF(U170="",0,VLOOKUP(U170,'Dados de consulta'!$H$2:$I$25,2,0))</f>
        <v>0</v>
      </c>
      <c r="AV170">
        <f>IF(V170="",0,VLOOKUP(V170,'Dados de consulta'!$H$2:$I$25,2,0))</f>
        <v>0</v>
      </c>
      <c r="AW170">
        <f t="shared" si="20"/>
        <v>32</v>
      </c>
      <c r="AX170">
        <f t="shared" si="21"/>
        <v>12</v>
      </c>
      <c r="AY170">
        <f t="shared" si="22"/>
        <v>0</v>
      </c>
    </row>
    <row r="171" spans="1:51" hidden="1" x14ac:dyDescent="0.2">
      <c r="A171" s="202">
        <v>42428</v>
      </c>
      <c r="B171" s="78" t="s">
        <v>282</v>
      </c>
      <c r="W171">
        <f t="shared" si="14"/>
        <v>0</v>
      </c>
      <c r="X171">
        <f t="shared" si="15"/>
        <v>0</v>
      </c>
      <c r="Y171">
        <f t="shared" si="16"/>
        <v>0</v>
      </c>
      <c r="AA171" s="202">
        <v>42428</v>
      </c>
      <c r="AB171" s="78" t="s">
        <v>282</v>
      </c>
      <c r="AC171">
        <f>IF(C171="",0,VLOOKUP(C171,'Dados de consulta'!$H$2:$I$25,2,0))</f>
        <v>0</v>
      </c>
      <c r="AD171">
        <f>IF(D171="",0,VLOOKUP(D171,'Dados de consulta'!$H$2:$I$25,2,0))</f>
        <v>0</v>
      </c>
      <c r="AE171">
        <f>IF(E171="",0,VLOOKUP(E171,'Dados de consulta'!$H$2:$I$25,2,0))</f>
        <v>0</v>
      </c>
      <c r="AF171">
        <f>IF(F171="",0,VLOOKUP(F171,'Dados de consulta'!$H$2:$I$25,2,0))</f>
        <v>0</v>
      </c>
      <c r="AG171">
        <f>IF(G171="",0,VLOOKUP(G171,'Dados de consulta'!$H$2:$I$25,2,0))</f>
        <v>0</v>
      </c>
      <c r="AH171">
        <f>IF(H171="",0,VLOOKUP(H171,'Dados de consulta'!$H$2:$I$25,2,0))</f>
        <v>0</v>
      </c>
      <c r="AI171">
        <f>IF(I171="",0,VLOOKUP(I171,'Dados de consulta'!$H$2:$I$25,2,0))</f>
        <v>0</v>
      </c>
      <c r="AJ171">
        <f>IF(J171="",0,VLOOKUP(J171,'Dados de consulta'!$H$2:$I$25,2,0))</f>
        <v>0</v>
      </c>
      <c r="AK171">
        <f>IF(K171="",0,VLOOKUP(K171,'Dados de consulta'!$H$2:$I$25,2,0))</f>
        <v>0</v>
      </c>
      <c r="AL171">
        <f>IF(L171="",0,VLOOKUP(L171,'Dados de consulta'!$H$2:$I$25,2,0))</f>
        <v>0</v>
      </c>
      <c r="AM171">
        <f>IF(M171="",0,VLOOKUP(M171,'Dados de consulta'!$H$2:$I$25,2,0))</f>
        <v>0</v>
      </c>
      <c r="AN171">
        <f>IF(N171="",0,VLOOKUP(N171,'Dados de consulta'!$H$2:$I$25,2,0))</f>
        <v>0</v>
      </c>
      <c r="AO171">
        <f>IF(O171="",0,VLOOKUP(O171,'Dados de consulta'!$H$2:$I$25,2,0))</f>
        <v>0</v>
      </c>
      <c r="AP171">
        <f>IF(P171="",0,VLOOKUP(P171,'Dados de consulta'!$H$2:$I$25,2,0))</f>
        <v>0</v>
      </c>
      <c r="AQ171">
        <f>IF(Q171="",0,VLOOKUP(Q171,'Dados de consulta'!$H$2:$I$25,2,0))</f>
        <v>0</v>
      </c>
      <c r="AR171">
        <f>IF(R171="",0,VLOOKUP(R171,'Dados de consulta'!$H$2:$I$25,2,0))</f>
        <v>0</v>
      </c>
      <c r="AS171">
        <f>IF(S171="",0,VLOOKUP(S171,'Dados de consulta'!$H$2:$I$25,2,0))</f>
        <v>0</v>
      </c>
      <c r="AT171">
        <f>IF(T171="",0,VLOOKUP(T171,'Dados de consulta'!$H$2:$I$25,2,0))</f>
        <v>0</v>
      </c>
      <c r="AU171">
        <f>IF(U171="",0,VLOOKUP(U171,'Dados de consulta'!$H$2:$I$25,2,0))</f>
        <v>0</v>
      </c>
      <c r="AV171">
        <f>IF(V171="",0,VLOOKUP(V171,'Dados de consulta'!$H$2:$I$25,2,0))</f>
        <v>0</v>
      </c>
      <c r="AW171">
        <f t="shared" si="20"/>
        <v>0</v>
      </c>
      <c r="AX171">
        <f t="shared" si="21"/>
        <v>0</v>
      </c>
      <c r="AY171">
        <f t="shared" si="22"/>
        <v>0</v>
      </c>
    </row>
    <row r="172" spans="1:51" hidden="1" x14ac:dyDescent="0.2">
      <c r="A172" s="202">
        <v>42429</v>
      </c>
      <c r="B172" s="78" t="s">
        <v>283</v>
      </c>
      <c r="W172">
        <f t="shared" si="14"/>
        <v>0</v>
      </c>
      <c r="X172">
        <f t="shared" si="15"/>
        <v>0</v>
      </c>
      <c r="Y172">
        <f t="shared" si="16"/>
        <v>0</v>
      </c>
      <c r="AA172" s="202">
        <v>42429</v>
      </c>
      <c r="AB172" s="78" t="s">
        <v>283</v>
      </c>
      <c r="AC172">
        <f>IF(C172="",0,VLOOKUP(C172,'Dados de consulta'!$H$2:$I$25,2,0))</f>
        <v>0</v>
      </c>
      <c r="AD172">
        <f>IF(D172="",0,VLOOKUP(D172,'Dados de consulta'!$H$2:$I$25,2,0))</f>
        <v>0</v>
      </c>
      <c r="AE172">
        <f>IF(E172="",0,VLOOKUP(E172,'Dados de consulta'!$H$2:$I$25,2,0))</f>
        <v>0</v>
      </c>
      <c r="AF172">
        <f>IF(F172="",0,VLOOKUP(F172,'Dados de consulta'!$H$2:$I$25,2,0))</f>
        <v>0</v>
      </c>
      <c r="AG172">
        <f>IF(G172="",0,VLOOKUP(G172,'Dados de consulta'!$H$2:$I$25,2,0))</f>
        <v>0</v>
      </c>
      <c r="AH172">
        <f>IF(H172="",0,VLOOKUP(H172,'Dados de consulta'!$H$2:$I$25,2,0))</f>
        <v>0</v>
      </c>
      <c r="AI172">
        <f>IF(I172="",0,VLOOKUP(I172,'Dados de consulta'!$H$2:$I$25,2,0))</f>
        <v>0</v>
      </c>
      <c r="AJ172">
        <f>IF(J172="",0,VLOOKUP(J172,'Dados de consulta'!$H$2:$I$25,2,0))</f>
        <v>0</v>
      </c>
      <c r="AK172">
        <f>IF(K172="",0,VLOOKUP(K172,'Dados de consulta'!$H$2:$I$25,2,0))</f>
        <v>0</v>
      </c>
      <c r="AL172">
        <f>IF(L172="",0,VLOOKUP(L172,'Dados de consulta'!$H$2:$I$25,2,0))</f>
        <v>0</v>
      </c>
      <c r="AM172">
        <f>IF(M172="",0,VLOOKUP(M172,'Dados de consulta'!$H$2:$I$25,2,0))</f>
        <v>0</v>
      </c>
      <c r="AN172">
        <f>IF(N172="",0,VLOOKUP(N172,'Dados de consulta'!$H$2:$I$25,2,0))</f>
        <v>0</v>
      </c>
      <c r="AO172">
        <f>IF(O172="",0,VLOOKUP(O172,'Dados de consulta'!$H$2:$I$25,2,0))</f>
        <v>0</v>
      </c>
      <c r="AP172">
        <f>IF(P172="",0,VLOOKUP(P172,'Dados de consulta'!$H$2:$I$25,2,0))</f>
        <v>0</v>
      </c>
      <c r="AQ172">
        <f>IF(Q172="",0,VLOOKUP(Q172,'Dados de consulta'!$H$2:$I$25,2,0))</f>
        <v>0</v>
      </c>
      <c r="AR172">
        <f>IF(R172="",0,VLOOKUP(R172,'Dados de consulta'!$H$2:$I$25,2,0))</f>
        <v>0</v>
      </c>
      <c r="AS172">
        <f>IF(S172="",0,VLOOKUP(S172,'Dados de consulta'!$H$2:$I$25,2,0))</f>
        <v>0</v>
      </c>
      <c r="AT172">
        <f>IF(T172="",0,VLOOKUP(T172,'Dados de consulta'!$H$2:$I$25,2,0))</f>
        <v>0</v>
      </c>
      <c r="AU172">
        <f>IF(U172="",0,VLOOKUP(U172,'Dados de consulta'!$H$2:$I$25,2,0))</f>
        <v>0</v>
      </c>
      <c r="AV172">
        <f>IF(V172="",0,VLOOKUP(V172,'Dados de consulta'!$H$2:$I$25,2,0))</f>
        <v>0</v>
      </c>
      <c r="AW172">
        <f t="shared" si="20"/>
        <v>0</v>
      </c>
      <c r="AX172">
        <f t="shared" si="21"/>
        <v>0</v>
      </c>
      <c r="AY172">
        <f t="shared" si="22"/>
        <v>0</v>
      </c>
    </row>
    <row r="173" spans="1:51" hidden="1" x14ac:dyDescent="0.2">
      <c r="A173" s="202">
        <v>42430</v>
      </c>
      <c r="B173" s="78" t="s">
        <v>284</v>
      </c>
      <c r="W173">
        <f t="shared" si="14"/>
        <v>0</v>
      </c>
      <c r="X173">
        <f t="shared" si="15"/>
        <v>0</v>
      </c>
      <c r="Y173">
        <f t="shared" si="16"/>
        <v>0</v>
      </c>
      <c r="AA173" s="202">
        <v>42430</v>
      </c>
      <c r="AB173" s="78" t="s">
        <v>284</v>
      </c>
      <c r="AC173">
        <f>IF(C173="",0,VLOOKUP(C173,'Dados de consulta'!$H$2:$I$25,2,0))</f>
        <v>0</v>
      </c>
      <c r="AD173">
        <f>IF(D173="",0,VLOOKUP(D173,'Dados de consulta'!$H$2:$I$25,2,0))</f>
        <v>0</v>
      </c>
      <c r="AE173">
        <f>IF(E173="",0,VLOOKUP(E173,'Dados de consulta'!$H$2:$I$25,2,0))</f>
        <v>0</v>
      </c>
      <c r="AF173">
        <f>IF(F173="",0,VLOOKUP(F173,'Dados de consulta'!$H$2:$I$25,2,0))</f>
        <v>0</v>
      </c>
      <c r="AG173">
        <f>IF(G173="",0,VLOOKUP(G173,'Dados de consulta'!$H$2:$I$25,2,0))</f>
        <v>0</v>
      </c>
      <c r="AH173">
        <f>IF(H173="",0,VLOOKUP(H173,'Dados de consulta'!$H$2:$I$25,2,0))</f>
        <v>0</v>
      </c>
      <c r="AI173">
        <f>IF(I173="",0,VLOOKUP(I173,'Dados de consulta'!$H$2:$I$25,2,0))</f>
        <v>0</v>
      </c>
      <c r="AJ173">
        <f>IF(J173="",0,VLOOKUP(J173,'Dados de consulta'!$H$2:$I$25,2,0))</f>
        <v>0</v>
      </c>
      <c r="AK173">
        <f>IF(K173="",0,VLOOKUP(K173,'Dados de consulta'!$H$2:$I$25,2,0))</f>
        <v>0</v>
      </c>
      <c r="AL173">
        <f>IF(L173="",0,VLOOKUP(L173,'Dados de consulta'!$H$2:$I$25,2,0))</f>
        <v>0</v>
      </c>
      <c r="AM173">
        <f>IF(M173="",0,VLOOKUP(M173,'Dados de consulta'!$H$2:$I$25,2,0))</f>
        <v>0</v>
      </c>
      <c r="AN173">
        <f>IF(N173="",0,VLOOKUP(N173,'Dados de consulta'!$H$2:$I$25,2,0))</f>
        <v>0</v>
      </c>
      <c r="AO173">
        <f>IF(O173="",0,VLOOKUP(O173,'Dados de consulta'!$H$2:$I$25,2,0))</f>
        <v>0</v>
      </c>
      <c r="AP173">
        <f>IF(P173="",0,VLOOKUP(P173,'Dados de consulta'!$H$2:$I$25,2,0))</f>
        <v>0</v>
      </c>
      <c r="AQ173">
        <f>IF(Q173="",0,VLOOKUP(Q173,'Dados de consulta'!$H$2:$I$25,2,0))</f>
        <v>0</v>
      </c>
      <c r="AR173">
        <f>IF(R173="",0,VLOOKUP(R173,'Dados de consulta'!$H$2:$I$25,2,0))</f>
        <v>0</v>
      </c>
      <c r="AS173">
        <f>IF(S173="",0,VLOOKUP(S173,'Dados de consulta'!$H$2:$I$25,2,0))</f>
        <v>0</v>
      </c>
      <c r="AT173">
        <f>IF(T173="",0,VLOOKUP(T173,'Dados de consulta'!$H$2:$I$25,2,0))</f>
        <v>0</v>
      </c>
      <c r="AU173">
        <f>IF(U173="",0,VLOOKUP(U173,'Dados de consulta'!$H$2:$I$25,2,0))</f>
        <v>0</v>
      </c>
      <c r="AV173">
        <f>IF(V173="",0,VLOOKUP(V173,'Dados de consulta'!$H$2:$I$25,2,0))</f>
        <v>0</v>
      </c>
      <c r="AW173">
        <f t="shared" si="20"/>
        <v>0</v>
      </c>
      <c r="AX173">
        <f t="shared" si="21"/>
        <v>0</v>
      </c>
      <c r="AY173">
        <f t="shared" si="22"/>
        <v>0</v>
      </c>
    </row>
    <row r="174" spans="1:51" hidden="1" x14ac:dyDescent="0.2">
      <c r="A174" s="202">
        <v>42431</v>
      </c>
      <c r="B174" s="78" t="s">
        <v>285</v>
      </c>
      <c r="W174">
        <f t="shared" si="14"/>
        <v>0</v>
      </c>
      <c r="X174">
        <f t="shared" si="15"/>
        <v>0</v>
      </c>
      <c r="Y174">
        <f t="shared" si="16"/>
        <v>0</v>
      </c>
      <c r="AA174" s="202">
        <v>42431</v>
      </c>
      <c r="AB174" s="78" t="s">
        <v>285</v>
      </c>
      <c r="AC174">
        <f>IF(C174="",0,VLOOKUP(C174,'Dados de consulta'!$H$2:$I$25,2,0))</f>
        <v>0</v>
      </c>
      <c r="AD174">
        <f>IF(D174="",0,VLOOKUP(D174,'Dados de consulta'!$H$2:$I$25,2,0))</f>
        <v>0</v>
      </c>
      <c r="AE174">
        <f>IF(E174="",0,VLOOKUP(E174,'Dados de consulta'!$H$2:$I$25,2,0))</f>
        <v>0</v>
      </c>
      <c r="AF174">
        <f>IF(F174="",0,VLOOKUP(F174,'Dados de consulta'!$H$2:$I$25,2,0))</f>
        <v>0</v>
      </c>
      <c r="AG174">
        <f>IF(G174="",0,VLOOKUP(G174,'Dados de consulta'!$H$2:$I$25,2,0))</f>
        <v>0</v>
      </c>
      <c r="AH174">
        <f>IF(H174="",0,VLOOKUP(H174,'Dados de consulta'!$H$2:$I$25,2,0))</f>
        <v>0</v>
      </c>
      <c r="AI174">
        <f>IF(I174="",0,VLOOKUP(I174,'Dados de consulta'!$H$2:$I$25,2,0))</f>
        <v>0</v>
      </c>
      <c r="AJ174">
        <f>IF(J174="",0,VLOOKUP(J174,'Dados de consulta'!$H$2:$I$25,2,0))</f>
        <v>0</v>
      </c>
      <c r="AK174">
        <f>IF(K174="",0,VLOOKUP(K174,'Dados de consulta'!$H$2:$I$25,2,0))</f>
        <v>0</v>
      </c>
      <c r="AL174">
        <f>IF(L174="",0,VLOOKUP(L174,'Dados de consulta'!$H$2:$I$25,2,0))</f>
        <v>0</v>
      </c>
      <c r="AM174">
        <f>IF(M174="",0,VLOOKUP(M174,'Dados de consulta'!$H$2:$I$25,2,0))</f>
        <v>0</v>
      </c>
      <c r="AN174">
        <f>IF(N174="",0,VLOOKUP(N174,'Dados de consulta'!$H$2:$I$25,2,0))</f>
        <v>0</v>
      </c>
      <c r="AO174">
        <f>IF(O174="",0,VLOOKUP(O174,'Dados de consulta'!$H$2:$I$25,2,0))</f>
        <v>0</v>
      </c>
      <c r="AP174">
        <f>IF(P174="",0,VLOOKUP(P174,'Dados de consulta'!$H$2:$I$25,2,0))</f>
        <v>0</v>
      </c>
      <c r="AQ174">
        <f>IF(Q174="",0,VLOOKUP(Q174,'Dados de consulta'!$H$2:$I$25,2,0))</f>
        <v>0</v>
      </c>
      <c r="AR174">
        <f>IF(R174="",0,VLOOKUP(R174,'Dados de consulta'!$H$2:$I$25,2,0))</f>
        <v>0</v>
      </c>
      <c r="AS174">
        <f>IF(S174="",0,VLOOKUP(S174,'Dados de consulta'!$H$2:$I$25,2,0))</f>
        <v>0</v>
      </c>
      <c r="AT174">
        <f>IF(T174="",0,VLOOKUP(T174,'Dados de consulta'!$H$2:$I$25,2,0))</f>
        <v>0</v>
      </c>
      <c r="AU174">
        <f>IF(U174="",0,VLOOKUP(U174,'Dados de consulta'!$H$2:$I$25,2,0))</f>
        <v>0</v>
      </c>
      <c r="AV174">
        <f>IF(V174="",0,VLOOKUP(V174,'Dados de consulta'!$H$2:$I$25,2,0))</f>
        <v>0</v>
      </c>
      <c r="AW174">
        <f t="shared" si="20"/>
        <v>0</v>
      </c>
      <c r="AX174">
        <f t="shared" si="21"/>
        <v>0</v>
      </c>
      <c r="AY174">
        <f t="shared" si="22"/>
        <v>0</v>
      </c>
    </row>
    <row r="175" spans="1:51" hidden="1" x14ac:dyDescent="0.2">
      <c r="A175" s="202">
        <v>42432</v>
      </c>
      <c r="B175" s="78" t="s">
        <v>286</v>
      </c>
      <c r="W175">
        <f t="shared" si="14"/>
        <v>0</v>
      </c>
      <c r="X175">
        <f t="shared" si="15"/>
        <v>0</v>
      </c>
      <c r="Y175">
        <f t="shared" si="16"/>
        <v>0</v>
      </c>
      <c r="AA175" s="202">
        <v>42432</v>
      </c>
      <c r="AB175" s="78" t="s">
        <v>286</v>
      </c>
      <c r="AC175">
        <f>IF(C175="",0,VLOOKUP(C175,'Dados de consulta'!$H$2:$I$25,2,0))</f>
        <v>0</v>
      </c>
      <c r="AD175">
        <f>IF(D175="",0,VLOOKUP(D175,'Dados de consulta'!$H$2:$I$25,2,0))</f>
        <v>0</v>
      </c>
      <c r="AE175">
        <f>IF(E175="",0,VLOOKUP(E175,'Dados de consulta'!$H$2:$I$25,2,0))</f>
        <v>0</v>
      </c>
      <c r="AF175">
        <f>IF(F175="",0,VLOOKUP(F175,'Dados de consulta'!$H$2:$I$25,2,0))</f>
        <v>0</v>
      </c>
      <c r="AG175">
        <f>IF(G175="",0,VLOOKUP(G175,'Dados de consulta'!$H$2:$I$25,2,0))</f>
        <v>0</v>
      </c>
      <c r="AH175">
        <f>IF(H175="",0,VLOOKUP(H175,'Dados de consulta'!$H$2:$I$25,2,0))</f>
        <v>0</v>
      </c>
      <c r="AI175">
        <f>IF(I175="",0,VLOOKUP(I175,'Dados de consulta'!$H$2:$I$25,2,0))</f>
        <v>0</v>
      </c>
      <c r="AJ175">
        <f>IF(J175="",0,VLOOKUP(J175,'Dados de consulta'!$H$2:$I$25,2,0))</f>
        <v>0</v>
      </c>
      <c r="AK175">
        <f>IF(K175="",0,VLOOKUP(K175,'Dados de consulta'!$H$2:$I$25,2,0))</f>
        <v>0</v>
      </c>
      <c r="AL175">
        <f>IF(L175="",0,VLOOKUP(L175,'Dados de consulta'!$H$2:$I$25,2,0))</f>
        <v>0</v>
      </c>
      <c r="AM175">
        <f>IF(M175="",0,VLOOKUP(M175,'Dados de consulta'!$H$2:$I$25,2,0))</f>
        <v>0</v>
      </c>
      <c r="AN175">
        <f>IF(N175="",0,VLOOKUP(N175,'Dados de consulta'!$H$2:$I$25,2,0))</f>
        <v>0</v>
      </c>
      <c r="AO175">
        <f>IF(O175="",0,VLOOKUP(O175,'Dados de consulta'!$H$2:$I$25,2,0))</f>
        <v>0</v>
      </c>
      <c r="AP175">
        <f>IF(P175="",0,VLOOKUP(P175,'Dados de consulta'!$H$2:$I$25,2,0))</f>
        <v>0</v>
      </c>
      <c r="AQ175">
        <f>IF(Q175="",0,VLOOKUP(Q175,'Dados de consulta'!$H$2:$I$25,2,0))</f>
        <v>0</v>
      </c>
      <c r="AR175">
        <f>IF(R175="",0,VLOOKUP(R175,'Dados de consulta'!$H$2:$I$25,2,0))</f>
        <v>0</v>
      </c>
      <c r="AS175">
        <f>IF(S175="",0,VLOOKUP(S175,'Dados de consulta'!$H$2:$I$25,2,0))</f>
        <v>0</v>
      </c>
      <c r="AT175">
        <f>IF(T175="",0,VLOOKUP(T175,'Dados de consulta'!$H$2:$I$25,2,0))</f>
        <v>0</v>
      </c>
      <c r="AU175">
        <f>IF(U175="",0,VLOOKUP(U175,'Dados de consulta'!$H$2:$I$25,2,0))</f>
        <v>0</v>
      </c>
      <c r="AV175">
        <f>IF(V175="",0,VLOOKUP(V175,'Dados de consulta'!$H$2:$I$25,2,0))</f>
        <v>0</v>
      </c>
      <c r="AW175">
        <f t="shared" si="20"/>
        <v>0</v>
      </c>
      <c r="AX175">
        <f t="shared" si="21"/>
        <v>0</v>
      </c>
      <c r="AY175">
        <f t="shared" si="22"/>
        <v>0</v>
      </c>
    </row>
    <row r="176" spans="1:51" hidden="1" x14ac:dyDescent="0.2">
      <c r="A176" s="202">
        <v>42433</v>
      </c>
      <c r="B176" s="78" t="s">
        <v>287</v>
      </c>
      <c r="W176">
        <f t="shared" si="14"/>
        <v>0</v>
      </c>
      <c r="X176">
        <f t="shared" si="15"/>
        <v>0</v>
      </c>
      <c r="Y176">
        <f t="shared" si="16"/>
        <v>0</v>
      </c>
      <c r="AA176" s="202">
        <v>42433</v>
      </c>
      <c r="AB176" s="78" t="s">
        <v>287</v>
      </c>
      <c r="AC176">
        <f>IF(C176="",0,VLOOKUP(C176,'Dados de consulta'!$H$2:$I$25,2,0))</f>
        <v>0</v>
      </c>
      <c r="AD176">
        <f>IF(D176="",0,VLOOKUP(D176,'Dados de consulta'!$H$2:$I$25,2,0))</f>
        <v>0</v>
      </c>
      <c r="AE176">
        <f>IF(E176="",0,VLOOKUP(E176,'Dados de consulta'!$H$2:$I$25,2,0))</f>
        <v>0</v>
      </c>
      <c r="AF176">
        <f>IF(F176="",0,VLOOKUP(F176,'Dados de consulta'!$H$2:$I$25,2,0))</f>
        <v>0</v>
      </c>
      <c r="AG176">
        <f>IF(G176="",0,VLOOKUP(G176,'Dados de consulta'!$H$2:$I$25,2,0))</f>
        <v>0</v>
      </c>
      <c r="AH176">
        <f>IF(H176="",0,VLOOKUP(H176,'Dados de consulta'!$H$2:$I$25,2,0))</f>
        <v>0</v>
      </c>
      <c r="AI176">
        <f>IF(I176="",0,VLOOKUP(I176,'Dados de consulta'!$H$2:$I$25,2,0))</f>
        <v>0</v>
      </c>
      <c r="AJ176">
        <f>IF(J176="",0,VLOOKUP(J176,'Dados de consulta'!$H$2:$I$25,2,0))</f>
        <v>0</v>
      </c>
      <c r="AK176">
        <f>IF(K176="",0,VLOOKUP(K176,'Dados de consulta'!$H$2:$I$25,2,0))</f>
        <v>0</v>
      </c>
      <c r="AL176">
        <f>IF(L176="",0,VLOOKUP(L176,'Dados de consulta'!$H$2:$I$25,2,0))</f>
        <v>0</v>
      </c>
      <c r="AM176">
        <f>IF(M176="",0,VLOOKUP(M176,'Dados de consulta'!$H$2:$I$25,2,0))</f>
        <v>0</v>
      </c>
      <c r="AN176">
        <f>IF(N176="",0,VLOOKUP(N176,'Dados de consulta'!$H$2:$I$25,2,0))</f>
        <v>0</v>
      </c>
      <c r="AO176">
        <f>IF(O176="",0,VLOOKUP(O176,'Dados de consulta'!$H$2:$I$25,2,0))</f>
        <v>0</v>
      </c>
      <c r="AP176">
        <f>IF(P176="",0,VLOOKUP(P176,'Dados de consulta'!$H$2:$I$25,2,0))</f>
        <v>0</v>
      </c>
      <c r="AQ176">
        <f>IF(Q176="",0,VLOOKUP(Q176,'Dados de consulta'!$H$2:$I$25,2,0))</f>
        <v>0</v>
      </c>
      <c r="AR176">
        <f>IF(R176="",0,VLOOKUP(R176,'Dados de consulta'!$H$2:$I$25,2,0))</f>
        <v>0</v>
      </c>
      <c r="AS176">
        <f>IF(S176="",0,VLOOKUP(S176,'Dados de consulta'!$H$2:$I$25,2,0))</f>
        <v>0</v>
      </c>
      <c r="AT176">
        <f>IF(T176="",0,VLOOKUP(T176,'Dados de consulta'!$H$2:$I$25,2,0))</f>
        <v>0</v>
      </c>
      <c r="AU176">
        <f>IF(U176="",0,VLOOKUP(U176,'Dados de consulta'!$H$2:$I$25,2,0))</f>
        <v>0</v>
      </c>
      <c r="AV176">
        <f>IF(V176="",0,VLOOKUP(V176,'Dados de consulta'!$H$2:$I$25,2,0))</f>
        <v>0</v>
      </c>
      <c r="AW176">
        <f t="shared" si="20"/>
        <v>0</v>
      </c>
      <c r="AX176">
        <f t="shared" si="21"/>
        <v>0</v>
      </c>
      <c r="AY176">
        <f t="shared" si="22"/>
        <v>0</v>
      </c>
    </row>
    <row r="177" spans="1:51" hidden="1" x14ac:dyDescent="0.2">
      <c r="A177" s="202">
        <v>42434</v>
      </c>
      <c r="B177" s="78" t="s">
        <v>281</v>
      </c>
      <c r="C177" s="78" t="s">
        <v>219</v>
      </c>
      <c r="F177" s="78" t="s">
        <v>234</v>
      </c>
      <c r="I177" s="78" t="s">
        <v>219</v>
      </c>
      <c r="L177" s="78" t="s">
        <v>219</v>
      </c>
      <c r="N177" s="78" t="s">
        <v>219</v>
      </c>
      <c r="W177">
        <f t="shared" si="14"/>
        <v>24</v>
      </c>
      <c r="X177">
        <f t="shared" si="15"/>
        <v>6</v>
      </c>
      <c r="Y177">
        <f t="shared" si="16"/>
        <v>0</v>
      </c>
      <c r="AA177" s="202">
        <v>42434</v>
      </c>
      <c r="AB177" s="78" t="s">
        <v>281</v>
      </c>
      <c r="AC177">
        <f>IF(C177="",0,VLOOKUP(C177,'Dados de consulta'!$H$2:$I$25,2,0))</f>
        <v>6</v>
      </c>
      <c r="AD177">
        <f>IF(D177="",0,VLOOKUP(D177,'Dados de consulta'!$H$2:$I$25,2,0))</f>
        <v>0</v>
      </c>
      <c r="AE177">
        <f>IF(E177="",0,VLOOKUP(E177,'Dados de consulta'!$H$2:$I$25,2,0))</f>
        <v>0</v>
      </c>
      <c r="AF177">
        <f>IF(F177="",0,VLOOKUP(F177,'Dados de consulta'!$H$2:$I$25,2,0))</f>
        <v>16</v>
      </c>
      <c r="AG177">
        <f>IF(G177="",0,VLOOKUP(G177,'Dados de consulta'!$H$2:$I$25,2,0))</f>
        <v>0</v>
      </c>
      <c r="AH177">
        <f>IF(H177="",0,VLOOKUP(H177,'Dados de consulta'!$H$2:$I$25,2,0))</f>
        <v>0</v>
      </c>
      <c r="AI177">
        <f>IF(I177="",0,VLOOKUP(I177,'Dados de consulta'!$H$2:$I$25,2,0))</f>
        <v>6</v>
      </c>
      <c r="AJ177">
        <f>IF(J177="",0,VLOOKUP(J177,'Dados de consulta'!$H$2:$I$25,2,0))</f>
        <v>0</v>
      </c>
      <c r="AK177">
        <f>IF(K177="",0,VLOOKUP(K177,'Dados de consulta'!$H$2:$I$25,2,0))</f>
        <v>0</v>
      </c>
      <c r="AL177">
        <f>IF(L177="",0,VLOOKUP(L177,'Dados de consulta'!$H$2:$I$25,2,0))</f>
        <v>6</v>
      </c>
      <c r="AM177">
        <f>IF(M177="",0,VLOOKUP(M177,'Dados de consulta'!$H$2:$I$25,2,0))</f>
        <v>0</v>
      </c>
      <c r="AN177">
        <f>IF(N177="",0,VLOOKUP(N177,'Dados de consulta'!$H$2:$I$25,2,0))</f>
        <v>6</v>
      </c>
      <c r="AO177">
        <f>IF(O177="",0,VLOOKUP(O177,'Dados de consulta'!$H$2:$I$25,2,0))</f>
        <v>0</v>
      </c>
      <c r="AP177">
        <f>IF(P177="",0,VLOOKUP(P177,'Dados de consulta'!$H$2:$I$25,2,0))</f>
        <v>0</v>
      </c>
      <c r="AQ177">
        <f>IF(Q177="",0,VLOOKUP(Q177,'Dados de consulta'!$H$2:$I$25,2,0))</f>
        <v>0</v>
      </c>
      <c r="AR177">
        <f>IF(R177="",0,VLOOKUP(R177,'Dados de consulta'!$H$2:$I$25,2,0))</f>
        <v>0</v>
      </c>
      <c r="AS177">
        <f>IF(S177="",0,VLOOKUP(S177,'Dados de consulta'!$H$2:$I$25,2,0))</f>
        <v>0</v>
      </c>
      <c r="AT177">
        <f>IF(T177="",0,VLOOKUP(T177,'Dados de consulta'!$H$2:$I$25,2,0))</f>
        <v>0</v>
      </c>
      <c r="AU177">
        <f>IF(U177="",0,VLOOKUP(U177,'Dados de consulta'!$H$2:$I$25,2,0))</f>
        <v>0</v>
      </c>
      <c r="AV177">
        <f>IF(V177="",0,VLOOKUP(V177,'Dados de consulta'!$H$2:$I$25,2,0))</f>
        <v>0</v>
      </c>
      <c r="AW177">
        <f t="shared" si="20"/>
        <v>24</v>
      </c>
      <c r="AX177">
        <f t="shared" si="21"/>
        <v>6</v>
      </c>
      <c r="AY177">
        <f t="shared" si="22"/>
        <v>0</v>
      </c>
    </row>
    <row r="178" spans="1:51" hidden="1" x14ac:dyDescent="0.2">
      <c r="A178" s="202">
        <v>42435</v>
      </c>
      <c r="B178" s="78" t="s">
        <v>282</v>
      </c>
      <c r="W178">
        <f t="shared" si="14"/>
        <v>0</v>
      </c>
      <c r="X178">
        <f t="shared" si="15"/>
        <v>0</v>
      </c>
      <c r="Y178">
        <f t="shared" si="16"/>
        <v>0</v>
      </c>
      <c r="AA178" s="202">
        <v>42435</v>
      </c>
      <c r="AB178" s="78" t="s">
        <v>282</v>
      </c>
      <c r="AC178">
        <f>IF(C178="",0,VLOOKUP(C178,'Dados de consulta'!$H$2:$I$25,2,0))</f>
        <v>0</v>
      </c>
      <c r="AD178">
        <f>IF(D178="",0,VLOOKUP(D178,'Dados de consulta'!$H$2:$I$25,2,0))</f>
        <v>0</v>
      </c>
      <c r="AE178">
        <f>IF(E178="",0,VLOOKUP(E178,'Dados de consulta'!$H$2:$I$25,2,0))</f>
        <v>0</v>
      </c>
      <c r="AF178">
        <f>IF(F178="",0,VLOOKUP(F178,'Dados de consulta'!$H$2:$I$25,2,0))</f>
        <v>0</v>
      </c>
      <c r="AG178">
        <f>IF(G178="",0,VLOOKUP(G178,'Dados de consulta'!$H$2:$I$25,2,0))</f>
        <v>0</v>
      </c>
      <c r="AH178">
        <f>IF(H178="",0,VLOOKUP(H178,'Dados de consulta'!$H$2:$I$25,2,0))</f>
        <v>0</v>
      </c>
      <c r="AI178">
        <f>IF(I178="",0,VLOOKUP(I178,'Dados de consulta'!$H$2:$I$25,2,0))</f>
        <v>0</v>
      </c>
      <c r="AJ178">
        <f>IF(J178="",0,VLOOKUP(J178,'Dados de consulta'!$H$2:$I$25,2,0))</f>
        <v>0</v>
      </c>
      <c r="AK178">
        <f>IF(K178="",0,VLOOKUP(K178,'Dados de consulta'!$H$2:$I$25,2,0))</f>
        <v>0</v>
      </c>
      <c r="AL178">
        <f>IF(L178="",0,VLOOKUP(L178,'Dados de consulta'!$H$2:$I$25,2,0))</f>
        <v>0</v>
      </c>
      <c r="AM178">
        <f>IF(M178="",0,VLOOKUP(M178,'Dados de consulta'!$H$2:$I$25,2,0))</f>
        <v>0</v>
      </c>
      <c r="AN178">
        <f>IF(N178="",0,VLOOKUP(N178,'Dados de consulta'!$H$2:$I$25,2,0))</f>
        <v>0</v>
      </c>
      <c r="AO178">
        <f>IF(O178="",0,VLOOKUP(O178,'Dados de consulta'!$H$2:$I$25,2,0))</f>
        <v>0</v>
      </c>
      <c r="AP178">
        <f>IF(P178="",0,VLOOKUP(P178,'Dados de consulta'!$H$2:$I$25,2,0))</f>
        <v>0</v>
      </c>
      <c r="AQ178">
        <f>IF(Q178="",0,VLOOKUP(Q178,'Dados de consulta'!$H$2:$I$25,2,0))</f>
        <v>0</v>
      </c>
      <c r="AR178">
        <f>IF(R178="",0,VLOOKUP(R178,'Dados de consulta'!$H$2:$I$25,2,0))</f>
        <v>0</v>
      </c>
      <c r="AS178">
        <f>IF(S178="",0,VLOOKUP(S178,'Dados de consulta'!$H$2:$I$25,2,0))</f>
        <v>0</v>
      </c>
      <c r="AT178">
        <f>IF(T178="",0,VLOOKUP(T178,'Dados de consulta'!$H$2:$I$25,2,0))</f>
        <v>0</v>
      </c>
      <c r="AU178">
        <f>IF(U178="",0,VLOOKUP(U178,'Dados de consulta'!$H$2:$I$25,2,0))</f>
        <v>0</v>
      </c>
      <c r="AV178">
        <f>IF(V178="",0,VLOOKUP(V178,'Dados de consulta'!$H$2:$I$25,2,0))</f>
        <v>0</v>
      </c>
      <c r="AW178">
        <f t="shared" si="20"/>
        <v>0</v>
      </c>
      <c r="AX178">
        <f t="shared" si="21"/>
        <v>0</v>
      </c>
      <c r="AY178">
        <f t="shared" si="22"/>
        <v>0</v>
      </c>
    </row>
    <row r="179" spans="1:51" hidden="1" x14ac:dyDescent="0.2">
      <c r="A179" s="202">
        <v>42436</v>
      </c>
      <c r="B179" s="78" t="s">
        <v>283</v>
      </c>
      <c r="W179">
        <f t="shared" si="14"/>
        <v>0</v>
      </c>
      <c r="X179">
        <f t="shared" si="15"/>
        <v>0</v>
      </c>
      <c r="Y179">
        <f t="shared" si="16"/>
        <v>0</v>
      </c>
      <c r="AA179" s="202">
        <v>42436</v>
      </c>
      <c r="AB179" s="78" t="s">
        <v>283</v>
      </c>
      <c r="AC179">
        <f>IF(C179="",0,VLOOKUP(C179,'Dados de consulta'!$H$2:$I$25,2,0))</f>
        <v>0</v>
      </c>
      <c r="AD179">
        <f>IF(D179="",0,VLOOKUP(D179,'Dados de consulta'!$H$2:$I$25,2,0))</f>
        <v>0</v>
      </c>
      <c r="AE179">
        <f>IF(E179="",0,VLOOKUP(E179,'Dados de consulta'!$H$2:$I$25,2,0))</f>
        <v>0</v>
      </c>
      <c r="AF179">
        <f>IF(F179="",0,VLOOKUP(F179,'Dados de consulta'!$H$2:$I$25,2,0))</f>
        <v>0</v>
      </c>
      <c r="AG179">
        <f>IF(G179="",0,VLOOKUP(G179,'Dados de consulta'!$H$2:$I$25,2,0))</f>
        <v>0</v>
      </c>
      <c r="AH179">
        <f>IF(H179="",0,VLOOKUP(H179,'Dados de consulta'!$H$2:$I$25,2,0))</f>
        <v>0</v>
      </c>
      <c r="AI179">
        <f>IF(I179="",0,VLOOKUP(I179,'Dados de consulta'!$H$2:$I$25,2,0))</f>
        <v>0</v>
      </c>
      <c r="AJ179">
        <f>IF(J179="",0,VLOOKUP(J179,'Dados de consulta'!$H$2:$I$25,2,0))</f>
        <v>0</v>
      </c>
      <c r="AK179">
        <f>IF(K179="",0,VLOOKUP(K179,'Dados de consulta'!$H$2:$I$25,2,0))</f>
        <v>0</v>
      </c>
      <c r="AL179">
        <f>IF(L179="",0,VLOOKUP(L179,'Dados de consulta'!$H$2:$I$25,2,0))</f>
        <v>0</v>
      </c>
      <c r="AM179">
        <f>IF(M179="",0,VLOOKUP(M179,'Dados de consulta'!$H$2:$I$25,2,0))</f>
        <v>0</v>
      </c>
      <c r="AN179">
        <f>IF(N179="",0,VLOOKUP(N179,'Dados de consulta'!$H$2:$I$25,2,0))</f>
        <v>0</v>
      </c>
      <c r="AO179">
        <f>IF(O179="",0,VLOOKUP(O179,'Dados de consulta'!$H$2:$I$25,2,0))</f>
        <v>0</v>
      </c>
      <c r="AP179">
        <f>IF(P179="",0,VLOOKUP(P179,'Dados de consulta'!$H$2:$I$25,2,0))</f>
        <v>0</v>
      </c>
      <c r="AQ179">
        <f>IF(Q179="",0,VLOOKUP(Q179,'Dados de consulta'!$H$2:$I$25,2,0))</f>
        <v>0</v>
      </c>
      <c r="AR179">
        <f>IF(R179="",0,VLOOKUP(R179,'Dados de consulta'!$H$2:$I$25,2,0))</f>
        <v>0</v>
      </c>
      <c r="AS179">
        <f>IF(S179="",0,VLOOKUP(S179,'Dados de consulta'!$H$2:$I$25,2,0))</f>
        <v>0</v>
      </c>
      <c r="AT179">
        <f>IF(T179="",0,VLOOKUP(T179,'Dados de consulta'!$H$2:$I$25,2,0))</f>
        <v>0</v>
      </c>
      <c r="AU179">
        <f>IF(U179="",0,VLOOKUP(U179,'Dados de consulta'!$H$2:$I$25,2,0))</f>
        <v>0</v>
      </c>
      <c r="AV179">
        <f>IF(V179="",0,VLOOKUP(V179,'Dados de consulta'!$H$2:$I$25,2,0))</f>
        <v>0</v>
      </c>
      <c r="AW179">
        <f t="shared" si="20"/>
        <v>0</v>
      </c>
      <c r="AX179">
        <f t="shared" si="21"/>
        <v>0</v>
      </c>
      <c r="AY179">
        <f t="shared" si="22"/>
        <v>0</v>
      </c>
    </row>
    <row r="180" spans="1:51" hidden="1" x14ac:dyDescent="0.2">
      <c r="A180" s="202">
        <v>42437</v>
      </c>
      <c r="B180" s="78" t="s">
        <v>284</v>
      </c>
      <c r="W180">
        <f t="shared" si="14"/>
        <v>0</v>
      </c>
      <c r="X180">
        <f t="shared" si="15"/>
        <v>0</v>
      </c>
      <c r="Y180">
        <f t="shared" si="16"/>
        <v>0</v>
      </c>
      <c r="AA180" s="202">
        <v>42437</v>
      </c>
      <c r="AB180" s="78" t="s">
        <v>284</v>
      </c>
      <c r="AC180">
        <f>IF(C180="",0,VLOOKUP(C180,'Dados de consulta'!$H$2:$I$25,2,0))</f>
        <v>0</v>
      </c>
      <c r="AD180">
        <f>IF(D180="",0,VLOOKUP(D180,'Dados de consulta'!$H$2:$I$25,2,0))</f>
        <v>0</v>
      </c>
      <c r="AE180">
        <f>IF(E180="",0,VLOOKUP(E180,'Dados de consulta'!$H$2:$I$25,2,0))</f>
        <v>0</v>
      </c>
      <c r="AF180">
        <f>IF(F180="",0,VLOOKUP(F180,'Dados de consulta'!$H$2:$I$25,2,0))</f>
        <v>0</v>
      </c>
      <c r="AG180">
        <f>IF(G180="",0,VLOOKUP(G180,'Dados de consulta'!$H$2:$I$25,2,0))</f>
        <v>0</v>
      </c>
      <c r="AH180">
        <f>IF(H180="",0,VLOOKUP(H180,'Dados de consulta'!$H$2:$I$25,2,0))</f>
        <v>0</v>
      </c>
      <c r="AI180">
        <f>IF(I180="",0,VLOOKUP(I180,'Dados de consulta'!$H$2:$I$25,2,0))</f>
        <v>0</v>
      </c>
      <c r="AJ180">
        <f>IF(J180="",0,VLOOKUP(J180,'Dados de consulta'!$H$2:$I$25,2,0))</f>
        <v>0</v>
      </c>
      <c r="AK180">
        <f>IF(K180="",0,VLOOKUP(K180,'Dados de consulta'!$H$2:$I$25,2,0))</f>
        <v>0</v>
      </c>
      <c r="AL180">
        <f>IF(L180="",0,VLOOKUP(L180,'Dados de consulta'!$H$2:$I$25,2,0))</f>
        <v>0</v>
      </c>
      <c r="AM180">
        <f>IF(M180="",0,VLOOKUP(M180,'Dados de consulta'!$H$2:$I$25,2,0))</f>
        <v>0</v>
      </c>
      <c r="AN180">
        <f>IF(N180="",0,VLOOKUP(N180,'Dados de consulta'!$H$2:$I$25,2,0))</f>
        <v>0</v>
      </c>
      <c r="AO180">
        <f>IF(O180="",0,VLOOKUP(O180,'Dados de consulta'!$H$2:$I$25,2,0))</f>
        <v>0</v>
      </c>
      <c r="AP180">
        <f>IF(P180="",0,VLOOKUP(P180,'Dados de consulta'!$H$2:$I$25,2,0))</f>
        <v>0</v>
      </c>
      <c r="AQ180">
        <f>IF(Q180="",0,VLOOKUP(Q180,'Dados de consulta'!$H$2:$I$25,2,0))</f>
        <v>0</v>
      </c>
      <c r="AR180">
        <f>IF(R180="",0,VLOOKUP(R180,'Dados de consulta'!$H$2:$I$25,2,0))</f>
        <v>0</v>
      </c>
      <c r="AS180">
        <f>IF(S180="",0,VLOOKUP(S180,'Dados de consulta'!$H$2:$I$25,2,0))</f>
        <v>0</v>
      </c>
      <c r="AT180">
        <f>IF(T180="",0,VLOOKUP(T180,'Dados de consulta'!$H$2:$I$25,2,0))</f>
        <v>0</v>
      </c>
      <c r="AU180">
        <f>IF(U180="",0,VLOOKUP(U180,'Dados de consulta'!$H$2:$I$25,2,0))</f>
        <v>0</v>
      </c>
      <c r="AV180">
        <f>IF(V180="",0,VLOOKUP(V180,'Dados de consulta'!$H$2:$I$25,2,0))</f>
        <v>0</v>
      </c>
      <c r="AW180">
        <f t="shared" si="20"/>
        <v>0</v>
      </c>
      <c r="AX180">
        <f t="shared" si="21"/>
        <v>0</v>
      </c>
      <c r="AY180">
        <f t="shared" si="22"/>
        <v>0</v>
      </c>
    </row>
    <row r="181" spans="1:51" hidden="1" x14ac:dyDescent="0.2">
      <c r="A181" s="202">
        <v>42438</v>
      </c>
      <c r="B181" s="78" t="s">
        <v>285</v>
      </c>
      <c r="W181">
        <f t="shared" si="14"/>
        <v>0</v>
      </c>
      <c r="X181">
        <f t="shared" si="15"/>
        <v>0</v>
      </c>
      <c r="Y181">
        <f t="shared" si="16"/>
        <v>0</v>
      </c>
      <c r="AA181" s="202">
        <v>42438</v>
      </c>
      <c r="AB181" s="78" t="s">
        <v>285</v>
      </c>
      <c r="AC181">
        <f>IF(C181="",0,VLOOKUP(C181,'Dados de consulta'!$H$2:$I$25,2,0))</f>
        <v>0</v>
      </c>
      <c r="AD181">
        <f>IF(D181="",0,VLOOKUP(D181,'Dados de consulta'!$H$2:$I$25,2,0))</f>
        <v>0</v>
      </c>
      <c r="AE181">
        <f>IF(E181="",0,VLOOKUP(E181,'Dados de consulta'!$H$2:$I$25,2,0))</f>
        <v>0</v>
      </c>
      <c r="AF181">
        <f>IF(F181="",0,VLOOKUP(F181,'Dados de consulta'!$H$2:$I$25,2,0))</f>
        <v>0</v>
      </c>
      <c r="AG181">
        <f>IF(G181="",0,VLOOKUP(G181,'Dados de consulta'!$H$2:$I$25,2,0))</f>
        <v>0</v>
      </c>
      <c r="AH181">
        <f>IF(H181="",0,VLOOKUP(H181,'Dados de consulta'!$H$2:$I$25,2,0))</f>
        <v>0</v>
      </c>
      <c r="AI181">
        <f>IF(I181="",0,VLOOKUP(I181,'Dados de consulta'!$H$2:$I$25,2,0))</f>
        <v>0</v>
      </c>
      <c r="AJ181">
        <f>IF(J181="",0,VLOOKUP(J181,'Dados de consulta'!$H$2:$I$25,2,0))</f>
        <v>0</v>
      </c>
      <c r="AK181">
        <f>IF(K181="",0,VLOOKUP(K181,'Dados de consulta'!$H$2:$I$25,2,0))</f>
        <v>0</v>
      </c>
      <c r="AL181">
        <f>IF(L181="",0,VLOOKUP(L181,'Dados de consulta'!$H$2:$I$25,2,0))</f>
        <v>0</v>
      </c>
      <c r="AM181">
        <f>IF(M181="",0,VLOOKUP(M181,'Dados de consulta'!$H$2:$I$25,2,0))</f>
        <v>0</v>
      </c>
      <c r="AN181">
        <f>IF(N181="",0,VLOOKUP(N181,'Dados de consulta'!$H$2:$I$25,2,0))</f>
        <v>0</v>
      </c>
      <c r="AO181">
        <f>IF(O181="",0,VLOOKUP(O181,'Dados de consulta'!$H$2:$I$25,2,0))</f>
        <v>0</v>
      </c>
      <c r="AP181">
        <f>IF(P181="",0,VLOOKUP(P181,'Dados de consulta'!$H$2:$I$25,2,0))</f>
        <v>0</v>
      </c>
      <c r="AQ181">
        <f>IF(Q181="",0,VLOOKUP(Q181,'Dados de consulta'!$H$2:$I$25,2,0))</f>
        <v>0</v>
      </c>
      <c r="AR181">
        <f>IF(R181="",0,VLOOKUP(R181,'Dados de consulta'!$H$2:$I$25,2,0))</f>
        <v>0</v>
      </c>
      <c r="AS181">
        <f>IF(S181="",0,VLOOKUP(S181,'Dados de consulta'!$H$2:$I$25,2,0))</f>
        <v>0</v>
      </c>
      <c r="AT181">
        <f>IF(T181="",0,VLOOKUP(T181,'Dados de consulta'!$H$2:$I$25,2,0))</f>
        <v>0</v>
      </c>
      <c r="AU181">
        <f>IF(U181="",0,VLOOKUP(U181,'Dados de consulta'!$H$2:$I$25,2,0))</f>
        <v>0</v>
      </c>
      <c r="AV181">
        <f>IF(V181="",0,VLOOKUP(V181,'Dados de consulta'!$H$2:$I$25,2,0))</f>
        <v>0</v>
      </c>
      <c r="AW181">
        <f t="shared" si="20"/>
        <v>0</v>
      </c>
      <c r="AX181">
        <f t="shared" si="21"/>
        <v>0</v>
      </c>
      <c r="AY181">
        <f t="shared" si="22"/>
        <v>0</v>
      </c>
    </row>
    <row r="182" spans="1:51" hidden="1" x14ac:dyDescent="0.2">
      <c r="A182" s="202">
        <v>42439</v>
      </c>
      <c r="B182" s="78" t="s">
        <v>286</v>
      </c>
      <c r="W182">
        <f t="shared" si="14"/>
        <v>0</v>
      </c>
      <c r="X182">
        <f t="shared" si="15"/>
        <v>0</v>
      </c>
      <c r="Y182">
        <f t="shared" si="16"/>
        <v>0</v>
      </c>
      <c r="AA182" s="202">
        <v>42439</v>
      </c>
      <c r="AB182" s="78" t="s">
        <v>286</v>
      </c>
      <c r="AC182">
        <f>IF(C182="",0,VLOOKUP(C182,'Dados de consulta'!$H$2:$I$25,2,0))</f>
        <v>0</v>
      </c>
      <c r="AD182">
        <f>IF(D182="",0,VLOOKUP(D182,'Dados de consulta'!$H$2:$I$25,2,0))</f>
        <v>0</v>
      </c>
      <c r="AE182">
        <f>IF(E182="",0,VLOOKUP(E182,'Dados de consulta'!$H$2:$I$25,2,0))</f>
        <v>0</v>
      </c>
      <c r="AF182">
        <f>IF(F182="",0,VLOOKUP(F182,'Dados de consulta'!$H$2:$I$25,2,0))</f>
        <v>0</v>
      </c>
      <c r="AG182">
        <f>IF(G182="",0,VLOOKUP(G182,'Dados de consulta'!$H$2:$I$25,2,0))</f>
        <v>0</v>
      </c>
      <c r="AH182">
        <f>IF(H182="",0,VLOOKUP(H182,'Dados de consulta'!$H$2:$I$25,2,0))</f>
        <v>0</v>
      </c>
      <c r="AI182">
        <f>IF(I182="",0,VLOOKUP(I182,'Dados de consulta'!$H$2:$I$25,2,0))</f>
        <v>0</v>
      </c>
      <c r="AJ182">
        <f>IF(J182="",0,VLOOKUP(J182,'Dados de consulta'!$H$2:$I$25,2,0))</f>
        <v>0</v>
      </c>
      <c r="AK182">
        <f>IF(K182="",0,VLOOKUP(K182,'Dados de consulta'!$H$2:$I$25,2,0))</f>
        <v>0</v>
      </c>
      <c r="AL182">
        <f>IF(L182="",0,VLOOKUP(L182,'Dados de consulta'!$H$2:$I$25,2,0))</f>
        <v>0</v>
      </c>
      <c r="AM182">
        <f>IF(M182="",0,VLOOKUP(M182,'Dados de consulta'!$H$2:$I$25,2,0))</f>
        <v>0</v>
      </c>
      <c r="AN182">
        <f>IF(N182="",0,VLOOKUP(N182,'Dados de consulta'!$H$2:$I$25,2,0))</f>
        <v>0</v>
      </c>
      <c r="AO182">
        <f>IF(O182="",0,VLOOKUP(O182,'Dados de consulta'!$H$2:$I$25,2,0))</f>
        <v>0</v>
      </c>
      <c r="AP182">
        <f>IF(P182="",0,VLOOKUP(P182,'Dados de consulta'!$H$2:$I$25,2,0))</f>
        <v>0</v>
      </c>
      <c r="AQ182">
        <f>IF(Q182="",0,VLOOKUP(Q182,'Dados de consulta'!$H$2:$I$25,2,0))</f>
        <v>0</v>
      </c>
      <c r="AR182">
        <f>IF(R182="",0,VLOOKUP(R182,'Dados de consulta'!$H$2:$I$25,2,0))</f>
        <v>0</v>
      </c>
      <c r="AS182">
        <f>IF(S182="",0,VLOOKUP(S182,'Dados de consulta'!$H$2:$I$25,2,0))</f>
        <v>0</v>
      </c>
      <c r="AT182">
        <f>IF(T182="",0,VLOOKUP(T182,'Dados de consulta'!$H$2:$I$25,2,0))</f>
        <v>0</v>
      </c>
      <c r="AU182">
        <f>IF(U182="",0,VLOOKUP(U182,'Dados de consulta'!$H$2:$I$25,2,0))</f>
        <v>0</v>
      </c>
      <c r="AV182">
        <f>IF(V182="",0,VLOOKUP(V182,'Dados de consulta'!$H$2:$I$25,2,0))</f>
        <v>0</v>
      </c>
      <c r="AW182">
        <f t="shared" si="20"/>
        <v>0</v>
      </c>
      <c r="AX182">
        <f t="shared" si="21"/>
        <v>0</v>
      </c>
      <c r="AY182">
        <f t="shared" si="22"/>
        <v>0</v>
      </c>
    </row>
    <row r="183" spans="1:51" hidden="1" x14ac:dyDescent="0.2">
      <c r="A183" s="202">
        <v>42440</v>
      </c>
      <c r="B183" s="78" t="s">
        <v>287</v>
      </c>
      <c r="W183">
        <f t="shared" si="14"/>
        <v>0</v>
      </c>
      <c r="X183">
        <f t="shared" si="15"/>
        <v>0</v>
      </c>
      <c r="Y183">
        <f t="shared" si="16"/>
        <v>0</v>
      </c>
      <c r="AA183" s="202">
        <v>42440</v>
      </c>
      <c r="AB183" s="78" t="s">
        <v>287</v>
      </c>
      <c r="AC183">
        <f>IF(C183="",0,VLOOKUP(C183,'Dados de consulta'!$H$2:$I$25,2,0))</f>
        <v>0</v>
      </c>
      <c r="AD183">
        <f>IF(D183="",0,VLOOKUP(D183,'Dados de consulta'!$H$2:$I$25,2,0))</f>
        <v>0</v>
      </c>
      <c r="AE183">
        <f>IF(E183="",0,VLOOKUP(E183,'Dados de consulta'!$H$2:$I$25,2,0))</f>
        <v>0</v>
      </c>
      <c r="AF183">
        <f>IF(F183="",0,VLOOKUP(F183,'Dados de consulta'!$H$2:$I$25,2,0))</f>
        <v>0</v>
      </c>
      <c r="AG183">
        <f>IF(G183="",0,VLOOKUP(G183,'Dados de consulta'!$H$2:$I$25,2,0))</f>
        <v>0</v>
      </c>
      <c r="AH183">
        <f>IF(H183="",0,VLOOKUP(H183,'Dados de consulta'!$H$2:$I$25,2,0))</f>
        <v>0</v>
      </c>
      <c r="AI183">
        <f>IF(I183="",0,VLOOKUP(I183,'Dados de consulta'!$H$2:$I$25,2,0))</f>
        <v>0</v>
      </c>
      <c r="AJ183">
        <f>IF(J183="",0,VLOOKUP(J183,'Dados de consulta'!$H$2:$I$25,2,0))</f>
        <v>0</v>
      </c>
      <c r="AK183">
        <f>IF(K183="",0,VLOOKUP(K183,'Dados de consulta'!$H$2:$I$25,2,0))</f>
        <v>0</v>
      </c>
      <c r="AL183">
        <f>IF(L183="",0,VLOOKUP(L183,'Dados de consulta'!$H$2:$I$25,2,0))</f>
        <v>0</v>
      </c>
      <c r="AM183">
        <f>IF(M183="",0,VLOOKUP(M183,'Dados de consulta'!$H$2:$I$25,2,0))</f>
        <v>0</v>
      </c>
      <c r="AN183">
        <f>IF(N183="",0,VLOOKUP(N183,'Dados de consulta'!$H$2:$I$25,2,0))</f>
        <v>0</v>
      </c>
      <c r="AO183">
        <f>IF(O183="",0,VLOOKUP(O183,'Dados de consulta'!$H$2:$I$25,2,0))</f>
        <v>0</v>
      </c>
      <c r="AP183">
        <f>IF(P183="",0,VLOOKUP(P183,'Dados de consulta'!$H$2:$I$25,2,0))</f>
        <v>0</v>
      </c>
      <c r="AQ183">
        <f>IF(Q183="",0,VLOOKUP(Q183,'Dados de consulta'!$H$2:$I$25,2,0))</f>
        <v>0</v>
      </c>
      <c r="AR183">
        <f>IF(R183="",0,VLOOKUP(R183,'Dados de consulta'!$H$2:$I$25,2,0))</f>
        <v>0</v>
      </c>
      <c r="AS183">
        <f>IF(S183="",0,VLOOKUP(S183,'Dados de consulta'!$H$2:$I$25,2,0))</f>
        <v>0</v>
      </c>
      <c r="AT183">
        <f>IF(T183="",0,VLOOKUP(T183,'Dados de consulta'!$H$2:$I$25,2,0))</f>
        <v>0</v>
      </c>
      <c r="AU183">
        <f>IF(U183="",0,VLOOKUP(U183,'Dados de consulta'!$H$2:$I$25,2,0))</f>
        <v>0</v>
      </c>
      <c r="AV183">
        <f>IF(V183="",0,VLOOKUP(V183,'Dados de consulta'!$H$2:$I$25,2,0))</f>
        <v>0</v>
      </c>
      <c r="AW183">
        <f t="shared" si="20"/>
        <v>0</v>
      </c>
      <c r="AX183">
        <f t="shared" si="21"/>
        <v>0</v>
      </c>
      <c r="AY183">
        <f t="shared" si="22"/>
        <v>0</v>
      </c>
    </row>
    <row r="184" spans="1:51" hidden="1" x14ac:dyDescent="0.2">
      <c r="A184" s="202">
        <v>42441</v>
      </c>
      <c r="B184" s="78" t="s">
        <v>281</v>
      </c>
      <c r="W184">
        <f t="shared" si="14"/>
        <v>0</v>
      </c>
      <c r="X184">
        <f t="shared" si="15"/>
        <v>0</v>
      </c>
      <c r="Y184">
        <f t="shared" si="16"/>
        <v>0</v>
      </c>
      <c r="AA184" s="202">
        <v>42441</v>
      </c>
      <c r="AB184" s="78" t="s">
        <v>281</v>
      </c>
      <c r="AC184">
        <f>IF(C184="",0,VLOOKUP(C184,'Dados de consulta'!$H$2:$I$25,2,0))</f>
        <v>0</v>
      </c>
      <c r="AD184">
        <f>IF(D184="",0,VLOOKUP(D184,'Dados de consulta'!$H$2:$I$25,2,0))</f>
        <v>0</v>
      </c>
      <c r="AE184">
        <f>IF(E184="",0,VLOOKUP(E184,'Dados de consulta'!$H$2:$I$25,2,0))</f>
        <v>0</v>
      </c>
      <c r="AF184">
        <f>IF(F184="",0,VLOOKUP(F184,'Dados de consulta'!$H$2:$I$25,2,0))</f>
        <v>0</v>
      </c>
      <c r="AG184">
        <f>IF(G184="",0,VLOOKUP(G184,'Dados de consulta'!$H$2:$I$25,2,0))</f>
        <v>0</v>
      </c>
      <c r="AH184">
        <f>IF(H184="",0,VLOOKUP(H184,'Dados de consulta'!$H$2:$I$25,2,0))</f>
        <v>0</v>
      </c>
      <c r="AI184">
        <f>IF(I184="",0,VLOOKUP(I184,'Dados de consulta'!$H$2:$I$25,2,0))</f>
        <v>0</v>
      </c>
      <c r="AJ184">
        <f>IF(J184="",0,VLOOKUP(J184,'Dados de consulta'!$H$2:$I$25,2,0))</f>
        <v>0</v>
      </c>
      <c r="AK184">
        <f>IF(K184="",0,VLOOKUP(K184,'Dados de consulta'!$H$2:$I$25,2,0))</f>
        <v>0</v>
      </c>
      <c r="AL184">
        <f>IF(L184="",0,VLOOKUP(L184,'Dados de consulta'!$H$2:$I$25,2,0))</f>
        <v>0</v>
      </c>
      <c r="AM184">
        <f>IF(M184="",0,VLOOKUP(M184,'Dados de consulta'!$H$2:$I$25,2,0))</f>
        <v>0</v>
      </c>
      <c r="AN184">
        <f>IF(N184="",0,VLOOKUP(N184,'Dados de consulta'!$H$2:$I$25,2,0))</f>
        <v>0</v>
      </c>
      <c r="AO184">
        <f>IF(O184="",0,VLOOKUP(O184,'Dados de consulta'!$H$2:$I$25,2,0))</f>
        <v>0</v>
      </c>
      <c r="AP184">
        <f>IF(P184="",0,VLOOKUP(P184,'Dados de consulta'!$H$2:$I$25,2,0))</f>
        <v>0</v>
      </c>
      <c r="AQ184">
        <f>IF(Q184="",0,VLOOKUP(Q184,'Dados de consulta'!$H$2:$I$25,2,0))</f>
        <v>0</v>
      </c>
      <c r="AR184">
        <f>IF(R184="",0,VLOOKUP(R184,'Dados de consulta'!$H$2:$I$25,2,0))</f>
        <v>0</v>
      </c>
      <c r="AS184">
        <f>IF(S184="",0,VLOOKUP(S184,'Dados de consulta'!$H$2:$I$25,2,0))</f>
        <v>0</v>
      </c>
      <c r="AT184">
        <f>IF(T184="",0,VLOOKUP(T184,'Dados de consulta'!$H$2:$I$25,2,0))</f>
        <v>0</v>
      </c>
      <c r="AU184">
        <f>IF(U184="",0,VLOOKUP(U184,'Dados de consulta'!$H$2:$I$25,2,0))</f>
        <v>0</v>
      </c>
      <c r="AV184">
        <f>IF(V184="",0,VLOOKUP(V184,'Dados de consulta'!$H$2:$I$25,2,0))</f>
        <v>0</v>
      </c>
      <c r="AW184">
        <f t="shared" si="20"/>
        <v>0</v>
      </c>
      <c r="AX184">
        <f t="shared" si="21"/>
        <v>0</v>
      </c>
      <c r="AY184">
        <f t="shared" si="22"/>
        <v>0</v>
      </c>
    </row>
    <row r="185" spans="1:51" hidden="1" x14ac:dyDescent="0.2">
      <c r="A185" s="202">
        <v>42442</v>
      </c>
      <c r="B185" s="78" t="s">
        <v>282</v>
      </c>
      <c r="W185">
        <f t="shared" si="14"/>
        <v>0</v>
      </c>
      <c r="X185">
        <f t="shared" si="15"/>
        <v>0</v>
      </c>
      <c r="Y185">
        <f t="shared" si="16"/>
        <v>0</v>
      </c>
      <c r="AA185" s="202">
        <v>42442</v>
      </c>
      <c r="AB185" s="78" t="s">
        <v>282</v>
      </c>
      <c r="AC185">
        <f>IF(C185="",0,VLOOKUP(C185,'Dados de consulta'!$H$2:$I$25,2,0))</f>
        <v>0</v>
      </c>
      <c r="AD185">
        <f>IF(D185="",0,VLOOKUP(D185,'Dados de consulta'!$H$2:$I$25,2,0))</f>
        <v>0</v>
      </c>
      <c r="AE185">
        <f>IF(E185="",0,VLOOKUP(E185,'Dados de consulta'!$H$2:$I$25,2,0))</f>
        <v>0</v>
      </c>
      <c r="AF185">
        <f>IF(F185="",0,VLOOKUP(F185,'Dados de consulta'!$H$2:$I$25,2,0))</f>
        <v>0</v>
      </c>
      <c r="AG185">
        <f>IF(G185="",0,VLOOKUP(G185,'Dados de consulta'!$H$2:$I$25,2,0))</f>
        <v>0</v>
      </c>
      <c r="AH185">
        <f>IF(H185="",0,VLOOKUP(H185,'Dados de consulta'!$H$2:$I$25,2,0))</f>
        <v>0</v>
      </c>
      <c r="AI185">
        <f>IF(I185="",0,VLOOKUP(I185,'Dados de consulta'!$H$2:$I$25,2,0))</f>
        <v>0</v>
      </c>
      <c r="AJ185">
        <f>IF(J185="",0,VLOOKUP(J185,'Dados de consulta'!$H$2:$I$25,2,0))</f>
        <v>0</v>
      </c>
      <c r="AK185">
        <f>IF(K185="",0,VLOOKUP(K185,'Dados de consulta'!$H$2:$I$25,2,0))</f>
        <v>0</v>
      </c>
      <c r="AL185">
        <f>IF(L185="",0,VLOOKUP(L185,'Dados de consulta'!$H$2:$I$25,2,0))</f>
        <v>0</v>
      </c>
      <c r="AM185">
        <f>IF(M185="",0,VLOOKUP(M185,'Dados de consulta'!$H$2:$I$25,2,0))</f>
        <v>0</v>
      </c>
      <c r="AN185">
        <f>IF(N185="",0,VLOOKUP(N185,'Dados de consulta'!$H$2:$I$25,2,0))</f>
        <v>0</v>
      </c>
      <c r="AO185">
        <f>IF(O185="",0,VLOOKUP(O185,'Dados de consulta'!$H$2:$I$25,2,0))</f>
        <v>0</v>
      </c>
      <c r="AP185">
        <f>IF(P185="",0,VLOOKUP(P185,'Dados de consulta'!$H$2:$I$25,2,0))</f>
        <v>0</v>
      </c>
      <c r="AQ185">
        <f>IF(Q185="",0,VLOOKUP(Q185,'Dados de consulta'!$H$2:$I$25,2,0))</f>
        <v>0</v>
      </c>
      <c r="AR185">
        <f>IF(R185="",0,VLOOKUP(R185,'Dados de consulta'!$H$2:$I$25,2,0))</f>
        <v>0</v>
      </c>
      <c r="AS185">
        <f>IF(S185="",0,VLOOKUP(S185,'Dados de consulta'!$H$2:$I$25,2,0))</f>
        <v>0</v>
      </c>
      <c r="AT185">
        <f>IF(T185="",0,VLOOKUP(T185,'Dados de consulta'!$H$2:$I$25,2,0))</f>
        <v>0</v>
      </c>
      <c r="AU185">
        <f>IF(U185="",0,VLOOKUP(U185,'Dados de consulta'!$H$2:$I$25,2,0))</f>
        <v>0</v>
      </c>
      <c r="AV185">
        <f>IF(V185="",0,VLOOKUP(V185,'Dados de consulta'!$H$2:$I$25,2,0))</f>
        <v>0</v>
      </c>
      <c r="AW185">
        <f t="shared" si="20"/>
        <v>0</v>
      </c>
      <c r="AX185">
        <f t="shared" si="21"/>
        <v>0</v>
      </c>
      <c r="AY185">
        <f t="shared" si="22"/>
        <v>0</v>
      </c>
    </row>
    <row r="186" spans="1:51" hidden="1" x14ac:dyDescent="0.2">
      <c r="A186" s="202">
        <v>42443</v>
      </c>
      <c r="B186" s="78" t="s">
        <v>283</v>
      </c>
      <c r="W186">
        <f t="shared" si="14"/>
        <v>0</v>
      </c>
      <c r="X186">
        <f t="shared" si="15"/>
        <v>0</v>
      </c>
      <c r="Y186">
        <f t="shared" si="16"/>
        <v>0</v>
      </c>
      <c r="AA186" s="202">
        <v>42443</v>
      </c>
      <c r="AB186" s="78" t="s">
        <v>283</v>
      </c>
      <c r="AC186">
        <f>IF(C186="",0,VLOOKUP(C186,'Dados de consulta'!$H$2:$I$25,2,0))</f>
        <v>0</v>
      </c>
      <c r="AD186">
        <f>IF(D186="",0,VLOOKUP(D186,'Dados de consulta'!$H$2:$I$25,2,0))</f>
        <v>0</v>
      </c>
      <c r="AE186">
        <f>IF(E186="",0,VLOOKUP(E186,'Dados de consulta'!$H$2:$I$25,2,0))</f>
        <v>0</v>
      </c>
      <c r="AF186">
        <f>IF(F186="",0,VLOOKUP(F186,'Dados de consulta'!$H$2:$I$25,2,0))</f>
        <v>0</v>
      </c>
      <c r="AG186">
        <f>IF(G186="",0,VLOOKUP(G186,'Dados de consulta'!$H$2:$I$25,2,0))</f>
        <v>0</v>
      </c>
      <c r="AH186">
        <f>IF(H186="",0,VLOOKUP(H186,'Dados de consulta'!$H$2:$I$25,2,0))</f>
        <v>0</v>
      </c>
      <c r="AI186">
        <f>IF(I186="",0,VLOOKUP(I186,'Dados de consulta'!$H$2:$I$25,2,0))</f>
        <v>0</v>
      </c>
      <c r="AJ186">
        <f>IF(J186="",0,VLOOKUP(J186,'Dados de consulta'!$H$2:$I$25,2,0))</f>
        <v>0</v>
      </c>
      <c r="AK186">
        <f>IF(K186="",0,VLOOKUP(K186,'Dados de consulta'!$H$2:$I$25,2,0))</f>
        <v>0</v>
      </c>
      <c r="AL186">
        <f>IF(L186="",0,VLOOKUP(L186,'Dados de consulta'!$H$2:$I$25,2,0))</f>
        <v>0</v>
      </c>
      <c r="AM186">
        <f>IF(M186="",0,VLOOKUP(M186,'Dados de consulta'!$H$2:$I$25,2,0))</f>
        <v>0</v>
      </c>
      <c r="AN186">
        <f>IF(N186="",0,VLOOKUP(N186,'Dados de consulta'!$H$2:$I$25,2,0))</f>
        <v>0</v>
      </c>
      <c r="AO186">
        <f>IF(O186="",0,VLOOKUP(O186,'Dados de consulta'!$H$2:$I$25,2,0))</f>
        <v>0</v>
      </c>
      <c r="AP186">
        <f>IF(P186="",0,VLOOKUP(P186,'Dados de consulta'!$H$2:$I$25,2,0))</f>
        <v>0</v>
      </c>
      <c r="AQ186">
        <f>IF(Q186="",0,VLOOKUP(Q186,'Dados de consulta'!$H$2:$I$25,2,0))</f>
        <v>0</v>
      </c>
      <c r="AR186">
        <f>IF(R186="",0,VLOOKUP(R186,'Dados de consulta'!$H$2:$I$25,2,0))</f>
        <v>0</v>
      </c>
      <c r="AS186">
        <f>IF(S186="",0,VLOOKUP(S186,'Dados de consulta'!$H$2:$I$25,2,0))</f>
        <v>0</v>
      </c>
      <c r="AT186">
        <f>IF(T186="",0,VLOOKUP(T186,'Dados de consulta'!$H$2:$I$25,2,0))</f>
        <v>0</v>
      </c>
      <c r="AU186">
        <f>IF(U186="",0,VLOOKUP(U186,'Dados de consulta'!$H$2:$I$25,2,0))</f>
        <v>0</v>
      </c>
      <c r="AV186">
        <f>IF(V186="",0,VLOOKUP(V186,'Dados de consulta'!$H$2:$I$25,2,0))</f>
        <v>0</v>
      </c>
      <c r="AW186">
        <f t="shared" si="20"/>
        <v>0</v>
      </c>
      <c r="AX186">
        <f t="shared" si="21"/>
        <v>0</v>
      </c>
      <c r="AY186">
        <f t="shared" si="22"/>
        <v>0</v>
      </c>
    </row>
    <row r="187" spans="1:51" hidden="1" x14ac:dyDescent="0.2">
      <c r="A187" s="202">
        <v>42444</v>
      </c>
      <c r="B187" s="78" t="s">
        <v>284</v>
      </c>
      <c r="W187">
        <f t="shared" si="14"/>
        <v>0</v>
      </c>
      <c r="X187">
        <f t="shared" si="15"/>
        <v>0</v>
      </c>
      <c r="Y187">
        <f t="shared" si="16"/>
        <v>0</v>
      </c>
      <c r="AA187" s="202">
        <v>42444</v>
      </c>
      <c r="AB187" s="78" t="s">
        <v>284</v>
      </c>
      <c r="AC187">
        <f>IF(C187="",0,VLOOKUP(C187,'Dados de consulta'!$H$2:$I$25,2,0))</f>
        <v>0</v>
      </c>
      <c r="AD187">
        <f>IF(D187="",0,VLOOKUP(D187,'Dados de consulta'!$H$2:$I$25,2,0))</f>
        <v>0</v>
      </c>
      <c r="AE187">
        <f>IF(E187="",0,VLOOKUP(E187,'Dados de consulta'!$H$2:$I$25,2,0))</f>
        <v>0</v>
      </c>
      <c r="AF187">
        <f>IF(F187="",0,VLOOKUP(F187,'Dados de consulta'!$H$2:$I$25,2,0))</f>
        <v>0</v>
      </c>
      <c r="AG187">
        <f>IF(G187="",0,VLOOKUP(G187,'Dados de consulta'!$H$2:$I$25,2,0))</f>
        <v>0</v>
      </c>
      <c r="AH187">
        <f>IF(H187="",0,VLOOKUP(H187,'Dados de consulta'!$H$2:$I$25,2,0))</f>
        <v>0</v>
      </c>
      <c r="AI187">
        <f>IF(I187="",0,VLOOKUP(I187,'Dados de consulta'!$H$2:$I$25,2,0))</f>
        <v>0</v>
      </c>
      <c r="AJ187">
        <f>IF(J187="",0,VLOOKUP(J187,'Dados de consulta'!$H$2:$I$25,2,0))</f>
        <v>0</v>
      </c>
      <c r="AK187">
        <f>IF(K187="",0,VLOOKUP(K187,'Dados de consulta'!$H$2:$I$25,2,0))</f>
        <v>0</v>
      </c>
      <c r="AL187">
        <f>IF(L187="",0,VLOOKUP(L187,'Dados de consulta'!$H$2:$I$25,2,0))</f>
        <v>0</v>
      </c>
      <c r="AM187">
        <f>IF(M187="",0,VLOOKUP(M187,'Dados de consulta'!$H$2:$I$25,2,0))</f>
        <v>0</v>
      </c>
      <c r="AN187">
        <f>IF(N187="",0,VLOOKUP(N187,'Dados de consulta'!$H$2:$I$25,2,0))</f>
        <v>0</v>
      </c>
      <c r="AO187">
        <f>IF(O187="",0,VLOOKUP(O187,'Dados de consulta'!$H$2:$I$25,2,0))</f>
        <v>0</v>
      </c>
      <c r="AP187">
        <f>IF(P187="",0,VLOOKUP(P187,'Dados de consulta'!$H$2:$I$25,2,0))</f>
        <v>0</v>
      </c>
      <c r="AQ187">
        <f>IF(Q187="",0,VLOOKUP(Q187,'Dados de consulta'!$H$2:$I$25,2,0))</f>
        <v>0</v>
      </c>
      <c r="AR187">
        <f>IF(R187="",0,VLOOKUP(R187,'Dados de consulta'!$H$2:$I$25,2,0))</f>
        <v>0</v>
      </c>
      <c r="AS187">
        <f>IF(S187="",0,VLOOKUP(S187,'Dados de consulta'!$H$2:$I$25,2,0))</f>
        <v>0</v>
      </c>
      <c r="AT187">
        <f>IF(T187="",0,VLOOKUP(T187,'Dados de consulta'!$H$2:$I$25,2,0))</f>
        <v>0</v>
      </c>
      <c r="AU187">
        <f>IF(U187="",0,VLOOKUP(U187,'Dados de consulta'!$H$2:$I$25,2,0))</f>
        <v>0</v>
      </c>
      <c r="AV187">
        <f>IF(V187="",0,VLOOKUP(V187,'Dados de consulta'!$H$2:$I$25,2,0))</f>
        <v>0</v>
      </c>
      <c r="AW187">
        <f t="shared" si="20"/>
        <v>0</v>
      </c>
      <c r="AX187">
        <f t="shared" si="21"/>
        <v>0</v>
      </c>
      <c r="AY187">
        <f t="shared" si="22"/>
        <v>0</v>
      </c>
    </row>
    <row r="188" spans="1:51" hidden="1" x14ac:dyDescent="0.2">
      <c r="A188" s="202">
        <v>42445</v>
      </c>
      <c r="B188" s="78" t="s">
        <v>285</v>
      </c>
      <c r="W188">
        <f t="shared" si="14"/>
        <v>0</v>
      </c>
      <c r="X188">
        <f t="shared" si="15"/>
        <v>0</v>
      </c>
      <c r="Y188">
        <f t="shared" si="16"/>
        <v>0</v>
      </c>
      <c r="AA188" s="202">
        <v>42445</v>
      </c>
      <c r="AB188" s="78" t="s">
        <v>285</v>
      </c>
      <c r="AC188">
        <f>IF(C188="",0,VLOOKUP(C188,'Dados de consulta'!$H$2:$I$25,2,0))</f>
        <v>0</v>
      </c>
      <c r="AD188">
        <f>IF(D188="",0,VLOOKUP(D188,'Dados de consulta'!$H$2:$I$25,2,0))</f>
        <v>0</v>
      </c>
      <c r="AE188">
        <f>IF(E188="",0,VLOOKUP(E188,'Dados de consulta'!$H$2:$I$25,2,0))</f>
        <v>0</v>
      </c>
      <c r="AF188">
        <f>IF(F188="",0,VLOOKUP(F188,'Dados de consulta'!$H$2:$I$25,2,0))</f>
        <v>0</v>
      </c>
      <c r="AG188">
        <f>IF(G188="",0,VLOOKUP(G188,'Dados de consulta'!$H$2:$I$25,2,0))</f>
        <v>0</v>
      </c>
      <c r="AH188">
        <f>IF(H188="",0,VLOOKUP(H188,'Dados de consulta'!$H$2:$I$25,2,0))</f>
        <v>0</v>
      </c>
      <c r="AI188">
        <f>IF(I188="",0,VLOOKUP(I188,'Dados de consulta'!$H$2:$I$25,2,0))</f>
        <v>0</v>
      </c>
      <c r="AJ188">
        <f>IF(J188="",0,VLOOKUP(J188,'Dados de consulta'!$H$2:$I$25,2,0))</f>
        <v>0</v>
      </c>
      <c r="AK188">
        <f>IF(K188="",0,VLOOKUP(K188,'Dados de consulta'!$H$2:$I$25,2,0))</f>
        <v>0</v>
      </c>
      <c r="AL188">
        <f>IF(L188="",0,VLOOKUP(L188,'Dados de consulta'!$H$2:$I$25,2,0))</f>
        <v>0</v>
      </c>
      <c r="AM188">
        <f>IF(M188="",0,VLOOKUP(M188,'Dados de consulta'!$H$2:$I$25,2,0))</f>
        <v>0</v>
      </c>
      <c r="AN188">
        <f>IF(N188="",0,VLOOKUP(N188,'Dados de consulta'!$H$2:$I$25,2,0))</f>
        <v>0</v>
      </c>
      <c r="AO188">
        <f>IF(O188="",0,VLOOKUP(O188,'Dados de consulta'!$H$2:$I$25,2,0))</f>
        <v>0</v>
      </c>
      <c r="AP188">
        <f>IF(P188="",0,VLOOKUP(P188,'Dados de consulta'!$H$2:$I$25,2,0))</f>
        <v>0</v>
      </c>
      <c r="AQ188">
        <f>IF(Q188="",0,VLOOKUP(Q188,'Dados de consulta'!$H$2:$I$25,2,0))</f>
        <v>0</v>
      </c>
      <c r="AR188">
        <f>IF(R188="",0,VLOOKUP(R188,'Dados de consulta'!$H$2:$I$25,2,0))</f>
        <v>0</v>
      </c>
      <c r="AS188">
        <f>IF(S188="",0,VLOOKUP(S188,'Dados de consulta'!$H$2:$I$25,2,0))</f>
        <v>0</v>
      </c>
      <c r="AT188">
        <f>IF(T188="",0,VLOOKUP(T188,'Dados de consulta'!$H$2:$I$25,2,0))</f>
        <v>0</v>
      </c>
      <c r="AU188">
        <f>IF(U188="",0,VLOOKUP(U188,'Dados de consulta'!$H$2:$I$25,2,0))</f>
        <v>0</v>
      </c>
      <c r="AV188">
        <f>IF(V188="",0,VLOOKUP(V188,'Dados de consulta'!$H$2:$I$25,2,0))</f>
        <v>0</v>
      </c>
      <c r="AW188">
        <f t="shared" si="20"/>
        <v>0</v>
      </c>
      <c r="AX188">
        <f t="shared" si="21"/>
        <v>0</v>
      </c>
      <c r="AY188">
        <f t="shared" si="22"/>
        <v>0</v>
      </c>
    </row>
    <row r="189" spans="1:51" hidden="1" x14ac:dyDescent="0.2">
      <c r="A189" s="202">
        <v>42446</v>
      </c>
      <c r="B189" s="78" t="s">
        <v>286</v>
      </c>
      <c r="W189">
        <f t="shared" si="14"/>
        <v>0</v>
      </c>
      <c r="X189">
        <f t="shared" si="15"/>
        <v>0</v>
      </c>
      <c r="Y189">
        <f t="shared" si="16"/>
        <v>0</v>
      </c>
      <c r="AA189" s="202">
        <v>42446</v>
      </c>
      <c r="AB189" s="78" t="s">
        <v>286</v>
      </c>
      <c r="AC189">
        <f>IF(C189="",0,VLOOKUP(C189,'Dados de consulta'!$H$2:$I$25,2,0))</f>
        <v>0</v>
      </c>
      <c r="AD189">
        <f>IF(D189="",0,VLOOKUP(D189,'Dados de consulta'!$H$2:$I$25,2,0))</f>
        <v>0</v>
      </c>
      <c r="AE189">
        <f>IF(E189="",0,VLOOKUP(E189,'Dados de consulta'!$H$2:$I$25,2,0))</f>
        <v>0</v>
      </c>
      <c r="AF189">
        <f>IF(F189="",0,VLOOKUP(F189,'Dados de consulta'!$H$2:$I$25,2,0))</f>
        <v>0</v>
      </c>
      <c r="AG189">
        <f>IF(G189="",0,VLOOKUP(G189,'Dados de consulta'!$H$2:$I$25,2,0))</f>
        <v>0</v>
      </c>
      <c r="AH189">
        <f>IF(H189="",0,VLOOKUP(H189,'Dados de consulta'!$H$2:$I$25,2,0))</f>
        <v>0</v>
      </c>
      <c r="AI189">
        <f>IF(I189="",0,VLOOKUP(I189,'Dados de consulta'!$H$2:$I$25,2,0))</f>
        <v>0</v>
      </c>
      <c r="AJ189">
        <f>IF(J189="",0,VLOOKUP(J189,'Dados de consulta'!$H$2:$I$25,2,0))</f>
        <v>0</v>
      </c>
      <c r="AK189">
        <f>IF(K189="",0,VLOOKUP(K189,'Dados de consulta'!$H$2:$I$25,2,0))</f>
        <v>0</v>
      </c>
      <c r="AL189">
        <f>IF(L189="",0,VLOOKUP(L189,'Dados de consulta'!$H$2:$I$25,2,0))</f>
        <v>0</v>
      </c>
      <c r="AM189">
        <f>IF(M189="",0,VLOOKUP(M189,'Dados de consulta'!$H$2:$I$25,2,0))</f>
        <v>0</v>
      </c>
      <c r="AN189">
        <f>IF(N189="",0,VLOOKUP(N189,'Dados de consulta'!$H$2:$I$25,2,0))</f>
        <v>0</v>
      </c>
      <c r="AO189">
        <f>IF(O189="",0,VLOOKUP(O189,'Dados de consulta'!$H$2:$I$25,2,0))</f>
        <v>0</v>
      </c>
      <c r="AP189">
        <f>IF(P189="",0,VLOOKUP(P189,'Dados de consulta'!$H$2:$I$25,2,0))</f>
        <v>0</v>
      </c>
      <c r="AQ189">
        <f>IF(Q189="",0,VLOOKUP(Q189,'Dados de consulta'!$H$2:$I$25,2,0))</f>
        <v>0</v>
      </c>
      <c r="AR189">
        <f>IF(R189="",0,VLOOKUP(R189,'Dados de consulta'!$H$2:$I$25,2,0))</f>
        <v>0</v>
      </c>
      <c r="AS189">
        <f>IF(S189="",0,VLOOKUP(S189,'Dados de consulta'!$H$2:$I$25,2,0))</f>
        <v>0</v>
      </c>
      <c r="AT189">
        <f>IF(T189="",0,VLOOKUP(T189,'Dados de consulta'!$H$2:$I$25,2,0))</f>
        <v>0</v>
      </c>
      <c r="AU189">
        <f>IF(U189="",0,VLOOKUP(U189,'Dados de consulta'!$H$2:$I$25,2,0))</f>
        <v>0</v>
      </c>
      <c r="AV189">
        <f>IF(V189="",0,VLOOKUP(V189,'Dados de consulta'!$H$2:$I$25,2,0))</f>
        <v>0</v>
      </c>
      <c r="AW189">
        <f t="shared" si="20"/>
        <v>0</v>
      </c>
      <c r="AX189">
        <f t="shared" si="21"/>
        <v>0</v>
      </c>
      <c r="AY189">
        <f t="shared" si="22"/>
        <v>0</v>
      </c>
    </row>
    <row r="190" spans="1:51" hidden="1" x14ac:dyDescent="0.2">
      <c r="A190" s="202">
        <v>42447</v>
      </c>
      <c r="B190" s="78" t="s">
        <v>287</v>
      </c>
      <c r="W190">
        <f t="shared" si="14"/>
        <v>0</v>
      </c>
      <c r="X190">
        <f t="shared" si="15"/>
        <v>0</v>
      </c>
      <c r="Y190">
        <f t="shared" si="16"/>
        <v>0</v>
      </c>
      <c r="AA190" s="202">
        <v>42447</v>
      </c>
      <c r="AB190" s="78" t="s">
        <v>287</v>
      </c>
      <c r="AC190">
        <f>IF(C190="",0,VLOOKUP(C190,'Dados de consulta'!$H$2:$I$25,2,0))</f>
        <v>0</v>
      </c>
      <c r="AD190">
        <f>IF(D190="",0,VLOOKUP(D190,'Dados de consulta'!$H$2:$I$25,2,0))</f>
        <v>0</v>
      </c>
      <c r="AE190">
        <f>IF(E190="",0,VLOOKUP(E190,'Dados de consulta'!$H$2:$I$25,2,0))</f>
        <v>0</v>
      </c>
      <c r="AF190">
        <f>IF(F190="",0,VLOOKUP(F190,'Dados de consulta'!$H$2:$I$25,2,0))</f>
        <v>0</v>
      </c>
      <c r="AG190">
        <f>IF(G190="",0,VLOOKUP(G190,'Dados de consulta'!$H$2:$I$25,2,0))</f>
        <v>0</v>
      </c>
      <c r="AH190">
        <f>IF(H190="",0,VLOOKUP(H190,'Dados de consulta'!$H$2:$I$25,2,0))</f>
        <v>0</v>
      </c>
      <c r="AI190">
        <f>IF(I190="",0,VLOOKUP(I190,'Dados de consulta'!$H$2:$I$25,2,0))</f>
        <v>0</v>
      </c>
      <c r="AJ190">
        <f>IF(J190="",0,VLOOKUP(J190,'Dados de consulta'!$H$2:$I$25,2,0))</f>
        <v>0</v>
      </c>
      <c r="AK190">
        <f>IF(K190="",0,VLOOKUP(K190,'Dados de consulta'!$H$2:$I$25,2,0))</f>
        <v>0</v>
      </c>
      <c r="AL190">
        <f>IF(L190="",0,VLOOKUP(L190,'Dados de consulta'!$H$2:$I$25,2,0))</f>
        <v>0</v>
      </c>
      <c r="AM190">
        <f>IF(M190="",0,VLOOKUP(M190,'Dados de consulta'!$H$2:$I$25,2,0))</f>
        <v>0</v>
      </c>
      <c r="AN190">
        <f>IF(N190="",0,VLOOKUP(N190,'Dados de consulta'!$H$2:$I$25,2,0))</f>
        <v>0</v>
      </c>
      <c r="AO190">
        <f>IF(O190="",0,VLOOKUP(O190,'Dados de consulta'!$H$2:$I$25,2,0))</f>
        <v>0</v>
      </c>
      <c r="AP190">
        <f>IF(P190="",0,VLOOKUP(P190,'Dados de consulta'!$H$2:$I$25,2,0))</f>
        <v>0</v>
      </c>
      <c r="AQ190">
        <f>IF(Q190="",0,VLOOKUP(Q190,'Dados de consulta'!$H$2:$I$25,2,0))</f>
        <v>0</v>
      </c>
      <c r="AR190">
        <f>IF(R190="",0,VLOOKUP(R190,'Dados de consulta'!$H$2:$I$25,2,0))</f>
        <v>0</v>
      </c>
      <c r="AS190">
        <f>IF(S190="",0,VLOOKUP(S190,'Dados de consulta'!$H$2:$I$25,2,0))</f>
        <v>0</v>
      </c>
      <c r="AT190">
        <f>IF(T190="",0,VLOOKUP(T190,'Dados de consulta'!$H$2:$I$25,2,0))</f>
        <v>0</v>
      </c>
      <c r="AU190">
        <f>IF(U190="",0,VLOOKUP(U190,'Dados de consulta'!$H$2:$I$25,2,0))</f>
        <v>0</v>
      </c>
      <c r="AV190">
        <f>IF(V190="",0,VLOOKUP(V190,'Dados de consulta'!$H$2:$I$25,2,0))</f>
        <v>0</v>
      </c>
      <c r="AW190">
        <f t="shared" si="20"/>
        <v>0</v>
      </c>
      <c r="AX190">
        <f t="shared" si="21"/>
        <v>0</v>
      </c>
      <c r="AY190">
        <f t="shared" si="22"/>
        <v>0</v>
      </c>
    </row>
    <row r="191" spans="1:51" hidden="1" x14ac:dyDescent="0.2">
      <c r="A191" s="202">
        <v>42448</v>
      </c>
      <c r="B191" s="78" t="s">
        <v>281</v>
      </c>
      <c r="C191" s="78" t="s">
        <v>219</v>
      </c>
      <c r="I191" s="78" t="s">
        <v>219</v>
      </c>
      <c r="J191" s="78" t="s">
        <v>219</v>
      </c>
      <c r="L191" s="78" t="s">
        <v>219</v>
      </c>
      <c r="N191" s="78" t="s">
        <v>219</v>
      </c>
      <c r="W191">
        <f t="shared" si="14"/>
        <v>30</v>
      </c>
      <c r="X191">
        <f t="shared" si="15"/>
        <v>0</v>
      </c>
      <c r="Y191">
        <f t="shared" si="16"/>
        <v>0</v>
      </c>
      <c r="AA191" s="202">
        <v>42448</v>
      </c>
      <c r="AB191" s="78" t="s">
        <v>281</v>
      </c>
      <c r="AC191">
        <f>IF(C191="",0,VLOOKUP(C191,'Dados de consulta'!$H$2:$I$25,2,0))</f>
        <v>6</v>
      </c>
      <c r="AD191">
        <f>IF(D191="",0,VLOOKUP(D191,'Dados de consulta'!$H$2:$I$25,2,0))</f>
        <v>0</v>
      </c>
      <c r="AE191">
        <f>IF(E191="",0,VLOOKUP(E191,'Dados de consulta'!$H$2:$I$25,2,0))</f>
        <v>0</v>
      </c>
      <c r="AF191">
        <f>IF(F191="",0,VLOOKUP(F191,'Dados de consulta'!$H$2:$I$25,2,0))</f>
        <v>0</v>
      </c>
      <c r="AG191">
        <f>IF(G191="",0,VLOOKUP(G191,'Dados de consulta'!$H$2:$I$25,2,0))</f>
        <v>0</v>
      </c>
      <c r="AH191">
        <f>IF(H191="",0,VLOOKUP(H191,'Dados de consulta'!$H$2:$I$25,2,0))</f>
        <v>0</v>
      </c>
      <c r="AI191">
        <f>IF(I191="",0,VLOOKUP(I191,'Dados de consulta'!$H$2:$I$25,2,0))</f>
        <v>6</v>
      </c>
      <c r="AJ191">
        <f>IF(J191="",0,VLOOKUP(J191,'Dados de consulta'!$H$2:$I$25,2,0))</f>
        <v>6</v>
      </c>
      <c r="AK191">
        <f>IF(K191="",0,VLOOKUP(K191,'Dados de consulta'!$H$2:$I$25,2,0))</f>
        <v>0</v>
      </c>
      <c r="AL191">
        <f>IF(L191="",0,VLOOKUP(L191,'Dados de consulta'!$H$2:$I$25,2,0))</f>
        <v>6</v>
      </c>
      <c r="AM191">
        <f>IF(M191="",0,VLOOKUP(M191,'Dados de consulta'!$H$2:$I$25,2,0))</f>
        <v>0</v>
      </c>
      <c r="AN191">
        <f>IF(N191="",0,VLOOKUP(N191,'Dados de consulta'!$H$2:$I$25,2,0))</f>
        <v>6</v>
      </c>
      <c r="AO191">
        <f>IF(O191="",0,VLOOKUP(O191,'Dados de consulta'!$H$2:$I$25,2,0))</f>
        <v>0</v>
      </c>
      <c r="AP191">
        <f>IF(P191="",0,VLOOKUP(P191,'Dados de consulta'!$H$2:$I$25,2,0))</f>
        <v>0</v>
      </c>
      <c r="AQ191">
        <f>IF(Q191="",0,VLOOKUP(Q191,'Dados de consulta'!$H$2:$I$25,2,0))</f>
        <v>0</v>
      </c>
      <c r="AR191">
        <f>IF(R191="",0,VLOOKUP(R191,'Dados de consulta'!$H$2:$I$25,2,0))</f>
        <v>0</v>
      </c>
      <c r="AS191">
        <f>IF(S191="",0,VLOOKUP(S191,'Dados de consulta'!$H$2:$I$25,2,0))</f>
        <v>0</v>
      </c>
      <c r="AT191">
        <f>IF(T191="",0,VLOOKUP(T191,'Dados de consulta'!$H$2:$I$25,2,0))</f>
        <v>0</v>
      </c>
      <c r="AU191">
        <f>IF(U191="",0,VLOOKUP(U191,'Dados de consulta'!$H$2:$I$25,2,0))</f>
        <v>0</v>
      </c>
      <c r="AV191">
        <f>IF(V191="",0,VLOOKUP(V191,'Dados de consulta'!$H$2:$I$25,2,0))</f>
        <v>0</v>
      </c>
      <c r="AW191">
        <f t="shared" si="20"/>
        <v>30</v>
      </c>
      <c r="AX191">
        <f t="shared" si="21"/>
        <v>0</v>
      </c>
      <c r="AY191">
        <f t="shared" si="22"/>
        <v>0</v>
      </c>
    </row>
    <row r="192" spans="1:51" hidden="1" x14ac:dyDescent="0.2">
      <c r="A192" s="202">
        <v>42449</v>
      </c>
      <c r="B192" s="78" t="s">
        <v>282</v>
      </c>
      <c r="W192">
        <f t="shared" si="14"/>
        <v>0</v>
      </c>
      <c r="X192">
        <f t="shared" si="15"/>
        <v>0</v>
      </c>
      <c r="Y192">
        <f t="shared" si="16"/>
        <v>0</v>
      </c>
      <c r="AA192" s="202">
        <v>42449</v>
      </c>
      <c r="AB192" s="78" t="s">
        <v>282</v>
      </c>
      <c r="AC192">
        <f>IF(C192="",0,VLOOKUP(C192,'Dados de consulta'!$H$2:$I$25,2,0))</f>
        <v>0</v>
      </c>
      <c r="AD192">
        <f>IF(D192="",0,VLOOKUP(D192,'Dados de consulta'!$H$2:$I$25,2,0))</f>
        <v>0</v>
      </c>
      <c r="AE192">
        <f>IF(E192="",0,VLOOKUP(E192,'Dados de consulta'!$H$2:$I$25,2,0))</f>
        <v>0</v>
      </c>
      <c r="AF192">
        <f>IF(F192="",0,VLOOKUP(F192,'Dados de consulta'!$H$2:$I$25,2,0))</f>
        <v>0</v>
      </c>
      <c r="AG192">
        <f>IF(G192="",0,VLOOKUP(G192,'Dados de consulta'!$H$2:$I$25,2,0))</f>
        <v>0</v>
      </c>
      <c r="AH192">
        <f>IF(H192="",0,VLOOKUP(H192,'Dados de consulta'!$H$2:$I$25,2,0))</f>
        <v>0</v>
      </c>
      <c r="AI192">
        <f>IF(I192="",0,VLOOKUP(I192,'Dados de consulta'!$H$2:$I$25,2,0))</f>
        <v>0</v>
      </c>
      <c r="AJ192">
        <f>IF(J192="",0,VLOOKUP(J192,'Dados de consulta'!$H$2:$I$25,2,0))</f>
        <v>0</v>
      </c>
      <c r="AK192">
        <f>IF(K192="",0,VLOOKUP(K192,'Dados de consulta'!$H$2:$I$25,2,0))</f>
        <v>0</v>
      </c>
      <c r="AL192">
        <f>IF(L192="",0,VLOOKUP(L192,'Dados de consulta'!$H$2:$I$25,2,0))</f>
        <v>0</v>
      </c>
      <c r="AM192">
        <f>IF(M192="",0,VLOOKUP(M192,'Dados de consulta'!$H$2:$I$25,2,0))</f>
        <v>0</v>
      </c>
      <c r="AN192">
        <f>IF(N192="",0,VLOOKUP(N192,'Dados de consulta'!$H$2:$I$25,2,0))</f>
        <v>0</v>
      </c>
      <c r="AO192">
        <f>IF(O192="",0,VLOOKUP(O192,'Dados de consulta'!$H$2:$I$25,2,0))</f>
        <v>0</v>
      </c>
      <c r="AP192">
        <f>IF(P192="",0,VLOOKUP(P192,'Dados de consulta'!$H$2:$I$25,2,0))</f>
        <v>0</v>
      </c>
      <c r="AQ192">
        <f>IF(Q192="",0,VLOOKUP(Q192,'Dados de consulta'!$H$2:$I$25,2,0))</f>
        <v>0</v>
      </c>
      <c r="AR192">
        <f>IF(R192="",0,VLOOKUP(R192,'Dados de consulta'!$H$2:$I$25,2,0))</f>
        <v>0</v>
      </c>
      <c r="AS192">
        <f>IF(S192="",0,VLOOKUP(S192,'Dados de consulta'!$H$2:$I$25,2,0))</f>
        <v>0</v>
      </c>
      <c r="AT192">
        <f>IF(T192="",0,VLOOKUP(T192,'Dados de consulta'!$H$2:$I$25,2,0))</f>
        <v>0</v>
      </c>
      <c r="AU192">
        <f>IF(U192="",0,VLOOKUP(U192,'Dados de consulta'!$H$2:$I$25,2,0))</f>
        <v>0</v>
      </c>
      <c r="AV192">
        <f>IF(V192="",0,VLOOKUP(V192,'Dados de consulta'!$H$2:$I$25,2,0))</f>
        <v>0</v>
      </c>
      <c r="AW192">
        <f t="shared" si="20"/>
        <v>0</v>
      </c>
      <c r="AX192">
        <f t="shared" si="21"/>
        <v>0</v>
      </c>
      <c r="AY192">
        <f t="shared" si="22"/>
        <v>0</v>
      </c>
    </row>
    <row r="193" spans="1:51" hidden="1" x14ac:dyDescent="0.2">
      <c r="A193" s="202">
        <v>42450</v>
      </c>
      <c r="B193" s="78" t="s">
        <v>283</v>
      </c>
      <c r="W193">
        <f t="shared" si="14"/>
        <v>0</v>
      </c>
      <c r="X193">
        <f t="shared" si="15"/>
        <v>0</v>
      </c>
      <c r="Y193">
        <f t="shared" si="16"/>
        <v>0</v>
      </c>
      <c r="AA193" s="202">
        <v>42450</v>
      </c>
      <c r="AB193" s="78" t="s">
        <v>283</v>
      </c>
      <c r="AC193">
        <f>IF(C193="",0,VLOOKUP(C193,'Dados de consulta'!$H$2:$I$25,2,0))</f>
        <v>0</v>
      </c>
      <c r="AD193">
        <f>IF(D193="",0,VLOOKUP(D193,'Dados de consulta'!$H$2:$I$25,2,0))</f>
        <v>0</v>
      </c>
      <c r="AE193">
        <f>IF(E193="",0,VLOOKUP(E193,'Dados de consulta'!$H$2:$I$25,2,0))</f>
        <v>0</v>
      </c>
      <c r="AF193">
        <f>IF(F193="",0,VLOOKUP(F193,'Dados de consulta'!$H$2:$I$25,2,0))</f>
        <v>0</v>
      </c>
      <c r="AG193">
        <f>IF(G193="",0,VLOOKUP(G193,'Dados de consulta'!$H$2:$I$25,2,0))</f>
        <v>0</v>
      </c>
      <c r="AH193">
        <f>IF(H193="",0,VLOOKUP(H193,'Dados de consulta'!$H$2:$I$25,2,0))</f>
        <v>0</v>
      </c>
      <c r="AI193">
        <f>IF(I193="",0,VLOOKUP(I193,'Dados de consulta'!$H$2:$I$25,2,0))</f>
        <v>0</v>
      </c>
      <c r="AJ193">
        <f>IF(J193="",0,VLOOKUP(J193,'Dados de consulta'!$H$2:$I$25,2,0))</f>
        <v>0</v>
      </c>
      <c r="AK193">
        <f>IF(K193="",0,VLOOKUP(K193,'Dados de consulta'!$H$2:$I$25,2,0))</f>
        <v>0</v>
      </c>
      <c r="AL193">
        <f>IF(L193="",0,VLOOKUP(L193,'Dados de consulta'!$H$2:$I$25,2,0))</f>
        <v>0</v>
      </c>
      <c r="AM193">
        <f>IF(M193="",0,VLOOKUP(M193,'Dados de consulta'!$H$2:$I$25,2,0))</f>
        <v>0</v>
      </c>
      <c r="AN193">
        <f>IF(N193="",0,VLOOKUP(N193,'Dados de consulta'!$H$2:$I$25,2,0))</f>
        <v>0</v>
      </c>
      <c r="AO193">
        <f>IF(O193="",0,VLOOKUP(O193,'Dados de consulta'!$H$2:$I$25,2,0))</f>
        <v>0</v>
      </c>
      <c r="AP193">
        <f>IF(P193="",0,VLOOKUP(P193,'Dados de consulta'!$H$2:$I$25,2,0))</f>
        <v>0</v>
      </c>
      <c r="AQ193">
        <f>IF(Q193="",0,VLOOKUP(Q193,'Dados de consulta'!$H$2:$I$25,2,0))</f>
        <v>0</v>
      </c>
      <c r="AR193">
        <f>IF(R193="",0,VLOOKUP(R193,'Dados de consulta'!$H$2:$I$25,2,0))</f>
        <v>0</v>
      </c>
      <c r="AS193">
        <f>IF(S193="",0,VLOOKUP(S193,'Dados de consulta'!$H$2:$I$25,2,0))</f>
        <v>0</v>
      </c>
      <c r="AT193">
        <f>IF(T193="",0,VLOOKUP(T193,'Dados de consulta'!$H$2:$I$25,2,0))</f>
        <v>0</v>
      </c>
      <c r="AU193">
        <f>IF(U193="",0,VLOOKUP(U193,'Dados de consulta'!$H$2:$I$25,2,0))</f>
        <v>0</v>
      </c>
      <c r="AV193">
        <f>IF(V193="",0,VLOOKUP(V193,'Dados de consulta'!$H$2:$I$25,2,0))</f>
        <v>0</v>
      </c>
      <c r="AW193">
        <f t="shared" si="20"/>
        <v>0</v>
      </c>
      <c r="AX193">
        <f t="shared" si="21"/>
        <v>0</v>
      </c>
      <c r="AY193">
        <f t="shared" si="22"/>
        <v>0</v>
      </c>
    </row>
    <row r="194" spans="1:51" hidden="1" x14ac:dyDescent="0.2">
      <c r="A194" s="202">
        <v>42451</v>
      </c>
      <c r="B194" s="78" t="s">
        <v>284</v>
      </c>
      <c r="W194">
        <f t="shared" si="14"/>
        <v>0</v>
      </c>
      <c r="X194">
        <f t="shared" si="15"/>
        <v>0</v>
      </c>
      <c r="Y194">
        <f t="shared" si="16"/>
        <v>0</v>
      </c>
      <c r="AA194" s="202">
        <v>42451</v>
      </c>
      <c r="AB194" s="78" t="s">
        <v>284</v>
      </c>
      <c r="AC194">
        <f>IF(C194="",0,VLOOKUP(C194,'Dados de consulta'!$H$2:$I$25,2,0))</f>
        <v>0</v>
      </c>
      <c r="AD194">
        <f>IF(D194="",0,VLOOKUP(D194,'Dados de consulta'!$H$2:$I$25,2,0))</f>
        <v>0</v>
      </c>
      <c r="AE194">
        <f>IF(E194="",0,VLOOKUP(E194,'Dados de consulta'!$H$2:$I$25,2,0))</f>
        <v>0</v>
      </c>
      <c r="AF194">
        <f>IF(F194="",0,VLOOKUP(F194,'Dados de consulta'!$H$2:$I$25,2,0))</f>
        <v>0</v>
      </c>
      <c r="AG194">
        <f>IF(G194="",0,VLOOKUP(G194,'Dados de consulta'!$H$2:$I$25,2,0))</f>
        <v>0</v>
      </c>
      <c r="AH194">
        <f>IF(H194="",0,VLOOKUP(H194,'Dados de consulta'!$H$2:$I$25,2,0))</f>
        <v>0</v>
      </c>
      <c r="AI194">
        <f>IF(I194="",0,VLOOKUP(I194,'Dados de consulta'!$H$2:$I$25,2,0))</f>
        <v>0</v>
      </c>
      <c r="AJ194">
        <f>IF(J194="",0,VLOOKUP(J194,'Dados de consulta'!$H$2:$I$25,2,0))</f>
        <v>0</v>
      </c>
      <c r="AK194">
        <f>IF(K194="",0,VLOOKUP(K194,'Dados de consulta'!$H$2:$I$25,2,0))</f>
        <v>0</v>
      </c>
      <c r="AL194">
        <f>IF(L194="",0,VLOOKUP(L194,'Dados de consulta'!$H$2:$I$25,2,0))</f>
        <v>0</v>
      </c>
      <c r="AM194">
        <f>IF(M194="",0,VLOOKUP(M194,'Dados de consulta'!$H$2:$I$25,2,0))</f>
        <v>0</v>
      </c>
      <c r="AN194">
        <f>IF(N194="",0,VLOOKUP(N194,'Dados de consulta'!$H$2:$I$25,2,0))</f>
        <v>0</v>
      </c>
      <c r="AO194">
        <f>IF(O194="",0,VLOOKUP(O194,'Dados de consulta'!$H$2:$I$25,2,0))</f>
        <v>0</v>
      </c>
      <c r="AP194">
        <f>IF(P194="",0,VLOOKUP(P194,'Dados de consulta'!$H$2:$I$25,2,0))</f>
        <v>0</v>
      </c>
      <c r="AQ194">
        <f>IF(Q194="",0,VLOOKUP(Q194,'Dados de consulta'!$H$2:$I$25,2,0))</f>
        <v>0</v>
      </c>
      <c r="AR194">
        <f>IF(R194="",0,VLOOKUP(R194,'Dados de consulta'!$H$2:$I$25,2,0))</f>
        <v>0</v>
      </c>
      <c r="AS194">
        <f>IF(S194="",0,VLOOKUP(S194,'Dados de consulta'!$H$2:$I$25,2,0))</f>
        <v>0</v>
      </c>
      <c r="AT194">
        <f>IF(T194="",0,VLOOKUP(T194,'Dados de consulta'!$H$2:$I$25,2,0))</f>
        <v>0</v>
      </c>
      <c r="AU194">
        <f>IF(U194="",0,VLOOKUP(U194,'Dados de consulta'!$H$2:$I$25,2,0))</f>
        <v>0</v>
      </c>
      <c r="AV194">
        <f>IF(V194="",0,VLOOKUP(V194,'Dados de consulta'!$H$2:$I$25,2,0))</f>
        <v>0</v>
      </c>
      <c r="AW194">
        <f t="shared" si="20"/>
        <v>0</v>
      </c>
      <c r="AX194">
        <f t="shared" si="21"/>
        <v>0</v>
      </c>
      <c r="AY194">
        <f t="shared" si="22"/>
        <v>0</v>
      </c>
    </row>
    <row r="195" spans="1:51" hidden="1" x14ac:dyDescent="0.2">
      <c r="A195" s="202">
        <v>42452</v>
      </c>
      <c r="B195" s="78" t="s">
        <v>285</v>
      </c>
      <c r="W195">
        <f t="shared" ref="W195:W258" si="23">AW195</f>
        <v>0</v>
      </c>
      <c r="X195">
        <f t="shared" ref="X195:X258" si="24">AX195</f>
        <v>0</v>
      </c>
      <c r="Y195">
        <f t="shared" ref="Y195:Y258" si="25">AY195</f>
        <v>0</v>
      </c>
      <c r="AA195" s="202">
        <v>42452</v>
      </c>
      <c r="AB195" s="78" t="s">
        <v>285</v>
      </c>
      <c r="AC195">
        <f>IF(C195="",0,VLOOKUP(C195,'Dados de consulta'!$H$2:$I$25,2,0))</f>
        <v>0</v>
      </c>
      <c r="AD195">
        <f>IF(D195="",0,VLOOKUP(D195,'Dados de consulta'!$H$2:$I$25,2,0))</f>
        <v>0</v>
      </c>
      <c r="AE195">
        <f>IF(E195="",0,VLOOKUP(E195,'Dados de consulta'!$H$2:$I$25,2,0))</f>
        <v>0</v>
      </c>
      <c r="AF195">
        <f>IF(F195="",0,VLOOKUP(F195,'Dados de consulta'!$H$2:$I$25,2,0))</f>
        <v>0</v>
      </c>
      <c r="AG195">
        <f>IF(G195="",0,VLOOKUP(G195,'Dados de consulta'!$H$2:$I$25,2,0))</f>
        <v>0</v>
      </c>
      <c r="AH195">
        <f>IF(H195="",0,VLOOKUP(H195,'Dados de consulta'!$H$2:$I$25,2,0))</f>
        <v>0</v>
      </c>
      <c r="AI195">
        <f>IF(I195="",0,VLOOKUP(I195,'Dados de consulta'!$H$2:$I$25,2,0))</f>
        <v>0</v>
      </c>
      <c r="AJ195">
        <f>IF(J195="",0,VLOOKUP(J195,'Dados de consulta'!$H$2:$I$25,2,0))</f>
        <v>0</v>
      </c>
      <c r="AK195">
        <f>IF(K195="",0,VLOOKUP(K195,'Dados de consulta'!$H$2:$I$25,2,0))</f>
        <v>0</v>
      </c>
      <c r="AL195">
        <f>IF(L195="",0,VLOOKUP(L195,'Dados de consulta'!$H$2:$I$25,2,0))</f>
        <v>0</v>
      </c>
      <c r="AM195">
        <f>IF(M195="",0,VLOOKUP(M195,'Dados de consulta'!$H$2:$I$25,2,0))</f>
        <v>0</v>
      </c>
      <c r="AN195">
        <f>IF(N195="",0,VLOOKUP(N195,'Dados de consulta'!$H$2:$I$25,2,0))</f>
        <v>0</v>
      </c>
      <c r="AO195">
        <f>IF(O195="",0,VLOOKUP(O195,'Dados de consulta'!$H$2:$I$25,2,0))</f>
        <v>0</v>
      </c>
      <c r="AP195">
        <f>IF(P195="",0,VLOOKUP(P195,'Dados de consulta'!$H$2:$I$25,2,0))</f>
        <v>0</v>
      </c>
      <c r="AQ195">
        <f>IF(Q195="",0,VLOOKUP(Q195,'Dados de consulta'!$H$2:$I$25,2,0))</f>
        <v>0</v>
      </c>
      <c r="AR195">
        <f>IF(R195="",0,VLOOKUP(R195,'Dados de consulta'!$H$2:$I$25,2,0))</f>
        <v>0</v>
      </c>
      <c r="AS195">
        <f>IF(S195="",0,VLOOKUP(S195,'Dados de consulta'!$H$2:$I$25,2,0))</f>
        <v>0</v>
      </c>
      <c r="AT195">
        <f>IF(T195="",0,VLOOKUP(T195,'Dados de consulta'!$H$2:$I$25,2,0))</f>
        <v>0</v>
      </c>
      <c r="AU195">
        <f>IF(U195="",0,VLOOKUP(U195,'Dados de consulta'!$H$2:$I$25,2,0))</f>
        <v>0</v>
      </c>
      <c r="AV195">
        <f>IF(V195="",0,VLOOKUP(V195,'Dados de consulta'!$H$2:$I$25,2,0))</f>
        <v>0</v>
      </c>
      <c r="AW195">
        <f t="shared" si="20"/>
        <v>0</v>
      </c>
      <c r="AX195">
        <f t="shared" si="21"/>
        <v>0</v>
      </c>
      <c r="AY195">
        <f t="shared" si="22"/>
        <v>0</v>
      </c>
    </row>
    <row r="196" spans="1:51" hidden="1" x14ac:dyDescent="0.2">
      <c r="A196" s="202">
        <v>42453</v>
      </c>
      <c r="B196" s="78" t="s">
        <v>286</v>
      </c>
      <c r="W196">
        <f t="shared" si="23"/>
        <v>0</v>
      </c>
      <c r="X196">
        <f t="shared" si="24"/>
        <v>0</v>
      </c>
      <c r="Y196">
        <f t="shared" si="25"/>
        <v>0</v>
      </c>
      <c r="AA196" s="202">
        <v>42453</v>
      </c>
      <c r="AB196" s="78" t="s">
        <v>286</v>
      </c>
      <c r="AC196">
        <f>IF(C196="",0,VLOOKUP(C196,'Dados de consulta'!$H$2:$I$25,2,0))</f>
        <v>0</v>
      </c>
      <c r="AD196">
        <f>IF(D196="",0,VLOOKUP(D196,'Dados de consulta'!$H$2:$I$25,2,0))</f>
        <v>0</v>
      </c>
      <c r="AE196">
        <f>IF(E196="",0,VLOOKUP(E196,'Dados de consulta'!$H$2:$I$25,2,0))</f>
        <v>0</v>
      </c>
      <c r="AF196">
        <f>IF(F196="",0,VLOOKUP(F196,'Dados de consulta'!$H$2:$I$25,2,0))</f>
        <v>0</v>
      </c>
      <c r="AG196">
        <f>IF(G196="",0,VLOOKUP(G196,'Dados de consulta'!$H$2:$I$25,2,0))</f>
        <v>0</v>
      </c>
      <c r="AH196">
        <f>IF(H196="",0,VLOOKUP(H196,'Dados de consulta'!$H$2:$I$25,2,0))</f>
        <v>0</v>
      </c>
      <c r="AI196">
        <f>IF(I196="",0,VLOOKUP(I196,'Dados de consulta'!$H$2:$I$25,2,0))</f>
        <v>0</v>
      </c>
      <c r="AJ196">
        <f>IF(J196="",0,VLOOKUP(J196,'Dados de consulta'!$H$2:$I$25,2,0))</f>
        <v>0</v>
      </c>
      <c r="AK196">
        <f>IF(K196="",0,VLOOKUP(K196,'Dados de consulta'!$H$2:$I$25,2,0))</f>
        <v>0</v>
      </c>
      <c r="AL196">
        <f>IF(L196="",0,VLOOKUP(L196,'Dados de consulta'!$H$2:$I$25,2,0))</f>
        <v>0</v>
      </c>
      <c r="AM196">
        <f>IF(M196="",0,VLOOKUP(M196,'Dados de consulta'!$H$2:$I$25,2,0))</f>
        <v>0</v>
      </c>
      <c r="AN196">
        <f>IF(N196="",0,VLOOKUP(N196,'Dados de consulta'!$H$2:$I$25,2,0))</f>
        <v>0</v>
      </c>
      <c r="AO196">
        <f>IF(O196="",0,VLOOKUP(O196,'Dados de consulta'!$H$2:$I$25,2,0))</f>
        <v>0</v>
      </c>
      <c r="AP196">
        <f>IF(P196="",0,VLOOKUP(P196,'Dados de consulta'!$H$2:$I$25,2,0))</f>
        <v>0</v>
      </c>
      <c r="AQ196">
        <f>IF(Q196="",0,VLOOKUP(Q196,'Dados de consulta'!$H$2:$I$25,2,0))</f>
        <v>0</v>
      </c>
      <c r="AR196">
        <f>IF(R196="",0,VLOOKUP(R196,'Dados de consulta'!$H$2:$I$25,2,0))</f>
        <v>0</v>
      </c>
      <c r="AS196">
        <f>IF(S196="",0,VLOOKUP(S196,'Dados de consulta'!$H$2:$I$25,2,0))</f>
        <v>0</v>
      </c>
      <c r="AT196">
        <f>IF(T196="",0,VLOOKUP(T196,'Dados de consulta'!$H$2:$I$25,2,0))</f>
        <v>0</v>
      </c>
      <c r="AU196">
        <f>IF(U196="",0,VLOOKUP(U196,'Dados de consulta'!$H$2:$I$25,2,0))</f>
        <v>0</v>
      </c>
      <c r="AV196">
        <f>IF(V196="",0,VLOOKUP(V196,'Dados de consulta'!$H$2:$I$25,2,0))</f>
        <v>0</v>
      </c>
      <c r="AW196">
        <f t="shared" si="20"/>
        <v>0</v>
      </c>
      <c r="AX196">
        <f t="shared" si="21"/>
        <v>0</v>
      </c>
      <c r="AY196">
        <f t="shared" si="22"/>
        <v>0</v>
      </c>
    </row>
    <row r="197" spans="1:51" hidden="1" x14ac:dyDescent="0.2">
      <c r="A197" s="202">
        <v>42454</v>
      </c>
      <c r="B197" s="78" t="s">
        <v>287</v>
      </c>
      <c r="W197">
        <f t="shared" si="23"/>
        <v>0</v>
      </c>
      <c r="X197">
        <f t="shared" si="24"/>
        <v>0</v>
      </c>
      <c r="Y197">
        <f t="shared" si="25"/>
        <v>0</v>
      </c>
      <c r="AA197" s="202">
        <v>42454</v>
      </c>
      <c r="AB197" s="78" t="s">
        <v>287</v>
      </c>
      <c r="AC197">
        <f>IF(C197="",0,VLOOKUP(C197,'Dados de consulta'!$H$2:$I$25,2,0))</f>
        <v>0</v>
      </c>
      <c r="AD197">
        <f>IF(D197="",0,VLOOKUP(D197,'Dados de consulta'!$H$2:$I$25,2,0))</f>
        <v>0</v>
      </c>
      <c r="AE197">
        <f>IF(E197="",0,VLOOKUP(E197,'Dados de consulta'!$H$2:$I$25,2,0))</f>
        <v>0</v>
      </c>
      <c r="AF197">
        <f>IF(F197="",0,VLOOKUP(F197,'Dados de consulta'!$H$2:$I$25,2,0))</f>
        <v>0</v>
      </c>
      <c r="AG197">
        <f>IF(G197="",0,VLOOKUP(G197,'Dados de consulta'!$H$2:$I$25,2,0))</f>
        <v>0</v>
      </c>
      <c r="AH197">
        <f>IF(H197="",0,VLOOKUP(H197,'Dados de consulta'!$H$2:$I$25,2,0))</f>
        <v>0</v>
      </c>
      <c r="AI197">
        <f>IF(I197="",0,VLOOKUP(I197,'Dados de consulta'!$H$2:$I$25,2,0))</f>
        <v>0</v>
      </c>
      <c r="AJ197">
        <f>IF(J197="",0,VLOOKUP(J197,'Dados de consulta'!$H$2:$I$25,2,0))</f>
        <v>0</v>
      </c>
      <c r="AK197">
        <f>IF(K197="",0,VLOOKUP(K197,'Dados de consulta'!$H$2:$I$25,2,0))</f>
        <v>0</v>
      </c>
      <c r="AL197">
        <f>IF(L197="",0,VLOOKUP(L197,'Dados de consulta'!$H$2:$I$25,2,0))</f>
        <v>0</v>
      </c>
      <c r="AM197">
        <f>IF(M197="",0,VLOOKUP(M197,'Dados de consulta'!$H$2:$I$25,2,0))</f>
        <v>0</v>
      </c>
      <c r="AN197">
        <f>IF(N197="",0,VLOOKUP(N197,'Dados de consulta'!$H$2:$I$25,2,0))</f>
        <v>0</v>
      </c>
      <c r="AO197">
        <f>IF(O197="",0,VLOOKUP(O197,'Dados de consulta'!$H$2:$I$25,2,0))</f>
        <v>0</v>
      </c>
      <c r="AP197">
        <f>IF(P197="",0,VLOOKUP(P197,'Dados de consulta'!$H$2:$I$25,2,0))</f>
        <v>0</v>
      </c>
      <c r="AQ197">
        <f>IF(Q197="",0,VLOOKUP(Q197,'Dados de consulta'!$H$2:$I$25,2,0))</f>
        <v>0</v>
      </c>
      <c r="AR197">
        <f>IF(R197="",0,VLOOKUP(R197,'Dados de consulta'!$H$2:$I$25,2,0))</f>
        <v>0</v>
      </c>
      <c r="AS197">
        <f>IF(S197="",0,VLOOKUP(S197,'Dados de consulta'!$H$2:$I$25,2,0))</f>
        <v>0</v>
      </c>
      <c r="AT197">
        <f>IF(T197="",0,VLOOKUP(T197,'Dados de consulta'!$H$2:$I$25,2,0))</f>
        <v>0</v>
      </c>
      <c r="AU197">
        <f>IF(U197="",0,VLOOKUP(U197,'Dados de consulta'!$H$2:$I$25,2,0))</f>
        <v>0</v>
      </c>
      <c r="AV197">
        <f>IF(V197="",0,VLOOKUP(V197,'Dados de consulta'!$H$2:$I$25,2,0))</f>
        <v>0</v>
      </c>
      <c r="AW197">
        <f t="shared" si="20"/>
        <v>0</v>
      </c>
      <c r="AX197">
        <f t="shared" si="21"/>
        <v>0</v>
      </c>
      <c r="AY197">
        <f t="shared" si="22"/>
        <v>0</v>
      </c>
    </row>
    <row r="198" spans="1:51" hidden="1" x14ac:dyDescent="0.2">
      <c r="A198" s="202">
        <v>42455</v>
      </c>
      <c r="B198" s="78" t="s">
        <v>281</v>
      </c>
      <c r="W198">
        <f t="shared" si="23"/>
        <v>0</v>
      </c>
      <c r="X198">
        <f t="shared" si="24"/>
        <v>0</v>
      </c>
      <c r="Y198">
        <f t="shared" si="25"/>
        <v>0</v>
      </c>
      <c r="AA198" s="202">
        <v>42455</v>
      </c>
      <c r="AB198" s="78" t="s">
        <v>281</v>
      </c>
      <c r="AC198">
        <f>IF(C198="",0,VLOOKUP(C198,'Dados de consulta'!$H$2:$I$25,2,0))</f>
        <v>0</v>
      </c>
      <c r="AD198">
        <f>IF(D198="",0,VLOOKUP(D198,'Dados de consulta'!$H$2:$I$25,2,0))</f>
        <v>0</v>
      </c>
      <c r="AE198">
        <f>IF(E198="",0,VLOOKUP(E198,'Dados de consulta'!$H$2:$I$25,2,0))</f>
        <v>0</v>
      </c>
      <c r="AF198">
        <f>IF(F198="",0,VLOOKUP(F198,'Dados de consulta'!$H$2:$I$25,2,0))</f>
        <v>0</v>
      </c>
      <c r="AG198">
        <f>IF(G198="",0,VLOOKUP(G198,'Dados de consulta'!$H$2:$I$25,2,0))</f>
        <v>0</v>
      </c>
      <c r="AH198">
        <f>IF(H198="",0,VLOOKUP(H198,'Dados de consulta'!$H$2:$I$25,2,0))</f>
        <v>0</v>
      </c>
      <c r="AI198">
        <f>IF(I198="",0,VLOOKUP(I198,'Dados de consulta'!$H$2:$I$25,2,0))</f>
        <v>0</v>
      </c>
      <c r="AJ198">
        <f>IF(J198="",0,VLOOKUP(J198,'Dados de consulta'!$H$2:$I$25,2,0))</f>
        <v>0</v>
      </c>
      <c r="AK198">
        <f>IF(K198="",0,VLOOKUP(K198,'Dados de consulta'!$H$2:$I$25,2,0))</f>
        <v>0</v>
      </c>
      <c r="AL198">
        <f>IF(L198="",0,VLOOKUP(L198,'Dados de consulta'!$H$2:$I$25,2,0))</f>
        <v>0</v>
      </c>
      <c r="AM198">
        <f>IF(M198="",0,VLOOKUP(M198,'Dados de consulta'!$H$2:$I$25,2,0))</f>
        <v>0</v>
      </c>
      <c r="AN198">
        <f>IF(N198="",0,VLOOKUP(N198,'Dados de consulta'!$H$2:$I$25,2,0))</f>
        <v>0</v>
      </c>
      <c r="AO198">
        <f>IF(O198="",0,VLOOKUP(O198,'Dados de consulta'!$H$2:$I$25,2,0))</f>
        <v>0</v>
      </c>
      <c r="AP198">
        <f>IF(P198="",0,VLOOKUP(P198,'Dados de consulta'!$H$2:$I$25,2,0))</f>
        <v>0</v>
      </c>
      <c r="AQ198">
        <f>IF(Q198="",0,VLOOKUP(Q198,'Dados de consulta'!$H$2:$I$25,2,0))</f>
        <v>0</v>
      </c>
      <c r="AR198">
        <f>IF(R198="",0,VLOOKUP(R198,'Dados de consulta'!$H$2:$I$25,2,0))</f>
        <v>0</v>
      </c>
      <c r="AS198">
        <f>IF(S198="",0,VLOOKUP(S198,'Dados de consulta'!$H$2:$I$25,2,0))</f>
        <v>0</v>
      </c>
      <c r="AT198">
        <f>IF(T198="",0,VLOOKUP(T198,'Dados de consulta'!$H$2:$I$25,2,0))</f>
        <v>0</v>
      </c>
      <c r="AU198">
        <f>IF(U198="",0,VLOOKUP(U198,'Dados de consulta'!$H$2:$I$25,2,0))</f>
        <v>0</v>
      </c>
      <c r="AV198">
        <f>IF(V198="",0,VLOOKUP(V198,'Dados de consulta'!$H$2:$I$25,2,0))</f>
        <v>0</v>
      </c>
      <c r="AW198">
        <f t="shared" si="20"/>
        <v>0</v>
      </c>
      <c r="AX198">
        <f t="shared" si="21"/>
        <v>0</v>
      </c>
      <c r="AY198">
        <f t="shared" si="22"/>
        <v>0</v>
      </c>
    </row>
    <row r="199" spans="1:51" hidden="1" x14ac:dyDescent="0.2">
      <c r="A199" s="202">
        <v>42456</v>
      </c>
      <c r="B199" s="78" t="s">
        <v>282</v>
      </c>
      <c r="W199">
        <f t="shared" si="23"/>
        <v>0</v>
      </c>
      <c r="X199">
        <f t="shared" si="24"/>
        <v>0</v>
      </c>
      <c r="Y199">
        <f t="shared" si="25"/>
        <v>0</v>
      </c>
      <c r="AA199" s="202">
        <v>42456</v>
      </c>
      <c r="AB199" s="78" t="s">
        <v>282</v>
      </c>
      <c r="AC199">
        <f>IF(C199="",0,VLOOKUP(C199,'Dados de consulta'!$H$2:$I$25,2,0))</f>
        <v>0</v>
      </c>
      <c r="AD199">
        <f>IF(D199="",0,VLOOKUP(D199,'Dados de consulta'!$H$2:$I$25,2,0))</f>
        <v>0</v>
      </c>
      <c r="AE199">
        <f>IF(E199="",0,VLOOKUP(E199,'Dados de consulta'!$H$2:$I$25,2,0))</f>
        <v>0</v>
      </c>
      <c r="AF199">
        <f>IF(F199="",0,VLOOKUP(F199,'Dados de consulta'!$H$2:$I$25,2,0))</f>
        <v>0</v>
      </c>
      <c r="AG199">
        <f>IF(G199="",0,VLOOKUP(G199,'Dados de consulta'!$H$2:$I$25,2,0))</f>
        <v>0</v>
      </c>
      <c r="AH199">
        <f>IF(H199="",0,VLOOKUP(H199,'Dados de consulta'!$H$2:$I$25,2,0))</f>
        <v>0</v>
      </c>
      <c r="AI199">
        <f>IF(I199="",0,VLOOKUP(I199,'Dados de consulta'!$H$2:$I$25,2,0))</f>
        <v>0</v>
      </c>
      <c r="AJ199">
        <f>IF(J199="",0,VLOOKUP(J199,'Dados de consulta'!$H$2:$I$25,2,0))</f>
        <v>0</v>
      </c>
      <c r="AK199">
        <f>IF(K199="",0,VLOOKUP(K199,'Dados de consulta'!$H$2:$I$25,2,0))</f>
        <v>0</v>
      </c>
      <c r="AL199">
        <f>IF(L199="",0,VLOOKUP(L199,'Dados de consulta'!$H$2:$I$25,2,0))</f>
        <v>0</v>
      </c>
      <c r="AM199">
        <f>IF(M199="",0,VLOOKUP(M199,'Dados de consulta'!$H$2:$I$25,2,0))</f>
        <v>0</v>
      </c>
      <c r="AN199">
        <f>IF(N199="",0,VLOOKUP(N199,'Dados de consulta'!$H$2:$I$25,2,0))</f>
        <v>0</v>
      </c>
      <c r="AO199">
        <f>IF(O199="",0,VLOOKUP(O199,'Dados de consulta'!$H$2:$I$25,2,0))</f>
        <v>0</v>
      </c>
      <c r="AP199">
        <f>IF(P199="",0,VLOOKUP(P199,'Dados de consulta'!$H$2:$I$25,2,0))</f>
        <v>0</v>
      </c>
      <c r="AQ199">
        <f>IF(Q199="",0,VLOOKUP(Q199,'Dados de consulta'!$H$2:$I$25,2,0))</f>
        <v>0</v>
      </c>
      <c r="AR199">
        <f>IF(R199="",0,VLOOKUP(R199,'Dados de consulta'!$H$2:$I$25,2,0))</f>
        <v>0</v>
      </c>
      <c r="AS199">
        <f>IF(S199="",0,VLOOKUP(S199,'Dados de consulta'!$H$2:$I$25,2,0))</f>
        <v>0</v>
      </c>
      <c r="AT199">
        <f>IF(T199="",0,VLOOKUP(T199,'Dados de consulta'!$H$2:$I$25,2,0))</f>
        <v>0</v>
      </c>
      <c r="AU199">
        <f>IF(U199="",0,VLOOKUP(U199,'Dados de consulta'!$H$2:$I$25,2,0))</f>
        <v>0</v>
      </c>
      <c r="AV199">
        <f>IF(V199="",0,VLOOKUP(V199,'Dados de consulta'!$H$2:$I$25,2,0))</f>
        <v>0</v>
      </c>
      <c r="AW199">
        <f t="shared" si="20"/>
        <v>0</v>
      </c>
      <c r="AX199">
        <f t="shared" si="21"/>
        <v>0</v>
      </c>
      <c r="AY199">
        <f t="shared" si="22"/>
        <v>0</v>
      </c>
    </row>
    <row r="200" spans="1:51" hidden="1" x14ac:dyDescent="0.2">
      <c r="A200" s="202">
        <v>42457</v>
      </c>
      <c r="B200" s="78" t="s">
        <v>283</v>
      </c>
      <c r="W200">
        <f t="shared" si="23"/>
        <v>0</v>
      </c>
      <c r="X200">
        <f t="shared" si="24"/>
        <v>0</v>
      </c>
      <c r="Y200">
        <f t="shared" si="25"/>
        <v>0</v>
      </c>
      <c r="AA200" s="202">
        <v>42457</v>
      </c>
      <c r="AB200" s="78" t="s">
        <v>283</v>
      </c>
      <c r="AC200">
        <f>IF(C200="",0,VLOOKUP(C200,'Dados de consulta'!$H$2:$I$25,2,0))</f>
        <v>0</v>
      </c>
      <c r="AD200">
        <f>IF(D200="",0,VLOOKUP(D200,'Dados de consulta'!$H$2:$I$25,2,0))</f>
        <v>0</v>
      </c>
      <c r="AE200">
        <f>IF(E200="",0,VLOOKUP(E200,'Dados de consulta'!$H$2:$I$25,2,0))</f>
        <v>0</v>
      </c>
      <c r="AF200">
        <f>IF(F200="",0,VLOOKUP(F200,'Dados de consulta'!$H$2:$I$25,2,0))</f>
        <v>0</v>
      </c>
      <c r="AG200">
        <f>IF(G200="",0,VLOOKUP(G200,'Dados de consulta'!$H$2:$I$25,2,0))</f>
        <v>0</v>
      </c>
      <c r="AH200">
        <f>IF(H200="",0,VLOOKUP(H200,'Dados de consulta'!$H$2:$I$25,2,0))</f>
        <v>0</v>
      </c>
      <c r="AI200">
        <f>IF(I200="",0,VLOOKUP(I200,'Dados de consulta'!$H$2:$I$25,2,0))</f>
        <v>0</v>
      </c>
      <c r="AJ200">
        <f>IF(J200="",0,VLOOKUP(J200,'Dados de consulta'!$H$2:$I$25,2,0))</f>
        <v>0</v>
      </c>
      <c r="AK200">
        <f>IF(K200="",0,VLOOKUP(K200,'Dados de consulta'!$H$2:$I$25,2,0))</f>
        <v>0</v>
      </c>
      <c r="AL200">
        <f>IF(L200="",0,VLOOKUP(L200,'Dados de consulta'!$H$2:$I$25,2,0))</f>
        <v>0</v>
      </c>
      <c r="AM200">
        <f>IF(M200="",0,VLOOKUP(M200,'Dados de consulta'!$H$2:$I$25,2,0))</f>
        <v>0</v>
      </c>
      <c r="AN200">
        <f>IF(N200="",0,VLOOKUP(N200,'Dados de consulta'!$H$2:$I$25,2,0))</f>
        <v>0</v>
      </c>
      <c r="AO200">
        <f>IF(O200="",0,VLOOKUP(O200,'Dados de consulta'!$H$2:$I$25,2,0))</f>
        <v>0</v>
      </c>
      <c r="AP200">
        <f>IF(P200="",0,VLOOKUP(P200,'Dados de consulta'!$H$2:$I$25,2,0))</f>
        <v>0</v>
      </c>
      <c r="AQ200">
        <f>IF(Q200="",0,VLOOKUP(Q200,'Dados de consulta'!$H$2:$I$25,2,0))</f>
        <v>0</v>
      </c>
      <c r="AR200">
        <f>IF(R200="",0,VLOOKUP(R200,'Dados de consulta'!$H$2:$I$25,2,0))</f>
        <v>0</v>
      </c>
      <c r="AS200">
        <f>IF(S200="",0,VLOOKUP(S200,'Dados de consulta'!$H$2:$I$25,2,0))</f>
        <v>0</v>
      </c>
      <c r="AT200">
        <f>IF(T200="",0,VLOOKUP(T200,'Dados de consulta'!$H$2:$I$25,2,0))</f>
        <v>0</v>
      </c>
      <c r="AU200">
        <f>IF(U200="",0,VLOOKUP(U200,'Dados de consulta'!$H$2:$I$25,2,0))</f>
        <v>0</v>
      </c>
      <c r="AV200">
        <f>IF(V200="",0,VLOOKUP(V200,'Dados de consulta'!$H$2:$I$25,2,0))</f>
        <v>0</v>
      </c>
      <c r="AW200">
        <f t="shared" si="20"/>
        <v>0</v>
      </c>
      <c r="AX200">
        <f t="shared" si="21"/>
        <v>0</v>
      </c>
      <c r="AY200">
        <f t="shared" si="22"/>
        <v>0</v>
      </c>
    </row>
    <row r="201" spans="1:51" hidden="1" x14ac:dyDescent="0.2">
      <c r="A201" s="202">
        <v>42458</v>
      </c>
      <c r="B201" s="78" t="s">
        <v>284</v>
      </c>
      <c r="W201">
        <f t="shared" si="23"/>
        <v>0</v>
      </c>
      <c r="X201">
        <f t="shared" si="24"/>
        <v>0</v>
      </c>
      <c r="Y201">
        <f t="shared" si="25"/>
        <v>0</v>
      </c>
      <c r="AA201" s="202">
        <v>42458</v>
      </c>
      <c r="AB201" s="78" t="s">
        <v>284</v>
      </c>
      <c r="AC201">
        <f>IF(C201="",0,VLOOKUP(C201,'Dados de consulta'!$H$2:$I$25,2,0))</f>
        <v>0</v>
      </c>
      <c r="AD201">
        <f>IF(D201="",0,VLOOKUP(D201,'Dados de consulta'!$H$2:$I$25,2,0))</f>
        <v>0</v>
      </c>
      <c r="AE201">
        <f>IF(E201="",0,VLOOKUP(E201,'Dados de consulta'!$H$2:$I$25,2,0))</f>
        <v>0</v>
      </c>
      <c r="AF201">
        <f>IF(F201="",0,VLOOKUP(F201,'Dados de consulta'!$H$2:$I$25,2,0))</f>
        <v>0</v>
      </c>
      <c r="AG201">
        <f>IF(G201="",0,VLOOKUP(G201,'Dados de consulta'!$H$2:$I$25,2,0))</f>
        <v>0</v>
      </c>
      <c r="AH201">
        <f>IF(H201="",0,VLOOKUP(H201,'Dados de consulta'!$H$2:$I$25,2,0))</f>
        <v>0</v>
      </c>
      <c r="AI201">
        <f>IF(I201="",0,VLOOKUP(I201,'Dados de consulta'!$H$2:$I$25,2,0))</f>
        <v>0</v>
      </c>
      <c r="AJ201">
        <f>IF(J201="",0,VLOOKUP(J201,'Dados de consulta'!$H$2:$I$25,2,0))</f>
        <v>0</v>
      </c>
      <c r="AK201">
        <f>IF(K201="",0,VLOOKUP(K201,'Dados de consulta'!$H$2:$I$25,2,0))</f>
        <v>0</v>
      </c>
      <c r="AL201">
        <f>IF(L201="",0,VLOOKUP(L201,'Dados de consulta'!$H$2:$I$25,2,0))</f>
        <v>0</v>
      </c>
      <c r="AM201">
        <f>IF(M201="",0,VLOOKUP(M201,'Dados de consulta'!$H$2:$I$25,2,0))</f>
        <v>0</v>
      </c>
      <c r="AN201">
        <f>IF(N201="",0,VLOOKUP(N201,'Dados de consulta'!$H$2:$I$25,2,0))</f>
        <v>0</v>
      </c>
      <c r="AO201">
        <f>IF(O201="",0,VLOOKUP(O201,'Dados de consulta'!$H$2:$I$25,2,0))</f>
        <v>0</v>
      </c>
      <c r="AP201">
        <f>IF(P201="",0,VLOOKUP(P201,'Dados de consulta'!$H$2:$I$25,2,0))</f>
        <v>0</v>
      </c>
      <c r="AQ201">
        <f>IF(Q201="",0,VLOOKUP(Q201,'Dados de consulta'!$H$2:$I$25,2,0))</f>
        <v>0</v>
      </c>
      <c r="AR201">
        <f>IF(R201="",0,VLOOKUP(R201,'Dados de consulta'!$H$2:$I$25,2,0))</f>
        <v>0</v>
      </c>
      <c r="AS201">
        <f>IF(S201="",0,VLOOKUP(S201,'Dados de consulta'!$H$2:$I$25,2,0))</f>
        <v>0</v>
      </c>
      <c r="AT201">
        <f>IF(T201="",0,VLOOKUP(T201,'Dados de consulta'!$H$2:$I$25,2,0))</f>
        <v>0</v>
      </c>
      <c r="AU201">
        <f>IF(U201="",0,VLOOKUP(U201,'Dados de consulta'!$H$2:$I$25,2,0))</f>
        <v>0</v>
      </c>
      <c r="AV201">
        <f>IF(V201="",0,VLOOKUP(V201,'Dados de consulta'!$H$2:$I$25,2,0))</f>
        <v>0</v>
      </c>
      <c r="AW201">
        <f t="shared" si="20"/>
        <v>0</v>
      </c>
      <c r="AX201">
        <f t="shared" si="21"/>
        <v>0</v>
      </c>
      <c r="AY201">
        <f t="shared" si="22"/>
        <v>0</v>
      </c>
    </row>
    <row r="202" spans="1:51" hidden="1" x14ac:dyDescent="0.2">
      <c r="A202" s="202">
        <v>42459</v>
      </c>
      <c r="B202" s="78" t="s">
        <v>285</v>
      </c>
      <c r="W202">
        <f t="shared" si="23"/>
        <v>0</v>
      </c>
      <c r="X202">
        <f t="shared" si="24"/>
        <v>0</v>
      </c>
      <c r="Y202">
        <f t="shared" si="25"/>
        <v>0</v>
      </c>
      <c r="AA202" s="202">
        <v>42459</v>
      </c>
      <c r="AB202" s="78" t="s">
        <v>285</v>
      </c>
      <c r="AC202">
        <f>IF(C202="",0,VLOOKUP(C202,'Dados de consulta'!$H$2:$I$25,2,0))</f>
        <v>0</v>
      </c>
      <c r="AD202">
        <f>IF(D202="",0,VLOOKUP(D202,'Dados de consulta'!$H$2:$I$25,2,0))</f>
        <v>0</v>
      </c>
      <c r="AE202">
        <f>IF(E202="",0,VLOOKUP(E202,'Dados de consulta'!$H$2:$I$25,2,0))</f>
        <v>0</v>
      </c>
      <c r="AF202">
        <f>IF(F202="",0,VLOOKUP(F202,'Dados de consulta'!$H$2:$I$25,2,0))</f>
        <v>0</v>
      </c>
      <c r="AG202">
        <f>IF(G202="",0,VLOOKUP(G202,'Dados de consulta'!$H$2:$I$25,2,0))</f>
        <v>0</v>
      </c>
      <c r="AH202">
        <f>IF(H202="",0,VLOOKUP(H202,'Dados de consulta'!$H$2:$I$25,2,0))</f>
        <v>0</v>
      </c>
      <c r="AI202">
        <f>IF(I202="",0,VLOOKUP(I202,'Dados de consulta'!$H$2:$I$25,2,0))</f>
        <v>0</v>
      </c>
      <c r="AJ202">
        <f>IF(J202="",0,VLOOKUP(J202,'Dados de consulta'!$H$2:$I$25,2,0))</f>
        <v>0</v>
      </c>
      <c r="AK202">
        <f>IF(K202="",0,VLOOKUP(K202,'Dados de consulta'!$H$2:$I$25,2,0))</f>
        <v>0</v>
      </c>
      <c r="AL202">
        <f>IF(L202="",0,VLOOKUP(L202,'Dados de consulta'!$H$2:$I$25,2,0))</f>
        <v>0</v>
      </c>
      <c r="AM202">
        <f>IF(M202="",0,VLOOKUP(M202,'Dados de consulta'!$H$2:$I$25,2,0))</f>
        <v>0</v>
      </c>
      <c r="AN202">
        <f>IF(N202="",0,VLOOKUP(N202,'Dados de consulta'!$H$2:$I$25,2,0))</f>
        <v>0</v>
      </c>
      <c r="AO202">
        <f>IF(O202="",0,VLOOKUP(O202,'Dados de consulta'!$H$2:$I$25,2,0))</f>
        <v>0</v>
      </c>
      <c r="AP202">
        <f>IF(P202="",0,VLOOKUP(P202,'Dados de consulta'!$H$2:$I$25,2,0))</f>
        <v>0</v>
      </c>
      <c r="AQ202">
        <f>IF(Q202="",0,VLOOKUP(Q202,'Dados de consulta'!$H$2:$I$25,2,0))</f>
        <v>0</v>
      </c>
      <c r="AR202">
        <f>IF(R202="",0,VLOOKUP(R202,'Dados de consulta'!$H$2:$I$25,2,0))</f>
        <v>0</v>
      </c>
      <c r="AS202">
        <f>IF(S202="",0,VLOOKUP(S202,'Dados de consulta'!$H$2:$I$25,2,0))</f>
        <v>0</v>
      </c>
      <c r="AT202">
        <f>IF(T202="",0,VLOOKUP(T202,'Dados de consulta'!$H$2:$I$25,2,0))</f>
        <v>0</v>
      </c>
      <c r="AU202">
        <f>IF(U202="",0,VLOOKUP(U202,'Dados de consulta'!$H$2:$I$25,2,0))</f>
        <v>0</v>
      </c>
      <c r="AV202">
        <f>IF(V202="",0,VLOOKUP(V202,'Dados de consulta'!$H$2:$I$25,2,0))</f>
        <v>0</v>
      </c>
      <c r="AW202">
        <f t="shared" si="20"/>
        <v>0</v>
      </c>
      <c r="AX202">
        <f t="shared" si="21"/>
        <v>0</v>
      </c>
      <c r="AY202">
        <f t="shared" si="22"/>
        <v>0</v>
      </c>
    </row>
    <row r="203" spans="1:51" hidden="1" x14ac:dyDescent="0.2">
      <c r="A203" s="202">
        <v>42460</v>
      </c>
      <c r="B203" s="78" t="s">
        <v>286</v>
      </c>
      <c r="W203">
        <f t="shared" si="23"/>
        <v>0</v>
      </c>
      <c r="X203">
        <f t="shared" si="24"/>
        <v>0</v>
      </c>
      <c r="Y203">
        <f t="shared" si="25"/>
        <v>0</v>
      </c>
      <c r="AA203" s="202">
        <v>42460</v>
      </c>
      <c r="AB203" s="78" t="s">
        <v>286</v>
      </c>
      <c r="AC203">
        <f>IF(C203="",0,VLOOKUP(C203,'Dados de consulta'!$H$2:$I$25,2,0))</f>
        <v>0</v>
      </c>
      <c r="AD203">
        <f>IF(D203="",0,VLOOKUP(D203,'Dados de consulta'!$H$2:$I$25,2,0))</f>
        <v>0</v>
      </c>
      <c r="AE203">
        <f>IF(E203="",0,VLOOKUP(E203,'Dados de consulta'!$H$2:$I$25,2,0))</f>
        <v>0</v>
      </c>
      <c r="AF203">
        <f>IF(F203="",0,VLOOKUP(F203,'Dados de consulta'!$H$2:$I$25,2,0))</f>
        <v>0</v>
      </c>
      <c r="AG203">
        <f>IF(G203="",0,VLOOKUP(G203,'Dados de consulta'!$H$2:$I$25,2,0))</f>
        <v>0</v>
      </c>
      <c r="AH203">
        <f>IF(H203="",0,VLOOKUP(H203,'Dados de consulta'!$H$2:$I$25,2,0))</f>
        <v>0</v>
      </c>
      <c r="AI203">
        <f>IF(I203="",0,VLOOKUP(I203,'Dados de consulta'!$H$2:$I$25,2,0))</f>
        <v>0</v>
      </c>
      <c r="AJ203">
        <f>IF(J203="",0,VLOOKUP(J203,'Dados de consulta'!$H$2:$I$25,2,0))</f>
        <v>0</v>
      </c>
      <c r="AK203">
        <f>IF(K203="",0,VLOOKUP(K203,'Dados de consulta'!$H$2:$I$25,2,0))</f>
        <v>0</v>
      </c>
      <c r="AL203">
        <f>IF(L203="",0,VLOOKUP(L203,'Dados de consulta'!$H$2:$I$25,2,0))</f>
        <v>0</v>
      </c>
      <c r="AM203">
        <f>IF(M203="",0,VLOOKUP(M203,'Dados de consulta'!$H$2:$I$25,2,0))</f>
        <v>0</v>
      </c>
      <c r="AN203">
        <f>IF(N203="",0,VLOOKUP(N203,'Dados de consulta'!$H$2:$I$25,2,0))</f>
        <v>0</v>
      </c>
      <c r="AO203">
        <f>IF(O203="",0,VLOOKUP(O203,'Dados de consulta'!$H$2:$I$25,2,0))</f>
        <v>0</v>
      </c>
      <c r="AP203">
        <f>IF(P203="",0,VLOOKUP(P203,'Dados de consulta'!$H$2:$I$25,2,0))</f>
        <v>0</v>
      </c>
      <c r="AQ203">
        <f>IF(Q203="",0,VLOOKUP(Q203,'Dados de consulta'!$H$2:$I$25,2,0))</f>
        <v>0</v>
      </c>
      <c r="AR203">
        <f>IF(R203="",0,VLOOKUP(R203,'Dados de consulta'!$H$2:$I$25,2,0))</f>
        <v>0</v>
      </c>
      <c r="AS203">
        <f>IF(S203="",0,VLOOKUP(S203,'Dados de consulta'!$H$2:$I$25,2,0))</f>
        <v>0</v>
      </c>
      <c r="AT203">
        <f>IF(T203="",0,VLOOKUP(T203,'Dados de consulta'!$H$2:$I$25,2,0))</f>
        <v>0</v>
      </c>
      <c r="AU203">
        <f>IF(U203="",0,VLOOKUP(U203,'Dados de consulta'!$H$2:$I$25,2,0))</f>
        <v>0</v>
      </c>
      <c r="AV203">
        <f>IF(V203="",0,VLOOKUP(V203,'Dados de consulta'!$H$2:$I$25,2,0))</f>
        <v>0</v>
      </c>
      <c r="AW203">
        <f t="shared" si="20"/>
        <v>0</v>
      </c>
      <c r="AX203">
        <f t="shared" si="21"/>
        <v>0</v>
      </c>
      <c r="AY203">
        <f t="shared" si="22"/>
        <v>0</v>
      </c>
    </row>
    <row r="204" spans="1:51" hidden="1" x14ac:dyDescent="0.2">
      <c r="A204" s="202">
        <v>42461</v>
      </c>
      <c r="B204" s="78" t="s">
        <v>287</v>
      </c>
      <c r="W204">
        <f t="shared" si="23"/>
        <v>0</v>
      </c>
      <c r="X204">
        <f t="shared" si="24"/>
        <v>0</v>
      </c>
      <c r="Y204">
        <f t="shared" si="25"/>
        <v>0</v>
      </c>
      <c r="AA204" s="202">
        <v>42461</v>
      </c>
      <c r="AB204" s="78" t="s">
        <v>287</v>
      </c>
      <c r="AC204">
        <f>IF(C204="",0,VLOOKUP(C204,'Dados de consulta'!$H$2:$I$25,2,0))</f>
        <v>0</v>
      </c>
      <c r="AD204">
        <f>IF(D204="",0,VLOOKUP(D204,'Dados de consulta'!$H$2:$I$25,2,0))</f>
        <v>0</v>
      </c>
      <c r="AE204">
        <f>IF(E204="",0,VLOOKUP(E204,'Dados de consulta'!$H$2:$I$25,2,0))</f>
        <v>0</v>
      </c>
      <c r="AF204">
        <f>IF(F204="",0,VLOOKUP(F204,'Dados de consulta'!$H$2:$I$25,2,0))</f>
        <v>0</v>
      </c>
      <c r="AG204">
        <f>IF(G204="",0,VLOOKUP(G204,'Dados de consulta'!$H$2:$I$25,2,0))</f>
        <v>0</v>
      </c>
      <c r="AH204">
        <f>IF(H204="",0,VLOOKUP(H204,'Dados de consulta'!$H$2:$I$25,2,0))</f>
        <v>0</v>
      </c>
      <c r="AI204">
        <f>IF(I204="",0,VLOOKUP(I204,'Dados de consulta'!$H$2:$I$25,2,0))</f>
        <v>0</v>
      </c>
      <c r="AJ204">
        <f>IF(J204="",0,VLOOKUP(J204,'Dados de consulta'!$H$2:$I$25,2,0))</f>
        <v>0</v>
      </c>
      <c r="AK204">
        <f>IF(K204="",0,VLOOKUP(K204,'Dados de consulta'!$H$2:$I$25,2,0))</f>
        <v>0</v>
      </c>
      <c r="AL204">
        <f>IF(L204="",0,VLOOKUP(L204,'Dados de consulta'!$H$2:$I$25,2,0))</f>
        <v>0</v>
      </c>
      <c r="AM204">
        <f>IF(M204="",0,VLOOKUP(M204,'Dados de consulta'!$H$2:$I$25,2,0))</f>
        <v>0</v>
      </c>
      <c r="AN204">
        <f>IF(N204="",0,VLOOKUP(N204,'Dados de consulta'!$H$2:$I$25,2,0))</f>
        <v>0</v>
      </c>
      <c r="AO204">
        <f>IF(O204="",0,VLOOKUP(O204,'Dados de consulta'!$H$2:$I$25,2,0))</f>
        <v>0</v>
      </c>
      <c r="AP204">
        <f>IF(P204="",0,VLOOKUP(P204,'Dados de consulta'!$H$2:$I$25,2,0))</f>
        <v>0</v>
      </c>
      <c r="AQ204">
        <f>IF(Q204="",0,VLOOKUP(Q204,'Dados de consulta'!$H$2:$I$25,2,0))</f>
        <v>0</v>
      </c>
      <c r="AR204">
        <f>IF(R204="",0,VLOOKUP(R204,'Dados de consulta'!$H$2:$I$25,2,0))</f>
        <v>0</v>
      </c>
      <c r="AS204">
        <f>IF(S204="",0,VLOOKUP(S204,'Dados de consulta'!$H$2:$I$25,2,0))</f>
        <v>0</v>
      </c>
      <c r="AT204">
        <f>IF(T204="",0,VLOOKUP(T204,'Dados de consulta'!$H$2:$I$25,2,0))</f>
        <v>0</v>
      </c>
      <c r="AU204">
        <f>IF(U204="",0,VLOOKUP(U204,'Dados de consulta'!$H$2:$I$25,2,0))</f>
        <v>0</v>
      </c>
      <c r="AV204">
        <f>IF(V204="",0,VLOOKUP(V204,'Dados de consulta'!$H$2:$I$25,2,0))</f>
        <v>0</v>
      </c>
      <c r="AW204">
        <f t="shared" si="20"/>
        <v>0</v>
      </c>
      <c r="AX204">
        <f t="shared" si="21"/>
        <v>0</v>
      </c>
      <c r="AY204">
        <f t="shared" si="22"/>
        <v>0</v>
      </c>
    </row>
    <row r="205" spans="1:51" hidden="1" x14ac:dyDescent="0.2">
      <c r="A205" s="202">
        <v>42462</v>
      </c>
      <c r="B205" s="78" t="s">
        <v>281</v>
      </c>
      <c r="N205" s="78" t="s">
        <v>219</v>
      </c>
      <c r="W205">
        <f t="shared" si="23"/>
        <v>6</v>
      </c>
      <c r="X205">
        <f t="shared" si="24"/>
        <v>0</v>
      </c>
      <c r="Y205">
        <f t="shared" si="25"/>
        <v>0</v>
      </c>
      <c r="AA205" s="202">
        <v>42462</v>
      </c>
      <c r="AB205" s="78" t="s">
        <v>281</v>
      </c>
      <c r="AC205">
        <f>IF(C205="",0,VLOOKUP(C205,'Dados de consulta'!$H$2:$I$25,2,0))</f>
        <v>0</v>
      </c>
      <c r="AD205">
        <f>IF(D205="",0,VLOOKUP(D205,'Dados de consulta'!$H$2:$I$25,2,0))</f>
        <v>0</v>
      </c>
      <c r="AE205">
        <f>IF(E205="",0,VLOOKUP(E205,'Dados de consulta'!$H$2:$I$25,2,0))</f>
        <v>0</v>
      </c>
      <c r="AF205">
        <f>IF(F205="",0,VLOOKUP(F205,'Dados de consulta'!$H$2:$I$25,2,0))</f>
        <v>0</v>
      </c>
      <c r="AG205">
        <f>IF(G205="",0,VLOOKUP(G205,'Dados de consulta'!$H$2:$I$25,2,0))</f>
        <v>0</v>
      </c>
      <c r="AH205">
        <f>IF(H205="",0,VLOOKUP(H205,'Dados de consulta'!$H$2:$I$25,2,0))</f>
        <v>0</v>
      </c>
      <c r="AI205">
        <f>IF(I205="",0,VLOOKUP(I205,'Dados de consulta'!$H$2:$I$25,2,0))</f>
        <v>0</v>
      </c>
      <c r="AJ205">
        <f>IF(J205="",0,VLOOKUP(J205,'Dados de consulta'!$H$2:$I$25,2,0))</f>
        <v>0</v>
      </c>
      <c r="AK205">
        <f>IF(K205="",0,VLOOKUP(K205,'Dados de consulta'!$H$2:$I$25,2,0))</f>
        <v>0</v>
      </c>
      <c r="AL205">
        <f>IF(L205="",0,VLOOKUP(L205,'Dados de consulta'!$H$2:$I$25,2,0))</f>
        <v>0</v>
      </c>
      <c r="AM205">
        <f>IF(M205="",0,VLOOKUP(M205,'Dados de consulta'!$H$2:$I$25,2,0))</f>
        <v>0</v>
      </c>
      <c r="AN205">
        <f>IF(N205="",0,VLOOKUP(N205,'Dados de consulta'!$H$2:$I$25,2,0))</f>
        <v>6</v>
      </c>
      <c r="AO205">
        <f>IF(O205="",0,VLOOKUP(O205,'Dados de consulta'!$H$2:$I$25,2,0))</f>
        <v>0</v>
      </c>
      <c r="AP205">
        <f>IF(P205="",0,VLOOKUP(P205,'Dados de consulta'!$H$2:$I$25,2,0))</f>
        <v>0</v>
      </c>
      <c r="AQ205">
        <f>IF(Q205="",0,VLOOKUP(Q205,'Dados de consulta'!$H$2:$I$25,2,0))</f>
        <v>0</v>
      </c>
      <c r="AR205">
        <f>IF(R205="",0,VLOOKUP(R205,'Dados de consulta'!$H$2:$I$25,2,0))</f>
        <v>0</v>
      </c>
      <c r="AS205">
        <f>IF(S205="",0,VLOOKUP(S205,'Dados de consulta'!$H$2:$I$25,2,0))</f>
        <v>0</v>
      </c>
      <c r="AT205">
        <f>IF(T205="",0,VLOOKUP(T205,'Dados de consulta'!$H$2:$I$25,2,0))</f>
        <v>0</v>
      </c>
      <c r="AU205">
        <f>IF(U205="",0,VLOOKUP(U205,'Dados de consulta'!$H$2:$I$25,2,0))</f>
        <v>0</v>
      </c>
      <c r="AV205">
        <f>IF(V205="",0,VLOOKUP(V205,'Dados de consulta'!$H$2:$I$25,2,0))</f>
        <v>0</v>
      </c>
      <c r="AW205">
        <f t="shared" si="20"/>
        <v>6</v>
      </c>
      <c r="AX205">
        <f t="shared" si="21"/>
        <v>0</v>
      </c>
      <c r="AY205">
        <f t="shared" si="22"/>
        <v>0</v>
      </c>
    </row>
    <row r="206" spans="1:51" hidden="1" x14ac:dyDescent="0.2">
      <c r="A206" s="202">
        <v>42463</v>
      </c>
      <c r="B206" s="78" t="s">
        <v>282</v>
      </c>
      <c r="W206">
        <f t="shared" si="23"/>
        <v>0</v>
      </c>
      <c r="X206">
        <f t="shared" si="24"/>
        <v>0</v>
      </c>
      <c r="Y206">
        <f t="shared" si="25"/>
        <v>0</v>
      </c>
      <c r="AA206" s="202">
        <v>42463</v>
      </c>
      <c r="AB206" s="78" t="s">
        <v>282</v>
      </c>
      <c r="AC206">
        <f>IF(C206="",0,VLOOKUP(C206,'Dados de consulta'!$H$2:$I$25,2,0))</f>
        <v>0</v>
      </c>
      <c r="AD206">
        <f>IF(D206="",0,VLOOKUP(D206,'Dados de consulta'!$H$2:$I$25,2,0))</f>
        <v>0</v>
      </c>
      <c r="AE206">
        <f>IF(E206="",0,VLOOKUP(E206,'Dados de consulta'!$H$2:$I$25,2,0))</f>
        <v>0</v>
      </c>
      <c r="AF206">
        <f>IF(F206="",0,VLOOKUP(F206,'Dados de consulta'!$H$2:$I$25,2,0))</f>
        <v>0</v>
      </c>
      <c r="AG206">
        <f>IF(G206="",0,VLOOKUP(G206,'Dados de consulta'!$H$2:$I$25,2,0))</f>
        <v>0</v>
      </c>
      <c r="AH206">
        <f>IF(H206="",0,VLOOKUP(H206,'Dados de consulta'!$H$2:$I$25,2,0))</f>
        <v>0</v>
      </c>
      <c r="AI206">
        <f>IF(I206="",0,VLOOKUP(I206,'Dados de consulta'!$H$2:$I$25,2,0))</f>
        <v>0</v>
      </c>
      <c r="AJ206">
        <f>IF(J206="",0,VLOOKUP(J206,'Dados de consulta'!$H$2:$I$25,2,0))</f>
        <v>0</v>
      </c>
      <c r="AK206">
        <f>IF(K206="",0,VLOOKUP(K206,'Dados de consulta'!$H$2:$I$25,2,0))</f>
        <v>0</v>
      </c>
      <c r="AL206">
        <f>IF(L206="",0,VLOOKUP(L206,'Dados de consulta'!$H$2:$I$25,2,0))</f>
        <v>0</v>
      </c>
      <c r="AM206">
        <f>IF(M206="",0,VLOOKUP(M206,'Dados de consulta'!$H$2:$I$25,2,0))</f>
        <v>0</v>
      </c>
      <c r="AN206">
        <f>IF(N206="",0,VLOOKUP(N206,'Dados de consulta'!$H$2:$I$25,2,0))</f>
        <v>0</v>
      </c>
      <c r="AO206">
        <f>IF(O206="",0,VLOOKUP(O206,'Dados de consulta'!$H$2:$I$25,2,0))</f>
        <v>0</v>
      </c>
      <c r="AP206">
        <f>IF(P206="",0,VLOOKUP(P206,'Dados de consulta'!$H$2:$I$25,2,0))</f>
        <v>0</v>
      </c>
      <c r="AQ206">
        <f>IF(Q206="",0,VLOOKUP(Q206,'Dados de consulta'!$H$2:$I$25,2,0))</f>
        <v>0</v>
      </c>
      <c r="AR206">
        <f>IF(R206="",0,VLOOKUP(R206,'Dados de consulta'!$H$2:$I$25,2,0))</f>
        <v>0</v>
      </c>
      <c r="AS206">
        <f>IF(S206="",0,VLOOKUP(S206,'Dados de consulta'!$H$2:$I$25,2,0))</f>
        <v>0</v>
      </c>
      <c r="AT206">
        <f>IF(T206="",0,VLOOKUP(T206,'Dados de consulta'!$H$2:$I$25,2,0))</f>
        <v>0</v>
      </c>
      <c r="AU206">
        <f>IF(U206="",0,VLOOKUP(U206,'Dados de consulta'!$H$2:$I$25,2,0))</f>
        <v>0</v>
      </c>
      <c r="AV206">
        <f>IF(V206="",0,VLOOKUP(V206,'Dados de consulta'!$H$2:$I$25,2,0))</f>
        <v>0</v>
      </c>
      <c r="AW206">
        <f t="shared" si="20"/>
        <v>0</v>
      </c>
      <c r="AX206">
        <f t="shared" si="21"/>
        <v>0</v>
      </c>
      <c r="AY206">
        <f t="shared" si="22"/>
        <v>0</v>
      </c>
    </row>
    <row r="207" spans="1:51" hidden="1" x14ac:dyDescent="0.2">
      <c r="A207" s="202">
        <v>42464</v>
      </c>
      <c r="B207" s="78" t="s">
        <v>283</v>
      </c>
      <c r="W207">
        <f t="shared" si="23"/>
        <v>0</v>
      </c>
      <c r="X207">
        <f t="shared" si="24"/>
        <v>0</v>
      </c>
      <c r="Y207">
        <f t="shared" si="25"/>
        <v>0</v>
      </c>
      <c r="AA207" s="202">
        <v>42464</v>
      </c>
      <c r="AB207" s="78" t="s">
        <v>283</v>
      </c>
      <c r="AC207">
        <f>IF(C207="",0,VLOOKUP(C207,'Dados de consulta'!$H$2:$I$25,2,0))</f>
        <v>0</v>
      </c>
      <c r="AD207">
        <f>IF(D207="",0,VLOOKUP(D207,'Dados de consulta'!$H$2:$I$25,2,0))</f>
        <v>0</v>
      </c>
      <c r="AE207">
        <f>IF(E207="",0,VLOOKUP(E207,'Dados de consulta'!$H$2:$I$25,2,0))</f>
        <v>0</v>
      </c>
      <c r="AF207">
        <f>IF(F207="",0,VLOOKUP(F207,'Dados de consulta'!$H$2:$I$25,2,0))</f>
        <v>0</v>
      </c>
      <c r="AG207">
        <f>IF(G207="",0,VLOOKUP(G207,'Dados de consulta'!$H$2:$I$25,2,0))</f>
        <v>0</v>
      </c>
      <c r="AH207">
        <f>IF(H207="",0,VLOOKUP(H207,'Dados de consulta'!$H$2:$I$25,2,0))</f>
        <v>0</v>
      </c>
      <c r="AI207">
        <f>IF(I207="",0,VLOOKUP(I207,'Dados de consulta'!$H$2:$I$25,2,0))</f>
        <v>0</v>
      </c>
      <c r="AJ207">
        <f>IF(J207="",0,VLOOKUP(J207,'Dados de consulta'!$H$2:$I$25,2,0))</f>
        <v>0</v>
      </c>
      <c r="AK207">
        <f>IF(K207="",0,VLOOKUP(K207,'Dados de consulta'!$H$2:$I$25,2,0))</f>
        <v>0</v>
      </c>
      <c r="AL207">
        <f>IF(L207="",0,VLOOKUP(L207,'Dados de consulta'!$H$2:$I$25,2,0))</f>
        <v>0</v>
      </c>
      <c r="AM207">
        <f>IF(M207="",0,VLOOKUP(M207,'Dados de consulta'!$H$2:$I$25,2,0))</f>
        <v>0</v>
      </c>
      <c r="AN207">
        <f>IF(N207="",0,VLOOKUP(N207,'Dados de consulta'!$H$2:$I$25,2,0))</f>
        <v>0</v>
      </c>
      <c r="AO207">
        <f>IF(O207="",0,VLOOKUP(O207,'Dados de consulta'!$H$2:$I$25,2,0))</f>
        <v>0</v>
      </c>
      <c r="AP207">
        <f>IF(P207="",0,VLOOKUP(P207,'Dados de consulta'!$H$2:$I$25,2,0))</f>
        <v>0</v>
      </c>
      <c r="AQ207">
        <f>IF(Q207="",0,VLOOKUP(Q207,'Dados de consulta'!$H$2:$I$25,2,0))</f>
        <v>0</v>
      </c>
      <c r="AR207">
        <f>IF(R207="",0,VLOOKUP(R207,'Dados de consulta'!$H$2:$I$25,2,0))</f>
        <v>0</v>
      </c>
      <c r="AS207">
        <f>IF(S207="",0,VLOOKUP(S207,'Dados de consulta'!$H$2:$I$25,2,0))</f>
        <v>0</v>
      </c>
      <c r="AT207">
        <f>IF(T207="",0,VLOOKUP(T207,'Dados de consulta'!$H$2:$I$25,2,0))</f>
        <v>0</v>
      </c>
      <c r="AU207">
        <f>IF(U207="",0,VLOOKUP(U207,'Dados de consulta'!$H$2:$I$25,2,0))</f>
        <v>0</v>
      </c>
      <c r="AV207">
        <f>IF(V207="",0,VLOOKUP(V207,'Dados de consulta'!$H$2:$I$25,2,0))</f>
        <v>0</v>
      </c>
      <c r="AW207">
        <f t="shared" si="20"/>
        <v>0</v>
      </c>
      <c r="AX207">
        <f t="shared" si="21"/>
        <v>0</v>
      </c>
      <c r="AY207">
        <f t="shared" si="22"/>
        <v>0</v>
      </c>
    </row>
    <row r="208" spans="1:51" hidden="1" x14ac:dyDescent="0.2">
      <c r="A208" s="202">
        <v>42465</v>
      </c>
      <c r="B208" s="78" t="s">
        <v>284</v>
      </c>
      <c r="W208">
        <f t="shared" si="23"/>
        <v>0</v>
      </c>
      <c r="X208">
        <f t="shared" si="24"/>
        <v>0</v>
      </c>
      <c r="Y208">
        <f t="shared" si="25"/>
        <v>0</v>
      </c>
      <c r="AA208" s="202">
        <v>42465</v>
      </c>
      <c r="AB208" s="78" t="s">
        <v>284</v>
      </c>
      <c r="AC208">
        <f>IF(C208="",0,VLOOKUP(C208,'Dados de consulta'!$H$2:$I$25,2,0))</f>
        <v>0</v>
      </c>
      <c r="AD208">
        <f>IF(D208="",0,VLOOKUP(D208,'Dados de consulta'!$H$2:$I$25,2,0))</f>
        <v>0</v>
      </c>
      <c r="AE208">
        <f>IF(E208="",0,VLOOKUP(E208,'Dados de consulta'!$H$2:$I$25,2,0))</f>
        <v>0</v>
      </c>
      <c r="AF208">
        <f>IF(F208="",0,VLOOKUP(F208,'Dados de consulta'!$H$2:$I$25,2,0))</f>
        <v>0</v>
      </c>
      <c r="AG208">
        <f>IF(G208="",0,VLOOKUP(G208,'Dados de consulta'!$H$2:$I$25,2,0))</f>
        <v>0</v>
      </c>
      <c r="AH208">
        <f>IF(H208="",0,VLOOKUP(H208,'Dados de consulta'!$H$2:$I$25,2,0))</f>
        <v>0</v>
      </c>
      <c r="AI208">
        <f>IF(I208="",0,VLOOKUP(I208,'Dados de consulta'!$H$2:$I$25,2,0))</f>
        <v>0</v>
      </c>
      <c r="AJ208">
        <f>IF(J208="",0,VLOOKUP(J208,'Dados de consulta'!$H$2:$I$25,2,0))</f>
        <v>0</v>
      </c>
      <c r="AK208">
        <f>IF(K208="",0,VLOOKUP(K208,'Dados de consulta'!$H$2:$I$25,2,0))</f>
        <v>0</v>
      </c>
      <c r="AL208">
        <f>IF(L208="",0,VLOOKUP(L208,'Dados de consulta'!$H$2:$I$25,2,0))</f>
        <v>0</v>
      </c>
      <c r="AM208">
        <f>IF(M208="",0,VLOOKUP(M208,'Dados de consulta'!$H$2:$I$25,2,0))</f>
        <v>0</v>
      </c>
      <c r="AN208">
        <f>IF(N208="",0,VLOOKUP(N208,'Dados de consulta'!$H$2:$I$25,2,0))</f>
        <v>0</v>
      </c>
      <c r="AO208">
        <f>IF(O208="",0,VLOOKUP(O208,'Dados de consulta'!$H$2:$I$25,2,0))</f>
        <v>0</v>
      </c>
      <c r="AP208">
        <f>IF(P208="",0,VLOOKUP(P208,'Dados de consulta'!$H$2:$I$25,2,0))</f>
        <v>0</v>
      </c>
      <c r="AQ208">
        <f>IF(Q208="",0,VLOOKUP(Q208,'Dados de consulta'!$H$2:$I$25,2,0))</f>
        <v>0</v>
      </c>
      <c r="AR208">
        <f>IF(R208="",0,VLOOKUP(R208,'Dados de consulta'!$H$2:$I$25,2,0))</f>
        <v>0</v>
      </c>
      <c r="AS208">
        <f>IF(S208="",0,VLOOKUP(S208,'Dados de consulta'!$H$2:$I$25,2,0))</f>
        <v>0</v>
      </c>
      <c r="AT208">
        <f>IF(T208="",0,VLOOKUP(T208,'Dados de consulta'!$H$2:$I$25,2,0))</f>
        <v>0</v>
      </c>
      <c r="AU208">
        <f>IF(U208="",0,VLOOKUP(U208,'Dados de consulta'!$H$2:$I$25,2,0))</f>
        <v>0</v>
      </c>
      <c r="AV208">
        <f>IF(V208="",0,VLOOKUP(V208,'Dados de consulta'!$H$2:$I$25,2,0))</f>
        <v>0</v>
      </c>
      <c r="AW208">
        <f t="shared" si="20"/>
        <v>0</v>
      </c>
      <c r="AX208">
        <f t="shared" si="21"/>
        <v>0</v>
      </c>
      <c r="AY208">
        <f t="shared" si="22"/>
        <v>0</v>
      </c>
    </row>
    <row r="209" spans="1:51" hidden="1" x14ac:dyDescent="0.2">
      <c r="A209" s="202">
        <v>42466</v>
      </c>
      <c r="B209" s="78" t="s">
        <v>285</v>
      </c>
      <c r="W209">
        <f t="shared" si="23"/>
        <v>0</v>
      </c>
      <c r="X209">
        <f t="shared" si="24"/>
        <v>0</v>
      </c>
      <c r="Y209">
        <f t="shared" si="25"/>
        <v>0</v>
      </c>
      <c r="AA209" s="202">
        <v>42466</v>
      </c>
      <c r="AB209" s="78" t="s">
        <v>285</v>
      </c>
      <c r="AC209">
        <f>IF(C209="",0,VLOOKUP(C209,'Dados de consulta'!$H$2:$I$25,2,0))</f>
        <v>0</v>
      </c>
      <c r="AD209">
        <f>IF(D209="",0,VLOOKUP(D209,'Dados de consulta'!$H$2:$I$25,2,0))</f>
        <v>0</v>
      </c>
      <c r="AE209">
        <f>IF(E209="",0,VLOOKUP(E209,'Dados de consulta'!$H$2:$I$25,2,0))</f>
        <v>0</v>
      </c>
      <c r="AF209">
        <f>IF(F209="",0,VLOOKUP(F209,'Dados de consulta'!$H$2:$I$25,2,0))</f>
        <v>0</v>
      </c>
      <c r="AG209">
        <f>IF(G209="",0,VLOOKUP(G209,'Dados de consulta'!$H$2:$I$25,2,0))</f>
        <v>0</v>
      </c>
      <c r="AH209">
        <f>IF(H209="",0,VLOOKUP(H209,'Dados de consulta'!$H$2:$I$25,2,0))</f>
        <v>0</v>
      </c>
      <c r="AI209">
        <f>IF(I209="",0,VLOOKUP(I209,'Dados de consulta'!$H$2:$I$25,2,0))</f>
        <v>0</v>
      </c>
      <c r="AJ209">
        <f>IF(J209="",0,VLOOKUP(J209,'Dados de consulta'!$H$2:$I$25,2,0))</f>
        <v>0</v>
      </c>
      <c r="AK209">
        <f>IF(K209="",0,VLOOKUP(K209,'Dados de consulta'!$H$2:$I$25,2,0))</f>
        <v>0</v>
      </c>
      <c r="AL209">
        <f>IF(L209="",0,VLOOKUP(L209,'Dados de consulta'!$H$2:$I$25,2,0))</f>
        <v>0</v>
      </c>
      <c r="AM209">
        <f>IF(M209="",0,VLOOKUP(M209,'Dados de consulta'!$H$2:$I$25,2,0))</f>
        <v>0</v>
      </c>
      <c r="AN209">
        <f>IF(N209="",0,VLOOKUP(N209,'Dados de consulta'!$H$2:$I$25,2,0))</f>
        <v>0</v>
      </c>
      <c r="AO209">
        <f>IF(O209="",0,VLOOKUP(O209,'Dados de consulta'!$H$2:$I$25,2,0))</f>
        <v>0</v>
      </c>
      <c r="AP209">
        <f>IF(P209="",0,VLOOKUP(P209,'Dados de consulta'!$H$2:$I$25,2,0))</f>
        <v>0</v>
      </c>
      <c r="AQ209">
        <f>IF(Q209="",0,VLOOKUP(Q209,'Dados de consulta'!$H$2:$I$25,2,0))</f>
        <v>0</v>
      </c>
      <c r="AR209">
        <f>IF(R209="",0,VLOOKUP(R209,'Dados de consulta'!$H$2:$I$25,2,0))</f>
        <v>0</v>
      </c>
      <c r="AS209">
        <f>IF(S209="",0,VLOOKUP(S209,'Dados de consulta'!$H$2:$I$25,2,0))</f>
        <v>0</v>
      </c>
      <c r="AT209">
        <f>IF(T209="",0,VLOOKUP(T209,'Dados de consulta'!$H$2:$I$25,2,0))</f>
        <v>0</v>
      </c>
      <c r="AU209">
        <f>IF(U209="",0,VLOOKUP(U209,'Dados de consulta'!$H$2:$I$25,2,0))</f>
        <v>0</v>
      </c>
      <c r="AV209">
        <f>IF(V209="",0,VLOOKUP(V209,'Dados de consulta'!$H$2:$I$25,2,0))</f>
        <v>0</v>
      </c>
      <c r="AW209">
        <f t="shared" si="20"/>
        <v>0</v>
      </c>
      <c r="AX209">
        <f t="shared" si="21"/>
        <v>0</v>
      </c>
      <c r="AY209">
        <f t="shared" si="22"/>
        <v>0</v>
      </c>
    </row>
    <row r="210" spans="1:51" hidden="1" x14ac:dyDescent="0.2">
      <c r="A210" s="202">
        <v>42467</v>
      </c>
      <c r="B210" s="78" t="s">
        <v>286</v>
      </c>
      <c r="W210">
        <f t="shared" si="23"/>
        <v>0</v>
      </c>
      <c r="X210">
        <f t="shared" si="24"/>
        <v>0</v>
      </c>
      <c r="Y210">
        <f t="shared" si="25"/>
        <v>0</v>
      </c>
      <c r="AA210" s="202">
        <v>42467</v>
      </c>
      <c r="AB210" s="78" t="s">
        <v>286</v>
      </c>
      <c r="AC210">
        <f>IF(C210="",0,VLOOKUP(C210,'Dados de consulta'!$H$2:$I$25,2,0))</f>
        <v>0</v>
      </c>
      <c r="AD210">
        <f>IF(D210="",0,VLOOKUP(D210,'Dados de consulta'!$H$2:$I$25,2,0))</f>
        <v>0</v>
      </c>
      <c r="AE210">
        <f>IF(E210="",0,VLOOKUP(E210,'Dados de consulta'!$H$2:$I$25,2,0))</f>
        <v>0</v>
      </c>
      <c r="AF210">
        <f>IF(F210="",0,VLOOKUP(F210,'Dados de consulta'!$H$2:$I$25,2,0))</f>
        <v>0</v>
      </c>
      <c r="AG210">
        <f>IF(G210="",0,VLOOKUP(G210,'Dados de consulta'!$H$2:$I$25,2,0))</f>
        <v>0</v>
      </c>
      <c r="AH210">
        <f>IF(H210="",0,VLOOKUP(H210,'Dados de consulta'!$H$2:$I$25,2,0))</f>
        <v>0</v>
      </c>
      <c r="AI210">
        <f>IF(I210="",0,VLOOKUP(I210,'Dados de consulta'!$H$2:$I$25,2,0))</f>
        <v>0</v>
      </c>
      <c r="AJ210">
        <f>IF(J210="",0,VLOOKUP(J210,'Dados de consulta'!$H$2:$I$25,2,0))</f>
        <v>0</v>
      </c>
      <c r="AK210">
        <f>IF(K210="",0,VLOOKUP(K210,'Dados de consulta'!$H$2:$I$25,2,0))</f>
        <v>0</v>
      </c>
      <c r="AL210">
        <f>IF(L210="",0,VLOOKUP(L210,'Dados de consulta'!$H$2:$I$25,2,0))</f>
        <v>0</v>
      </c>
      <c r="AM210">
        <f>IF(M210="",0,VLOOKUP(M210,'Dados de consulta'!$H$2:$I$25,2,0))</f>
        <v>0</v>
      </c>
      <c r="AN210">
        <f>IF(N210="",0,VLOOKUP(N210,'Dados de consulta'!$H$2:$I$25,2,0))</f>
        <v>0</v>
      </c>
      <c r="AO210">
        <f>IF(O210="",0,VLOOKUP(O210,'Dados de consulta'!$H$2:$I$25,2,0))</f>
        <v>0</v>
      </c>
      <c r="AP210">
        <f>IF(P210="",0,VLOOKUP(P210,'Dados de consulta'!$H$2:$I$25,2,0))</f>
        <v>0</v>
      </c>
      <c r="AQ210">
        <f>IF(Q210="",0,VLOOKUP(Q210,'Dados de consulta'!$H$2:$I$25,2,0))</f>
        <v>0</v>
      </c>
      <c r="AR210">
        <f>IF(R210="",0,VLOOKUP(R210,'Dados de consulta'!$H$2:$I$25,2,0))</f>
        <v>0</v>
      </c>
      <c r="AS210">
        <f>IF(S210="",0,VLOOKUP(S210,'Dados de consulta'!$H$2:$I$25,2,0))</f>
        <v>0</v>
      </c>
      <c r="AT210">
        <f>IF(T210="",0,VLOOKUP(T210,'Dados de consulta'!$H$2:$I$25,2,0))</f>
        <v>0</v>
      </c>
      <c r="AU210">
        <f>IF(U210="",0,VLOOKUP(U210,'Dados de consulta'!$H$2:$I$25,2,0))</f>
        <v>0</v>
      </c>
      <c r="AV210">
        <f>IF(V210="",0,VLOOKUP(V210,'Dados de consulta'!$H$2:$I$25,2,0))</f>
        <v>0</v>
      </c>
      <c r="AW210">
        <f t="shared" si="20"/>
        <v>0</v>
      </c>
      <c r="AX210">
        <f t="shared" si="21"/>
        <v>0</v>
      </c>
      <c r="AY210">
        <f t="shared" si="22"/>
        <v>0</v>
      </c>
    </row>
    <row r="211" spans="1:51" hidden="1" x14ac:dyDescent="0.2">
      <c r="A211" s="202">
        <v>42468</v>
      </c>
      <c r="B211" s="78" t="s">
        <v>287</v>
      </c>
      <c r="W211">
        <f t="shared" si="23"/>
        <v>0</v>
      </c>
      <c r="X211">
        <f t="shared" si="24"/>
        <v>0</v>
      </c>
      <c r="Y211">
        <f t="shared" si="25"/>
        <v>0</v>
      </c>
      <c r="AA211" s="202">
        <v>42468</v>
      </c>
      <c r="AB211" s="78" t="s">
        <v>287</v>
      </c>
      <c r="AC211">
        <f>IF(C211="",0,VLOOKUP(C211,'Dados de consulta'!$H$2:$I$25,2,0))</f>
        <v>0</v>
      </c>
      <c r="AD211">
        <f>IF(D211="",0,VLOOKUP(D211,'Dados de consulta'!$H$2:$I$25,2,0))</f>
        <v>0</v>
      </c>
      <c r="AE211">
        <f>IF(E211="",0,VLOOKUP(E211,'Dados de consulta'!$H$2:$I$25,2,0))</f>
        <v>0</v>
      </c>
      <c r="AF211">
        <f>IF(F211="",0,VLOOKUP(F211,'Dados de consulta'!$H$2:$I$25,2,0))</f>
        <v>0</v>
      </c>
      <c r="AG211">
        <f>IF(G211="",0,VLOOKUP(G211,'Dados de consulta'!$H$2:$I$25,2,0))</f>
        <v>0</v>
      </c>
      <c r="AH211">
        <f>IF(H211="",0,VLOOKUP(H211,'Dados de consulta'!$H$2:$I$25,2,0))</f>
        <v>0</v>
      </c>
      <c r="AI211">
        <f>IF(I211="",0,VLOOKUP(I211,'Dados de consulta'!$H$2:$I$25,2,0))</f>
        <v>0</v>
      </c>
      <c r="AJ211">
        <f>IF(J211="",0,VLOOKUP(J211,'Dados de consulta'!$H$2:$I$25,2,0))</f>
        <v>0</v>
      </c>
      <c r="AK211">
        <f>IF(K211="",0,VLOOKUP(K211,'Dados de consulta'!$H$2:$I$25,2,0))</f>
        <v>0</v>
      </c>
      <c r="AL211">
        <f>IF(L211="",0,VLOOKUP(L211,'Dados de consulta'!$H$2:$I$25,2,0))</f>
        <v>0</v>
      </c>
      <c r="AM211">
        <f>IF(M211="",0,VLOOKUP(M211,'Dados de consulta'!$H$2:$I$25,2,0))</f>
        <v>0</v>
      </c>
      <c r="AN211">
        <f>IF(N211="",0,VLOOKUP(N211,'Dados de consulta'!$H$2:$I$25,2,0))</f>
        <v>0</v>
      </c>
      <c r="AO211">
        <f>IF(O211="",0,VLOOKUP(O211,'Dados de consulta'!$H$2:$I$25,2,0))</f>
        <v>0</v>
      </c>
      <c r="AP211">
        <f>IF(P211="",0,VLOOKUP(P211,'Dados de consulta'!$H$2:$I$25,2,0))</f>
        <v>0</v>
      </c>
      <c r="AQ211">
        <f>IF(Q211="",0,VLOOKUP(Q211,'Dados de consulta'!$H$2:$I$25,2,0))</f>
        <v>0</v>
      </c>
      <c r="AR211">
        <f>IF(R211="",0,VLOOKUP(R211,'Dados de consulta'!$H$2:$I$25,2,0))</f>
        <v>0</v>
      </c>
      <c r="AS211">
        <f>IF(S211="",0,VLOOKUP(S211,'Dados de consulta'!$H$2:$I$25,2,0))</f>
        <v>0</v>
      </c>
      <c r="AT211">
        <f>IF(T211="",0,VLOOKUP(T211,'Dados de consulta'!$H$2:$I$25,2,0))</f>
        <v>0</v>
      </c>
      <c r="AU211">
        <f>IF(U211="",0,VLOOKUP(U211,'Dados de consulta'!$H$2:$I$25,2,0))</f>
        <v>0</v>
      </c>
      <c r="AV211">
        <f>IF(V211="",0,VLOOKUP(V211,'Dados de consulta'!$H$2:$I$25,2,0))</f>
        <v>0</v>
      </c>
      <c r="AW211">
        <f t="shared" si="20"/>
        <v>0</v>
      </c>
      <c r="AX211">
        <f t="shared" si="21"/>
        <v>0</v>
      </c>
      <c r="AY211">
        <f t="shared" si="22"/>
        <v>0</v>
      </c>
    </row>
    <row r="212" spans="1:51" hidden="1" x14ac:dyDescent="0.2">
      <c r="A212" s="202">
        <v>42469</v>
      </c>
      <c r="B212" s="78" t="s">
        <v>281</v>
      </c>
      <c r="C212" s="78" t="s">
        <v>219</v>
      </c>
      <c r="I212" s="78" t="s">
        <v>219</v>
      </c>
      <c r="J212" s="78" t="s">
        <v>219</v>
      </c>
      <c r="L212" s="78" t="s">
        <v>219</v>
      </c>
      <c r="N212" s="78" t="s">
        <v>219</v>
      </c>
      <c r="S212" s="78" t="s">
        <v>219</v>
      </c>
      <c r="W212">
        <f t="shared" si="23"/>
        <v>36</v>
      </c>
      <c r="X212">
        <f t="shared" si="24"/>
        <v>0</v>
      </c>
      <c r="Y212">
        <f t="shared" si="25"/>
        <v>0</v>
      </c>
      <c r="AA212" s="202">
        <v>42469</v>
      </c>
      <c r="AB212" s="78" t="s">
        <v>281</v>
      </c>
      <c r="AC212">
        <f>IF(C212="",0,VLOOKUP(C212,'Dados de consulta'!$H$2:$I$25,2,0))</f>
        <v>6</v>
      </c>
      <c r="AD212">
        <f>IF(D212="",0,VLOOKUP(D212,'Dados de consulta'!$H$2:$I$25,2,0))</f>
        <v>0</v>
      </c>
      <c r="AE212">
        <f>IF(E212="",0,VLOOKUP(E212,'Dados de consulta'!$H$2:$I$25,2,0))</f>
        <v>0</v>
      </c>
      <c r="AF212">
        <f>IF(F212="",0,VLOOKUP(F212,'Dados de consulta'!$H$2:$I$25,2,0))</f>
        <v>0</v>
      </c>
      <c r="AG212">
        <f>IF(G212="",0,VLOOKUP(G212,'Dados de consulta'!$H$2:$I$25,2,0))</f>
        <v>0</v>
      </c>
      <c r="AH212">
        <f>IF(H212="",0,VLOOKUP(H212,'Dados de consulta'!$H$2:$I$25,2,0))</f>
        <v>0</v>
      </c>
      <c r="AI212">
        <f>IF(I212="",0,VLOOKUP(I212,'Dados de consulta'!$H$2:$I$25,2,0))</f>
        <v>6</v>
      </c>
      <c r="AJ212">
        <f>IF(J212="",0,VLOOKUP(J212,'Dados de consulta'!$H$2:$I$25,2,0))</f>
        <v>6</v>
      </c>
      <c r="AK212">
        <f>IF(K212="",0,VLOOKUP(K212,'Dados de consulta'!$H$2:$I$25,2,0))</f>
        <v>0</v>
      </c>
      <c r="AL212">
        <f>IF(L212="",0,VLOOKUP(L212,'Dados de consulta'!$H$2:$I$25,2,0))</f>
        <v>6</v>
      </c>
      <c r="AM212">
        <f>IF(M212="",0,VLOOKUP(M212,'Dados de consulta'!$H$2:$I$25,2,0))</f>
        <v>0</v>
      </c>
      <c r="AN212">
        <f>IF(N212="",0,VLOOKUP(N212,'Dados de consulta'!$H$2:$I$25,2,0))</f>
        <v>6</v>
      </c>
      <c r="AO212">
        <f>IF(O212="",0,VLOOKUP(O212,'Dados de consulta'!$H$2:$I$25,2,0))</f>
        <v>0</v>
      </c>
      <c r="AP212">
        <f>IF(P212="",0,VLOOKUP(P212,'Dados de consulta'!$H$2:$I$25,2,0))</f>
        <v>0</v>
      </c>
      <c r="AQ212">
        <f>IF(Q212="",0,VLOOKUP(Q212,'Dados de consulta'!$H$2:$I$25,2,0))</f>
        <v>0</v>
      </c>
      <c r="AR212">
        <f>IF(R212="",0,VLOOKUP(R212,'Dados de consulta'!$H$2:$I$25,2,0))</f>
        <v>0</v>
      </c>
      <c r="AS212">
        <f>IF(S212="",0,VLOOKUP(S212,'Dados de consulta'!$H$2:$I$25,2,0))</f>
        <v>6</v>
      </c>
      <c r="AT212">
        <f>IF(T212="",0,VLOOKUP(T212,'Dados de consulta'!$H$2:$I$25,2,0))</f>
        <v>0</v>
      </c>
      <c r="AU212">
        <f>IF(U212="",0,VLOOKUP(U212,'Dados de consulta'!$H$2:$I$25,2,0))</f>
        <v>0</v>
      </c>
      <c r="AV212">
        <f>IF(V212="",0,VLOOKUP(V212,'Dados de consulta'!$H$2:$I$25,2,0))</f>
        <v>0</v>
      </c>
      <c r="AW212">
        <f t="shared" si="20"/>
        <v>36</v>
      </c>
      <c r="AX212">
        <f t="shared" si="21"/>
        <v>0</v>
      </c>
      <c r="AY212">
        <f t="shared" si="22"/>
        <v>0</v>
      </c>
    </row>
    <row r="213" spans="1:51" hidden="1" x14ac:dyDescent="0.2">
      <c r="A213" s="202">
        <v>42470</v>
      </c>
      <c r="B213" s="78" t="s">
        <v>282</v>
      </c>
      <c r="W213">
        <f t="shared" si="23"/>
        <v>0</v>
      </c>
      <c r="X213">
        <f t="shared" si="24"/>
        <v>0</v>
      </c>
      <c r="Y213">
        <f t="shared" si="25"/>
        <v>0</v>
      </c>
      <c r="AA213" s="202">
        <v>42470</v>
      </c>
      <c r="AB213" s="78" t="s">
        <v>282</v>
      </c>
      <c r="AC213">
        <f>IF(C213="",0,VLOOKUP(C213,'Dados de consulta'!$H$2:$I$25,2,0))</f>
        <v>0</v>
      </c>
      <c r="AD213">
        <f>IF(D213="",0,VLOOKUP(D213,'Dados de consulta'!$H$2:$I$25,2,0))</f>
        <v>0</v>
      </c>
      <c r="AE213">
        <f>IF(E213="",0,VLOOKUP(E213,'Dados de consulta'!$H$2:$I$25,2,0))</f>
        <v>0</v>
      </c>
      <c r="AF213">
        <f>IF(F213="",0,VLOOKUP(F213,'Dados de consulta'!$H$2:$I$25,2,0))</f>
        <v>0</v>
      </c>
      <c r="AG213">
        <f>IF(G213="",0,VLOOKUP(G213,'Dados de consulta'!$H$2:$I$25,2,0))</f>
        <v>0</v>
      </c>
      <c r="AH213">
        <f>IF(H213="",0,VLOOKUP(H213,'Dados de consulta'!$H$2:$I$25,2,0))</f>
        <v>0</v>
      </c>
      <c r="AI213">
        <f>IF(I213="",0,VLOOKUP(I213,'Dados de consulta'!$H$2:$I$25,2,0))</f>
        <v>0</v>
      </c>
      <c r="AJ213">
        <f>IF(J213="",0,VLOOKUP(J213,'Dados de consulta'!$H$2:$I$25,2,0))</f>
        <v>0</v>
      </c>
      <c r="AK213">
        <f>IF(K213="",0,VLOOKUP(K213,'Dados de consulta'!$H$2:$I$25,2,0))</f>
        <v>0</v>
      </c>
      <c r="AL213">
        <f>IF(L213="",0,VLOOKUP(L213,'Dados de consulta'!$H$2:$I$25,2,0))</f>
        <v>0</v>
      </c>
      <c r="AM213">
        <f>IF(M213="",0,VLOOKUP(M213,'Dados de consulta'!$H$2:$I$25,2,0))</f>
        <v>0</v>
      </c>
      <c r="AN213">
        <f>IF(N213="",0,VLOOKUP(N213,'Dados de consulta'!$H$2:$I$25,2,0))</f>
        <v>0</v>
      </c>
      <c r="AO213">
        <f>IF(O213="",0,VLOOKUP(O213,'Dados de consulta'!$H$2:$I$25,2,0))</f>
        <v>0</v>
      </c>
      <c r="AP213">
        <f>IF(P213="",0,VLOOKUP(P213,'Dados de consulta'!$H$2:$I$25,2,0))</f>
        <v>0</v>
      </c>
      <c r="AQ213">
        <f>IF(Q213="",0,VLOOKUP(Q213,'Dados de consulta'!$H$2:$I$25,2,0))</f>
        <v>0</v>
      </c>
      <c r="AR213">
        <f>IF(R213="",0,VLOOKUP(R213,'Dados de consulta'!$H$2:$I$25,2,0))</f>
        <v>0</v>
      </c>
      <c r="AS213">
        <f>IF(S213="",0,VLOOKUP(S213,'Dados de consulta'!$H$2:$I$25,2,0))</f>
        <v>0</v>
      </c>
      <c r="AT213">
        <f>IF(T213="",0,VLOOKUP(T213,'Dados de consulta'!$H$2:$I$25,2,0))</f>
        <v>0</v>
      </c>
      <c r="AU213">
        <f>IF(U213="",0,VLOOKUP(U213,'Dados de consulta'!$H$2:$I$25,2,0))</f>
        <v>0</v>
      </c>
      <c r="AV213">
        <f>IF(V213="",0,VLOOKUP(V213,'Dados de consulta'!$H$2:$I$25,2,0))</f>
        <v>0</v>
      </c>
      <c r="AW213">
        <f t="shared" si="20"/>
        <v>0</v>
      </c>
      <c r="AX213">
        <f t="shared" si="21"/>
        <v>0</v>
      </c>
      <c r="AY213">
        <f t="shared" si="22"/>
        <v>0</v>
      </c>
    </row>
    <row r="214" spans="1:51" hidden="1" x14ac:dyDescent="0.2">
      <c r="A214" s="202">
        <v>42471</v>
      </c>
      <c r="B214" s="78" t="s">
        <v>283</v>
      </c>
      <c r="W214">
        <f t="shared" si="23"/>
        <v>0</v>
      </c>
      <c r="X214">
        <f t="shared" si="24"/>
        <v>0</v>
      </c>
      <c r="Y214">
        <f t="shared" si="25"/>
        <v>0</v>
      </c>
      <c r="AA214" s="202">
        <v>42471</v>
      </c>
      <c r="AB214" s="78" t="s">
        <v>283</v>
      </c>
      <c r="AC214">
        <f>IF(C214="",0,VLOOKUP(C214,'Dados de consulta'!$H$2:$I$25,2,0))</f>
        <v>0</v>
      </c>
      <c r="AD214">
        <f>IF(D214="",0,VLOOKUP(D214,'Dados de consulta'!$H$2:$I$25,2,0))</f>
        <v>0</v>
      </c>
      <c r="AE214">
        <f>IF(E214="",0,VLOOKUP(E214,'Dados de consulta'!$H$2:$I$25,2,0))</f>
        <v>0</v>
      </c>
      <c r="AF214">
        <f>IF(F214="",0,VLOOKUP(F214,'Dados de consulta'!$H$2:$I$25,2,0))</f>
        <v>0</v>
      </c>
      <c r="AG214">
        <f>IF(G214="",0,VLOOKUP(G214,'Dados de consulta'!$H$2:$I$25,2,0))</f>
        <v>0</v>
      </c>
      <c r="AH214">
        <f>IF(H214="",0,VLOOKUP(H214,'Dados de consulta'!$H$2:$I$25,2,0))</f>
        <v>0</v>
      </c>
      <c r="AI214">
        <f>IF(I214="",0,VLOOKUP(I214,'Dados de consulta'!$H$2:$I$25,2,0))</f>
        <v>0</v>
      </c>
      <c r="AJ214">
        <f>IF(J214="",0,VLOOKUP(J214,'Dados de consulta'!$H$2:$I$25,2,0))</f>
        <v>0</v>
      </c>
      <c r="AK214">
        <f>IF(K214="",0,VLOOKUP(K214,'Dados de consulta'!$H$2:$I$25,2,0))</f>
        <v>0</v>
      </c>
      <c r="AL214">
        <f>IF(L214="",0,VLOOKUP(L214,'Dados de consulta'!$H$2:$I$25,2,0))</f>
        <v>0</v>
      </c>
      <c r="AM214">
        <f>IF(M214="",0,VLOOKUP(M214,'Dados de consulta'!$H$2:$I$25,2,0))</f>
        <v>0</v>
      </c>
      <c r="AN214">
        <f>IF(N214="",0,VLOOKUP(N214,'Dados de consulta'!$H$2:$I$25,2,0))</f>
        <v>0</v>
      </c>
      <c r="AO214">
        <f>IF(O214="",0,VLOOKUP(O214,'Dados de consulta'!$H$2:$I$25,2,0))</f>
        <v>0</v>
      </c>
      <c r="AP214">
        <f>IF(P214="",0,VLOOKUP(P214,'Dados de consulta'!$H$2:$I$25,2,0))</f>
        <v>0</v>
      </c>
      <c r="AQ214">
        <f>IF(Q214="",0,VLOOKUP(Q214,'Dados de consulta'!$H$2:$I$25,2,0))</f>
        <v>0</v>
      </c>
      <c r="AR214">
        <f>IF(R214="",0,VLOOKUP(R214,'Dados de consulta'!$H$2:$I$25,2,0))</f>
        <v>0</v>
      </c>
      <c r="AS214">
        <f>IF(S214="",0,VLOOKUP(S214,'Dados de consulta'!$H$2:$I$25,2,0))</f>
        <v>0</v>
      </c>
      <c r="AT214">
        <f>IF(T214="",0,VLOOKUP(T214,'Dados de consulta'!$H$2:$I$25,2,0))</f>
        <v>0</v>
      </c>
      <c r="AU214">
        <f>IF(U214="",0,VLOOKUP(U214,'Dados de consulta'!$H$2:$I$25,2,0))</f>
        <v>0</v>
      </c>
      <c r="AV214">
        <f>IF(V214="",0,VLOOKUP(V214,'Dados de consulta'!$H$2:$I$25,2,0))</f>
        <v>0</v>
      </c>
      <c r="AW214">
        <f t="shared" ref="AW214:AW277" si="26">SUMIF(AC214:AV214,"&lt;"&amp;9,AC214:AV214)</f>
        <v>0</v>
      </c>
      <c r="AX214">
        <f t="shared" ref="AX214:AX277" si="27">SUMIFS(AC214:AV214,AC214:AV214,"&gt;"&amp;8,AC214:AV214,"&lt;"&amp;19)-COUNTIFS(AC214:AV214,"&gt;"&amp;8,AC214:AV214,"&lt;"&amp;19)*10</f>
        <v>0</v>
      </c>
      <c r="AY214">
        <f t="shared" ref="AY214:AY277" si="28">SUMIFS(AC214:AV214,AC214:AV214,"&gt;"&amp;20,AC214:AV214,"&lt;"&amp;29)-COUNTIFS(AC214:AV214,"&gt;"&amp;20,AC214:AV214,"&lt;"&amp;29)*20</f>
        <v>0</v>
      </c>
    </row>
    <row r="215" spans="1:51" hidden="1" x14ac:dyDescent="0.2">
      <c r="A215" s="202">
        <v>42472</v>
      </c>
      <c r="B215" s="78" t="s">
        <v>284</v>
      </c>
      <c r="W215">
        <f t="shared" si="23"/>
        <v>0</v>
      </c>
      <c r="X215">
        <f t="shared" si="24"/>
        <v>0</v>
      </c>
      <c r="Y215">
        <f t="shared" si="25"/>
        <v>0</v>
      </c>
      <c r="AA215" s="202">
        <v>42472</v>
      </c>
      <c r="AB215" s="78" t="s">
        <v>284</v>
      </c>
      <c r="AC215">
        <f>IF(C215="",0,VLOOKUP(C215,'Dados de consulta'!$H$2:$I$25,2,0))</f>
        <v>0</v>
      </c>
      <c r="AD215">
        <f>IF(D215="",0,VLOOKUP(D215,'Dados de consulta'!$H$2:$I$25,2,0))</f>
        <v>0</v>
      </c>
      <c r="AE215">
        <f>IF(E215="",0,VLOOKUP(E215,'Dados de consulta'!$H$2:$I$25,2,0))</f>
        <v>0</v>
      </c>
      <c r="AF215">
        <f>IF(F215="",0,VLOOKUP(F215,'Dados de consulta'!$H$2:$I$25,2,0))</f>
        <v>0</v>
      </c>
      <c r="AG215">
        <f>IF(G215="",0,VLOOKUP(G215,'Dados de consulta'!$H$2:$I$25,2,0))</f>
        <v>0</v>
      </c>
      <c r="AH215">
        <f>IF(H215="",0,VLOOKUP(H215,'Dados de consulta'!$H$2:$I$25,2,0))</f>
        <v>0</v>
      </c>
      <c r="AI215">
        <f>IF(I215="",0,VLOOKUP(I215,'Dados de consulta'!$H$2:$I$25,2,0))</f>
        <v>0</v>
      </c>
      <c r="AJ215">
        <f>IF(J215="",0,VLOOKUP(J215,'Dados de consulta'!$H$2:$I$25,2,0))</f>
        <v>0</v>
      </c>
      <c r="AK215">
        <f>IF(K215="",0,VLOOKUP(K215,'Dados de consulta'!$H$2:$I$25,2,0))</f>
        <v>0</v>
      </c>
      <c r="AL215">
        <f>IF(L215="",0,VLOOKUP(L215,'Dados de consulta'!$H$2:$I$25,2,0))</f>
        <v>0</v>
      </c>
      <c r="AM215">
        <f>IF(M215="",0,VLOOKUP(M215,'Dados de consulta'!$H$2:$I$25,2,0))</f>
        <v>0</v>
      </c>
      <c r="AN215">
        <f>IF(N215="",0,VLOOKUP(N215,'Dados de consulta'!$H$2:$I$25,2,0))</f>
        <v>0</v>
      </c>
      <c r="AO215">
        <f>IF(O215="",0,VLOOKUP(O215,'Dados de consulta'!$H$2:$I$25,2,0))</f>
        <v>0</v>
      </c>
      <c r="AP215">
        <f>IF(P215="",0,VLOOKUP(P215,'Dados de consulta'!$H$2:$I$25,2,0))</f>
        <v>0</v>
      </c>
      <c r="AQ215">
        <f>IF(Q215="",0,VLOOKUP(Q215,'Dados de consulta'!$H$2:$I$25,2,0))</f>
        <v>0</v>
      </c>
      <c r="AR215">
        <f>IF(R215="",0,VLOOKUP(R215,'Dados de consulta'!$H$2:$I$25,2,0))</f>
        <v>0</v>
      </c>
      <c r="AS215">
        <f>IF(S215="",0,VLOOKUP(S215,'Dados de consulta'!$H$2:$I$25,2,0))</f>
        <v>0</v>
      </c>
      <c r="AT215">
        <f>IF(T215="",0,VLOOKUP(T215,'Dados de consulta'!$H$2:$I$25,2,0))</f>
        <v>0</v>
      </c>
      <c r="AU215">
        <f>IF(U215="",0,VLOOKUP(U215,'Dados de consulta'!$H$2:$I$25,2,0))</f>
        <v>0</v>
      </c>
      <c r="AV215">
        <f>IF(V215="",0,VLOOKUP(V215,'Dados de consulta'!$H$2:$I$25,2,0))</f>
        <v>0</v>
      </c>
      <c r="AW215">
        <f t="shared" si="26"/>
        <v>0</v>
      </c>
      <c r="AX215">
        <f t="shared" si="27"/>
        <v>0</v>
      </c>
      <c r="AY215">
        <f t="shared" si="28"/>
        <v>0</v>
      </c>
    </row>
    <row r="216" spans="1:51" hidden="1" x14ac:dyDescent="0.2">
      <c r="A216" s="202">
        <v>42473</v>
      </c>
      <c r="B216" s="78" t="s">
        <v>285</v>
      </c>
      <c r="W216">
        <f t="shared" si="23"/>
        <v>0</v>
      </c>
      <c r="X216">
        <f t="shared" si="24"/>
        <v>0</v>
      </c>
      <c r="Y216">
        <f t="shared" si="25"/>
        <v>0</v>
      </c>
      <c r="AA216" s="202">
        <v>42473</v>
      </c>
      <c r="AB216" s="78" t="s">
        <v>285</v>
      </c>
      <c r="AC216">
        <f>IF(C216="",0,VLOOKUP(C216,'Dados de consulta'!$H$2:$I$25,2,0))</f>
        <v>0</v>
      </c>
      <c r="AD216">
        <f>IF(D216="",0,VLOOKUP(D216,'Dados de consulta'!$H$2:$I$25,2,0))</f>
        <v>0</v>
      </c>
      <c r="AE216">
        <f>IF(E216="",0,VLOOKUP(E216,'Dados de consulta'!$H$2:$I$25,2,0))</f>
        <v>0</v>
      </c>
      <c r="AF216">
        <f>IF(F216="",0,VLOOKUP(F216,'Dados de consulta'!$H$2:$I$25,2,0))</f>
        <v>0</v>
      </c>
      <c r="AG216">
        <f>IF(G216="",0,VLOOKUP(G216,'Dados de consulta'!$H$2:$I$25,2,0))</f>
        <v>0</v>
      </c>
      <c r="AH216">
        <f>IF(H216="",0,VLOOKUP(H216,'Dados de consulta'!$H$2:$I$25,2,0))</f>
        <v>0</v>
      </c>
      <c r="AI216">
        <f>IF(I216="",0,VLOOKUP(I216,'Dados de consulta'!$H$2:$I$25,2,0))</f>
        <v>0</v>
      </c>
      <c r="AJ216">
        <f>IF(J216="",0,VLOOKUP(J216,'Dados de consulta'!$H$2:$I$25,2,0))</f>
        <v>0</v>
      </c>
      <c r="AK216">
        <f>IF(K216="",0,VLOOKUP(K216,'Dados de consulta'!$H$2:$I$25,2,0))</f>
        <v>0</v>
      </c>
      <c r="AL216">
        <f>IF(L216="",0,VLOOKUP(L216,'Dados de consulta'!$H$2:$I$25,2,0))</f>
        <v>0</v>
      </c>
      <c r="AM216">
        <f>IF(M216="",0,VLOOKUP(M216,'Dados de consulta'!$H$2:$I$25,2,0))</f>
        <v>0</v>
      </c>
      <c r="AN216">
        <f>IF(N216="",0,VLOOKUP(N216,'Dados de consulta'!$H$2:$I$25,2,0))</f>
        <v>0</v>
      </c>
      <c r="AO216">
        <f>IF(O216="",0,VLOOKUP(O216,'Dados de consulta'!$H$2:$I$25,2,0))</f>
        <v>0</v>
      </c>
      <c r="AP216">
        <f>IF(P216="",0,VLOOKUP(P216,'Dados de consulta'!$H$2:$I$25,2,0))</f>
        <v>0</v>
      </c>
      <c r="AQ216">
        <f>IF(Q216="",0,VLOOKUP(Q216,'Dados de consulta'!$H$2:$I$25,2,0))</f>
        <v>0</v>
      </c>
      <c r="AR216">
        <f>IF(R216="",0,VLOOKUP(R216,'Dados de consulta'!$H$2:$I$25,2,0))</f>
        <v>0</v>
      </c>
      <c r="AS216">
        <f>IF(S216="",0,VLOOKUP(S216,'Dados de consulta'!$H$2:$I$25,2,0))</f>
        <v>0</v>
      </c>
      <c r="AT216">
        <f>IF(T216="",0,VLOOKUP(T216,'Dados de consulta'!$H$2:$I$25,2,0))</f>
        <v>0</v>
      </c>
      <c r="AU216">
        <f>IF(U216="",0,VLOOKUP(U216,'Dados de consulta'!$H$2:$I$25,2,0))</f>
        <v>0</v>
      </c>
      <c r="AV216">
        <f>IF(V216="",0,VLOOKUP(V216,'Dados de consulta'!$H$2:$I$25,2,0))</f>
        <v>0</v>
      </c>
      <c r="AW216">
        <f t="shared" si="26"/>
        <v>0</v>
      </c>
      <c r="AX216">
        <f t="shared" si="27"/>
        <v>0</v>
      </c>
      <c r="AY216">
        <f t="shared" si="28"/>
        <v>0</v>
      </c>
    </row>
    <row r="217" spans="1:51" hidden="1" x14ac:dyDescent="0.2">
      <c r="A217" s="202">
        <v>42474</v>
      </c>
      <c r="B217" s="78" t="s">
        <v>286</v>
      </c>
      <c r="W217">
        <f t="shared" si="23"/>
        <v>0</v>
      </c>
      <c r="X217">
        <f t="shared" si="24"/>
        <v>0</v>
      </c>
      <c r="Y217">
        <f t="shared" si="25"/>
        <v>0</v>
      </c>
      <c r="AA217" s="202">
        <v>42474</v>
      </c>
      <c r="AB217" s="78" t="s">
        <v>286</v>
      </c>
      <c r="AC217">
        <f>IF(C217="",0,VLOOKUP(C217,'Dados de consulta'!$H$2:$I$25,2,0))</f>
        <v>0</v>
      </c>
      <c r="AD217">
        <f>IF(D217="",0,VLOOKUP(D217,'Dados de consulta'!$H$2:$I$25,2,0))</f>
        <v>0</v>
      </c>
      <c r="AE217">
        <f>IF(E217="",0,VLOOKUP(E217,'Dados de consulta'!$H$2:$I$25,2,0))</f>
        <v>0</v>
      </c>
      <c r="AF217">
        <f>IF(F217="",0,VLOOKUP(F217,'Dados de consulta'!$H$2:$I$25,2,0))</f>
        <v>0</v>
      </c>
      <c r="AG217">
        <f>IF(G217="",0,VLOOKUP(G217,'Dados de consulta'!$H$2:$I$25,2,0))</f>
        <v>0</v>
      </c>
      <c r="AH217">
        <f>IF(H217="",0,VLOOKUP(H217,'Dados de consulta'!$H$2:$I$25,2,0))</f>
        <v>0</v>
      </c>
      <c r="AI217">
        <f>IF(I217="",0,VLOOKUP(I217,'Dados de consulta'!$H$2:$I$25,2,0))</f>
        <v>0</v>
      </c>
      <c r="AJ217">
        <f>IF(J217="",0,VLOOKUP(J217,'Dados de consulta'!$H$2:$I$25,2,0))</f>
        <v>0</v>
      </c>
      <c r="AK217">
        <f>IF(K217="",0,VLOOKUP(K217,'Dados de consulta'!$H$2:$I$25,2,0))</f>
        <v>0</v>
      </c>
      <c r="AL217">
        <f>IF(L217="",0,VLOOKUP(L217,'Dados de consulta'!$H$2:$I$25,2,0))</f>
        <v>0</v>
      </c>
      <c r="AM217">
        <f>IF(M217="",0,VLOOKUP(M217,'Dados de consulta'!$H$2:$I$25,2,0))</f>
        <v>0</v>
      </c>
      <c r="AN217">
        <f>IF(N217="",0,VLOOKUP(N217,'Dados de consulta'!$H$2:$I$25,2,0))</f>
        <v>0</v>
      </c>
      <c r="AO217">
        <f>IF(O217="",0,VLOOKUP(O217,'Dados de consulta'!$H$2:$I$25,2,0))</f>
        <v>0</v>
      </c>
      <c r="AP217">
        <f>IF(P217="",0,VLOOKUP(P217,'Dados de consulta'!$H$2:$I$25,2,0))</f>
        <v>0</v>
      </c>
      <c r="AQ217">
        <f>IF(Q217="",0,VLOOKUP(Q217,'Dados de consulta'!$H$2:$I$25,2,0))</f>
        <v>0</v>
      </c>
      <c r="AR217">
        <f>IF(R217="",0,VLOOKUP(R217,'Dados de consulta'!$H$2:$I$25,2,0))</f>
        <v>0</v>
      </c>
      <c r="AS217">
        <f>IF(S217="",0,VLOOKUP(S217,'Dados de consulta'!$H$2:$I$25,2,0))</f>
        <v>0</v>
      </c>
      <c r="AT217">
        <f>IF(T217="",0,VLOOKUP(T217,'Dados de consulta'!$H$2:$I$25,2,0))</f>
        <v>0</v>
      </c>
      <c r="AU217">
        <f>IF(U217="",0,VLOOKUP(U217,'Dados de consulta'!$H$2:$I$25,2,0))</f>
        <v>0</v>
      </c>
      <c r="AV217">
        <f>IF(V217="",0,VLOOKUP(V217,'Dados de consulta'!$H$2:$I$25,2,0))</f>
        <v>0</v>
      </c>
      <c r="AW217">
        <f t="shared" si="26"/>
        <v>0</v>
      </c>
      <c r="AX217">
        <f t="shared" si="27"/>
        <v>0</v>
      </c>
      <c r="AY217">
        <f t="shared" si="28"/>
        <v>0</v>
      </c>
    </row>
    <row r="218" spans="1:51" hidden="1" x14ac:dyDescent="0.2">
      <c r="A218" s="202">
        <v>42475</v>
      </c>
      <c r="B218" s="78" t="s">
        <v>287</v>
      </c>
      <c r="W218">
        <f t="shared" si="23"/>
        <v>0</v>
      </c>
      <c r="X218">
        <f t="shared" si="24"/>
        <v>0</v>
      </c>
      <c r="Y218">
        <f t="shared" si="25"/>
        <v>0</v>
      </c>
      <c r="AA218" s="202">
        <v>42475</v>
      </c>
      <c r="AB218" s="78" t="s">
        <v>287</v>
      </c>
      <c r="AC218">
        <f>IF(C218="",0,VLOOKUP(C218,'Dados de consulta'!$H$2:$I$25,2,0))</f>
        <v>0</v>
      </c>
      <c r="AD218">
        <f>IF(D218="",0,VLOOKUP(D218,'Dados de consulta'!$H$2:$I$25,2,0))</f>
        <v>0</v>
      </c>
      <c r="AE218">
        <f>IF(E218="",0,VLOOKUP(E218,'Dados de consulta'!$H$2:$I$25,2,0))</f>
        <v>0</v>
      </c>
      <c r="AF218">
        <f>IF(F218="",0,VLOOKUP(F218,'Dados de consulta'!$H$2:$I$25,2,0))</f>
        <v>0</v>
      </c>
      <c r="AG218">
        <f>IF(G218="",0,VLOOKUP(G218,'Dados de consulta'!$H$2:$I$25,2,0))</f>
        <v>0</v>
      </c>
      <c r="AH218">
        <f>IF(H218="",0,VLOOKUP(H218,'Dados de consulta'!$H$2:$I$25,2,0))</f>
        <v>0</v>
      </c>
      <c r="AI218">
        <f>IF(I218="",0,VLOOKUP(I218,'Dados de consulta'!$H$2:$I$25,2,0))</f>
        <v>0</v>
      </c>
      <c r="AJ218">
        <f>IF(J218="",0,VLOOKUP(J218,'Dados de consulta'!$H$2:$I$25,2,0))</f>
        <v>0</v>
      </c>
      <c r="AK218">
        <f>IF(K218="",0,VLOOKUP(K218,'Dados de consulta'!$H$2:$I$25,2,0))</f>
        <v>0</v>
      </c>
      <c r="AL218">
        <f>IF(L218="",0,VLOOKUP(L218,'Dados de consulta'!$H$2:$I$25,2,0))</f>
        <v>0</v>
      </c>
      <c r="AM218">
        <f>IF(M218="",0,VLOOKUP(M218,'Dados de consulta'!$H$2:$I$25,2,0))</f>
        <v>0</v>
      </c>
      <c r="AN218">
        <f>IF(N218="",0,VLOOKUP(N218,'Dados de consulta'!$H$2:$I$25,2,0))</f>
        <v>0</v>
      </c>
      <c r="AO218">
        <f>IF(O218="",0,VLOOKUP(O218,'Dados de consulta'!$H$2:$I$25,2,0))</f>
        <v>0</v>
      </c>
      <c r="AP218">
        <f>IF(P218="",0,VLOOKUP(P218,'Dados de consulta'!$H$2:$I$25,2,0))</f>
        <v>0</v>
      </c>
      <c r="AQ218">
        <f>IF(Q218="",0,VLOOKUP(Q218,'Dados de consulta'!$H$2:$I$25,2,0))</f>
        <v>0</v>
      </c>
      <c r="AR218">
        <f>IF(R218="",0,VLOOKUP(R218,'Dados de consulta'!$H$2:$I$25,2,0))</f>
        <v>0</v>
      </c>
      <c r="AS218">
        <f>IF(S218="",0,VLOOKUP(S218,'Dados de consulta'!$H$2:$I$25,2,0))</f>
        <v>0</v>
      </c>
      <c r="AT218">
        <f>IF(T218="",0,VLOOKUP(T218,'Dados de consulta'!$H$2:$I$25,2,0))</f>
        <v>0</v>
      </c>
      <c r="AU218">
        <f>IF(U218="",0,VLOOKUP(U218,'Dados de consulta'!$H$2:$I$25,2,0))</f>
        <v>0</v>
      </c>
      <c r="AV218">
        <f>IF(V218="",0,VLOOKUP(V218,'Dados de consulta'!$H$2:$I$25,2,0))</f>
        <v>0</v>
      </c>
      <c r="AW218">
        <f t="shared" si="26"/>
        <v>0</v>
      </c>
      <c r="AX218">
        <f t="shared" si="27"/>
        <v>0</v>
      </c>
      <c r="AY218">
        <f t="shared" si="28"/>
        <v>0</v>
      </c>
    </row>
    <row r="219" spans="1:51" hidden="1" x14ac:dyDescent="0.2">
      <c r="A219" s="202">
        <v>42476</v>
      </c>
      <c r="B219" s="78" t="s">
        <v>281</v>
      </c>
      <c r="C219" s="78" t="s">
        <v>219</v>
      </c>
      <c r="G219" s="78" t="s">
        <v>219</v>
      </c>
      <c r="N219" s="78" t="s">
        <v>219</v>
      </c>
      <c r="W219">
        <f t="shared" si="23"/>
        <v>18</v>
      </c>
      <c r="X219">
        <f t="shared" si="24"/>
        <v>0</v>
      </c>
      <c r="Y219">
        <f t="shared" si="25"/>
        <v>0</v>
      </c>
      <c r="AA219" s="202">
        <v>42476</v>
      </c>
      <c r="AB219" s="78" t="s">
        <v>281</v>
      </c>
      <c r="AC219">
        <f>IF(C219="",0,VLOOKUP(C219,'Dados de consulta'!$H$2:$I$25,2,0))</f>
        <v>6</v>
      </c>
      <c r="AD219">
        <f>IF(D219="",0,VLOOKUP(D219,'Dados de consulta'!$H$2:$I$25,2,0))</f>
        <v>0</v>
      </c>
      <c r="AE219">
        <f>IF(E219="",0,VLOOKUP(E219,'Dados de consulta'!$H$2:$I$25,2,0))</f>
        <v>0</v>
      </c>
      <c r="AF219">
        <f>IF(F219="",0,VLOOKUP(F219,'Dados de consulta'!$H$2:$I$25,2,0))</f>
        <v>0</v>
      </c>
      <c r="AG219">
        <f>IF(G219="",0,VLOOKUP(G219,'Dados de consulta'!$H$2:$I$25,2,0))</f>
        <v>6</v>
      </c>
      <c r="AH219">
        <f>IF(H219="",0,VLOOKUP(H219,'Dados de consulta'!$H$2:$I$25,2,0))</f>
        <v>0</v>
      </c>
      <c r="AI219">
        <f>IF(I219="",0,VLOOKUP(I219,'Dados de consulta'!$H$2:$I$25,2,0))</f>
        <v>0</v>
      </c>
      <c r="AJ219">
        <f>IF(J219="",0,VLOOKUP(J219,'Dados de consulta'!$H$2:$I$25,2,0))</f>
        <v>0</v>
      </c>
      <c r="AK219">
        <f>IF(K219="",0,VLOOKUP(K219,'Dados de consulta'!$H$2:$I$25,2,0))</f>
        <v>0</v>
      </c>
      <c r="AL219">
        <f>IF(L219="",0,VLOOKUP(L219,'Dados de consulta'!$H$2:$I$25,2,0))</f>
        <v>0</v>
      </c>
      <c r="AM219">
        <f>IF(M219="",0,VLOOKUP(M219,'Dados de consulta'!$H$2:$I$25,2,0))</f>
        <v>0</v>
      </c>
      <c r="AN219">
        <f>IF(N219="",0,VLOOKUP(N219,'Dados de consulta'!$H$2:$I$25,2,0))</f>
        <v>6</v>
      </c>
      <c r="AO219">
        <f>IF(O219="",0,VLOOKUP(O219,'Dados de consulta'!$H$2:$I$25,2,0))</f>
        <v>0</v>
      </c>
      <c r="AP219">
        <f>IF(P219="",0,VLOOKUP(P219,'Dados de consulta'!$H$2:$I$25,2,0))</f>
        <v>0</v>
      </c>
      <c r="AQ219">
        <f>IF(Q219="",0,VLOOKUP(Q219,'Dados de consulta'!$H$2:$I$25,2,0))</f>
        <v>0</v>
      </c>
      <c r="AR219">
        <f>IF(R219="",0,VLOOKUP(R219,'Dados de consulta'!$H$2:$I$25,2,0))</f>
        <v>0</v>
      </c>
      <c r="AS219">
        <f>IF(S219="",0,VLOOKUP(S219,'Dados de consulta'!$H$2:$I$25,2,0))</f>
        <v>0</v>
      </c>
      <c r="AT219">
        <f>IF(T219="",0,VLOOKUP(T219,'Dados de consulta'!$H$2:$I$25,2,0))</f>
        <v>0</v>
      </c>
      <c r="AU219">
        <f>IF(U219="",0,VLOOKUP(U219,'Dados de consulta'!$H$2:$I$25,2,0))</f>
        <v>0</v>
      </c>
      <c r="AV219">
        <f>IF(V219="",0,VLOOKUP(V219,'Dados de consulta'!$H$2:$I$25,2,0))</f>
        <v>0</v>
      </c>
      <c r="AW219">
        <f t="shared" si="26"/>
        <v>18</v>
      </c>
      <c r="AX219">
        <f t="shared" si="27"/>
        <v>0</v>
      </c>
      <c r="AY219">
        <f t="shared" si="28"/>
        <v>0</v>
      </c>
    </row>
    <row r="220" spans="1:51" hidden="1" x14ac:dyDescent="0.2">
      <c r="A220" s="202">
        <v>42477</v>
      </c>
      <c r="B220" s="78" t="s">
        <v>282</v>
      </c>
      <c r="W220">
        <f t="shared" si="23"/>
        <v>0</v>
      </c>
      <c r="X220">
        <f t="shared" si="24"/>
        <v>0</v>
      </c>
      <c r="Y220">
        <f t="shared" si="25"/>
        <v>0</v>
      </c>
      <c r="AA220" s="202">
        <v>42477</v>
      </c>
      <c r="AB220" s="78" t="s">
        <v>282</v>
      </c>
      <c r="AC220">
        <f>IF(C220="",0,VLOOKUP(C220,'Dados de consulta'!$H$2:$I$25,2,0))</f>
        <v>0</v>
      </c>
      <c r="AD220">
        <f>IF(D220="",0,VLOOKUP(D220,'Dados de consulta'!$H$2:$I$25,2,0))</f>
        <v>0</v>
      </c>
      <c r="AE220">
        <f>IF(E220="",0,VLOOKUP(E220,'Dados de consulta'!$H$2:$I$25,2,0))</f>
        <v>0</v>
      </c>
      <c r="AF220">
        <f>IF(F220="",0,VLOOKUP(F220,'Dados de consulta'!$H$2:$I$25,2,0))</f>
        <v>0</v>
      </c>
      <c r="AG220">
        <f>IF(G220="",0,VLOOKUP(G220,'Dados de consulta'!$H$2:$I$25,2,0))</f>
        <v>0</v>
      </c>
      <c r="AH220">
        <f>IF(H220="",0,VLOOKUP(H220,'Dados de consulta'!$H$2:$I$25,2,0))</f>
        <v>0</v>
      </c>
      <c r="AI220">
        <f>IF(I220="",0,VLOOKUP(I220,'Dados de consulta'!$H$2:$I$25,2,0))</f>
        <v>0</v>
      </c>
      <c r="AJ220">
        <f>IF(J220="",0,VLOOKUP(J220,'Dados de consulta'!$H$2:$I$25,2,0))</f>
        <v>0</v>
      </c>
      <c r="AK220">
        <f>IF(K220="",0,VLOOKUP(K220,'Dados de consulta'!$H$2:$I$25,2,0))</f>
        <v>0</v>
      </c>
      <c r="AL220">
        <f>IF(L220="",0,VLOOKUP(L220,'Dados de consulta'!$H$2:$I$25,2,0))</f>
        <v>0</v>
      </c>
      <c r="AM220">
        <f>IF(M220="",0,VLOOKUP(M220,'Dados de consulta'!$H$2:$I$25,2,0))</f>
        <v>0</v>
      </c>
      <c r="AN220">
        <f>IF(N220="",0,VLOOKUP(N220,'Dados de consulta'!$H$2:$I$25,2,0))</f>
        <v>0</v>
      </c>
      <c r="AO220">
        <f>IF(O220="",0,VLOOKUP(O220,'Dados de consulta'!$H$2:$I$25,2,0))</f>
        <v>0</v>
      </c>
      <c r="AP220">
        <f>IF(P220="",0,VLOOKUP(P220,'Dados de consulta'!$H$2:$I$25,2,0))</f>
        <v>0</v>
      </c>
      <c r="AQ220">
        <f>IF(Q220="",0,VLOOKUP(Q220,'Dados de consulta'!$H$2:$I$25,2,0))</f>
        <v>0</v>
      </c>
      <c r="AR220">
        <f>IF(R220="",0,VLOOKUP(R220,'Dados de consulta'!$H$2:$I$25,2,0))</f>
        <v>0</v>
      </c>
      <c r="AS220">
        <f>IF(S220="",0,VLOOKUP(S220,'Dados de consulta'!$H$2:$I$25,2,0))</f>
        <v>0</v>
      </c>
      <c r="AT220">
        <f>IF(T220="",0,VLOOKUP(T220,'Dados de consulta'!$H$2:$I$25,2,0))</f>
        <v>0</v>
      </c>
      <c r="AU220">
        <f>IF(U220="",0,VLOOKUP(U220,'Dados de consulta'!$H$2:$I$25,2,0))</f>
        <v>0</v>
      </c>
      <c r="AV220">
        <f>IF(V220="",0,VLOOKUP(V220,'Dados de consulta'!$H$2:$I$25,2,0))</f>
        <v>0</v>
      </c>
      <c r="AW220">
        <f t="shared" si="26"/>
        <v>0</v>
      </c>
      <c r="AX220">
        <f t="shared" si="27"/>
        <v>0</v>
      </c>
      <c r="AY220">
        <f t="shared" si="28"/>
        <v>0</v>
      </c>
    </row>
    <row r="221" spans="1:51" hidden="1" x14ac:dyDescent="0.2">
      <c r="A221" s="202">
        <v>42478</v>
      </c>
      <c r="B221" s="78" t="s">
        <v>283</v>
      </c>
      <c r="W221">
        <f t="shared" si="23"/>
        <v>0</v>
      </c>
      <c r="X221">
        <f t="shared" si="24"/>
        <v>0</v>
      </c>
      <c r="Y221">
        <f t="shared" si="25"/>
        <v>0</v>
      </c>
      <c r="AA221" s="202">
        <v>42478</v>
      </c>
      <c r="AB221" s="78" t="s">
        <v>283</v>
      </c>
      <c r="AC221">
        <f>IF(C221="",0,VLOOKUP(C221,'Dados de consulta'!$H$2:$I$25,2,0))</f>
        <v>0</v>
      </c>
      <c r="AD221">
        <f>IF(D221="",0,VLOOKUP(D221,'Dados de consulta'!$H$2:$I$25,2,0))</f>
        <v>0</v>
      </c>
      <c r="AE221">
        <f>IF(E221="",0,VLOOKUP(E221,'Dados de consulta'!$H$2:$I$25,2,0))</f>
        <v>0</v>
      </c>
      <c r="AF221">
        <f>IF(F221="",0,VLOOKUP(F221,'Dados de consulta'!$H$2:$I$25,2,0))</f>
        <v>0</v>
      </c>
      <c r="AG221">
        <f>IF(G221="",0,VLOOKUP(G221,'Dados de consulta'!$H$2:$I$25,2,0))</f>
        <v>0</v>
      </c>
      <c r="AH221">
        <f>IF(H221="",0,VLOOKUP(H221,'Dados de consulta'!$H$2:$I$25,2,0))</f>
        <v>0</v>
      </c>
      <c r="AI221">
        <f>IF(I221="",0,VLOOKUP(I221,'Dados de consulta'!$H$2:$I$25,2,0))</f>
        <v>0</v>
      </c>
      <c r="AJ221">
        <f>IF(J221="",0,VLOOKUP(J221,'Dados de consulta'!$H$2:$I$25,2,0))</f>
        <v>0</v>
      </c>
      <c r="AK221">
        <f>IF(K221="",0,VLOOKUP(K221,'Dados de consulta'!$H$2:$I$25,2,0))</f>
        <v>0</v>
      </c>
      <c r="AL221">
        <f>IF(L221="",0,VLOOKUP(L221,'Dados de consulta'!$H$2:$I$25,2,0))</f>
        <v>0</v>
      </c>
      <c r="AM221">
        <f>IF(M221="",0,VLOOKUP(M221,'Dados de consulta'!$H$2:$I$25,2,0))</f>
        <v>0</v>
      </c>
      <c r="AN221">
        <f>IF(N221="",0,VLOOKUP(N221,'Dados de consulta'!$H$2:$I$25,2,0))</f>
        <v>0</v>
      </c>
      <c r="AO221">
        <f>IF(O221="",0,VLOOKUP(O221,'Dados de consulta'!$H$2:$I$25,2,0))</f>
        <v>0</v>
      </c>
      <c r="AP221">
        <f>IF(P221="",0,VLOOKUP(P221,'Dados de consulta'!$H$2:$I$25,2,0))</f>
        <v>0</v>
      </c>
      <c r="AQ221">
        <f>IF(Q221="",0,VLOOKUP(Q221,'Dados de consulta'!$H$2:$I$25,2,0))</f>
        <v>0</v>
      </c>
      <c r="AR221">
        <f>IF(R221="",0,VLOOKUP(R221,'Dados de consulta'!$H$2:$I$25,2,0))</f>
        <v>0</v>
      </c>
      <c r="AS221">
        <f>IF(S221="",0,VLOOKUP(S221,'Dados de consulta'!$H$2:$I$25,2,0))</f>
        <v>0</v>
      </c>
      <c r="AT221">
        <f>IF(T221="",0,VLOOKUP(T221,'Dados de consulta'!$H$2:$I$25,2,0))</f>
        <v>0</v>
      </c>
      <c r="AU221">
        <f>IF(U221="",0,VLOOKUP(U221,'Dados de consulta'!$H$2:$I$25,2,0))</f>
        <v>0</v>
      </c>
      <c r="AV221">
        <f>IF(V221="",0,VLOOKUP(V221,'Dados de consulta'!$H$2:$I$25,2,0))</f>
        <v>0</v>
      </c>
      <c r="AW221">
        <f t="shared" si="26"/>
        <v>0</v>
      </c>
      <c r="AX221">
        <f t="shared" si="27"/>
        <v>0</v>
      </c>
      <c r="AY221">
        <f t="shared" si="28"/>
        <v>0</v>
      </c>
    </row>
    <row r="222" spans="1:51" hidden="1" x14ac:dyDescent="0.2">
      <c r="A222" s="202">
        <v>42479</v>
      </c>
      <c r="B222" s="78" t="s">
        <v>284</v>
      </c>
      <c r="W222">
        <f t="shared" si="23"/>
        <v>0</v>
      </c>
      <c r="X222">
        <f t="shared" si="24"/>
        <v>0</v>
      </c>
      <c r="Y222">
        <f t="shared" si="25"/>
        <v>0</v>
      </c>
      <c r="AA222" s="202">
        <v>42479</v>
      </c>
      <c r="AB222" s="78" t="s">
        <v>284</v>
      </c>
      <c r="AC222">
        <f>IF(C222="",0,VLOOKUP(C222,'Dados de consulta'!$H$2:$I$25,2,0))</f>
        <v>0</v>
      </c>
      <c r="AD222">
        <f>IF(D222="",0,VLOOKUP(D222,'Dados de consulta'!$H$2:$I$25,2,0))</f>
        <v>0</v>
      </c>
      <c r="AE222">
        <f>IF(E222="",0,VLOOKUP(E222,'Dados de consulta'!$H$2:$I$25,2,0))</f>
        <v>0</v>
      </c>
      <c r="AF222">
        <f>IF(F222="",0,VLOOKUP(F222,'Dados de consulta'!$H$2:$I$25,2,0))</f>
        <v>0</v>
      </c>
      <c r="AG222">
        <f>IF(G222="",0,VLOOKUP(G222,'Dados de consulta'!$H$2:$I$25,2,0))</f>
        <v>0</v>
      </c>
      <c r="AH222">
        <f>IF(H222="",0,VLOOKUP(H222,'Dados de consulta'!$H$2:$I$25,2,0))</f>
        <v>0</v>
      </c>
      <c r="AI222">
        <f>IF(I222="",0,VLOOKUP(I222,'Dados de consulta'!$H$2:$I$25,2,0))</f>
        <v>0</v>
      </c>
      <c r="AJ222">
        <f>IF(J222="",0,VLOOKUP(J222,'Dados de consulta'!$H$2:$I$25,2,0))</f>
        <v>0</v>
      </c>
      <c r="AK222">
        <f>IF(K222="",0,VLOOKUP(K222,'Dados de consulta'!$H$2:$I$25,2,0))</f>
        <v>0</v>
      </c>
      <c r="AL222">
        <f>IF(L222="",0,VLOOKUP(L222,'Dados de consulta'!$H$2:$I$25,2,0))</f>
        <v>0</v>
      </c>
      <c r="AM222">
        <f>IF(M222="",0,VLOOKUP(M222,'Dados de consulta'!$H$2:$I$25,2,0))</f>
        <v>0</v>
      </c>
      <c r="AN222">
        <f>IF(N222="",0,VLOOKUP(N222,'Dados de consulta'!$H$2:$I$25,2,0))</f>
        <v>0</v>
      </c>
      <c r="AO222">
        <f>IF(O222="",0,VLOOKUP(O222,'Dados de consulta'!$H$2:$I$25,2,0))</f>
        <v>0</v>
      </c>
      <c r="AP222">
        <f>IF(P222="",0,VLOOKUP(P222,'Dados de consulta'!$H$2:$I$25,2,0))</f>
        <v>0</v>
      </c>
      <c r="AQ222">
        <f>IF(Q222="",0,VLOOKUP(Q222,'Dados de consulta'!$H$2:$I$25,2,0))</f>
        <v>0</v>
      </c>
      <c r="AR222">
        <f>IF(R222="",0,VLOOKUP(R222,'Dados de consulta'!$H$2:$I$25,2,0))</f>
        <v>0</v>
      </c>
      <c r="AS222">
        <f>IF(S222="",0,VLOOKUP(S222,'Dados de consulta'!$H$2:$I$25,2,0))</f>
        <v>0</v>
      </c>
      <c r="AT222">
        <f>IF(T222="",0,VLOOKUP(T222,'Dados de consulta'!$H$2:$I$25,2,0))</f>
        <v>0</v>
      </c>
      <c r="AU222">
        <f>IF(U222="",0,VLOOKUP(U222,'Dados de consulta'!$H$2:$I$25,2,0))</f>
        <v>0</v>
      </c>
      <c r="AV222">
        <f>IF(V222="",0,VLOOKUP(V222,'Dados de consulta'!$H$2:$I$25,2,0))</f>
        <v>0</v>
      </c>
      <c r="AW222">
        <f t="shared" si="26"/>
        <v>0</v>
      </c>
      <c r="AX222">
        <f t="shared" si="27"/>
        <v>0</v>
      </c>
      <c r="AY222">
        <f t="shared" si="28"/>
        <v>0</v>
      </c>
    </row>
    <row r="223" spans="1:51" hidden="1" x14ac:dyDescent="0.2">
      <c r="A223" s="202">
        <v>42480</v>
      </c>
      <c r="B223" s="78" t="s">
        <v>285</v>
      </c>
      <c r="W223">
        <f t="shared" si="23"/>
        <v>0</v>
      </c>
      <c r="X223">
        <f t="shared" si="24"/>
        <v>0</v>
      </c>
      <c r="Y223">
        <f t="shared" si="25"/>
        <v>0</v>
      </c>
      <c r="AA223" s="202">
        <v>42480</v>
      </c>
      <c r="AB223" s="78" t="s">
        <v>285</v>
      </c>
      <c r="AC223">
        <f>IF(C223="",0,VLOOKUP(C223,'Dados de consulta'!$H$2:$I$25,2,0))</f>
        <v>0</v>
      </c>
      <c r="AD223">
        <f>IF(D223="",0,VLOOKUP(D223,'Dados de consulta'!$H$2:$I$25,2,0))</f>
        <v>0</v>
      </c>
      <c r="AE223">
        <f>IF(E223="",0,VLOOKUP(E223,'Dados de consulta'!$H$2:$I$25,2,0))</f>
        <v>0</v>
      </c>
      <c r="AF223">
        <f>IF(F223="",0,VLOOKUP(F223,'Dados de consulta'!$H$2:$I$25,2,0))</f>
        <v>0</v>
      </c>
      <c r="AG223">
        <f>IF(G223="",0,VLOOKUP(G223,'Dados de consulta'!$H$2:$I$25,2,0))</f>
        <v>0</v>
      </c>
      <c r="AH223">
        <f>IF(H223="",0,VLOOKUP(H223,'Dados de consulta'!$H$2:$I$25,2,0))</f>
        <v>0</v>
      </c>
      <c r="AI223">
        <f>IF(I223="",0,VLOOKUP(I223,'Dados de consulta'!$H$2:$I$25,2,0))</f>
        <v>0</v>
      </c>
      <c r="AJ223">
        <f>IF(J223="",0,VLOOKUP(J223,'Dados de consulta'!$H$2:$I$25,2,0))</f>
        <v>0</v>
      </c>
      <c r="AK223">
        <f>IF(K223="",0,VLOOKUP(K223,'Dados de consulta'!$H$2:$I$25,2,0))</f>
        <v>0</v>
      </c>
      <c r="AL223">
        <f>IF(L223="",0,VLOOKUP(L223,'Dados de consulta'!$H$2:$I$25,2,0))</f>
        <v>0</v>
      </c>
      <c r="AM223">
        <f>IF(M223="",0,VLOOKUP(M223,'Dados de consulta'!$H$2:$I$25,2,0))</f>
        <v>0</v>
      </c>
      <c r="AN223">
        <f>IF(N223="",0,VLOOKUP(N223,'Dados de consulta'!$H$2:$I$25,2,0))</f>
        <v>0</v>
      </c>
      <c r="AO223">
        <f>IF(O223="",0,VLOOKUP(O223,'Dados de consulta'!$H$2:$I$25,2,0))</f>
        <v>0</v>
      </c>
      <c r="AP223">
        <f>IF(P223="",0,VLOOKUP(P223,'Dados de consulta'!$H$2:$I$25,2,0))</f>
        <v>0</v>
      </c>
      <c r="AQ223">
        <f>IF(Q223="",0,VLOOKUP(Q223,'Dados de consulta'!$H$2:$I$25,2,0))</f>
        <v>0</v>
      </c>
      <c r="AR223">
        <f>IF(R223="",0,VLOOKUP(R223,'Dados de consulta'!$H$2:$I$25,2,0))</f>
        <v>0</v>
      </c>
      <c r="AS223">
        <f>IF(S223="",0,VLOOKUP(S223,'Dados de consulta'!$H$2:$I$25,2,0))</f>
        <v>0</v>
      </c>
      <c r="AT223">
        <f>IF(T223="",0,VLOOKUP(T223,'Dados de consulta'!$H$2:$I$25,2,0))</f>
        <v>0</v>
      </c>
      <c r="AU223">
        <f>IF(U223="",0,VLOOKUP(U223,'Dados de consulta'!$H$2:$I$25,2,0))</f>
        <v>0</v>
      </c>
      <c r="AV223">
        <f>IF(V223="",0,VLOOKUP(V223,'Dados de consulta'!$H$2:$I$25,2,0))</f>
        <v>0</v>
      </c>
      <c r="AW223">
        <f t="shared" si="26"/>
        <v>0</v>
      </c>
      <c r="AX223">
        <f t="shared" si="27"/>
        <v>0</v>
      </c>
      <c r="AY223">
        <f t="shared" si="28"/>
        <v>0</v>
      </c>
    </row>
    <row r="224" spans="1:51" hidden="1" x14ac:dyDescent="0.2">
      <c r="A224" s="202">
        <v>42481</v>
      </c>
      <c r="B224" s="78" t="s">
        <v>286</v>
      </c>
      <c r="W224">
        <f t="shared" si="23"/>
        <v>0</v>
      </c>
      <c r="X224">
        <f t="shared" si="24"/>
        <v>0</v>
      </c>
      <c r="Y224">
        <f t="shared" si="25"/>
        <v>0</v>
      </c>
      <c r="AA224" s="202">
        <v>42481</v>
      </c>
      <c r="AB224" s="78" t="s">
        <v>286</v>
      </c>
      <c r="AC224">
        <f>IF(C224="",0,VLOOKUP(C224,'Dados de consulta'!$H$2:$I$25,2,0))</f>
        <v>0</v>
      </c>
      <c r="AD224">
        <f>IF(D224="",0,VLOOKUP(D224,'Dados de consulta'!$H$2:$I$25,2,0))</f>
        <v>0</v>
      </c>
      <c r="AE224">
        <f>IF(E224="",0,VLOOKUP(E224,'Dados de consulta'!$H$2:$I$25,2,0))</f>
        <v>0</v>
      </c>
      <c r="AF224">
        <f>IF(F224="",0,VLOOKUP(F224,'Dados de consulta'!$H$2:$I$25,2,0))</f>
        <v>0</v>
      </c>
      <c r="AG224">
        <f>IF(G224="",0,VLOOKUP(G224,'Dados de consulta'!$H$2:$I$25,2,0))</f>
        <v>0</v>
      </c>
      <c r="AH224">
        <f>IF(H224="",0,VLOOKUP(H224,'Dados de consulta'!$H$2:$I$25,2,0))</f>
        <v>0</v>
      </c>
      <c r="AI224">
        <f>IF(I224="",0,VLOOKUP(I224,'Dados de consulta'!$H$2:$I$25,2,0))</f>
        <v>0</v>
      </c>
      <c r="AJ224">
        <f>IF(J224="",0,VLOOKUP(J224,'Dados de consulta'!$H$2:$I$25,2,0))</f>
        <v>0</v>
      </c>
      <c r="AK224">
        <f>IF(K224="",0,VLOOKUP(K224,'Dados de consulta'!$H$2:$I$25,2,0))</f>
        <v>0</v>
      </c>
      <c r="AL224">
        <f>IF(L224="",0,VLOOKUP(L224,'Dados de consulta'!$H$2:$I$25,2,0))</f>
        <v>0</v>
      </c>
      <c r="AM224">
        <f>IF(M224="",0,VLOOKUP(M224,'Dados de consulta'!$H$2:$I$25,2,0))</f>
        <v>0</v>
      </c>
      <c r="AN224">
        <f>IF(N224="",0,VLOOKUP(N224,'Dados de consulta'!$H$2:$I$25,2,0))</f>
        <v>0</v>
      </c>
      <c r="AO224">
        <f>IF(O224="",0,VLOOKUP(O224,'Dados de consulta'!$H$2:$I$25,2,0))</f>
        <v>0</v>
      </c>
      <c r="AP224">
        <f>IF(P224="",0,VLOOKUP(P224,'Dados de consulta'!$H$2:$I$25,2,0))</f>
        <v>0</v>
      </c>
      <c r="AQ224">
        <f>IF(Q224="",0,VLOOKUP(Q224,'Dados de consulta'!$H$2:$I$25,2,0))</f>
        <v>0</v>
      </c>
      <c r="AR224">
        <f>IF(R224="",0,VLOOKUP(R224,'Dados de consulta'!$H$2:$I$25,2,0))</f>
        <v>0</v>
      </c>
      <c r="AS224">
        <f>IF(S224="",0,VLOOKUP(S224,'Dados de consulta'!$H$2:$I$25,2,0))</f>
        <v>0</v>
      </c>
      <c r="AT224">
        <f>IF(T224="",0,VLOOKUP(T224,'Dados de consulta'!$H$2:$I$25,2,0))</f>
        <v>0</v>
      </c>
      <c r="AU224">
        <f>IF(U224="",0,VLOOKUP(U224,'Dados de consulta'!$H$2:$I$25,2,0))</f>
        <v>0</v>
      </c>
      <c r="AV224">
        <f>IF(V224="",0,VLOOKUP(V224,'Dados de consulta'!$H$2:$I$25,2,0))</f>
        <v>0</v>
      </c>
      <c r="AW224">
        <f t="shared" si="26"/>
        <v>0</v>
      </c>
      <c r="AX224">
        <f t="shared" si="27"/>
        <v>0</v>
      </c>
      <c r="AY224">
        <f t="shared" si="28"/>
        <v>0</v>
      </c>
    </row>
    <row r="225" spans="1:51" hidden="1" x14ac:dyDescent="0.2">
      <c r="A225" s="202">
        <v>42482</v>
      </c>
      <c r="B225" s="78" t="s">
        <v>287</v>
      </c>
      <c r="W225">
        <f t="shared" si="23"/>
        <v>0</v>
      </c>
      <c r="X225">
        <f t="shared" si="24"/>
        <v>0</v>
      </c>
      <c r="Y225">
        <f t="shared" si="25"/>
        <v>0</v>
      </c>
      <c r="AA225" s="202">
        <v>42482</v>
      </c>
      <c r="AB225" s="78" t="s">
        <v>287</v>
      </c>
      <c r="AC225">
        <f>IF(C225="",0,VLOOKUP(C225,'Dados de consulta'!$H$2:$I$25,2,0))</f>
        <v>0</v>
      </c>
      <c r="AD225">
        <f>IF(D225="",0,VLOOKUP(D225,'Dados de consulta'!$H$2:$I$25,2,0))</f>
        <v>0</v>
      </c>
      <c r="AE225">
        <f>IF(E225="",0,VLOOKUP(E225,'Dados de consulta'!$H$2:$I$25,2,0))</f>
        <v>0</v>
      </c>
      <c r="AF225">
        <f>IF(F225="",0,VLOOKUP(F225,'Dados de consulta'!$H$2:$I$25,2,0))</f>
        <v>0</v>
      </c>
      <c r="AG225">
        <f>IF(G225="",0,VLOOKUP(G225,'Dados de consulta'!$H$2:$I$25,2,0))</f>
        <v>0</v>
      </c>
      <c r="AH225">
        <f>IF(H225="",0,VLOOKUP(H225,'Dados de consulta'!$H$2:$I$25,2,0))</f>
        <v>0</v>
      </c>
      <c r="AI225">
        <f>IF(I225="",0,VLOOKUP(I225,'Dados de consulta'!$H$2:$I$25,2,0))</f>
        <v>0</v>
      </c>
      <c r="AJ225">
        <f>IF(J225="",0,VLOOKUP(J225,'Dados de consulta'!$H$2:$I$25,2,0))</f>
        <v>0</v>
      </c>
      <c r="AK225">
        <f>IF(K225="",0,VLOOKUP(K225,'Dados de consulta'!$H$2:$I$25,2,0))</f>
        <v>0</v>
      </c>
      <c r="AL225">
        <f>IF(L225="",0,VLOOKUP(L225,'Dados de consulta'!$H$2:$I$25,2,0))</f>
        <v>0</v>
      </c>
      <c r="AM225">
        <f>IF(M225="",0,VLOOKUP(M225,'Dados de consulta'!$H$2:$I$25,2,0))</f>
        <v>0</v>
      </c>
      <c r="AN225">
        <f>IF(N225="",0,VLOOKUP(N225,'Dados de consulta'!$H$2:$I$25,2,0))</f>
        <v>0</v>
      </c>
      <c r="AO225">
        <f>IF(O225="",0,VLOOKUP(O225,'Dados de consulta'!$H$2:$I$25,2,0))</f>
        <v>0</v>
      </c>
      <c r="AP225">
        <f>IF(P225="",0,VLOOKUP(P225,'Dados de consulta'!$H$2:$I$25,2,0))</f>
        <v>0</v>
      </c>
      <c r="AQ225">
        <f>IF(Q225="",0,VLOOKUP(Q225,'Dados de consulta'!$H$2:$I$25,2,0))</f>
        <v>0</v>
      </c>
      <c r="AR225">
        <f>IF(R225="",0,VLOOKUP(R225,'Dados de consulta'!$H$2:$I$25,2,0))</f>
        <v>0</v>
      </c>
      <c r="AS225">
        <f>IF(S225="",0,VLOOKUP(S225,'Dados de consulta'!$H$2:$I$25,2,0))</f>
        <v>0</v>
      </c>
      <c r="AT225">
        <f>IF(T225="",0,VLOOKUP(T225,'Dados de consulta'!$H$2:$I$25,2,0))</f>
        <v>0</v>
      </c>
      <c r="AU225">
        <f>IF(U225="",0,VLOOKUP(U225,'Dados de consulta'!$H$2:$I$25,2,0))</f>
        <v>0</v>
      </c>
      <c r="AV225">
        <f>IF(V225="",0,VLOOKUP(V225,'Dados de consulta'!$H$2:$I$25,2,0))</f>
        <v>0</v>
      </c>
      <c r="AW225">
        <f t="shared" si="26"/>
        <v>0</v>
      </c>
      <c r="AX225">
        <f t="shared" si="27"/>
        <v>0</v>
      </c>
      <c r="AY225">
        <f t="shared" si="28"/>
        <v>0</v>
      </c>
    </row>
    <row r="226" spans="1:51" hidden="1" x14ac:dyDescent="0.2">
      <c r="A226" s="202">
        <v>42483</v>
      </c>
      <c r="B226" s="78" t="s">
        <v>281</v>
      </c>
      <c r="W226">
        <f t="shared" si="23"/>
        <v>0</v>
      </c>
      <c r="X226">
        <f t="shared" si="24"/>
        <v>0</v>
      </c>
      <c r="Y226">
        <f t="shared" si="25"/>
        <v>0</v>
      </c>
      <c r="AA226" s="202">
        <v>42483</v>
      </c>
      <c r="AB226" s="78" t="s">
        <v>281</v>
      </c>
      <c r="AC226">
        <f>IF(C226="",0,VLOOKUP(C226,'Dados de consulta'!$H$2:$I$25,2,0))</f>
        <v>0</v>
      </c>
      <c r="AD226">
        <f>IF(D226="",0,VLOOKUP(D226,'Dados de consulta'!$H$2:$I$25,2,0))</f>
        <v>0</v>
      </c>
      <c r="AE226">
        <f>IF(E226="",0,VLOOKUP(E226,'Dados de consulta'!$H$2:$I$25,2,0))</f>
        <v>0</v>
      </c>
      <c r="AF226">
        <f>IF(F226="",0,VLOOKUP(F226,'Dados de consulta'!$H$2:$I$25,2,0))</f>
        <v>0</v>
      </c>
      <c r="AG226">
        <f>IF(G226="",0,VLOOKUP(G226,'Dados de consulta'!$H$2:$I$25,2,0))</f>
        <v>0</v>
      </c>
      <c r="AH226">
        <f>IF(H226="",0,VLOOKUP(H226,'Dados de consulta'!$H$2:$I$25,2,0))</f>
        <v>0</v>
      </c>
      <c r="AI226">
        <f>IF(I226="",0,VLOOKUP(I226,'Dados de consulta'!$H$2:$I$25,2,0))</f>
        <v>0</v>
      </c>
      <c r="AJ226">
        <f>IF(J226="",0,VLOOKUP(J226,'Dados de consulta'!$H$2:$I$25,2,0))</f>
        <v>0</v>
      </c>
      <c r="AK226">
        <f>IF(K226="",0,VLOOKUP(K226,'Dados de consulta'!$H$2:$I$25,2,0))</f>
        <v>0</v>
      </c>
      <c r="AL226">
        <f>IF(L226="",0,VLOOKUP(L226,'Dados de consulta'!$H$2:$I$25,2,0))</f>
        <v>0</v>
      </c>
      <c r="AM226">
        <f>IF(M226="",0,VLOOKUP(M226,'Dados de consulta'!$H$2:$I$25,2,0))</f>
        <v>0</v>
      </c>
      <c r="AN226">
        <f>IF(N226="",0,VLOOKUP(N226,'Dados de consulta'!$H$2:$I$25,2,0))</f>
        <v>0</v>
      </c>
      <c r="AO226">
        <f>IF(O226="",0,VLOOKUP(O226,'Dados de consulta'!$H$2:$I$25,2,0))</f>
        <v>0</v>
      </c>
      <c r="AP226">
        <f>IF(P226="",0,VLOOKUP(P226,'Dados de consulta'!$H$2:$I$25,2,0))</f>
        <v>0</v>
      </c>
      <c r="AQ226">
        <f>IF(Q226="",0,VLOOKUP(Q226,'Dados de consulta'!$H$2:$I$25,2,0))</f>
        <v>0</v>
      </c>
      <c r="AR226">
        <f>IF(R226="",0,VLOOKUP(R226,'Dados de consulta'!$H$2:$I$25,2,0))</f>
        <v>0</v>
      </c>
      <c r="AS226">
        <f>IF(S226="",0,VLOOKUP(S226,'Dados de consulta'!$H$2:$I$25,2,0))</f>
        <v>0</v>
      </c>
      <c r="AT226">
        <f>IF(T226="",0,VLOOKUP(T226,'Dados de consulta'!$H$2:$I$25,2,0))</f>
        <v>0</v>
      </c>
      <c r="AU226">
        <f>IF(U226="",0,VLOOKUP(U226,'Dados de consulta'!$H$2:$I$25,2,0))</f>
        <v>0</v>
      </c>
      <c r="AV226">
        <f>IF(V226="",0,VLOOKUP(V226,'Dados de consulta'!$H$2:$I$25,2,0))</f>
        <v>0</v>
      </c>
      <c r="AW226">
        <f t="shared" si="26"/>
        <v>0</v>
      </c>
      <c r="AX226">
        <f t="shared" si="27"/>
        <v>0</v>
      </c>
      <c r="AY226">
        <f t="shared" si="28"/>
        <v>0</v>
      </c>
    </row>
    <row r="227" spans="1:51" hidden="1" x14ac:dyDescent="0.2">
      <c r="A227" s="202">
        <v>42484</v>
      </c>
      <c r="B227" s="78" t="s">
        <v>282</v>
      </c>
      <c r="W227">
        <f t="shared" si="23"/>
        <v>0</v>
      </c>
      <c r="X227">
        <f t="shared" si="24"/>
        <v>0</v>
      </c>
      <c r="Y227">
        <f t="shared" si="25"/>
        <v>0</v>
      </c>
      <c r="AA227" s="202">
        <v>42484</v>
      </c>
      <c r="AB227" s="78" t="s">
        <v>282</v>
      </c>
      <c r="AC227">
        <f>IF(C227="",0,VLOOKUP(C227,'Dados de consulta'!$H$2:$I$25,2,0))</f>
        <v>0</v>
      </c>
      <c r="AD227">
        <f>IF(D227="",0,VLOOKUP(D227,'Dados de consulta'!$H$2:$I$25,2,0))</f>
        <v>0</v>
      </c>
      <c r="AE227">
        <f>IF(E227="",0,VLOOKUP(E227,'Dados de consulta'!$H$2:$I$25,2,0))</f>
        <v>0</v>
      </c>
      <c r="AF227">
        <f>IF(F227="",0,VLOOKUP(F227,'Dados de consulta'!$H$2:$I$25,2,0))</f>
        <v>0</v>
      </c>
      <c r="AG227">
        <f>IF(G227="",0,VLOOKUP(G227,'Dados de consulta'!$H$2:$I$25,2,0))</f>
        <v>0</v>
      </c>
      <c r="AH227">
        <f>IF(H227="",0,VLOOKUP(H227,'Dados de consulta'!$H$2:$I$25,2,0))</f>
        <v>0</v>
      </c>
      <c r="AI227">
        <f>IF(I227="",0,VLOOKUP(I227,'Dados de consulta'!$H$2:$I$25,2,0))</f>
        <v>0</v>
      </c>
      <c r="AJ227">
        <f>IF(J227="",0,VLOOKUP(J227,'Dados de consulta'!$H$2:$I$25,2,0))</f>
        <v>0</v>
      </c>
      <c r="AK227">
        <f>IF(K227="",0,VLOOKUP(K227,'Dados de consulta'!$H$2:$I$25,2,0))</f>
        <v>0</v>
      </c>
      <c r="AL227">
        <f>IF(L227="",0,VLOOKUP(L227,'Dados de consulta'!$H$2:$I$25,2,0))</f>
        <v>0</v>
      </c>
      <c r="AM227">
        <f>IF(M227="",0,VLOOKUP(M227,'Dados de consulta'!$H$2:$I$25,2,0))</f>
        <v>0</v>
      </c>
      <c r="AN227">
        <f>IF(N227="",0,VLOOKUP(N227,'Dados de consulta'!$H$2:$I$25,2,0))</f>
        <v>0</v>
      </c>
      <c r="AO227">
        <f>IF(O227="",0,VLOOKUP(O227,'Dados de consulta'!$H$2:$I$25,2,0))</f>
        <v>0</v>
      </c>
      <c r="AP227">
        <f>IF(P227="",0,VLOOKUP(P227,'Dados de consulta'!$H$2:$I$25,2,0))</f>
        <v>0</v>
      </c>
      <c r="AQ227">
        <f>IF(Q227="",0,VLOOKUP(Q227,'Dados de consulta'!$H$2:$I$25,2,0))</f>
        <v>0</v>
      </c>
      <c r="AR227">
        <f>IF(R227="",0,VLOOKUP(R227,'Dados de consulta'!$H$2:$I$25,2,0))</f>
        <v>0</v>
      </c>
      <c r="AS227">
        <f>IF(S227="",0,VLOOKUP(S227,'Dados de consulta'!$H$2:$I$25,2,0))</f>
        <v>0</v>
      </c>
      <c r="AT227">
        <f>IF(T227="",0,VLOOKUP(T227,'Dados de consulta'!$H$2:$I$25,2,0))</f>
        <v>0</v>
      </c>
      <c r="AU227">
        <f>IF(U227="",0,VLOOKUP(U227,'Dados de consulta'!$H$2:$I$25,2,0))</f>
        <v>0</v>
      </c>
      <c r="AV227">
        <f>IF(V227="",0,VLOOKUP(V227,'Dados de consulta'!$H$2:$I$25,2,0))</f>
        <v>0</v>
      </c>
      <c r="AW227">
        <f t="shared" si="26"/>
        <v>0</v>
      </c>
      <c r="AX227">
        <f t="shared" si="27"/>
        <v>0</v>
      </c>
      <c r="AY227">
        <f t="shared" si="28"/>
        <v>0</v>
      </c>
    </row>
    <row r="228" spans="1:51" hidden="1" x14ac:dyDescent="0.2">
      <c r="A228" s="202">
        <v>42485</v>
      </c>
      <c r="B228" s="78" t="s">
        <v>283</v>
      </c>
      <c r="W228">
        <f t="shared" si="23"/>
        <v>0</v>
      </c>
      <c r="X228">
        <f t="shared" si="24"/>
        <v>0</v>
      </c>
      <c r="Y228">
        <f t="shared" si="25"/>
        <v>0</v>
      </c>
      <c r="AA228" s="202">
        <v>42485</v>
      </c>
      <c r="AB228" s="78" t="s">
        <v>283</v>
      </c>
      <c r="AC228">
        <f>IF(C228="",0,VLOOKUP(C228,'Dados de consulta'!$H$2:$I$25,2,0))</f>
        <v>0</v>
      </c>
      <c r="AD228">
        <f>IF(D228="",0,VLOOKUP(D228,'Dados de consulta'!$H$2:$I$25,2,0))</f>
        <v>0</v>
      </c>
      <c r="AE228">
        <f>IF(E228="",0,VLOOKUP(E228,'Dados de consulta'!$H$2:$I$25,2,0))</f>
        <v>0</v>
      </c>
      <c r="AF228">
        <f>IF(F228="",0,VLOOKUP(F228,'Dados de consulta'!$H$2:$I$25,2,0))</f>
        <v>0</v>
      </c>
      <c r="AG228">
        <f>IF(G228="",0,VLOOKUP(G228,'Dados de consulta'!$H$2:$I$25,2,0))</f>
        <v>0</v>
      </c>
      <c r="AH228">
        <f>IF(H228="",0,VLOOKUP(H228,'Dados de consulta'!$H$2:$I$25,2,0))</f>
        <v>0</v>
      </c>
      <c r="AI228">
        <f>IF(I228="",0,VLOOKUP(I228,'Dados de consulta'!$H$2:$I$25,2,0))</f>
        <v>0</v>
      </c>
      <c r="AJ228">
        <f>IF(J228="",0,VLOOKUP(J228,'Dados de consulta'!$H$2:$I$25,2,0))</f>
        <v>0</v>
      </c>
      <c r="AK228">
        <f>IF(K228="",0,VLOOKUP(K228,'Dados de consulta'!$H$2:$I$25,2,0))</f>
        <v>0</v>
      </c>
      <c r="AL228">
        <f>IF(L228="",0,VLOOKUP(L228,'Dados de consulta'!$H$2:$I$25,2,0))</f>
        <v>0</v>
      </c>
      <c r="AM228">
        <f>IF(M228="",0,VLOOKUP(M228,'Dados de consulta'!$H$2:$I$25,2,0))</f>
        <v>0</v>
      </c>
      <c r="AN228">
        <f>IF(N228="",0,VLOOKUP(N228,'Dados de consulta'!$H$2:$I$25,2,0))</f>
        <v>0</v>
      </c>
      <c r="AO228">
        <f>IF(O228="",0,VLOOKUP(O228,'Dados de consulta'!$H$2:$I$25,2,0))</f>
        <v>0</v>
      </c>
      <c r="AP228">
        <f>IF(P228="",0,VLOOKUP(P228,'Dados de consulta'!$H$2:$I$25,2,0))</f>
        <v>0</v>
      </c>
      <c r="AQ228">
        <f>IF(Q228="",0,VLOOKUP(Q228,'Dados de consulta'!$H$2:$I$25,2,0))</f>
        <v>0</v>
      </c>
      <c r="AR228">
        <f>IF(R228="",0,VLOOKUP(R228,'Dados de consulta'!$H$2:$I$25,2,0))</f>
        <v>0</v>
      </c>
      <c r="AS228">
        <f>IF(S228="",0,VLOOKUP(S228,'Dados de consulta'!$H$2:$I$25,2,0))</f>
        <v>0</v>
      </c>
      <c r="AT228">
        <f>IF(T228="",0,VLOOKUP(T228,'Dados de consulta'!$H$2:$I$25,2,0))</f>
        <v>0</v>
      </c>
      <c r="AU228">
        <f>IF(U228="",0,VLOOKUP(U228,'Dados de consulta'!$H$2:$I$25,2,0))</f>
        <v>0</v>
      </c>
      <c r="AV228">
        <f>IF(V228="",0,VLOOKUP(V228,'Dados de consulta'!$H$2:$I$25,2,0))</f>
        <v>0</v>
      </c>
      <c r="AW228">
        <f t="shared" si="26"/>
        <v>0</v>
      </c>
      <c r="AX228">
        <f t="shared" si="27"/>
        <v>0</v>
      </c>
      <c r="AY228">
        <f t="shared" si="28"/>
        <v>0</v>
      </c>
    </row>
    <row r="229" spans="1:51" hidden="1" x14ac:dyDescent="0.2">
      <c r="A229" s="202">
        <v>42486</v>
      </c>
      <c r="B229" s="78" t="s">
        <v>284</v>
      </c>
      <c r="W229">
        <f t="shared" si="23"/>
        <v>0</v>
      </c>
      <c r="X229">
        <f t="shared" si="24"/>
        <v>0</v>
      </c>
      <c r="Y229">
        <f t="shared" si="25"/>
        <v>0</v>
      </c>
      <c r="AA229" s="202">
        <v>42486</v>
      </c>
      <c r="AB229" s="78" t="s">
        <v>284</v>
      </c>
      <c r="AC229">
        <f>IF(C229="",0,VLOOKUP(C229,'Dados de consulta'!$H$2:$I$25,2,0))</f>
        <v>0</v>
      </c>
      <c r="AD229">
        <f>IF(D229="",0,VLOOKUP(D229,'Dados de consulta'!$H$2:$I$25,2,0))</f>
        <v>0</v>
      </c>
      <c r="AE229">
        <f>IF(E229="",0,VLOOKUP(E229,'Dados de consulta'!$H$2:$I$25,2,0))</f>
        <v>0</v>
      </c>
      <c r="AF229">
        <f>IF(F229="",0,VLOOKUP(F229,'Dados de consulta'!$H$2:$I$25,2,0))</f>
        <v>0</v>
      </c>
      <c r="AG229">
        <f>IF(G229="",0,VLOOKUP(G229,'Dados de consulta'!$H$2:$I$25,2,0))</f>
        <v>0</v>
      </c>
      <c r="AH229">
        <f>IF(H229="",0,VLOOKUP(H229,'Dados de consulta'!$H$2:$I$25,2,0))</f>
        <v>0</v>
      </c>
      <c r="AI229">
        <f>IF(I229="",0,VLOOKUP(I229,'Dados de consulta'!$H$2:$I$25,2,0))</f>
        <v>0</v>
      </c>
      <c r="AJ229">
        <f>IF(J229="",0,VLOOKUP(J229,'Dados de consulta'!$H$2:$I$25,2,0))</f>
        <v>0</v>
      </c>
      <c r="AK229">
        <f>IF(K229="",0,VLOOKUP(K229,'Dados de consulta'!$H$2:$I$25,2,0))</f>
        <v>0</v>
      </c>
      <c r="AL229">
        <f>IF(L229="",0,VLOOKUP(L229,'Dados de consulta'!$H$2:$I$25,2,0))</f>
        <v>0</v>
      </c>
      <c r="AM229">
        <f>IF(M229="",0,VLOOKUP(M229,'Dados de consulta'!$H$2:$I$25,2,0))</f>
        <v>0</v>
      </c>
      <c r="AN229">
        <f>IF(N229="",0,VLOOKUP(N229,'Dados de consulta'!$H$2:$I$25,2,0))</f>
        <v>0</v>
      </c>
      <c r="AO229">
        <f>IF(O229="",0,VLOOKUP(O229,'Dados de consulta'!$H$2:$I$25,2,0))</f>
        <v>0</v>
      </c>
      <c r="AP229">
        <f>IF(P229="",0,VLOOKUP(P229,'Dados de consulta'!$H$2:$I$25,2,0))</f>
        <v>0</v>
      </c>
      <c r="AQ229">
        <f>IF(Q229="",0,VLOOKUP(Q229,'Dados de consulta'!$H$2:$I$25,2,0))</f>
        <v>0</v>
      </c>
      <c r="AR229">
        <f>IF(R229="",0,VLOOKUP(R229,'Dados de consulta'!$H$2:$I$25,2,0))</f>
        <v>0</v>
      </c>
      <c r="AS229">
        <f>IF(S229="",0,VLOOKUP(S229,'Dados de consulta'!$H$2:$I$25,2,0))</f>
        <v>0</v>
      </c>
      <c r="AT229">
        <f>IF(T229="",0,VLOOKUP(T229,'Dados de consulta'!$H$2:$I$25,2,0))</f>
        <v>0</v>
      </c>
      <c r="AU229">
        <f>IF(U229="",0,VLOOKUP(U229,'Dados de consulta'!$H$2:$I$25,2,0))</f>
        <v>0</v>
      </c>
      <c r="AV229">
        <f>IF(V229="",0,VLOOKUP(V229,'Dados de consulta'!$H$2:$I$25,2,0))</f>
        <v>0</v>
      </c>
      <c r="AW229">
        <f t="shared" si="26"/>
        <v>0</v>
      </c>
      <c r="AX229">
        <f t="shared" si="27"/>
        <v>0</v>
      </c>
      <c r="AY229">
        <f t="shared" si="28"/>
        <v>0</v>
      </c>
    </row>
    <row r="230" spans="1:51" hidden="1" x14ac:dyDescent="0.2">
      <c r="A230" s="202">
        <v>42487</v>
      </c>
      <c r="B230" s="78" t="s">
        <v>285</v>
      </c>
      <c r="W230">
        <f t="shared" si="23"/>
        <v>0</v>
      </c>
      <c r="X230">
        <f t="shared" si="24"/>
        <v>0</v>
      </c>
      <c r="Y230">
        <f t="shared" si="25"/>
        <v>0</v>
      </c>
      <c r="AA230" s="202">
        <v>42487</v>
      </c>
      <c r="AB230" s="78" t="s">
        <v>285</v>
      </c>
      <c r="AC230">
        <f>IF(C230="",0,VLOOKUP(C230,'Dados de consulta'!$H$2:$I$25,2,0))</f>
        <v>0</v>
      </c>
      <c r="AD230">
        <f>IF(D230="",0,VLOOKUP(D230,'Dados de consulta'!$H$2:$I$25,2,0))</f>
        <v>0</v>
      </c>
      <c r="AE230">
        <f>IF(E230="",0,VLOOKUP(E230,'Dados de consulta'!$H$2:$I$25,2,0))</f>
        <v>0</v>
      </c>
      <c r="AF230">
        <f>IF(F230="",0,VLOOKUP(F230,'Dados de consulta'!$H$2:$I$25,2,0))</f>
        <v>0</v>
      </c>
      <c r="AG230">
        <f>IF(G230="",0,VLOOKUP(G230,'Dados de consulta'!$H$2:$I$25,2,0))</f>
        <v>0</v>
      </c>
      <c r="AH230">
        <f>IF(H230="",0,VLOOKUP(H230,'Dados de consulta'!$H$2:$I$25,2,0))</f>
        <v>0</v>
      </c>
      <c r="AI230">
        <f>IF(I230="",0,VLOOKUP(I230,'Dados de consulta'!$H$2:$I$25,2,0))</f>
        <v>0</v>
      </c>
      <c r="AJ230">
        <f>IF(J230="",0,VLOOKUP(J230,'Dados de consulta'!$H$2:$I$25,2,0))</f>
        <v>0</v>
      </c>
      <c r="AK230">
        <f>IF(K230="",0,VLOOKUP(K230,'Dados de consulta'!$H$2:$I$25,2,0))</f>
        <v>0</v>
      </c>
      <c r="AL230">
        <f>IF(L230="",0,VLOOKUP(L230,'Dados de consulta'!$H$2:$I$25,2,0))</f>
        <v>0</v>
      </c>
      <c r="AM230">
        <f>IF(M230="",0,VLOOKUP(M230,'Dados de consulta'!$H$2:$I$25,2,0))</f>
        <v>0</v>
      </c>
      <c r="AN230">
        <f>IF(N230="",0,VLOOKUP(N230,'Dados de consulta'!$H$2:$I$25,2,0))</f>
        <v>0</v>
      </c>
      <c r="AO230">
        <f>IF(O230="",0,VLOOKUP(O230,'Dados de consulta'!$H$2:$I$25,2,0))</f>
        <v>0</v>
      </c>
      <c r="AP230">
        <f>IF(P230="",0,VLOOKUP(P230,'Dados de consulta'!$H$2:$I$25,2,0))</f>
        <v>0</v>
      </c>
      <c r="AQ230">
        <f>IF(Q230="",0,VLOOKUP(Q230,'Dados de consulta'!$H$2:$I$25,2,0))</f>
        <v>0</v>
      </c>
      <c r="AR230">
        <f>IF(R230="",0,VLOOKUP(R230,'Dados de consulta'!$H$2:$I$25,2,0))</f>
        <v>0</v>
      </c>
      <c r="AS230">
        <f>IF(S230="",0,VLOOKUP(S230,'Dados de consulta'!$H$2:$I$25,2,0))</f>
        <v>0</v>
      </c>
      <c r="AT230">
        <f>IF(T230="",0,VLOOKUP(T230,'Dados de consulta'!$H$2:$I$25,2,0))</f>
        <v>0</v>
      </c>
      <c r="AU230">
        <f>IF(U230="",0,VLOOKUP(U230,'Dados de consulta'!$H$2:$I$25,2,0))</f>
        <v>0</v>
      </c>
      <c r="AV230">
        <f>IF(V230="",0,VLOOKUP(V230,'Dados de consulta'!$H$2:$I$25,2,0))</f>
        <v>0</v>
      </c>
      <c r="AW230">
        <f t="shared" si="26"/>
        <v>0</v>
      </c>
      <c r="AX230">
        <f t="shared" si="27"/>
        <v>0</v>
      </c>
      <c r="AY230">
        <f t="shared" si="28"/>
        <v>0</v>
      </c>
    </row>
    <row r="231" spans="1:51" hidden="1" x14ac:dyDescent="0.2">
      <c r="A231" s="202">
        <v>42488</v>
      </c>
      <c r="B231" s="78" t="s">
        <v>286</v>
      </c>
      <c r="W231">
        <f t="shared" si="23"/>
        <v>0</v>
      </c>
      <c r="X231">
        <f t="shared" si="24"/>
        <v>0</v>
      </c>
      <c r="Y231">
        <f t="shared" si="25"/>
        <v>0</v>
      </c>
      <c r="AA231" s="202">
        <v>42488</v>
      </c>
      <c r="AB231" s="78" t="s">
        <v>286</v>
      </c>
      <c r="AC231">
        <f>IF(C231="",0,VLOOKUP(C231,'Dados de consulta'!$H$2:$I$25,2,0))</f>
        <v>0</v>
      </c>
      <c r="AD231">
        <f>IF(D231="",0,VLOOKUP(D231,'Dados de consulta'!$H$2:$I$25,2,0))</f>
        <v>0</v>
      </c>
      <c r="AE231">
        <f>IF(E231="",0,VLOOKUP(E231,'Dados de consulta'!$H$2:$I$25,2,0))</f>
        <v>0</v>
      </c>
      <c r="AF231">
        <f>IF(F231="",0,VLOOKUP(F231,'Dados de consulta'!$H$2:$I$25,2,0))</f>
        <v>0</v>
      </c>
      <c r="AG231">
        <f>IF(G231="",0,VLOOKUP(G231,'Dados de consulta'!$H$2:$I$25,2,0))</f>
        <v>0</v>
      </c>
      <c r="AH231">
        <f>IF(H231="",0,VLOOKUP(H231,'Dados de consulta'!$H$2:$I$25,2,0))</f>
        <v>0</v>
      </c>
      <c r="AI231">
        <f>IF(I231="",0,VLOOKUP(I231,'Dados de consulta'!$H$2:$I$25,2,0))</f>
        <v>0</v>
      </c>
      <c r="AJ231">
        <f>IF(J231="",0,VLOOKUP(J231,'Dados de consulta'!$H$2:$I$25,2,0))</f>
        <v>0</v>
      </c>
      <c r="AK231">
        <f>IF(K231="",0,VLOOKUP(K231,'Dados de consulta'!$H$2:$I$25,2,0))</f>
        <v>0</v>
      </c>
      <c r="AL231">
        <f>IF(L231="",0,VLOOKUP(L231,'Dados de consulta'!$H$2:$I$25,2,0))</f>
        <v>0</v>
      </c>
      <c r="AM231">
        <f>IF(M231="",0,VLOOKUP(M231,'Dados de consulta'!$H$2:$I$25,2,0))</f>
        <v>0</v>
      </c>
      <c r="AN231">
        <f>IF(N231="",0,VLOOKUP(N231,'Dados de consulta'!$H$2:$I$25,2,0))</f>
        <v>0</v>
      </c>
      <c r="AO231">
        <f>IF(O231="",0,VLOOKUP(O231,'Dados de consulta'!$H$2:$I$25,2,0))</f>
        <v>0</v>
      </c>
      <c r="AP231">
        <f>IF(P231="",0,VLOOKUP(P231,'Dados de consulta'!$H$2:$I$25,2,0))</f>
        <v>0</v>
      </c>
      <c r="AQ231">
        <f>IF(Q231="",0,VLOOKUP(Q231,'Dados de consulta'!$H$2:$I$25,2,0))</f>
        <v>0</v>
      </c>
      <c r="AR231">
        <f>IF(R231="",0,VLOOKUP(R231,'Dados de consulta'!$H$2:$I$25,2,0))</f>
        <v>0</v>
      </c>
      <c r="AS231">
        <f>IF(S231="",0,VLOOKUP(S231,'Dados de consulta'!$H$2:$I$25,2,0))</f>
        <v>0</v>
      </c>
      <c r="AT231">
        <f>IF(T231="",0,VLOOKUP(T231,'Dados de consulta'!$H$2:$I$25,2,0))</f>
        <v>0</v>
      </c>
      <c r="AU231">
        <f>IF(U231="",0,VLOOKUP(U231,'Dados de consulta'!$H$2:$I$25,2,0))</f>
        <v>0</v>
      </c>
      <c r="AV231">
        <f>IF(V231="",0,VLOOKUP(V231,'Dados de consulta'!$H$2:$I$25,2,0))</f>
        <v>0</v>
      </c>
      <c r="AW231">
        <f t="shared" si="26"/>
        <v>0</v>
      </c>
      <c r="AX231">
        <f t="shared" si="27"/>
        <v>0</v>
      </c>
      <c r="AY231">
        <f t="shared" si="28"/>
        <v>0</v>
      </c>
    </row>
    <row r="232" spans="1:51" hidden="1" x14ac:dyDescent="0.2">
      <c r="A232" s="202">
        <v>42489</v>
      </c>
      <c r="B232" s="78" t="s">
        <v>287</v>
      </c>
      <c r="W232">
        <f t="shared" si="23"/>
        <v>0</v>
      </c>
      <c r="X232">
        <f t="shared" si="24"/>
        <v>0</v>
      </c>
      <c r="Y232">
        <f t="shared" si="25"/>
        <v>0</v>
      </c>
      <c r="AA232" s="202">
        <v>42489</v>
      </c>
      <c r="AB232" s="78" t="s">
        <v>287</v>
      </c>
      <c r="AC232">
        <f>IF(C232="",0,VLOOKUP(C232,'Dados de consulta'!$H$2:$I$25,2,0))</f>
        <v>0</v>
      </c>
      <c r="AD232">
        <f>IF(D232="",0,VLOOKUP(D232,'Dados de consulta'!$H$2:$I$25,2,0))</f>
        <v>0</v>
      </c>
      <c r="AE232">
        <f>IF(E232="",0,VLOOKUP(E232,'Dados de consulta'!$H$2:$I$25,2,0))</f>
        <v>0</v>
      </c>
      <c r="AF232">
        <f>IF(F232="",0,VLOOKUP(F232,'Dados de consulta'!$H$2:$I$25,2,0))</f>
        <v>0</v>
      </c>
      <c r="AG232">
        <f>IF(G232="",0,VLOOKUP(G232,'Dados de consulta'!$H$2:$I$25,2,0))</f>
        <v>0</v>
      </c>
      <c r="AH232">
        <f>IF(H232="",0,VLOOKUP(H232,'Dados de consulta'!$H$2:$I$25,2,0))</f>
        <v>0</v>
      </c>
      <c r="AI232">
        <f>IF(I232="",0,VLOOKUP(I232,'Dados de consulta'!$H$2:$I$25,2,0))</f>
        <v>0</v>
      </c>
      <c r="AJ232">
        <f>IF(J232="",0,VLOOKUP(J232,'Dados de consulta'!$H$2:$I$25,2,0))</f>
        <v>0</v>
      </c>
      <c r="AK232">
        <f>IF(K232="",0,VLOOKUP(K232,'Dados de consulta'!$H$2:$I$25,2,0))</f>
        <v>0</v>
      </c>
      <c r="AL232">
        <f>IF(L232="",0,VLOOKUP(L232,'Dados de consulta'!$H$2:$I$25,2,0))</f>
        <v>0</v>
      </c>
      <c r="AM232">
        <f>IF(M232="",0,VLOOKUP(M232,'Dados de consulta'!$H$2:$I$25,2,0))</f>
        <v>0</v>
      </c>
      <c r="AN232">
        <f>IF(N232="",0,VLOOKUP(N232,'Dados de consulta'!$H$2:$I$25,2,0))</f>
        <v>0</v>
      </c>
      <c r="AO232">
        <f>IF(O232="",0,VLOOKUP(O232,'Dados de consulta'!$H$2:$I$25,2,0))</f>
        <v>0</v>
      </c>
      <c r="AP232">
        <f>IF(P232="",0,VLOOKUP(P232,'Dados de consulta'!$H$2:$I$25,2,0))</f>
        <v>0</v>
      </c>
      <c r="AQ232">
        <f>IF(Q232="",0,VLOOKUP(Q232,'Dados de consulta'!$H$2:$I$25,2,0))</f>
        <v>0</v>
      </c>
      <c r="AR232">
        <f>IF(R232="",0,VLOOKUP(R232,'Dados de consulta'!$H$2:$I$25,2,0))</f>
        <v>0</v>
      </c>
      <c r="AS232">
        <f>IF(S232="",0,VLOOKUP(S232,'Dados de consulta'!$H$2:$I$25,2,0))</f>
        <v>0</v>
      </c>
      <c r="AT232">
        <f>IF(T232="",0,VLOOKUP(T232,'Dados de consulta'!$H$2:$I$25,2,0))</f>
        <v>0</v>
      </c>
      <c r="AU232">
        <f>IF(U232="",0,VLOOKUP(U232,'Dados de consulta'!$H$2:$I$25,2,0))</f>
        <v>0</v>
      </c>
      <c r="AV232">
        <f>IF(V232="",0,VLOOKUP(V232,'Dados de consulta'!$H$2:$I$25,2,0))</f>
        <v>0</v>
      </c>
      <c r="AW232">
        <f t="shared" si="26"/>
        <v>0</v>
      </c>
      <c r="AX232">
        <f t="shared" si="27"/>
        <v>0</v>
      </c>
      <c r="AY232">
        <f t="shared" si="28"/>
        <v>0</v>
      </c>
    </row>
    <row r="233" spans="1:51" hidden="1" x14ac:dyDescent="0.2">
      <c r="A233" s="202">
        <v>42490</v>
      </c>
      <c r="B233" s="78" t="s">
        <v>281</v>
      </c>
      <c r="G233" s="78" t="s">
        <v>219</v>
      </c>
      <c r="I233" s="78" t="s">
        <v>219</v>
      </c>
      <c r="L233" s="78" t="s">
        <v>219</v>
      </c>
      <c r="S233" s="78" t="s">
        <v>219</v>
      </c>
      <c r="W233">
        <f t="shared" si="23"/>
        <v>24</v>
      </c>
      <c r="X233">
        <f t="shared" si="24"/>
        <v>0</v>
      </c>
      <c r="Y233">
        <f t="shared" si="25"/>
        <v>0</v>
      </c>
      <c r="AA233" s="202">
        <v>42490</v>
      </c>
      <c r="AB233" s="78" t="s">
        <v>281</v>
      </c>
      <c r="AC233">
        <f>IF(C233="",0,VLOOKUP(C233,'Dados de consulta'!$H$2:$I$25,2,0))</f>
        <v>0</v>
      </c>
      <c r="AD233">
        <f>IF(D233="",0,VLOOKUP(D233,'Dados de consulta'!$H$2:$I$25,2,0))</f>
        <v>0</v>
      </c>
      <c r="AE233">
        <f>IF(E233="",0,VLOOKUP(E233,'Dados de consulta'!$H$2:$I$25,2,0))</f>
        <v>0</v>
      </c>
      <c r="AF233">
        <f>IF(F233="",0,VLOOKUP(F233,'Dados de consulta'!$H$2:$I$25,2,0))</f>
        <v>0</v>
      </c>
      <c r="AG233">
        <f>IF(G233="",0,VLOOKUP(G233,'Dados de consulta'!$H$2:$I$25,2,0))</f>
        <v>6</v>
      </c>
      <c r="AH233">
        <f>IF(H233="",0,VLOOKUP(H233,'Dados de consulta'!$H$2:$I$25,2,0))</f>
        <v>0</v>
      </c>
      <c r="AI233">
        <f>IF(I233="",0,VLOOKUP(I233,'Dados de consulta'!$H$2:$I$25,2,0))</f>
        <v>6</v>
      </c>
      <c r="AJ233">
        <f>IF(J233="",0,VLOOKUP(J233,'Dados de consulta'!$H$2:$I$25,2,0))</f>
        <v>0</v>
      </c>
      <c r="AK233">
        <f>IF(K233="",0,VLOOKUP(K233,'Dados de consulta'!$H$2:$I$25,2,0))</f>
        <v>0</v>
      </c>
      <c r="AL233">
        <f>IF(L233="",0,VLOOKUP(L233,'Dados de consulta'!$H$2:$I$25,2,0))</f>
        <v>6</v>
      </c>
      <c r="AM233">
        <f>IF(M233="",0,VLOOKUP(M233,'Dados de consulta'!$H$2:$I$25,2,0))</f>
        <v>0</v>
      </c>
      <c r="AN233">
        <f>IF(N233="",0,VLOOKUP(N233,'Dados de consulta'!$H$2:$I$25,2,0))</f>
        <v>0</v>
      </c>
      <c r="AO233">
        <f>IF(O233="",0,VLOOKUP(O233,'Dados de consulta'!$H$2:$I$25,2,0))</f>
        <v>0</v>
      </c>
      <c r="AP233">
        <f>IF(P233="",0,VLOOKUP(P233,'Dados de consulta'!$H$2:$I$25,2,0))</f>
        <v>0</v>
      </c>
      <c r="AQ233">
        <f>IF(Q233="",0,VLOOKUP(Q233,'Dados de consulta'!$H$2:$I$25,2,0))</f>
        <v>0</v>
      </c>
      <c r="AR233">
        <f>IF(R233="",0,VLOOKUP(R233,'Dados de consulta'!$H$2:$I$25,2,0))</f>
        <v>0</v>
      </c>
      <c r="AS233">
        <f>IF(S233="",0,VLOOKUP(S233,'Dados de consulta'!$H$2:$I$25,2,0))</f>
        <v>6</v>
      </c>
      <c r="AT233">
        <f>IF(T233="",0,VLOOKUP(T233,'Dados de consulta'!$H$2:$I$25,2,0))</f>
        <v>0</v>
      </c>
      <c r="AU233">
        <f>IF(U233="",0,VLOOKUP(U233,'Dados de consulta'!$H$2:$I$25,2,0))</f>
        <v>0</v>
      </c>
      <c r="AV233">
        <f>IF(V233="",0,VLOOKUP(V233,'Dados de consulta'!$H$2:$I$25,2,0))</f>
        <v>0</v>
      </c>
      <c r="AW233">
        <f t="shared" si="26"/>
        <v>24</v>
      </c>
      <c r="AX233">
        <f t="shared" si="27"/>
        <v>0</v>
      </c>
      <c r="AY233">
        <f t="shared" si="28"/>
        <v>0</v>
      </c>
    </row>
    <row r="234" spans="1:51" x14ac:dyDescent="0.2">
      <c r="A234" s="202">
        <v>42491</v>
      </c>
      <c r="B234" s="78" t="s">
        <v>282</v>
      </c>
      <c r="W234">
        <f t="shared" si="23"/>
        <v>0</v>
      </c>
      <c r="X234">
        <f t="shared" si="24"/>
        <v>0</v>
      </c>
      <c r="Y234">
        <f t="shared" si="25"/>
        <v>0</v>
      </c>
      <c r="AA234" s="202">
        <v>42491</v>
      </c>
      <c r="AB234" s="78" t="s">
        <v>282</v>
      </c>
      <c r="AC234">
        <f>IF(C234="",0,VLOOKUP(C234,'Dados de consulta'!$H$2:$I$25,2,0))</f>
        <v>0</v>
      </c>
      <c r="AD234">
        <f>IF(D234="",0,VLOOKUP(D234,'Dados de consulta'!$H$2:$I$25,2,0))</f>
        <v>0</v>
      </c>
      <c r="AE234">
        <f>IF(E234="",0,VLOOKUP(E234,'Dados de consulta'!$H$2:$I$25,2,0))</f>
        <v>0</v>
      </c>
      <c r="AF234">
        <f>IF(F234="",0,VLOOKUP(F234,'Dados de consulta'!$H$2:$I$25,2,0))</f>
        <v>0</v>
      </c>
      <c r="AG234">
        <f>IF(G234="",0,VLOOKUP(G234,'Dados de consulta'!$H$2:$I$25,2,0))</f>
        <v>0</v>
      </c>
      <c r="AH234">
        <f>IF(H234="",0,VLOOKUP(H234,'Dados de consulta'!$H$2:$I$25,2,0))</f>
        <v>0</v>
      </c>
      <c r="AI234">
        <f>IF(I234="",0,VLOOKUP(I234,'Dados de consulta'!$H$2:$I$25,2,0))</f>
        <v>0</v>
      </c>
      <c r="AJ234">
        <f>IF(J234="",0,VLOOKUP(J234,'Dados de consulta'!$H$2:$I$25,2,0))</f>
        <v>0</v>
      </c>
      <c r="AK234">
        <f>IF(K234="",0,VLOOKUP(K234,'Dados de consulta'!$H$2:$I$25,2,0))</f>
        <v>0</v>
      </c>
      <c r="AL234">
        <f>IF(L234="",0,VLOOKUP(L234,'Dados de consulta'!$H$2:$I$25,2,0))</f>
        <v>0</v>
      </c>
      <c r="AM234">
        <f>IF(M234="",0,VLOOKUP(M234,'Dados de consulta'!$H$2:$I$25,2,0))</f>
        <v>0</v>
      </c>
      <c r="AN234">
        <f>IF(N234="",0,VLOOKUP(N234,'Dados de consulta'!$H$2:$I$25,2,0))</f>
        <v>0</v>
      </c>
      <c r="AO234">
        <f>IF(O234="",0,VLOOKUP(O234,'Dados de consulta'!$H$2:$I$25,2,0))</f>
        <v>0</v>
      </c>
      <c r="AP234">
        <f>IF(P234="",0,VLOOKUP(P234,'Dados de consulta'!$H$2:$I$25,2,0))</f>
        <v>0</v>
      </c>
      <c r="AQ234">
        <f>IF(Q234="",0,VLOOKUP(Q234,'Dados de consulta'!$H$2:$I$25,2,0))</f>
        <v>0</v>
      </c>
      <c r="AR234">
        <f>IF(R234="",0,VLOOKUP(R234,'Dados de consulta'!$H$2:$I$25,2,0))</f>
        <v>0</v>
      </c>
      <c r="AS234">
        <f>IF(S234="",0,VLOOKUP(S234,'Dados de consulta'!$H$2:$I$25,2,0))</f>
        <v>0</v>
      </c>
      <c r="AT234">
        <f>IF(T234="",0,VLOOKUP(T234,'Dados de consulta'!$H$2:$I$25,2,0))</f>
        <v>0</v>
      </c>
      <c r="AU234">
        <f>IF(U234="",0,VLOOKUP(U234,'Dados de consulta'!$H$2:$I$25,2,0))</f>
        <v>0</v>
      </c>
      <c r="AV234">
        <f>IF(V234="",0,VLOOKUP(V234,'Dados de consulta'!$H$2:$I$25,2,0))</f>
        <v>0</v>
      </c>
      <c r="AW234">
        <f t="shared" si="26"/>
        <v>0</v>
      </c>
      <c r="AX234">
        <f t="shared" si="27"/>
        <v>0</v>
      </c>
      <c r="AY234">
        <f t="shared" si="28"/>
        <v>0</v>
      </c>
    </row>
    <row r="235" spans="1:51" x14ac:dyDescent="0.2">
      <c r="A235" s="202">
        <v>42492</v>
      </c>
      <c r="B235" s="78" t="s">
        <v>283</v>
      </c>
      <c r="C235" s="78" t="s">
        <v>208</v>
      </c>
      <c r="W235">
        <f t="shared" si="23"/>
        <v>2</v>
      </c>
      <c r="X235">
        <f t="shared" si="24"/>
        <v>0</v>
      </c>
      <c r="Y235">
        <f t="shared" si="25"/>
        <v>0</v>
      </c>
      <c r="AA235" s="202">
        <v>42492</v>
      </c>
      <c r="AB235" s="78" t="s">
        <v>283</v>
      </c>
      <c r="AC235">
        <f>IF(C235="",0,VLOOKUP(C235,'Dados de consulta'!$H$2:$I$25,2,0))</f>
        <v>2</v>
      </c>
      <c r="AD235">
        <f>IF(D235="",0,VLOOKUP(D235,'Dados de consulta'!$H$2:$I$25,2,0))</f>
        <v>0</v>
      </c>
      <c r="AE235">
        <f>IF(E235="",0,VLOOKUP(E235,'Dados de consulta'!$H$2:$I$25,2,0))</f>
        <v>0</v>
      </c>
      <c r="AF235">
        <f>IF(F235="",0,VLOOKUP(F235,'Dados de consulta'!$H$2:$I$25,2,0))</f>
        <v>0</v>
      </c>
      <c r="AG235">
        <f>IF(G235="",0,VLOOKUP(G235,'Dados de consulta'!$H$2:$I$25,2,0))</f>
        <v>0</v>
      </c>
      <c r="AH235">
        <f>IF(H235="",0,VLOOKUP(H235,'Dados de consulta'!$H$2:$I$25,2,0))</f>
        <v>0</v>
      </c>
      <c r="AI235">
        <f>IF(I235="",0,VLOOKUP(I235,'Dados de consulta'!$H$2:$I$25,2,0))</f>
        <v>0</v>
      </c>
      <c r="AJ235">
        <f>IF(J235="",0,VLOOKUP(J235,'Dados de consulta'!$H$2:$I$25,2,0))</f>
        <v>0</v>
      </c>
      <c r="AK235">
        <f>IF(K235="",0,VLOOKUP(K235,'Dados de consulta'!$H$2:$I$25,2,0))</f>
        <v>0</v>
      </c>
      <c r="AL235">
        <f>IF(L235="",0,VLOOKUP(L235,'Dados de consulta'!$H$2:$I$25,2,0))</f>
        <v>0</v>
      </c>
      <c r="AM235">
        <f>IF(M235="",0,VLOOKUP(M235,'Dados de consulta'!$H$2:$I$25,2,0))</f>
        <v>0</v>
      </c>
      <c r="AN235">
        <f>IF(N235="",0,VLOOKUP(N235,'Dados de consulta'!$H$2:$I$25,2,0))</f>
        <v>0</v>
      </c>
      <c r="AO235">
        <f>IF(O235="",0,VLOOKUP(O235,'Dados de consulta'!$H$2:$I$25,2,0))</f>
        <v>0</v>
      </c>
      <c r="AP235">
        <f>IF(P235="",0,VLOOKUP(P235,'Dados de consulta'!$H$2:$I$25,2,0))</f>
        <v>0</v>
      </c>
      <c r="AQ235">
        <f>IF(Q235="",0,VLOOKUP(Q235,'Dados de consulta'!$H$2:$I$25,2,0))</f>
        <v>0</v>
      </c>
      <c r="AR235">
        <f>IF(R235="",0,VLOOKUP(R235,'Dados de consulta'!$H$2:$I$25,2,0))</f>
        <v>0</v>
      </c>
      <c r="AS235">
        <f>IF(S235="",0,VLOOKUP(S235,'Dados de consulta'!$H$2:$I$25,2,0))</f>
        <v>0</v>
      </c>
      <c r="AT235">
        <f>IF(T235="",0,VLOOKUP(T235,'Dados de consulta'!$H$2:$I$25,2,0))</f>
        <v>0</v>
      </c>
      <c r="AU235">
        <f>IF(U235="",0,VLOOKUP(U235,'Dados de consulta'!$H$2:$I$25,2,0))</f>
        <v>0</v>
      </c>
      <c r="AV235">
        <f>IF(V235="",0,VLOOKUP(V235,'Dados de consulta'!$H$2:$I$25,2,0))</f>
        <v>0</v>
      </c>
      <c r="AW235">
        <f t="shared" si="26"/>
        <v>2</v>
      </c>
      <c r="AX235">
        <f t="shared" si="27"/>
        <v>0</v>
      </c>
      <c r="AY235">
        <f t="shared" si="28"/>
        <v>0</v>
      </c>
    </row>
    <row r="236" spans="1:51" x14ac:dyDescent="0.2">
      <c r="A236" s="202">
        <v>42493</v>
      </c>
      <c r="B236" s="78" t="s">
        <v>284</v>
      </c>
      <c r="C236" s="78" t="s">
        <v>208</v>
      </c>
      <c r="W236">
        <f t="shared" si="23"/>
        <v>2</v>
      </c>
      <c r="X236">
        <f t="shared" si="24"/>
        <v>0</v>
      </c>
      <c r="Y236">
        <f t="shared" si="25"/>
        <v>0</v>
      </c>
      <c r="AA236" s="202">
        <v>42493</v>
      </c>
      <c r="AB236" s="78" t="s">
        <v>284</v>
      </c>
      <c r="AC236">
        <f>IF(C236="",0,VLOOKUP(C236,'Dados de consulta'!$H$2:$I$25,2,0))</f>
        <v>2</v>
      </c>
      <c r="AD236">
        <f>IF(D236="",0,VLOOKUP(D236,'Dados de consulta'!$H$2:$I$25,2,0))</f>
        <v>0</v>
      </c>
      <c r="AE236">
        <f>IF(E236="",0,VLOOKUP(E236,'Dados de consulta'!$H$2:$I$25,2,0))</f>
        <v>0</v>
      </c>
      <c r="AF236">
        <f>IF(F236="",0,VLOOKUP(F236,'Dados de consulta'!$H$2:$I$25,2,0))</f>
        <v>0</v>
      </c>
      <c r="AG236">
        <f>IF(G236="",0,VLOOKUP(G236,'Dados de consulta'!$H$2:$I$25,2,0))</f>
        <v>0</v>
      </c>
      <c r="AH236">
        <f>IF(H236="",0,VLOOKUP(H236,'Dados de consulta'!$H$2:$I$25,2,0))</f>
        <v>0</v>
      </c>
      <c r="AI236">
        <f>IF(I236="",0,VLOOKUP(I236,'Dados de consulta'!$H$2:$I$25,2,0))</f>
        <v>0</v>
      </c>
      <c r="AJ236">
        <f>IF(J236="",0,VLOOKUP(J236,'Dados de consulta'!$H$2:$I$25,2,0))</f>
        <v>0</v>
      </c>
      <c r="AK236">
        <f>IF(K236="",0,VLOOKUP(K236,'Dados de consulta'!$H$2:$I$25,2,0))</f>
        <v>0</v>
      </c>
      <c r="AL236">
        <f>IF(L236="",0,VLOOKUP(L236,'Dados de consulta'!$H$2:$I$25,2,0))</f>
        <v>0</v>
      </c>
      <c r="AM236">
        <f>IF(M236="",0,VLOOKUP(M236,'Dados de consulta'!$H$2:$I$25,2,0))</f>
        <v>0</v>
      </c>
      <c r="AN236">
        <f>IF(N236="",0,VLOOKUP(N236,'Dados de consulta'!$H$2:$I$25,2,0))</f>
        <v>0</v>
      </c>
      <c r="AO236">
        <f>IF(O236="",0,VLOOKUP(O236,'Dados de consulta'!$H$2:$I$25,2,0))</f>
        <v>0</v>
      </c>
      <c r="AP236">
        <f>IF(P236="",0,VLOOKUP(P236,'Dados de consulta'!$H$2:$I$25,2,0))</f>
        <v>0</v>
      </c>
      <c r="AQ236">
        <f>IF(Q236="",0,VLOOKUP(Q236,'Dados de consulta'!$H$2:$I$25,2,0))</f>
        <v>0</v>
      </c>
      <c r="AR236">
        <f>IF(R236="",0,VLOOKUP(R236,'Dados de consulta'!$H$2:$I$25,2,0))</f>
        <v>0</v>
      </c>
      <c r="AS236">
        <f>IF(S236="",0,VLOOKUP(S236,'Dados de consulta'!$H$2:$I$25,2,0))</f>
        <v>0</v>
      </c>
      <c r="AT236">
        <f>IF(T236="",0,VLOOKUP(T236,'Dados de consulta'!$H$2:$I$25,2,0))</f>
        <v>0</v>
      </c>
      <c r="AU236">
        <f>IF(U236="",0,VLOOKUP(U236,'Dados de consulta'!$H$2:$I$25,2,0))</f>
        <v>0</v>
      </c>
      <c r="AV236">
        <f>IF(V236="",0,VLOOKUP(V236,'Dados de consulta'!$H$2:$I$25,2,0))</f>
        <v>0</v>
      </c>
      <c r="AW236">
        <f t="shared" si="26"/>
        <v>2</v>
      </c>
      <c r="AX236">
        <f t="shared" si="27"/>
        <v>0</v>
      </c>
      <c r="AY236">
        <f t="shared" si="28"/>
        <v>0</v>
      </c>
    </row>
    <row r="237" spans="1:51" x14ac:dyDescent="0.2">
      <c r="A237" s="202">
        <v>42494</v>
      </c>
      <c r="B237" s="78" t="s">
        <v>285</v>
      </c>
      <c r="W237">
        <f t="shared" si="23"/>
        <v>0</v>
      </c>
      <c r="X237">
        <f t="shared" si="24"/>
        <v>0</v>
      </c>
      <c r="Y237">
        <f t="shared" si="25"/>
        <v>0</v>
      </c>
      <c r="AA237" s="202">
        <v>42494</v>
      </c>
      <c r="AB237" s="78" t="s">
        <v>285</v>
      </c>
      <c r="AC237">
        <f>IF(C237="",0,VLOOKUP(C237,'Dados de consulta'!$H$2:$I$25,2,0))</f>
        <v>0</v>
      </c>
      <c r="AD237">
        <f>IF(D237="",0,VLOOKUP(D237,'Dados de consulta'!$H$2:$I$25,2,0))</f>
        <v>0</v>
      </c>
      <c r="AE237">
        <f>IF(E237="",0,VLOOKUP(E237,'Dados de consulta'!$H$2:$I$25,2,0))</f>
        <v>0</v>
      </c>
      <c r="AF237">
        <f>IF(F237="",0,VLOOKUP(F237,'Dados de consulta'!$H$2:$I$25,2,0))</f>
        <v>0</v>
      </c>
      <c r="AG237">
        <f>IF(G237="",0,VLOOKUP(G237,'Dados de consulta'!$H$2:$I$25,2,0))</f>
        <v>0</v>
      </c>
      <c r="AH237">
        <f>IF(H237="",0,VLOOKUP(H237,'Dados de consulta'!$H$2:$I$25,2,0))</f>
        <v>0</v>
      </c>
      <c r="AI237">
        <f>IF(I237="",0,VLOOKUP(I237,'Dados de consulta'!$H$2:$I$25,2,0))</f>
        <v>0</v>
      </c>
      <c r="AJ237">
        <f>IF(J237="",0,VLOOKUP(J237,'Dados de consulta'!$H$2:$I$25,2,0))</f>
        <v>0</v>
      </c>
      <c r="AK237">
        <f>IF(K237="",0,VLOOKUP(K237,'Dados de consulta'!$H$2:$I$25,2,0))</f>
        <v>0</v>
      </c>
      <c r="AL237">
        <f>IF(L237="",0,VLOOKUP(L237,'Dados de consulta'!$H$2:$I$25,2,0))</f>
        <v>0</v>
      </c>
      <c r="AM237">
        <f>IF(M237="",0,VLOOKUP(M237,'Dados de consulta'!$H$2:$I$25,2,0))</f>
        <v>0</v>
      </c>
      <c r="AN237">
        <f>IF(N237="",0,VLOOKUP(N237,'Dados de consulta'!$H$2:$I$25,2,0))</f>
        <v>0</v>
      </c>
      <c r="AO237">
        <f>IF(O237="",0,VLOOKUP(O237,'Dados de consulta'!$H$2:$I$25,2,0))</f>
        <v>0</v>
      </c>
      <c r="AP237">
        <f>IF(P237="",0,VLOOKUP(P237,'Dados de consulta'!$H$2:$I$25,2,0))</f>
        <v>0</v>
      </c>
      <c r="AQ237">
        <f>IF(Q237="",0,VLOOKUP(Q237,'Dados de consulta'!$H$2:$I$25,2,0))</f>
        <v>0</v>
      </c>
      <c r="AR237">
        <f>IF(R237="",0,VLOOKUP(R237,'Dados de consulta'!$H$2:$I$25,2,0))</f>
        <v>0</v>
      </c>
      <c r="AS237">
        <f>IF(S237="",0,VLOOKUP(S237,'Dados de consulta'!$H$2:$I$25,2,0))</f>
        <v>0</v>
      </c>
      <c r="AT237">
        <f>IF(T237="",0,VLOOKUP(T237,'Dados de consulta'!$H$2:$I$25,2,0))</f>
        <v>0</v>
      </c>
      <c r="AU237">
        <f>IF(U237="",0,VLOOKUP(U237,'Dados de consulta'!$H$2:$I$25,2,0))</f>
        <v>0</v>
      </c>
      <c r="AV237">
        <f>IF(V237="",0,VLOOKUP(V237,'Dados de consulta'!$H$2:$I$25,2,0))</f>
        <v>0</v>
      </c>
      <c r="AW237">
        <f t="shared" si="26"/>
        <v>0</v>
      </c>
      <c r="AX237">
        <f t="shared" si="27"/>
        <v>0</v>
      </c>
      <c r="AY237">
        <f t="shared" si="28"/>
        <v>0</v>
      </c>
    </row>
    <row r="238" spans="1:51" x14ac:dyDescent="0.2">
      <c r="A238" s="202">
        <v>42495</v>
      </c>
      <c r="B238" s="78" t="s">
        <v>286</v>
      </c>
      <c r="C238" s="78" t="s">
        <v>208</v>
      </c>
      <c r="W238">
        <f t="shared" si="23"/>
        <v>2</v>
      </c>
      <c r="X238">
        <f t="shared" si="24"/>
        <v>0</v>
      </c>
      <c r="Y238">
        <f t="shared" si="25"/>
        <v>0</v>
      </c>
      <c r="AA238" s="202">
        <v>42495</v>
      </c>
      <c r="AB238" s="78" t="s">
        <v>286</v>
      </c>
      <c r="AC238">
        <f>IF(C238="",0,VLOOKUP(C238,'Dados de consulta'!$H$2:$I$25,2,0))</f>
        <v>2</v>
      </c>
      <c r="AD238">
        <f>IF(D238="",0,VLOOKUP(D238,'Dados de consulta'!$H$2:$I$25,2,0))</f>
        <v>0</v>
      </c>
      <c r="AE238">
        <f>IF(E238="",0,VLOOKUP(E238,'Dados de consulta'!$H$2:$I$25,2,0))</f>
        <v>0</v>
      </c>
      <c r="AF238">
        <f>IF(F238="",0,VLOOKUP(F238,'Dados de consulta'!$H$2:$I$25,2,0))</f>
        <v>0</v>
      </c>
      <c r="AG238">
        <f>IF(G238="",0,VLOOKUP(G238,'Dados de consulta'!$H$2:$I$25,2,0))</f>
        <v>0</v>
      </c>
      <c r="AH238">
        <f>IF(H238="",0,VLOOKUP(H238,'Dados de consulta'!$H$2:$I$25,2,0))</f>
        <v>0</v>
      </c>
      <c r="AI238">
        <f>IF(I238="",0,VLOOKUP(I238,'Dados de consulta'!$H$2:$I$25,2,0))</f>
        <v>0</v>
      </c>
      <c r="AJ238">
        <f>IF(J238="",0,VLOOKUP(J238,'Dados de consulta'!$H$2:$I$25,2,0))</f>
        <v>0</v>
      </c>
      <c r="AK238">
        <f>IF(K238="",0,VLOOKUP(K238,'Dados de consulta'!$H$2:$I$25,2,0))</f>
        <v>0</v>
      </c>
      <c r="AL238">
        <f>IF(L238="",0,VLOOKUP(L238,'Dados de consulta'!$H$2:$I$25,2,0))</f>
        <v>0</v>
      </c>
      <c r="AM238">
        <f>IF(M238="",0,VLOOKUP(M238,'Dados de consulta'!$H$2:$I$25,2,0))</f>
        <v>0</v>
      </c>
      <c r="AN238">
        <f>IF(N238="",0,VLOOKUP(N238,'Dados de consulta'!$H$2:$I$25,2,0))</f>
        <v>0</v>
      </c>
      <c r="AO238">
        <f>IF(O238="",0,VLOOKUP(O238,'Dados de consulta'!$H$2:$I$25,2,0))</f>
        <v>0</v>
      </c>
      <c r="AP238">
        <f>IF(P238="",0,VLOOKUP(P238,'Dados de consulta'!$H$2:$I$25,2,0))</f>
        <v>0</v>
      </c>
      <c r="AQ238">
        <f>IF(Q238="",0,VLOOKUP(Q238,'Dados de consulta'!$H$2:$I$25,2,0))</f>
        <v>0</v>
      </c>
      <c r="AR238">
        <f>IF(R238="",0,VLOOKUP(R238,'Dados de consulta'!$H$2:$I$25,2,0))</f>
        <v>0</v>
      </c>
      <c r="AS238">
        <f>IF(S238="",0,VLOOKUP(S238,'Dados de consulta'!$H$2:$I$25,2,0))</f>
        <v>0</v>
      </c>
      <c r="AT238">
        <f>IF(T238="",0,VLOOKUP(T238,'Dados de consulta'!$H$2:$I$25,2,0))</f>
        <v>0</v>
      </c>
      <c r="AU238">
        <f>IF(U238="",0,VLOOKUP(U238,'Dados de consulta'!$H$2:$I$25,2,0))</f>
        <v>0</v>
      </c>
      <c r="AV238">
        <f>IF(V238="",0,VLOOKUP(V238,'Dados de consulta'!$H$2:$I$25,2,0))</f>
        <v>0</v>
      </c>
      <c r="AW238">
        <f t="shared" si="26"/>
        <v>2</v>
      </c>
      <c r="AX238">
        <f t="shared" si="27"/>
        <v>0</v>
      </c>
      <c r="AY238">
        <f t="shared" si="28"/>
        <v>0</v>
      </c>
    </row>
    <row r="239" spans="1:51" x14ac:dyDescent="0.2">
      <c r="A239" s="202">
        <v>42496</v>
      </c>
      <c r="B239" s="78" t="s">
        <v>287</v>
      </c>
      <c r="W239">
        <f t="shared" si="23"/>
        <v>0</v>
      </c>
      <c r="X239">
        <f t="shared" si="24"/>
        <v>0</v>
      </c>
      <c r="Y239">
        <f t="shared" si="25"/>
        <v>0</v>
      </c>
      <c r="AA239" s="202">
        <v>42496</v>
      </c>
      <c r="AB239" s="78" t="s">
        <v>287</v>
      </c>
      <c r="AC239">
        <f>IF(C239="",0,VLOOKUP(C239,'Dados de consulta'!$H$2:$I$25,2,0))</f>
        <v>0</v>
      </c>
      <c r="AD239">
        <f>IF(D239="",0,VLOOKUP(D239,'Dados de consulta'!$H$2:$I$25,2,0))</f>
        <v>0</v>
      </c>
      <c r="AE239">
        <f>IF(E239="",0,VLOOKUP(E239,'Dados de consulta'!$H$2:$I$25,2,0))</f>
        <v>0</v>
      </c>
      <c r="AF239">
        <f>IF(F239="",0,VLOOKUP(F239,'Dados de consulta'!$H$2:$I$25,2,0))</f>
        <v>0</v>
      </c>
      <c r="AG239">
        <f>IF(G239="",0,VLOOKUP(G239,'Dados de consulta'!$H$2:$I$25,2,0))</f>
        <v>0</v>
      </c>
      <c r="AH239">
        <f>IF(H239="",0,VLOOKUP(H239,'Dados de consulta'!$H$2:$I$25,2,0))</f>
        <v>0</v>
      </c>
      <c r="AI239">
        <f>IF(I239="",0,VLOOKUP(I239,'Dados de consulta'!$H$2:$I$25,2,0))</f>
        <v>0</v>
      </c>
      <c r="AJ239">
        <f>IF(J239="",0,VLOOKUP(J239,'Dados de consulta'!$H$2:$I$25,2,0))</f>
        <v>0</v>
      </c>
      <c r="AK239">
        <f>IF(K239="",0,VLOOKUP(K239,'Dados de consulta'!$H$2:$I$25,2,0))</f>
        <v>0</v>
      </c>
      <c r="AL239">
        <f>IF(L239="",0,VLOOKUP(L239,'Dados de consulta'!$H$2:$I$25,2,0))</f>
        <v>0</v>
      </c>
      <c r="AM239">
        <f>IF(M239="",0,VLOOKUP(M239,'Dados de consulta'!$H$2:$I$25,2,0))</f>
        <v>0</v>
      </c>
      <c r="AN239">
        <f>IF(N239="",0,VLOOKUP(N239,'Dados de consulta'!$H$2:$I$25,2,0))</f>
        <v>0</v>
      </c>
      <c r="AO239">
        <f>IF(O239="",0,VLOOKUP(O239,'Dados de consulta'!$H$2:$I$25,2,0))</f>
        <v>0</v>
      </c>
      <c r="AP239">
        <f>IF(P239="",0,VLOOKUP(P239,'Dados de consulta'!$H$2:$I$25,2,0))</f>
        <v>0</v>
      </c>
      <c r="AQ239">
        <f>IF(Q239="",0,VLOOKUP(Q239,'Dados de consulta'!$H$2:$I$25,2,0))</f>
        <v>0</v>
      </c>
      <c r="AR239">
        <f>IF(R239="",0,VLOOKUP(R239,'Dados de consulta'!$H$2:$I$25,2,0))</f>
        <v>0</v>
      </c>
      <c r="AS239">
        <f>IF(S239="",0,VLOOKUP(S239,'Dados de consulta'!$H$2:$I$25,2,0))</f>
        <v>0</v>
      </c>
      <c r="AT239">
        <f>IF(T239="",0,VLOOKUP(T239,'Dados de consulta'!$H$2:$I$25,2,0))</f>
        <v>0</v>
      </c>
      <c r="AU239">
        <f>IF(U239="",0,VLOOKUP(U239,'Dados de consulta'!$H$2:$I$25,2,0))</f>
        <v>0</v>
      </c>
      <c r="AV239">
        <f>IF(V239="",0,VLOOKUP(V239,'Dados de consulta'!$H$2:$I$25,2,0))</f>
        <v>0</v>
      </c>
      <c r="AW239">
        <f t="shared" si="26"/>
        <v>0</v>
      </c>
      <c r="AX239">
        <f t="shared" si="27"/>
        <v>0</v>
      </c>
      <c r="AY239">
        <f t="shared" si="28"/>
        <v>0</v>
      </c>
    </row>
    <row r="240" spans="1:51" x14ac:dyDescent="0.2">
      <c r="A240" s="202">
        <v>42497</v>
      </c>
      <c r="B240" s="78" t="s">
        <v>281</v>
      </c>
      <c r="C240" s="78" t="s">
        <v>219</v>
      </c>
      <c r="G240" s="78" t="s">
        <v>219</v>
      </c>
      <c r="L240" s="78" t="s">
        <v>219</v>
      </c>
      <c r="N240" s="78" t="s">
        <v>219</v>
      </c>
      <c r="W240">
        <f t="shared" si="23"/>
        <v>24</v>
      </c>
      <c r="X240">
        <f t="shared" si="24"/>
        <v>0</v>
      </c>
      <c r="Y240">
        <f t="shared" si="25"/>
        <v>0</v>
      </c>
      <c r="AA240" s="202">
        <v>42497</v>
      </c>
      <c r="AB240" s="78" t="s">
        <v>281</v>
      </c>
      <c r="AC240">
        <f>IF(C240="",0,VLOOKUP(C240,'Dados de consulta'!$H$2:$I$25,2,0))</f>
        <v>6</v>
      </c>
      <c r="AD240">
        <f>IF(D240="",0,VLOOKUP(D240,'Dados de consulta'!$H$2:$I$25,2,0))</f>
        <v>0</v>
      </c>
      <c r="AE240">
        <f>IF(E240="",0,VLOOKUP(E240,'Dados de consulta'!$H$2:$I$25,2,0))</f>
        <v>0</v>
      </c>
      <c r="AF240">
        <f>IF(F240="",0,VLOOKUP(F240,'Dados de consulta'!$H$2:$I$25,2,0))</f>
        <v>0</v>
      </c>
      <c r="AG240">
        <f>IF(G240="",0,VLOOKUP(G240,'Dados de consulta'!$H$2:$I$25,2,0))</f>
        <v>6</v>
      </c>
      <c r="AH240">
        <f>IF(H240="",0,VLOOKUP(H240,'Dados de consulta'!$H$2:$I$25,2,0))</f>
        <v>0</v>
      </c>
      <c r="AI240">
        <f>IF(I240="",0,VLOOKUP(I240,'Dados de consulta'!$H$2:$I$25,2,0))</f>
        <v>0</v>
      </c>
      <c r="AJ240">
        <f>IF(J240="",0,VLOOKUP(J240,'Dados de consulta'!$H$2:$I$25,2,0))</f>
        <v>0</v>
      </c>
      <c r="AK240">
        <f>IF(K240="",0,VLOOKUP(K240,'Dados de consulta'!$H$2:$I$25,2,0))</f>
        <v>0</v>
      </c>
      <c r="AL240">
        <f>IF(L240="",0,VLOOKUP(L240,'Dados de consulta'!$H$2:$I$25,2,0))</f>
        <v>6</v>
      </c>
      <c r="AM240">
        <f>IF(M240="",0,VLOOKUP(M240,'Dados de consulta'!$H$2:$I$25,2,0))</f>
        <v>0</v>
      </c>
      <c r="AN240">
        <f>IF(N240="",0,VLOOKUP(N240,'Dados de consulta'!$H$2:$I$25,2,0))</f>
        <v>6</v>
      </c>
      <c r="AO240">
        <f>IF(O240="",0,VLOOKUP(O240,'Dados de consulta'!$H$2:$I$25,2,0))</f>
        <v>0</v>
      </c>
      <c r="AP240">
        <f>IF(P240="",0,VLOOKUP(P240,'Dados de consulta'!$H$2:$I$25,2,0))</f>
        <v>0</v>
      </c>
      <c r="AQ240">
        <f>IF(Q240="",0,VLOOKUP(Q240,'Dados de consulta'!$H$2:$I$25,2,0))</f>
        <v>0</v>
      </c>
      <c r="AR240">
        <f>IF(R240="",0,VLOOKUP(R240,'Dados de consulta'!$H$2:$I$25,2,0))</f>
        <v>0</v>
      </c>
      <c r="AS240">
        <f>IF(S240="",0,VLOOKUP(S240,'Dados de consulta'!$H$2:$I$25,2,0))</f>
        <v>0</v>
      </c>
      <c r="AT240">
        <f>IF(T240="",0,VLOOKUP(T240,'Dados de consulta'!$H$2:$I$25,2,0))</f>
        <v>0</v>
      </c>
      <c r="AU240">
        <f>IF(U240="",0,VLOOKUP(U240,'Dados de consulta'!$H$2:$I$25,2,0))</f>
        <v>0</v>
      </c>
      <c r="AV240">
        <f>IF(V240="",0,VLOOKUP(V240,'Dados de consulta'!$H$2:$I$25,2,0))</f>
        <v>0</v>
      </c>
      <c r="AW240">
        <f t="shared" si="26"/>
        <v>24</v>
      </c>
      <c r="AX240">
        <f t="shared" si="27"/>
        <v>0</v>
      </c>
      <c r="AY240">
        <f t="shared" si="28"/>
        <v>0</v>
      </c>
    </row>
    <row r="241" spans="1:51" x14ac:dyDescent="0.2">
      <c r="A241" s="202">
        <v>42498</v>
      </c>
      <c r="B241" s="78" t="s">
        <v>282</v>
      </c>
      <c r="W241">
        <f t="shared" si="23"/>
        <v>0</v>
      </c>
      <c r="X241">
        <f t="shared" si="24"/>
        <v>0</v>
      </c>
      <c r="Y241">
        <f t="shared" si="25"/>
        <v>0</v>
      </c>
      <c r="AA241" s="202">
        <v>42498</v>
      </c>
      <c r="AB241" s="78" t="s">
        <v>282</v>
      </c>
      <c r="AC241">
        <f>IF(C241="",0,VLOOKUP(C241,'Dados de consulta'!$H$2:$I$25,2,0))</f>
        <v>0</v>
      </c>
      <c r="AD241">
        <f>IF(D241="",0,VLOOKUP(D241,'Dados de consulta'!$H$2:$I$25,2,0))</f>
        <v>0</v>
      </c>
      <c r="AE241">
        <f>IF(E241="",0,VLOOKUP(E241,'Dados de consulta'!$H$2:$I$25,2,0))</f>
        <v>0</v>
      </c>
      <c r="AF241">
        <f>IF(F241="",0,VLOOKUP(F241,'Dados de consulta'!$H$2:$I$25,2,0))</f>
        <v>0</v>
      </c>
      <c r="AG241">
        <f>IF(G241="",0,VLOOKUP(G241,'Dados de consulta'!$H$2:$I$25,2,0))</f>
        <v>0</v>
      </c>
      <c r="AH241">
        <f>IF(H241="",0,VLOOKUP(H241,'Dados de consulta'!$H$2:$I$25,2,0))</f>
        <v>0</v>
      </c>
      <c r="AI241">
        <f>IF(I241="",0,VLOOKUP(I241,'Dados de consulta'!$H$2:$I$25,2,0))</f>
        <v>0</v>
      </c>
      <c r="AJ241">
        <f>IF(J241="",0,VLOOKUP(J241,'Dados de consulta'!$H$2:$I$25,2,0))</f>
        <v>0</v>
      </c>
      <c r="AK241">
        <f>IF(K241="",0,VLOOKUP(K241,'Dados de consulta'!$H$2:$I$25,2,0))</f>
        <v>0</v>
      </c>
      <c r="AL241">
        <f>IF(L241="",0,VLOOKUP(L241,'Dados de consulta'!$H$2:$I$25,2,0))</f>
        <v>0</v>
      </c>
      <c r="AM241">
        <f>IF(M241="",0,VLOOKUP(M241,'Dados de consulta'!$H$2:$I$25,2,0))</f>
        <v>0</v>
      </c>
      <c r="AN241">
        <f>IF(N241="",0,VLOOKUP(N241,'Dados de consulta'!$H$2:$I$25,2,0))</f>
        <v>0</v>
      </c>
      <c r="AO241">
        <f>IF(O241="",0,VLOOKUP(O241,'Dados de consulta'!$H$2:$I$25,2,0))</f>
        <v>0</v>
      </c>
      <c r="AP241">
        <f>IF(P241="",0,VLOOKUP(P241,'Dados de consulta'!$H$2:$I$25,2,0))</f>
        <v>0</v>
      </c>
      <c r="AQ241">
        <f>IF(Q241="",0,VLOOKUP(Q241,'Dados de consulta'!$H$2:$I$25,2,0))</f>
        <v>0</v>
      </c>
      <c r="AR241">
        <f>IF(R241="",0,VLOOKUP(R241,'Dados de consulta'!$H$2:$I$25,2,0))</f>
        <v>0</v>
      </c>
      <c r="AS241">
        <f>IF(S241="",0,VLOOKUP(S241,'Dados de consulta'!$H$2:$I$25,2,0))</f>
        <v>0</v>
      </c>
      <c r="AT241">
        <f>IF(T241="",0,VLOOKUP(T241,'Dados de consulta'!$H$2:$I$25,2,0))</f>
        <v>0</v>
      </c>
      <c r="AU241">
        <f>IF(U241="",0,VLOOKUP(U241,'Dados de consulta'!$H$2:$I$25,2,0))</f>
        <v>0</v>
      </c>
      <c r="AV241">
        <f>IF(V241="",0,VLOOKUP(V241,'Dados de consulta'!$H$2:$I$25,2,0))</f>
        <v>0</v>
      </c>
      <c r="AW241">
        <f t="shared" si="26"/>
        <v>0</v>
      </c>
      <c r="AX241">
        <f t="shared" si="27"/>
        <v>0</v>
      </c>
      <c r="AY241">
        <f t="shared" si="28"/>
        <v>0</v>
      </c>
    </row>
    <row r="242" spans="1:51" x14ac:dyDescent="0.2">
      <c r="A242" s="202">
        <v>42499</v>
      </c>
      <c r="B242" s="78" t="s">
        <v>283</v>
      </c>
      <c r="C242" s="78" t="s">
        <v>208</v>
      </c>
      <c r="W242">
        <f t="shared" si="23"/>
        <v>2</v>
      </c>
      <c r="X242">
        <f t="shared" si="24"/>
        <v>0</v>
      </c>
      <c r="Y242">
        <f t="shared" si="25"/>
        <v>0</v>
      </c>
      <c r="AA242" s="202">
        <v>42499</v>
      </c>
      <c r="AB242" s="78" t="s">
        <v>283</v>
      </c>
      <c r="AC242">
        <f>IF(C242="",0,VLOOKUP(C242,'Dados de consulta'!$H$2:$I$25,2,0))</f>
        <v>2</v>
      </c>
      <c r="AD242">
        <f>IF(D242="",0,VLOOKUP(D242,'Dados de consulta'!$H$2:$I$25,2,0))</f>
        <v>0</v>
      </c>
      <c r="AE242">
        <f>IF(E242="",0,VLOOKUP(E242,'Dados de consulta'!$H$2:$I$25,2,0))</f>
        <v>0</v>
      </c>
      <c r="AF242">
        <f>IF(F242="",0,VLOOKUP(F242,'Dados de consulta'!$H$2:$I$25,2,0))</f>
        <v>0</v>
      </c>
      <c r="AG242">
        <f>IF(G242="",0,VLOOKUP(G242,'Dados de consulta'!$H$2:$I$25,2,0))</f>
        <v>0</v>
      </c>
      <c r="AH242">
        <f>IF(H242="",0,VLOOKUP(H242,'Dados de consulta'!$H$2:$I$25,2,0))</f>
        <v>0</v>
      </c>
      <c r="AI242">
        <f>IF(I242="",0,VLOOKUP(I242,'Dados de consulta'!$H$2:$I$25,2,0))</f>
        <v>0</v>
      </c>
      <c r="AJ242">
        <f>IF(J242="",0,VLOOKUP(J242,'Dados de consulta'!$H$2:$I$25,2,0))</f>
        <v>0</v>
      </c>
      <c r="AK242">
        <f>IF(K242="",0,VLOOKUP(K242,'Dados de consulta'!$H$2:$I$25,2,0))</f>
        <v>0</v>
      </c>
      <c r="AL242">
        <f>IF(L242="",0,VLOOKUP(L242,'Dados de consulta'!$H$2:$I$25,2,0))</f>
        <v>0</v>
      </c>
      <c r="AM242">
        <f>IF(M242="",0,VLOOKUP(M242,'Dados de consulta'!$H$2:$I$25,2,0))</f>
        <v>0</v>
      </c>
      <c r="AN242">
        <f>IF(N242="",0,VLOOKUP(N242,'Dados de consulta'!$H$2:$I$25,2,0))</f>
        <v>0</v>
      </c>
      <c r="AO242">
        <f>IF(O242="",0,VLOOKUP(O242,'Dados de consulta'!$H$2:$I$25,2,0))</f>
        <v>0</v>
      </c>
      <c r="AP242">
        <f>IF(P242="",0,VLOOKUP(P242,'Dados de consulta'!$H$2:$I$25,2,0))</f>
        <v>0</v>
      </c>
      <c r="AQ242">
        <f>IF(Q242="",0,VLOOKUP(Q242,'Dados de consulta'!$H$2:$I$25,2,0))</f>
        <v>0</v>
      </c>
      <c r="AR242">
        <f>IF(R242="",0,VLOOKUP(R242,'Dados de consulta'!$H$2:$I$25,2,0))</f>
        <v>0</v>
      </c>
      <c r="AS242">
        <f>IF(S242="",0,VLOOKUP(S242,'Dados de consulta'!$H$2:$I$25,2,0))</f>
        <v>0</v>
      </c>
      <c r="AT242">
        <f>IF(T242="",0,VLOOKUP(T242,'Dados de consulta'!$H$2:$I$25,2,0))</f>
        <v>0</v>
      </c>
      <c r="AU242">
        <f>IF(U242="",0,VLOOKUP(U242,'Dados de consulta'!$H$2:$I$25,2,0))</f>
        <v>0</v>
      </c>
      <c r="AV242">
        <f>IF(V242="",0,VLOOKUP(V242,'Dados de consulta'!$H$2:$I$25,2,0))</f>
        <v>0</v>
      </c>
      <c r="AW242">
        <f t="shared" si="26"/>
        <v>2</v>
      </c>
      <c r="AX242">
        <f t="shared" si="27"/>
        <v>0</v>
      </c>
      <c r="AY242">
        <f t="shared" si="28"/>
        <v>0</v>
      </c>
    </row>
    <row r="243" spans="1:51" x14ac:dyDescent="0.2">
      <c r="A243" s="202">
        <v>42500</v>
      </c>
      <c r="B243" s="78" t="s">
        <v>284</v>
      </c>
      <c r="C243" s="78" t="s">
        <v>208</v>
      </c>
      <c r="W243">
        <f t="shared" si="23"/>
        <v>2</v>
      </c>
      <c r="X243">
        <f t="shared" si="24"/>
        <v>0</v>
      </c>
      <c r="Y243">
        <f t="shared" si="25"/>
        <v>0</v>
      </c>
      <c r="AA243" s="202">
        <v>42500</v>
      </c>
      <c r="AB243" s="78" t="s">
        <v>284</v>
      </c>
      <c r="AC243">
        <f>IF(C243="",0,VLOOKUP(C243,'Dados de consulta'!$H$2:$I$25,2,0))</f>
        <v>2</v>
      </c>
      <c r="AD243">
        <f>IF(D243="",0,VLOOKUP(D243,'Dados de consulta'!$H$2:$I$25,2,0))</f>
        <v>0</v>
      </c>
      <c r="AE243">
        <f>IF(E243="",0,VLOOKUP(E243,'Dados de consulta'!$H$2:$I$25,2,0))</f>
        <v>0</v>
      </c>
      <c r="AF243">
        <f>IF(F243="",0,VLOOKUP(F243,'Dados de consulta'!$H$2:$I$25,2,0))</f>
        <v>0</v>
      </c>
      <c r="AG243">
        <f>IF(G243="",0,VLOOKUP(G243,'Dados de consulta'!$H$2:$I$25,2,0))</f>
        <v>0</v>
      </c>
      <c r="AH243">
        <f>IF(H243="",0,VLOOKUP(H243,'Dados de consulta'!$H$2:$I$25,2,0))</f>
        <v>0</v>
      </c>
      <c r="AI243">
        <f>IF(I243="",0,VLOOKUP(I243,'Dados de consulta'!$H$2:$I$25,2,0))</f>
        <v>0</v>
      </c>
      <c r="AJ243">
        <f>IF(J243="",0,VLOOKUP(J243,'Dados de consulta'!$H$2:$I$25,2,0))</f>
        <v>0</v>
      </c>
      <c r="AK243">
        <f>IF(K243="",0,VLOOKUP(K243,'Dados de consulta'!$H$2:$I$25,2,0))</f>
        <v>0</v>
      </c>
      <c r="AL243">
        <f>IF(L243="",0,VLOOKUP(L243,'Dados de consulta'!$H$2:$I$25,2,0))</f>
        <v>0</v>
      </c>
      <c r="AM243">
        <f>IF(M243="",0,VLOOKUP(M243,'Dados de consulta'!$H$2:$I$25,2,0))</f>
        <v>0</v>
      </c>
      <c r="AN243">
        <f>IF(N243="",0,VLOOKUP(N243,'Dados de consulta'!$H$2:$I$25,2,0))</f>
        <v>0</v>
      </c>
      <c r="AO243">
        <f>IF(O243="",0,VLOOKUP(O243,'Dados de consulta'!$H$2:$I$25,2,0))</f>
        <v>0</v>
      </c>
      <c r="AP243">
        <f>IF(P243="",0,VLOOKUP(P243,'Dados de consulta'!$H$2:$I$25,2,0))</f>
        <v>0</v>
      </c>
      <c r="AQ243">
        <f>IF(Q243="",0,VLOOKUP(Q243,'Dados de consulta'!$H$2:$I$25,2,0))</f>
        <v>0</v>
      </c>
      <c r="AR243">
        <f>IF(R243="",0,VLOOKUP(R243,'Dados de consulta'!$H$2:$I$25,2,0))</f>
        <v>0</v>
      </c>
      <c r="AS243">
        <f>IF(S243="",0,VLOOKUP(S243,'Dados de consulta'!$H$2:$I$25,2,0))</f>
        <v>0</v>
      </c>
      <c r="AT243">
        <f>IF(T243="",0,VLOOKUP(T243,'Dados de consulta'!$H$2:$I$25,2,0))</f>
        <v>0</v>
      </c>
      <c r="AU243">
        <f>IF(U243="",0,VLOOKUP(U243,'Dados de consulta'!$H$2:$I$25,2,0))</f>
        <v>0</v>
      </c>
      <c r="AV243">
        <f>IF(V243="",0,VLOOKUP(V243,'Dados de consulta'!$H$2:$I$25,2,0))</f>
        <v>0</v>
      </c>
      <c r="AW243">
        <f t="shared" si="26"/>
        <v>2</v>
      </c>
      <c r="AX243">
        <f t="shared" si="27"/>
        <v>0</v>
      </c>
      <c r="AY243">
        <f t="shared" si="28"/>
        <v>0</v>
      </c>
    </row>
    <row r="244" spans="1:51" x14ac:dyDescent="0.2">
      <c r="A244" s="202">
        <v>42501</v>
      </c>
      <c r="B244" s="78" t="s">
        <v>285</v>
      </c>
      <c r="W244">
        <f t="shared" si="23"/>
        <v>0</v>
      </c>
      <c r="X244">
        <f t="shared" si="24"/>
        <v>0</v>
      </c>
      <c r="Y244">
        <f t="shared" si="25"/>
        <v>0</v>
      </c>
      <c r="AA244" s="202">
        <v>42501</v>
      </c>
      <c r="AB244" s="78" t="s">
        <v>285</v>
      </c>
      <c r="AC244">
        <f>IF(C244="",0,VLOOKUP(C244,'Dados de consulta'!$H$2:$I$25,2,0))</f>
        <v>0</v>
      </c>
      <c r="AD244">
        <f>IF(D244="",0,VLOOKUP(D244,'Dados de consulta'!$H$2:$I$25,2,0))</f>
        <v>0</v>
      </c>
      <c r="AE244">
        <f>IF(E244="",0,VLOOKUP(E244,'Dados de consulta'!$H$2:$I$25,2,0))</f>
        <v>0</v>
      </c>
      <c r="AF244">
        <f>IF(F244="",0,VLOOKUP(F244,'Dados de consulta'!$H$2:$I$25,2,0))</f>
        <v>0</v>
      </c>
      <c r="AG244">
        <f>IF(G244="",0,VLOOKUP(G244,'Dados de consulta'!$H$2:$I$25,2,0))</f>
        <v>0</v>
      </c>
      <c r="AH244">
        <f>IF(H244="",0,VLOOKUP(H244,'Dados de consulta'!$H$2:$I$25,2,0))</f>
        <v>0</v>
      </c>
      <c r="AI244">
        <f>IF(I244="",0,VLOOKUP(I244,'Dados de consulta'!$H$2:$I$25,2,0))</f>
        <v>0</v>
      </c>
      <c r="AJ244">
        <f>IF(J244="",0,VLOOKUP(J244,'Dados de consulta'!$H$2:$I$25,2,0))</f>
        <v>0</v>
      </c>
      <c r="AK244">
        <f>IF(K244="",0,VLOOKUP(K244,'Dados de consulta'!$H$2:$I$25,2,0))</f>
        <v>0</v>
      </c>
      <c r="AL244">
        <f>IF(L244="",0,VLOOKUP(L244,'Dados de consulta'!$H$2:$I$25,2,0))</f>
        <v>0</v>
      </c>
      <c r="AM244">
        <f>IF(M244="",0,VLOOKUP(M244,'Dados de consulta'!$H$2:$I$25,2,0))</f>
        <v>0</v>
      </c>
      <c r="AN244">
        <f>IF(N244="",0,VLOOKUP(N244,'Dados de consulta'!$H$2:$I$25,2,0))</f>
        <v>0</v>
      </c>
      <c r="AO244">
        <f>IF(O244="",0,VLOOKUP(O244,'Dados de consulta'!$H$2:$I$25,2,0))</f>
        <v>0</v>
      </c>
      <c r="AP244">
        <f>IF(P244="",0,VLOOKUP(P244,'Dados de consulta'!$H$2:$I$25,2,0))</f>
        <v>0</v>
      </c>
      <c r="AQ244">
        <f>IF(Q244="",0,VLOOKUP(Q244,'Dados de consulta'!$H$2:$I$25,2,0))</f>
        <v>0</v>
      </c>
      <c r="AR244">
        <f>IF(R244="",0,VLOOKUP(R244,'Dados de consulta'!$H$2:$I$25,2,0))</f>
        <v>0</v>
      </c>
      <c r="AS244">
        <f>IF(S244="",0,VLOOKUP(S244,'Dados de consulta'!$H$2:$I$25,2,0))</f>
        <v>0</v>
      </c>
      <c r="AT244">
        <f>IF(T244="",0,VLOOKUP(T244,'Dados de consulta'!$H$2:$I$25,2,0))</f>
        <v>0</v>
      </c>
      <c r="AU244">
        <f>IF(U244="",0,VLOOKUP(U244,'Dados de consulta'!$H$2:$I$25,2,0))</f>
        <v>0</v>
      </c>
      <c r="AV244">
        <f>IF(V244="",0,VLOOKUP(V244,'Dados de consulta'!$H$2:$I$25,2,0))</f>
        <v>0</v>
      </c>
      <c r="AW244">
        <f t="shared" si="26"/>
        <v>0</v>
      </c>
      <c r="AX244">
        <f t="shared" si="27"/>
        <v>0</v>
      </c>
      <c r="AY244">
        <f t="shared" si="28"/>
        <v>0</v>
      </c>
    </row>
    <row r="245" spans="1:51" x14ac:dyDescent="0.2">
      <c r="A245" s="202">
        <v>42502</v>
      </c>
      <c r="B245" s="78" t="s">
        <v>286</v>
      </c>
      <c r="W245">
        <f t="shared" si="23"/>
        <v>0</v>
      </c>
      <c r="X245">
        <f t="shared" si="24"/>
        <v>0</v>
      </c>
      <c r="Y245">
        <f t="shared" si="25"/>
        <v>0</v>
      </c>
      <c r="AA245" s="202">
        <v>42502</v>
      </c>
      <c r="AB245" s="78" t="s">
        <v>286</v>
      </c>
      <c r="AC245">
        <f>IF(C245="",0,VLOOKUP(C245,'Dados de consulta'!$H$2:$I$25,2,0))</f>
        <v>0</v>
      </c>
      <c r="AD245">
        <f>IF(D245="",0,VLOOKUP(D245,'Dados de consulta'!$H$2:$I$25,2,0))</f>
        <v>0</v>
      </c>
      <c r="AE245">
        <f>IF(E245="",0,VLOOKUP(E245,'Dados de consulta'!$H$2:$I$25,2,0))</f>
        <v>0</v>
      </c>
      <c r="AF245">
        <f>IF(F245="",0,VLOOKUP(F245,'Dados de consulta'!$H$2:$I$25,2,0))</f>
        <v>0</v>
      </c>
      <c r="AG245">
        <f>IF(G245="",0,VLOOKUP(G245,'Dados de consulta'!$H$2:$I$25,2,0))</f>
        <v>0</v>
      </c>
      <c r="AH245">
        <f>IF(H245="",0,VLOOKUP(H245,'Dados de consulta'!$H$2:$I$25,2,0))</f>
        <v>0</v>
      </c>
      <c r="AI245">
        <f>IF(I245="",0,VLOOKUP(I245,'Dados de consulta'!$H$2:$I$25,2,0))</f>
        <v>0</v>
      </c>
      <c r="AJ245">
        <f>IF(J245="",0,VLOOKUP(J245,'Dados de consulta'!$H$2:$I$25,2,0))</f>
        <v>0</v>
      </c>
      <c r="AK245">
        <f>IF(K245="",0,VLOOKUP(K245,'Dados de consulta'!$H$2:$I$25,2,0))</f>
        <v>0</v>
      </c>
      <c r="AL245">
        <f>IF(L245="",0,VLOOKUP(L245,'Dados de consulta'!$H$2:$I$25,2,0))</f>
        <v>0</v>
      </c>
      <c r="AM245">
        <f>IF(M245="",0,VLOOKUP(M245,'Dados de consulta'!$H$2:$I$25,2,0))</f>
        <v>0</v>
      </c>
      <c r="AN245">
        <f>IF(N245="",0,VLOOKUP(N245,'Dados de consulta'!$H$2:$I$25,2,0))</f>
        <v>0</v>
      </c>
      <c r="AO245">
        <f>IF(O245="",0,VLOOKUP(O245,'Dados de consulta'!$H$2:$I$25,2,0))</f>
        <v>0</v>
      </c>
      <c r="AP245">
        <f>IF(P245="",0,VLOOKUP(P245,'Dados de consulta'!$H$2:$I$25,2,0))</f>
        <v>0</v>
      </c>
      <c r="AQ245">
        <f>IF(Q245="",0,VLOOKUP(Q245,'Dados de consulta'!$H$2:$I$25,2,0))</f>
        <v>0</v>
      </c>
      <c r="AR245">
        <f>IF(R245="",0,VLOOKUP(R245,'Dados de consulta'!$H$2:$I$25,2,0))</f>
        <v>0</v>
      </c>
      <c r="AS245">
        <f>IF(S245="",0,VLOOKUP(S245,'Dados de consulta'!$H$2:$I$25,2,0))</f>
        <v>0</v>
      </c>
      <c r="AT245">
        <f>IF(T245="",0,VLOOKUP(T245,'Dados de consulta'!$H$2:$I$25,2,0))</f>
        <v>0</v>
      </c>
      <c r="AU245">
        <f>IF(U245="",0,VLOOKUP(U245,'Dados de consulta'!$H$2:$I$25,2,0))</f>
        <v>0</v>
      </c>
      <c r="AV245">
        <f>IF(V245="",0,VLOOKUP(V245,'Dados de consulta'!$H$2:$I$25,2,0))</f>
        <v>0</v>
      </c>
      <c r="AW245">
        <f t="shared" si="26"/>
        <v>0</v>
      </c>
      <c r="AX245">
        <f t="shared" si="27"/>
        <v>0</v>
      </c>
      <c r="AY245">
        <f t="shared" si="28"/>
        <v>0</v>
      </c>
    </row>
    <row r="246" spans="1:51" x14ac:dyDescent="0.2">
      <c r="A246" s="202">
        <v>42503</v>
      </c>
      <c r="B246" s="78" t="s">
        <v>287</v>
      </c>
      <c r="W246">
        <f t="shared" si="23"/>
        <v>0</v>
      </c>
      <c r="X246">
        <f t="shared" si="24"/>
        <v>0</v>
      </c>
      <c r="Y246">
        <f t="shared" si="25"/>
        <v>0</v>
      </c>
      <c r="AA246" s="202">
        <v>42503</v>
      </c>
      <c r="AB246" s="78" t="s">
        <v>287</v>
      </c>
      <c r="AC246">
        <f>IF(C246="",0,VLOOKUP(C246,'Dados de consulta'!$H$2:$I$25,2,0))</f>
        <v>0</v>
      </c>
      <c r="AD246">
        <f>IF(D246="",0,VLOOKUP(D246,'Dados de consulta'!$H$2:$I$25,2,0))</f>
        <v>0</v>
      </c>
      <c r="AE246">
        <f>IF(E246="",0,VLOOKUP(E246,'Dados de consulta'!$H$2:$I$25,2,0))</f>
        <v>0</v>
      </c>
      <c r="AF246">
        <f>IF(F246="",0,VLOOKUP(F246,'Dados de consulta'!$H$2:$I$25,2,0))</f>
        <v>0</v>
      </c>
      <c r="AG246">
        <f>IF(G246="",0,VLOOKUP(G246,'Dados de consulta'!$H$2:$I$25,2,0))</f>
        <v>0</v>
      </c>
      <c r="AH246">
        <f>IF(H246="",0,VLOOKUP(H246,'Dados de consulta'!$H$2:$I$25,2,0))</f>
        <v>0</v>
      </c>
      <c r="AI246">
        <f>IF(I246="",0,VLOOKUP(I246,'Dados de consulta'!$H$2:$I$25,2,0))</f>
        <v>0</v>
      </c>
      <c r="AJ246">
        <f>IF(J246="",0,VLOOKUP(J246,'Dados de consulta'!$H$2:$I$25,2,0))</f>
        <v>0</v>
      </c>
      <c r="AK246">
        <f>IF(K246="",0,VLOOKUP(K246,'Dados de consulta'!$H$2:$I$25,2,0))</f>
        <v>0</v>
      </c>
      <c r="AL246">
        <f>IF(L246="",0,VLOOKUP(L246,'Dados de consulta'!$H$2:$I$25,2,0))</f>
        <v>0</v>
      </c>
      <c r="AM246">
        <f>IF(M246="",0,VLOOKUP(M246,'Dados de consulta'!$H$2:$I$25,2,0))</f>
        <v>0</v>
      </c>
      <c r="AN246">
        <f>IF(N246="",0,VLOOKUP(N246,'Dados de consulta'!$H$2:$I$25,2,0))</f>
        <v>0</v>
      </c>
      <c r="AO246">
        <f>IF(O246="",0,VLOOKUP(O246,'Dados de consulta'!$H$2:$I$25,2,0))</f>
        <v>0</v>
      </c>
      <c r="AP246">
        <f>IF(P246="",0,VLOOKUP(P246,'Dados de consulta'!$H$2:$I$25,2,0))</f>
        <v>0</v>
      </c>
      <c r="AQ246">
        <f>IF(Q246="",0,VLOOKUP(Q246,'Dados de consulta'!$H$2:$I$25,2,0))</f>
        <v>0</v>
      </c>
      <c r="AR246">
        <f>IF(R246="",0,VLOOKUP(R246,'Dados de consulta'!$H$2:$I$25,2,0))</f>
        <v>0</v>
      </c>
      <c r="AS246">
        <f>IF(S246="",0,VLOOKUP(S246,'Dados de consulta'!$H$2:$I$25,2,0))</f>
        <v>0</v>
      </c>
      <c r="AT246">
        <f>IF(T246="",0,VLOOKUP(T246,'Dados de consulta'!$H$2:$I$25,2,0))</f>
        <v>0</v>
      </c>
      <c r="AU246">
        <f>IF(U246="",0,VLOOKUP(U246,'Dados de consulta'!$H$2:$I$25,2,0))</f>
        <v>0</v>
      </c>
      <c r="AV246">
        <f>IF(V246="",0,VLOOKUP(V246,'Dados de consulta'!$H$2:$I$25,2,0))</f>
        <v>0</v>
      </c>
      <c r="AW246">
        <f t="shared" si="26"/>
        <v>0</v>
      </c>
      <c r="AX246">
        <f t="shared" si="27"/>
        <v>0</v>
      </c>
      <c r="AY246">
        <f t="shared" si="28"/>
        <v>0</v>
      </c>
    </row>
    <row r="247" spans="1:51" x14ac:dyDescent="0.2">
      <c r="A247" s="202">
        <v>42504</v>
      </c>
      <c r="B247" s="78" t="s">
        <v>281</v>
      </c>
      <c r="C247" s="78" t="s">
        <v>219</v>
      </c>
      <c r="W247">
        <f t="shared" si="23"/>
        <v>6</v>
      </c>
      <c r="X247">
        <f t="shared" si="24"/>
        <v>0</v>
      </c>
      <c r="Y247">
        <f t="shared" si="25"/>
        <v>0</v>
      </c>
      <c r="AA247" s="202">
        <v>42504</v>
      </c>
      <c r="AB247" s="78" t="s">
        <v>281</v>
      </c>
      <c r="AC247">
        <f>IF(C247="",0,VLOOKUP(C247,'Dados de consulta'!$H$2:$I$25,2,0))</f>
        <v>6</v>
      </c>
      <c r="AD247">
        <f>IF(D247="",0,VLOOKUP(D247,'Dados de consulta'!$H$2:$I$25,2,0))</f>
        <v>0</v>
      </c>
      <c r="AE247">
        <f>IF(E247="",0,VLOOKUP(E247,'Dados de consulta'!$H$2:$I$25,2,0))</f>
        <v>0</v>
      </c>
      <c r="AF247">
        <f>IF(F247="",0,VLOOKUP(F247,'Dados de consulta'!$H$2:$I$25,2,0))</f>
        <v>0</v>
      </c>
      <c r="AG247">
        <f>IF(G247="",0,VLOOKUP(G247,'Dados de consulta'!$H$2:$I$25,2,0))</f>
        <v>0</v>
      </c>
      <c r="AH247">
        <f>IF(H247="",0,VLOOKUP(H247,'Dados de consulta'!$H$2:$I$25,2,0))</f>
        <v>0</v>
      </c>
      <c r="AI247">
        <f>IF(I247="",0,VLOOKUP(I247,'Dados de consulta'!$H$2:$I$25,2,0))</f>
        <v>0</v>
      </c>
      <c r="AJ247">
        <f>IF(J247="",0,VLOOKUP(J247,'Dados de consulta'!$H$2:$I$25,2,0))</f>
        <v>0</v>
      </c>
      <c r="AK247">
        <f>IF(K247="",0,VLOOKUP(K247,'Dados de consulta'!$H$2:$I$25,2,0))</f>
        <v>0</v>
      </c>
      <c r="AL247">
        <f>IF(L247="",0,VLOOKUP(L247,'Dados de consulta'!$H$2:$I$25,2,0))</f>
        <v>0</v>
      </c>
      <c r="AM247">
        <f>IF(M247="",0,VLOOKUP(M247,'Dados de consulta'!$H$2:$I$25,2,0))</f>
        <v>0</v>
      </c>
      <c r="AN247">
        <f>IF(N247="",0,VLOOKUP(N247,'Dados de consulta'!$H$2:$I$25,2,0))</f>
        <v>0</v>
      </c>
      <c r="AO247">
        <f>IF(O247="",0,VLOOKUP(O247,'Dados de consulta'!$H$2:$I$25,2,0))</f>
        <v>0</v>
      </c>
      <c r="AP247">
        <f>IF(P247="",0,VLOOKUP(P247,'Dados de consulta'!$H$2:$I$25,2,0))</f>
        <v>0</v>
      </c>
      <c r="AQ247">
        <f>IF(Q247="",0,VLOOKUP(Q247,'Dados de consulta'!$H$2:$I$25,2,0))</f>
        <v>0</v>
      </c>
      <c r="AR247">
        <f>IF(R247="",0,VLOOKUP(R247,'Dados de consulta'!$H$2:$I$25,2,0))</f>
        <v>0</v>
      </c>
      <c r="AS247">
        <f>IF(S247="",0,VLOOKUP(S247,'Dados de consulta'!$H$2:$I$25,2,0))</f>
        <v>0</v>
      </c>
      <c r="AT247">
        <f>IF(T247="",0,VLOOKUP(T247,'Dados de consulta'!$H$2:$I$25,2,0))</f>
        <v>0</v>
      </c>
      <c r="AU247">
        <f>IF(U247="",0,VLOOKUP(U247,'Dados de consulta'!$H$2:$I$25,2,0))</f>
        <v>0</v>
      </c>
      <c r="AV247">
        <f>IF(V247="",0,VLOOKUP(V247,'Dados de consulta'!$H$2:$I$25,2,0))</f>
        <v>0</v>
      </c>
      <c r="AW247">
        <f t="shared" si="26"/>
        <v>6</v>
      </c>
      <c r="AX247">
        <f t="shared" si="27"/>
        <v>0</v>
      </c>
      <c r="AY247">
        <f t="shared" si="28"/>
        <v>0</v>
      </c>
    </row>
    <row r="248" spans="1:51" x14ac:dyDescent="0.2">
      <c r="A248" s="202">
        <v>42505</v>
      </c>
      <c r="B248" s="78" t="s">
        <v>282</v>
      </c>
      <c r="W248">
        <f t="shared" si="23"/>
        <v>0</v>
      </c>
      <c r="X248">
        <f t="shared" si="24"/>
        <v>0</v>
      </c>
      <c r="Y248">
        <f t="shared" si="25"/>
        <v>0</v>
      </c>
      <c r="AA248" s="202">
        <v>42505</v>
      </c>
      <c r="AB248" s="78" t="s">
        <v>282</v>
      </c>
      <c r="AC248">
        <f>IF(C248="",0,VLOOKUP(C248,'Dados de consulta'!$H$2:$I$25,2,0))</f>
        <v>0</v>
      </c>
      <c r="AD248">
        <f>IF(D248="",0,VLOOKUP(D248,'Dados de consulta'!$H$2:$I$25,2,0))</f>
        <v>0</v>
      </c>
      <c r="AE248">
        <f>IF(E248="",0,VLOOKUP(E248,'Dados de consulta'!$H$2:$I$25,2,0))</f>
        <v>0</v>
      </c>
      <c r="AF248">
        <f>IF(F248="",0,VLOOKUP(F248,'Dados de consulta'!$H$2:$I$25,2,0))</f>
        <v>0</v>
      </c>
      <c r="AG248">
        <f>IF(G248="",0,VLOOKUP(G248,'Dados de consulta'!$H$2:$I$25,2,0))</f>
        <v>0</v>
      </c>
      <c r="AH248">
        <f>IF(H248="",0,VLOOKUP(H248,'Dados de consulta'!$H$2:$I$25,2,0))</f>
        <v>0</v>
      </c>
      <c r="AI248">
        <f>IF(I248="",0,VLOOKUP(I248,'Dados de consulta'!$H$2:$I$25,2,0))</f>
        <v>0</v>
      </c>
      <c r="AJ248">
        <f>IF(J248="",0,VLOOKUP(J248,'Dados de consulta'!$H$2:$I$25,2,0))</f>
        <v>0</v>
      </c>
      <c r="AK248">
        <f>IF(K248="",0,VLOOKUP(K248,'Dados de consulta'!$H$2:$I$25,2,0))</f>
        <v>0</v>
      </c>
      <c r="AL248">
        <f>IF(L248="",0,VLOOKUP(L248,'Dados de consulta'!$H$2:$I$25,2,0))</f>
        <v>0</v>
      </c>
      <c r="AM248">
        <f>IF(M248="",0,VLOOKUP(M248,'Dados de consulta'!$H$2:$I$25,2,0))</f>
        <v>0</v>
      </c>
      <c r="AN248">
        <f>IF(N248="",0,VLOOKUP(N248,'Dados de consulta'!$H$2:$I$25,2,0))</f>
        <v>0</v>
      </c>
      <c r="AO248">
        <f>IF(O248="",0,VLOOKUP(O248,'Dados de consulta'!$H$2:$I$25,2,0))</f>
        <v>0</v>
      </c>
      <c r="AP248">
        <f>IF(P248="",0,VLOOKUP(P248,'Dados de consulta'!$H$2:$I$25,2,0))</f>
        <v>0</v>
      </c>
      <c r="AQ248">
        <f>IF(Q248="",0,VLOOKUP(Q248,'Dados de consulta'!$H$2:$I$25,2,0))</f>
        <v>0</v>
      </c>
      <c r="AR248">
        <f>IF(R248="",0,VLOOKUP(R248,'Dados de consulta'!$H$2:$I$25,2,0))</f>
        <v>0</v>
      </c>
      <c r="AS248">
        <f>IF(S248="",0,VLOOKUP(S248,'Dados de consulta'!$H$2:$I$25,2,0))</f>
        <v>0</v>
      </c>
      <c r="AT248">
        <f>IF(T248="",0,VLOOKUP(T248,'Dados de consulta'!$H$2:$I$25,2,0))</f>
        <v>0</v>
      </c>
      <c r="AU248">
        <f>IF(U248="",0,VLOOKUP(U248,'Dados de consulta'!$H$2:$I$25,2,0))</f>
        <v>0</v>
      </c>
      <c r="AV248">
        <f>IF(V248="",0,VLOOKUP(V248,'Dados de consulta'!$H$2:$I$25,2,0))</f>
        <v>0</v>
      </c>
      <c r="AW248">
        <f t="shared" si="26"/>
        <v>0</v>
      </c>
      <c r="AX248">
        <f t="shared" si="27"/>
        <v>0</v>
      </c>
      <c r="AY248">
        <f t="shared" si="28"/>
        <v>0</v>
      </c>
    </row>
    <row r="249" spans="1:51" x14ac:dyDescent="0.2">
      <c r="A249" s="202">
        <v>42506</v>
      </c>
      <c r="B249" s="78" t="s">
        <v>283</v>
      </c>
      <c r="W249">
        <f t="shared" si="23"/>
        <v>0</v>
      </c>
      <c r="X249">
        <f t="shared" si="24"/>
        <v>0</v>
      </c>
      <c r="Y249">
        <f t="shared" si="25"/>
        <v>0</v>
      </c>
      <c r="AA249" s="202">
        <v>42506</v>
      </c>
      <c r="AB249" s="78" t="s">
        <v>283</v>
      </c>
      <c r="AC249">
        <f>IF(C249="",0,VLOOKUP(C249,'Dados de consulta'!$H$2:$I$25,2,0))</f>
        <v>0</v>
      </c>
      <c r="AD249">
        <f>IF(D249="",0,VLOOKUP(D249,'Dados de consulta'!$H$2:$I$25,2,0))</f>
        <v>0</v>
      </c>
      <c r="AE249">
        <f>IF(E249="",0,VLOOKUP(E249,'Dados de consulta'!$H$2:$I$25,2,0))</f>
        <v>0</v>
      </c>
      <c r="AF249">
        <f>IF(F249="",0,VLOOKUP(F249,'Dados de consulta'!$H$2:$I$25,2,0))</f>
        <v>0</v>
      </c>
      <c r="AG249">
        <f>IF(G249="",0,VLOOKUP(G249,'Dados de consulta'!$H$2:$I$25,2,0))</f>
        <v>0</v>
      </c>
      <c r="AH249">
        <f>IF(H249="",0,VLOOKUP(H249,'Dados de consulta'!$H$2:$I$25,2,0))</f>
        <v>0</v>
      </c>
      <c r="AI249">
        <f>IF(I249="",0,VLOOKUP(I249,'Dados de consulta'!$H$2:$I$25,2,0))</f>
        <v>0</v>
      </c>
      <c r="AJ249">
        <f>IF(J249="",0,VLOOKUP(J249,'Dados de consulta'!$H$2:$I$25,2,0))</f>
        <v>0</v>
      </c>
      <c r="AK249">
        <f>IF(K249="",0,VLOOKUP(K249,'Dados de consulta'!$H$2:$I$25,2,0))</f>
        <v>0</v>
      </c>
      <c r="AL249">
        <f>IF(L249="",0,VLOOKUP(L249,'Dados de consulta'!$H$2:$I$25,2,0))</f>
        <v>0</v>
      </c>
      <c r="AM249">
        <f>IF(M249="",0,VLOOKUP(M249,'Dados de consulta'!$H$2:$I$25,2,0))</f>
        <v>0</v>
      </c>
      <c r="AN249">
        <f>IF(N249="",0,VLOOKUP(N249,'Dados de consulta'!$H$2:$I$25,2,0))</f>
        <v>0</v>
      </c>
      <c r="AO249">
        <f>IF(O249="",0,VLOOKUP(O249,'Dados de consulta'!$H$2:$I$25,2,0))</f>
        <v>0</v>
      </c>
      <c r="AP249">
        <f>IF(P249="",0,VLOOKUP(P249,'Dados de consulta'!$H$2:$I$25,2,0))</f>
        <v>0</v>
      </c>
      <c r="AQ249">
        <f>IF(Q249="",0,VLOOKUP(Q249,'Dados de consulta'!$H$2:$I$25,2,0))</f>
        <v>0</v>
      </c>
      <c r="AR249">
        <f>IF(R249="",0,VLOOKUP(R249,'Dados de consulta'!$H$2:$I$25,2,0))</f>
        <v>0</v>
      </c>
      <c r="AS249">
        <f>IF(S249="",0,VLOOKUP(S249,'Dados de consulta'!$H$2:$I$25,2,0))</f>
        <v>0</v>
      </c>
      <c r="AT249">
        <f>IF(T249="",0,VLOOKUP(T249,'Dados de consulta'!$H$2:$I$25,2,0))</f>
        <v>0</v>
      </c>
      <c r="AU249">
        <f>IF(U249="",0,VLOOKUP(U249,'Dados de consulta'!$H$2:$I$25,2,0))</f>
        <v>0</v>
      </c>
      <c r="AV249">
        <f>IF(V249="",0,VLOOKUP(V249,'Dados de consulta'!$H$2:$I$25,2,0))</f>
        <v>0</v>
      </c>
      <c r="AW249">
        <f t="shared" si="26"/>
        <v>0</v>
      </c>
      <c r="AX249">
        <f t="shared" si="27"/>
        <v>0</v>
      </c>
      <c r="AY249">
        <f t="shared" si="28"/>
        <v>0</v>
      </c>
    </row>
    <row r="250" spans="1:51" x14ac:dyDescent="0.2">
      <c r="A250" s="202">
        <v>42507</v>
      </c>
      <c r="B250" s="78" t="s">
        <v>284</v>
      </c>
      <c r="W250">
        <f t="shared" si="23"/>
        <v>0</v>
      </c>
      <c r="X250">
        <f t="shared" si="24"/>
        <v>0</v>
      </c>
      <c r="Y250">
        <f t="shared" si="25"/>
        <v>0</v>
      </c>
      <c r="AA250" s="202">
        <v>42507</v>
      </c>
      <c r="AB250" s="78" t="s">
        <v>284</v>
      </c>
      <c r="AC250">
        <f>IF(C250="",0,VLOOKUP(C250,'Dados de consulta'!$H$2:$I$25,2,0))</f>
        <v>0</v>
      </c>
      <c r="AD250">
        <f>IF(D250="",0,VLOOKUP(D250,'Dados de consulta'!$H$2:$I$25,2,0))</f>
        <v>0</v>
      </c>
      <c r="AE250">
        <f>IF(E250="",0,VLOOKUP(E250,'Dados de consulta'!$H$2:$I$25,2,0))</f>
        <v>0</v>
      </c>
      <c r="AF250">
        <f>IF(F250="",0,VLOOKUP(F250,'Dados de consulta'!$H$2:$I$25,2,0))</f>
        <v>0</v>
      </c>
      <c r="AG250">
        <f>IF(G250="",0,VLOOKUP(G250,'Dados de consulta'!$H$2:$I$25,2,0))</f>
        <v>0</v>
      </c>
      <c r="AH250">
        <f>IF(H250="",0,VLOOKUP(H250,'Dados de consulta'!$H$2:$I$25,2,0))</f>
        <v>0</v>
      </c>
      <c r="AI250">
        <f>IF(I250="",0,VLOOKUP(I250,'Dados de consulta'!$H$2:$I$25,2,0))</f>
        <v>0</v>
      </c>
      <c r="AJ250">
        <f>IF(J250="",0,VLOOKUP(J250,'Dados de consulta'!$H$2:$I$25,2,0))</f>
        <v>0</v>
      </c>
      <c r="AK250">
        <f>IF(K250="",0,VLOOKUP(K250,'Dados de consulta'!$H$2:$I$25,2,0))</f>
        <v>0</v>
      </c>
      <c r="AL250">
        <f>IF(L250="",0,VLOOKUP(L250,'Dados de consulta'!$H$2:$I$25,2,0))</f>
        <v>0</v>
      </c>
      <c r="AM250">
        <f>IF(M250="",0,VLOOKUP(M250,'Dados de consulta'!$H$2:$I$25,2,0))</f>
        <v>0</v>
      </c>
      <c r="AN250">
        <f>IF(N250="",0,VLOOKUP(N250,'Dados de consulta'!$H$2:$I$25,2,0))</f>
        <v>0</v>
      </c>
      <c r="AO250">
        <f>IF(O250="",0,VLOOKUP(O250,'Dados de consulta'!$H$2:$I$25,2,0))</f>
        <v>0</v>
      </c>
      <c r="AP250">
        <f>IF(P250="",0,VLOOKUP(P250,'Dados de consulta'!$H$2:$I$25,2,0))</f>
        <v>0</v>
      </c>
      <c r="AQ250">
        <f>IF(Q250="",0,VLOOKUP(Q250,'Dados de consulta'!$H$2:$I$25,2,0))</f>
        <v>0</v>
      </c>
      <c r="AR250">
        <f>IF(R250="",0,VLOOKUP(R250,'Dados de consulta'!$H$2:$I$25,2,0))</f>
        <v>0</v>
      </c>
      <c r="AS250">
        <f>IF(S250="",0,VLOOKUP(S250,'Dados de consulta'!$H$2:$I$25,2,0))</f>
        <v>0</v>
      </c>
      <c r="AT250">
        <f>IF(T250="",0,VLOOKUP(T250,'Dados de consulta'!$H$2:$I$25,2,0))</f>
        <v>0</v>
      </c>
      <c r="AU250">
        <f>IF(U250="",0,VLOOKUP(U250,'Dados de consulta'!$H$2:$I$25,2,0))</f>
        <v>0</v>
      </c>
      <c r="AV250">
        <f>IF(V250="",0,VLOOKUP(V250,'Dados de consulta'!$H$2:$I$25,2,0))</f>
        <v>0</v>
      </c>
      <c r="AW250">
        <f t="shared" si="26"/>
        <v>0</v>
      </c>
      <c r="AX250">
        <f t="shared" si="27"/>
        <v>0</v>
      </c>
      <c r="AY250">
        <f t="shared" si="28"/>
        <v>0</v>
      </c>
    </row>
    <row r="251" spans="1:51" x14ac:dyDescent="0.2">
      <c r="A251" s="202">
        <v>42508</v>
      </c>
      <c r="B251" s="78" t="s">
        <v>285</v>
      </c>
      <c r="W251">
        <f t="shared" si="23"/>
        <v>0</v>
      </c>
      <c r="X251">
        <f t="shared" si="24"/>
        <v>0</v>
      </c>
      <c r="Y251">
        <f t="shared" si="25"/>
        <v>0</v>
      </c>
      <c r="AA251" s="202">
        <v>42508</v>
      </c>
      <c r="AB251" s="78" t="s">
        <v>285</v>
      </c>
      <c r="AC251">
        <f>IF(C251="",0,VLOOKUP(C251,'Dados de consulta'!$H$2:$I$25,2,0))</f>
        <v>0</v>
      </c>
      <c r="AD251">
        <f>IF(D251="",0,VLOOKUP(D251,'Dados de consulta'!$H$2:$I$25,2,0))</f>
        <v>0</v>
      </c>
      <c r="AE251">
        <f>IF(E251="",0,VLOOKUP(E251,'Dados de consulta'!$H$2:$I$25,2,0))</f>
        <v>0</v>
      </c>
      <c r="AF251">
        <f>IF(F251="",0,VLOOKUP(F251,'Dados de consulta'!$H$2:$I$25,2,0))</f>
        <v>0</v>
      </c>
      <c r="AG251">
        <f>IF(G251="",0,VLOOKUP(G251,'Dados de consulta'!$H$2:$I$25,2,0))</f>
        <v>0</v>
      </c>
      <c r="AH251">
        <f>IF(H251="",0,VLOOKUP(H251,'Dados de consulta'!$H$2:$I$25,2,0))</f>
        <v>0</v>
      </c>
      <c r="AI251">
        <f>IF(I251="",0,VLOOKUP(I251,'Dados de consulta'!$H$2:$I$25,2,0))</f>
        <v>0</v>
      </c>
      <c r="AJ251">
        <f>IF(J251="",0,VLOOKUP(J251,'Dados de consulta'!$H$2:$I$25,2,0))</f>
        <v>0</v>
      </c>
      <c r="AK251">
        <f>IF(K251="",0,VLOOKUP(K251,'Dados de consulta'!$H$2:$I$25,2,0))</f>
        <v>0</v>
      </c>
      <c r="AL251">
        <f>IF(L251="",0,VLOOKUP(L251,'Dados de consulta'!$H$2:$I$25,2,0))</f>
        <v>0</v>
      </c>
      <c r="AM251">
        <f>IF(M251="",0,VLOOKUP(M251,'Dados de consulta'!$H$2:$I$25,2,0))</f>
        <v>0</v>
      </c>
      <c r="AN251">
        <f>IF(N251="",0,VLOOKUP(N251,'Dados de consulta'!$H$2:$I$25,2,0))</f>
        <v>0</v>
      </c>
      <c r="AO251">
        <f>IF(O251="",0,VLOOKUP(O251,'Dados de consulta'!$H$2:$I$25,2,0))</f>
        <v>0</v>
      </c>
      <c r="AP251">
        <f>IF(P251="",0,VLOOKUP(P251,'Dados de consulta'!$H$2:$I$25,2,0))</f>
        <v>0</v>
      </c>
      <c r="AQ251">
        <f>IF(Q251="",0,VLOOKUP(Q251,'Dados de consulta'!$H$2:$I$25,2,0))</f>
        <v>0</v>
      </c>
      <c r="AR251">
        <f>IF(R251="",0,VLOOKUP(R251,'Dados de consulta'!$H$2:$I$25,2,0))</f>
        <v>0</v>
      </c>
      <c r="AS251">
        <f>IF(S251="",0,VLOOKUP(S251,'Dados de consulta'!$H$2:$I$25,2,0))</f>
        <v>0</v>
      </c>
      <c r="AT251">
        <f>IF(T251="",0,VLOOKUP(T251,'Dados de consulta'!$H$2:$I$25,2,0))</f>
        <v>0</v>
      </c>
      <c r="AU251">
        <f>IF(U251="",0,VLOOKUP(U251,'Dados de consulta'!$H$2:$I$25,2,0))</f>
        <v>0</v>
      </c>
      <c r="AV251">
        <f>IF(V251="",0,VLOOKUP(V251,'Dados de consulta'!$H$2:$I$25,2,0))</f>
        <v>0</v>
      </c>
      <c r="AW251">
        <f t="shared" si="26"/>
        <v>0</v>
      </c>
      <c r="AX251">
        <f t="shared" si="27"/>
        <v>0</v>
      </c>
      <c r="AY251">
        <f t="shared" si="28"/>
        <v>0</v>
      </c>
    </row>
    <row r="252" spans="1:51" x14ac:dyDescent="0.2">
      <c r="A252" s="202">
        <v>42509</v>
      </c>
      <c r="B252" s="78" t="s">
        <v>286</v>
      </c>
      <c r="W252">
        <f t="shared" si="23"/>
        <v>0</v>
      </c>
      <c r="X252">
        <f t="shared" si="24"/>
        <v>0</v>
      </c>
      <c r="Y252">
        <f t="shared" si="25"/>
        <v>0</v>
      </c>
      <c r="AA252" s="202">
        <v>42509</v>
      </c>
      <c r="AB252" s="78" t="s">
        <v>286</v>
      </c>
      <c r="AC252">
        <f>IF(C252="",0,VLOOKUP(C252,'Dados de consulta'!$H$2:$I$25,2,0))</f>
        <v>0</v>
      </c>
      <c r="AD252">
        <f>IF(D252="",0,VLOOKUP(D252,'Dados de consulta'!$H$2:$I$25,2,0))</f>
        <v>0</v>
      </c>
      <c r="AE252">
        <f>IF(E252="",0,VLOOKUP(E252,'Dados de consulta'!$H$2:$I$25,2,0))</f>
        <v>0</v>
      </c>
      <c r="AF252">
        <f>IF(F252="",0,VLOOKUP(F252,'Dados de consulta'!$H$2:$I$25,2,0))</f>
        <v>0</v>
      </c>
      <c r="AG252">
        <f>IF(G252="",0,VLOOKUP(G252,'Dados de consulta'!$H$2:$I$25,2,0))</f>
        <v>0</v>
      </c>
      <c r="AH252">
        <f>IF(H252="",0,VLOOKUP(H252,'Dados de consulta'!$H$2:$I$25,2,0))</f>
        <v>0</v>
      </c>
      <c r="AI252">
        <f>IF(I252="",0,VLOOKUP(I252,'Dados de consulta'!$H$2:$I$25,2,0))</f>
        <v>0</v>
      </c>
      <c r="AJ252">
        <f>IF(J252="",0,VLOOKUP(J252,'Dados de consulta'!$H$2:$I$25,2,0))</f>
        <v>0</v>
      </c>
      <c r="AK252">
        <f>IF(K252="",0,VLOOKUP(K252,'Dados de consulta'!$H$2:$I$25,2,0))</f>
        <v>0</v>
      </c>
      <c r="AL252">
        <f>IF(L252="",0,VLOOKUP(L252,'Dados de consulta'!$H$2:$I$25,2,0))</f>
        <v>0</v>
      </c>
      <c r="AM252">
        <f>IF(M252="",0,VLOOKUP(M252,'Dados de consulta'!$H$2:$I$25,2,0))</f>
        <v>0</v>
      </c>
      <c r="AN252">
        <f>IF(N252="",0,VLOOKUP(N252,'Dados de consulta'!$H$2:$I$25,2,0))</f>
        <v>0</v>
      </c>
      <c r="AO252">
        <f>IF(O252="",0,VLOOKUP(O252,'Dados de consulta'!$H$2:$I$25,2,0))</f>
        <v>0</v>
      </c>
      <c r="AP252">
        <f>IF(P252="",0,VLOOKUP(P252,'Dados de consulta'!$H$2:$I$25,2,0))</f>
        <v>0</v>
      </c>
      <c r="AQ252">
        <f>IF(Q252="",0,VLOOKUP(Q252,'Dados de consulta'!$H$2:$I$25,2,0))</f>
        <v>0</v>
      </c>
      <c r="AR252">
        <f>IF(R252="",0,VLOOKUP(R252,'Dados de consulta'!$H$2:$I$25,2,0))</f>
        <v>0</v>
      </c>
      <c r="AS252">
        <f>IF(S252="",0,VLOOKUP(S252,'Dados de consulta'!$H$2:$I$25,2,0))</f>
        <v>0</v>
      </c>
      <c r="AT252">
        <f>IF(T252="",0,VLOOKUP(T252,'Dados de consulta'!$H$2:$I$25,2,0))</f>
        <v>0</v>
      </c>
      <c r="AU252">
        <f>IF(U252="",0,VLOOKUP(U252,'Dados de consulta'!$H$2:$I$25,2,0))</f>
        <v>0</v>
      </c>
      <c r="AV252">
        <f>IF(V252="",0,VLOOKUP(V252,'Dados de consulta'!$H$2:$I$25,2,0))</f>
        <v>0</v>
      </c>
      <c r="AW252">
        <f t="shared" si="26"/>
        <v>0</v>
      </c>
      <c r="AX252">
        <f t="shared" si="27"/>
        <v>0</v>
      </c>
      <c r="AY252">
        <f t="shared" si="28"/>
        <v>0</v>
      </c>
    </row>
    <row r="253" spans="1:51" x14ac:dyDescent="0.2">
      <c r="A253" s="202">
        <v>42510</v>
      </c>
      <c r="B253" s="78" t="s">
        <v>287</v>
      </c>
      <c r="W253">
        <f t="shared" si="23"/>
        <v>0</v>
      </c>
      <c r="X253">
        <f t="shared" si="24"/>
        <v>0</v>
      </c>
      <c r="Y253">
        <f t="shared" si="25"/>
        <v>0</v>
      </c>
      <c r="AA253" s="202">
        <v>42510</v>
      </c>
      <c r="AB253" s="78" t="s">
        <v>287</v>
      </c>
      <c r="AC253">
        <f>IF(C253="",0,VLOOKUP(C253,'Dados de consulta'!$H$2:$I$25,2,0))</f>
        <v>0</v>
      </c>
      <c r="AD253">
        <f>IF(D253="",0,VLOOKUP(D253,'Dados de consulta'!$H$2:$I$25,2,0))</f>
        <v>0</v>
      </c>
      <c r="AE253">
        <f>IF(E253="",0,VLOOKUP(E253,'Dados de consulta'!$H$2:$I$25,2,0))</f>
        <v>0</v>
      </c>
      <c r="AF253">
        <f>IF(F253="",0,VLOOKUP(F253,'Dados de consulta'!$H$2:$I$25,2,0))</f>
        <v>0</v>
      </c>
      <c r="AG253">
        <f>IF(G253="",0,VLOOKUP(G253,'Dados de consulta'!$H$2:$I$25,2,0))</f>
        <v>0</v>
      </c>
      <c r="AH253">
        <f>IF(H253="",0,VLOOKUP(H253,'Dados de consulta'!$H$2:$I$25,2,0))</f>
        <v>0</v>
      </c>
      <c r="AI253">
        <f>IF(I253="",0,VLOOKUP(I253,'Dados de consulta'!$H$2:$I$25,2,0))</f>
        <v>0</v>
      </c>
      <c r="AJ253">
        <f>IF(J253="",0,VLOOKUP(J253,'Dados de consulta'!$H$2:$I$25,2,0))</f>
        <v>0</v>
      </c>
      <c r="AK253">
        <f>IF(K253="",0,VLOOKUP(K253,'Dados de consulta'!$H$2:$I$25,2,0))</f>
        <v>0</v>
      </c>
      <c r="AL253">
        <f>IF(L253="",0,VLOOKUP(L253,'Dados de consulta'!$H$2:$I$25,2,0))</f>
        <v>0</v>
      </c>
      <c r="AM253">
        <f>IF(M253="",0,VLOOKUP(M253,'Dados de consulta'!$H$2:$I$25,2,0))</f>
        <v>0</v>
      </c>
      <c r="AN253">
        <f>IF(N253="",0,VLOOKUP(N253,'Dados de consulta'!$H$2:$I$25,2,0))</f>
        <v>0</v>
      </c>
      <c r="AO253">
        <f>IF(O253="",0,VLOOKUP(O253,'Dados de consulta'!$H$2:$I$25,2,0))</f>
        <v>0</v>
      </c>
      <c r="AP253">
        <f>IF(P253="",0,VLOOKUP(P253,'Dados de consulta'!$H$2:$I$25,2,0))</f>
        <v>0</v>
      </c>
      <c r="AQ253">
        <f>IF(Q253="",0,VLOOKUP(Q253,'Dados de consulta'!$H$2:$I$25,2,0))</f>
        <v>0</v>
      </c>
      <c r="AR253">
        <f>IF(R253="",0,VLOOKUP(R253,'Dados de consulta'!$H$2:$I$25,2,0))</f>
        <v>0</v>
      </c>
      <c r="AS253">
        <f>IF(S253="",0,VLOOKUP(S253,'Dados de consulta'!$H$2:$I$25,2,0))</f>
        <v>0</v>
      </c>
      <c r="AT253">
        <f>IF(T253="",0,VLOOKUP(T253,'Dados de consulta'!$H$2:$I$25,2,0))</f>
        <v>0</v>
      </c>
      <c r="AU253">
        <f>IF(U253="",0,VLOOKUP(U253,'Dados de consulta'!$H$2:$I$25,2,0))</f>
        <v>0</v>
      </c>
      <c r="AV253">
        <f>IF(V253="",0,VLOOKUP(V253,'Dados de consulta'!$H$2:$I$25,2,0))</f>
        <v>0</v>
      </c>
      <c r="AW253">
        <f t="shared" si="26"/>
        <v>0</v>
      </c>
      <c r="AX253">
        <f t="shared" si="27"/>
        <v>0</v>
      </c>
      <c r="AY253">
        <f t="shared" si="28"/>
        <v>0</v>
      </c>
    </row>
    <row r="254" spans="1:51" x14ac:dyDescent="0.2">
      <c r="A254" s="202">
        <v>42511</v>
      </c>
      <c r="B254" s="78" t="s">
        <v>281</v>
      </c>
      <c r="W254">
        <f t="shared" si="23"/>
        <v>0</v>
      </c>
      <c r="X254">
        <f t="shared" si="24"/>
        <v>0</v>
      </c>
      <c r="Y254">
        <f t="shared" si="25"/>
        <v>0</v>
      </c>
      <c r="AA254" s="202">
        <v>42511</v>
      </c>
      <c r="AB254" s="78" t="s">
        <v>281</v>
      </c>
      <c r="AC254">
        <f>IF(C254="",0,VLOOKUP(C254,'Dados de consulta'!$H$2:$I$25,2,0))</f>
        <v>0</v>
      </c>
      <c r="AD254">
        <f>IF(D254="",0,VLOOKUP(D254,'Dados de consulta'!$H$2:$I$25,2,0))</f>
        <v>0</v>
      </c>
      <c r="AE254">
        <f>IF(E254="",0,VLOOKUP(E254,'Dados de consulta'!$H$2:$I$25,2,0))</f>
        <v>0</v>
      </c>
      <c r="AF254">
        <f>IF(F254="",0,VLOOKUP(F254,'Dados de consulta'!$H$2:$I$25,2,0))</f>
        <v>0</v>
      </c>
      <c r="AG254">
        <f>IF(G254="",0,VLOOKUP(G254,'Dados de consulta'!$H$2:$I$25,2,0))</f>
        <v>0</v>
      </c>
      <c r="AH254">
        <f>IF(H254="",0,VLOOKUP(H254,'Dados de consulta'!$H$2:$I$25,2,0))</f>
        <v>0</v>
      </c>
      <c r="AI254">
        <f>IF(I254="",0,VLOOKUP(I254,'Dados de consulta'!$H$2:$I$25,2,0))</f>
        <v>0</v>
      </c>
      <c r="AJ254">
        <f>IF(J254="",0,VLOOKUP(J254,'Dados de consulta'!$H$2:$I$25,2,0))</f>
        <v>0</v>
      </c>
      <c r="AK254">
        <f>IF(K254="",0,VLOOKUP(K254,'Dados de consulta'!$H$2:$I$25,2,0))</f>
        <v>0</v>
      </c>
      <c r="AL254">
        <f>IF(L254="",0,VLOOKUP(L254,'Dados de consulta'!$H$2:$I$25,2,0))</f>
        <v>0</v>
      </c>
      <c r="AM254">
        <f>IF(M254="",0,VLOOKUP(M254,'Dados de consulta'!$H$2:$I$25,2,0))</f>
        <v>0</v>
      </c>
      <c r="AN254">
        <f>IF(N254="",0,VLOOKUP(N254,'Dados de consulta'!$H$2:$I$25,2,0))</f>
        <v>0</v>
      </c>
      <c r="AO254">
        <f>IF(O254="",0,VLOOKUP(O254,'Dados de consulta'!$H$2:$I$25,2,0))</f>
        <v>0</v>
      </c>
      <c r="AP254">
        <f>IF(P254="",0,VLOOKUP(P254,'Dados de consulta'!$H$2:$I$25,2,0))</f>
        <v>0</v>
      </c>
      <c r="AQ254">
        <f>IF(Q254="",0,VLOOKUP(Q254,'Dados de consulta'!$H$2:$I$25,2,0))</f>
        <v>0</v>
      </c>
      <c r="AR254">
        <f>IF(R254="",0,VLOOKUP(R254,'Dados de consulta'!$H$2:$I$25,2,0))</f>
        <v>0</v>
      </c>
      <c r="AS254">
        <f>IF(S254="",0,VLOOKUP(S254,'Dados de consulta'!$H$2:$I$25,2,0))</f>
        <v>0</v>
      </c>
      <c r="AT254">
        <f>IF(T254="",0,VLOOKUP(T254,'Dados de consulta'!$H$2:$I$25,2,0))</f>
        <v>0</v>
      </c>
      <c r="AU254">
        <f>IF(U254="",0,VLOOKUP(U254,'Dados de consulta'!$H$2:$I$25,2,0))</f>
        <v>0</v>
      </c>
      <c r="AV254">
        <f>IF(V254="",0,VLOOKUP(V254,'Dados de consulta'!$H$2:$I$25,2,0))</f>
        <v>0</v>
      </c>
      <c r="AW254">
        <f t="shared" si="26"/>
        <v>0</v>
      </c>
      <c r="AX254">
        <f t="shared" si="27"/>
        <v>0</v>
      </c>
      <c r="AY254">
        <f t="shared" si="28"/>
        <v>0</v>
      </c>
    </row>
    <row r="255" spans="1:51" x14ac:dyDescent="0.2">
      <c r="A255" s="202">
        <v>42512</v>
      </c>
      <c r="B255" s="78" t="s">
        <v>282</v>
      </c>
      <c r="W255">
        <f t="shared" si="23"/>
        <v>0</v>
      </c>
      <c r="X255">
        <f t="shared" si="24"/>
        <v>0</v>
      </c>
      <c r="Y255">
        <f t="shared" si="25"/>
        <v>0</v>
      </c>
      <c r="AA255" s="202">
        <v>42512</v>
      </c>
      <c r="AB255" s="78" t="s">
        <v>282</v>
      </c>
      <c r="AC255">
        <f>IF(C255="",0,VLOOKUP(C255,'Dados de consulta'!$H$2:$I$25,2,0))</f>
        <v>0</v>
      </c>
      <c r="AD255">
        <f>IF(D255="",0,VLOOKUP(D255,'Dados de consulta'!$H$2:$I$25,2,0))</f>
        <v>0</v>
      </c>
      <c r="AE255">
        <f>IF(E255="",0,VLOOKUP(E255,'Dados de consulta'!$H$2:$I$25,2,0))</f>
        <v>0</v>
      </c>
      <c r="AF255">
        <f>IF(F255="",0,VLOOKUP(F255,'Dados de consulta'!$H$2:$I$25,2,0))</f>
        <v>0</v>
      </c>
      <c r="AG255">
        <f>IF(G255="",0,VLOOKUP(G255,'Dados de consulta'!$H$2:$I$25,2,0))</f>
        <v>0</v>
      </c>
      <c r="AH255">
        <f>IF(H255="",0,VLOOKUP(H255,'Dados de consulta'!$H$2:$I$25,2,0))</f>
        <v>0</v>
      </c>
      <c r="AI255">
        <f>IF(I255="",0,VLOOKUP(I255,'Dados de consulta'!$H$2:$I$25,2,0))</f>
        <v>0</v>
      </c>
      <c r="AJ255">
        <f>IF(J255="",0,VLOOKUP(J255,'Dados de consulta'!$H$2:$I$25,2,0))</f>
        <v>0</v>
      </c>
      <c r="AK255">
        <f>IF(K255="",0,VLOOKUP(K255,'Dados de consulta'!$H$2:$I$25,2,0))</f>
        <v>0</v>
      </c>
      <c r="AL255">
        <f>IF(L255="",0,VLOOKUP(L255,'Dados de consulta'!$H$2:$I$25,2,0))</f>
        <v>0</v>
      </c>
      <c r="AM255">
        <f>IF(M255="",0,VLOOKUP(M255,'Dados de consulta'!$H$2:$I$25,2,0))</f>
        <v>0</v>
      </c>
      <c r="AN255">
        <f>IF(N255="",0,VLOOKUP(N255,'Dados de consulta'!$H$2:$I$25,2,0))</f>
        <v>0</v>
      </c>
      <c r="AO255">
        <f>IF(O255="",0,VLOOKUP(O255,'Dados de consulta'!$H$2:$I$25,2,0))</f>
        <v>0</v>
      </c>
      <c r="AP255">
        <f>IF(P255="",0,VLOOKUP(P255,'Dados de consulta'!$H$2:$I$25,2,0))</f>
        <v>0</v>
      </c>
      <c r="AQ255">
        <f>IF(Q255="",0,VLOOKUP(Q255,'Dados de consulta'!$H$2:$I$25,2,0))</f>
        <v>0</v>
      </c>
      <c r="AR255">
        <f>IF(R255="",0,VLOOKUP(R255,'Dados de consulta'!$H$2:$I$25,2,0))</f>
        <v>0</v>
      </c>
      <c r="AS255">
        <f>IF(S255="",0,VLOOKUP(S255,'Dados de consulta'!$H$2:$I$25,2,0))</f>
        <v>0</v>
      </c>
      <c r="AT255">
        <f>IF(T255="",0,VLOOKUP(T255,'Dados de consulta'!$H$2:$I$25,2,0))</f>
        <v>0</v>
      </c>
      <c r="AU255">
        <f>IF(U255="",0,VLOOKUP(U255,'Dados de consulta'!$H$2:$I$25,2,0))</f>
        <v>0</v>
      </c>
      <c r="AV255">
        <f>IF(V255="",0,VLOOKUP(V255,'Dados de consulta'!$H$2:$I$25,2,0))</f>
        <v>0</v>
      </c>
      <c r="AW255">
        <f t="shared" si="26"/>
        <v>0</v>
      </c>
      <c r="AX255">
        <f t="shared" si="27"/>
        <v>0</v>
      </c>
      <c r="AY255">
        <f t="shared" si="28"/>
        <v>0</v>
      </c>
    </row>
    <row r="256" spans="1:51" x14ac:dyDescent="0.2">
      <c r="A256" s="202">
        <v>42513</v>
      </c>
      <c r="B256" s="78" t="s">
        <v>283</v>
      </c>
      <c r="W256">
        <f t="shared" si="23"/>
        <v>0</v>
      </c>
      <c r="X256">
        <f t="shared" si="24"/>
        <v>0</v>
      </c>
      <c r="Y256">
        <f t="shared" si="25"/>
        <v>0</v>
      </c>
      <c r="AA256" s="202">
        <v>42513</v>
      </c>
      <c r="AB256" s="78" t="s">
        <v>283</v>
      </c>
      <c r="AC256">
        <f>IF(C256="",0,VLOOKUP(C256,'Dados de consulta'!$H$2:$I$25,2,0))</f>
        <v>0</v>
      </c>
      <c r="AD256">
        <f>IF(D256="",0,VLOOKUP(D256,'Dados de consulta'!$H$2:$I$25,2,0))</f>
        <v>0</v>
      </c>
      <c r="AE256">
        <f>IF(E256="",0,VLOOKUP(E256,'Dados de consulta'!$H$2:$I$25,2,0))</f>
        <v>0</v>
      </c>
      <c r="AF256">
        <f>IF(F256="",0,VLOOKUP(F256,'Dados de consulta'!$H$2:$I$25,2,0))</f>
        <v>0</v>
      </c>
      <c r="AG256">
        <f>IF(G256="",0,VLOOKUP(G256,'Dados de consulta'!$H$2:$I$25,2,0))</f>
        <v>0</v>
      </c>
      <c r="AH256">
        <f>IF(H256="",0,VLOOKUP(H256,'Dados de consulta'!$H$2:$I$25,2,0))</f>
        <v>0</v>
      </c>
      <c r="AI256">
        <f>IF(I256="",0,VLOOKUP(I256,'Dados de consulta'!$H$2:$I$25,2,0))</f>
        <v>0</v>
      </c>
      <c r="AJ256">
        <f>IF(J256="",0,VLOOKUP(J256,'Dados de consulta'!$H$2:$I$25,2,0))</f>
        <v>0</v>
      </c>
      <c r="AK256">
        <f>IF(K256="",0,VLOOKUP(K256,'Dados de consulta'!$H$2:$I$25,2,0))</f>
        <v>0</v>
      </c>
      <c r="AL256">
        <f>IF(L256="",0,VLOOKUP(L256,'Dados de consulta'!$H$2:$I$25,2,0))</f>
        <v>0</v>
      </c>
      <c r="AM256">
        <f>IF(M256="",0,VLOOKUP(M256,'Dados de consulta'!$H$2:$I$25,2,0))</f>
        <v>0</v>
      </c>
      <c r="AN256">
        <f>IF(N256="",0,VLOOKUP(N256,'Dados de consulta'!$H$2:$I$25,2,0))</f>
        <v>0</v>
      </c>
      <c r="AO256">
        <f>IF(O256="",0,VLOOKUP(O256,'Dados de consulta'!$H$2:$I$25,2,0))</f>
        <v>0</v>
      </c>
      <c r="AP256">
        <f>IF(P256="",0,VLOOKUP(P256,'Dados de consulta'!$H$2:$I$25,2,0))</f>
        <v>0</v>
      </c>
      <c r="AQ256">
        <f>IF(Q256="",0,VLOOKUP(Q256,'Dados de consulta'!$H$2:$I$25,2,0))</f>
        <v>0</v>
      </c>
      <c r="AR256">
        <f>IF(R256="",0,VLOOKUP(R256,'Dados de consulta'!$H$2:$I$25,2,0))</f>
        <v>0</v>
      </c>
      <c r="AS256">
        <f>IF(S256="",0,VLOOKUP(S256,'Dados de consulta'!$H$2:$I$25,2,0))</f>
        <v>0</v>
      </c>
      <c r="AT256">
        <f>IF(T256="",0,VLOOKUP(T256,'Dados de consulta'!$H$2:$I$25,2,0))</f>
        <v>0</v>
      </c>
      <c r="AU256">
        <f>IF(U256="",0,VLOOKUP(U256,'Dados de consulta'!$H$2:$I$25,2,0))</f>
        <v>0</v>
      </c>
      <c r="AV256">
        <f>IF(V256="",0,VLOOKUP(V256,'Dados de consulta'!$H$2:$I$25,2,0))</f>
        <v>0</v>
      </c>
      <c r="AW256">
        <f t="shared" si="26"/>
        <v>0</v>
      </c>
      <c r="AX256">
        <f t="shared" si="27"/>
        <v>0</v>
      </c>
      <c r="AY256">
        <f t="shared" si="28"/>
        <v>0</v>
      </c>
    </row>
    <row r="257" spans="1:51" x14ac:dyDescent="0.2">
      <c r="A257" s="202">
        <v>42514</v>
      </c>
      <c r="B257" s="78" t="s">
        <v>284</v>
      </c>
      <c r="W257">
        <f t="shared" si="23"/>
        <v>0</v>
      </c>
      <c r="X257">
        <f t="shared" si="24"/>
        <v>0</v>
      </c>
      <c r="Y257">
        <f t="shared" si="25"/>
        <v>0</v>
      </c>
      <c r="AA257" s="202">
        <v>42514</v>
      </c>
      <c r="AB257" s="78" t="s">
        <v>284</v>
      </c>
      <c r="AC257">
        <f>IF(C257="",0,VLOOKUP(C257,'Dados de consulta'!$H$2:$I$25,2,0))</f>
        <v>0</v>
      </c>
      <c r="AD257">
        <f>IF(D257="",0,VLOOKUP(D257,'Dados de consulta'!$H$2:$I$25,2,0))</f>
        <v>0</v>
      </c>
      <c r="AE257">
        <f>IF(E257="",0,VLOOKUP(E257,'Dados de consulta'!$H$2:$I$25,2,0))</f>
        <v>0</v>
      </c>
      <c r="AF257">
        <f>IF(F257="",0,VLOOKUP(F257,'Dados de consulta'!$H$2:$I$25,2,0))</f>
        <v>0</v>
      </c>
      <c r="AG257">
        <f>IF(G257="",0,VLOOKUP(G257,'Dados de consulta'!$H$2:$I$25,2,0))</f>
        <v>0</v>
      </c>
      <c r="AH257">
        <f>IF(H257="",0,VLOOKUP(H257,'Dados de consulta'!$H$2:$I$25,2,0))</f>
        <v>0</v>
      </c>
      <c r="AI257">
        <f>IF(I257="",0,VLOOKUP(I257,'Dados de consulta'!$H$2:$I$25,2,0))</f>
        <v>0</v>
      </c>
      <c r="AJ257">
        <f>IF(J257="",0,VLOOKUP(J257,'Dados de consulta'!$H$2:$I$25,2,0))</f>
        <v>0</v>
      </c>
      <c r="AK257">
        <f>IF(K257="",0,VLOOKUP(K257,'Dados de consulta'!$H$2:$I$25,2,0))</f>
        <v>0</v>
      </c>
      <c r="AL257">
        <f>IF(L257="",0,VLOOKUP(L257,'Dados de consulta'!$H$2:$I$25,2,0))</f>
        <v>0</v>
      </c>
      <c r="AM257">
        <f>IF(M257="",0,VLOOKUP(M257,'Dados de consulta'!$H$2:$I$25,2,0))</f>
        <v>0</v>
      </c>
      <c r="AN257">
        <f>IF(N257="",0,VLOOKUP(N257,'Dados de consulta'!$H$2:$I$25,2,0))</f>
        <v>0</v>
      </c>
      <c r="AO257">
        <f>IF(O257="",0,VLOOKUP(O257,'Dados de consulta'!$H$2:$I$25,2,0))</f>
        <v>0</v>
      </c>
      <c r="AP257">
        <f>IF(P257="",0,VLOOKUP(P257,'Dados de consulta'!$H$2:$I$25,2,0))</f>
        <v>0</v>
      </c>
      <c r="AQ257">
        <f>IF(Q257="",0,VLOOKUP(Q257,'Dados de consulta'!$H$2:$I$25,2,0))</f>
        <v>0</v>
      </c>
      <c r="AR257">
        <f>IF(R257="",0,VLOOKUP(R257,'Dados de consulta'!$H$2:$I$25,2,0))</f>
        <v>0</v>
      </c>
      <c r="AS257">
        <f>IF(S257="",0,VLOOKUP(S257,'Dados de consulta'!$H$2:$I$25,2,0))</f>
        <v>0</v>
      </c>
      <c r="AT257">
        <f>IF(T257="",0,VLOOKUP(T257,'Dados de consulta'!$H$2:$I$25,2,0))</f>
        <v>0</v>
      </c>
      <c r="AU257">
        <f>IF(U257="",0,VLOOKUP(U257,'Dados de consulta'!$H$2:$I$25,2,0))</f>
        <v>0</v>
      </c>
      <c r="AV257">
        <f>IF(V257="",0,VLOOKUP(V257,'Dados de consulta'!$H$2:$I$25,2,0))</f>
        <v>0</v>
      </c>
      <c r="AW257">
        <f t="shared" si="26"/>
        <v>0</v>
      </c>
      <c r="AX257">
        <f t="shared" si="27"/>
        <v>0</v>
      </c>
      <c r="AY257">
        <f t="shared" si="28"/>
        <v>0</v>
      </c>
    </row>
    <row r="258" spans="1:51" x14ac:dyDescent="0.2">
      <c r="A258" s="202">
        <v>42515</v>
      </c>
      <c r="B258" s="78" t="s">
        <v>285</v>
      </c>
      <c r="W258">
        <f t="shared" si="23"/>
        <v>0</v>
      </c>
      <c r="X258">
        <f t="shared" si="24"/>
        <v>0</v>
      </c>
      <c r="Y258">
        <f t="shared" si="25"/>
        <v>0</v>
      </c>
      <c r="AA258" s="202">
        <v>42515</v>
      </c>
      <c r="AB258" s="78" t="s">
        <v>285</v>
      </c>
      <c r="AC258">
        <f>IF(C258="",0,VLOOKUP(C258,'Dados de consulta'!$H$2:$I$25,2,0))</f>
        <v>0</v>
      </c>
      <c r="AD258">
        <f>IF(D258="",0,VLOOKUP(D258,'Dados de consulta'!$H$2:$I$25,2,0))</f>
        <v>0</v>
      </c>
      <c r="AE258">
        <f>IF(E258="",0,VLOOKUP(E258,'Dados de consulta'!$H$2:$I$25,2,0))</f>
        <v>0</v>
      </c>
      <c r="AF258">
        <f>IF(F258="",0,VLOOKUP(F258,'Dados de consulta'!$H$2:$I$25,2,0))</f>
        <v>0</v>
      </c>
      <c r="AG258">
        <f>IF(G258="",0,VLOOKUP(G258,'Dados de consulta'!$H$2:$I$25,2,0))</f>
        <v>0</v>
      </c>
      <c r="AH258">
        <f>IF(H258="",0,VLOOKUP(H258,'Dados de consulta'!$H$2:$I$25,2,0))</f>
        <v>0</v>
      </c>
      <c r="AI258">
        <f>IF(I258="",0,VLOOKUP(I258,'Dados de consulta'!$H$2:$I$25,2,0))</f>
        <v>0</v>
      </c>
      <c r="AJ258">
        <f>IF(J258="",0,VLOOKUP(J258,'Dados de consulta'!$H$2:$I$25,2,0))</f>
        <v>0</v>
      </c>
      <c r="AK258">
        <f>IF(K258="",0,VLOOKUP(K258,'Dados de consulta'!$H$2:$I$25,2,0))</f>
        <v>0</v>
      </c>
      <c r="AL258">
        <f>IF(L258="",0,VLOOKUP(L258,'Dados de consulta'!$H$2:$I$25,2,0))</f>
        <v>0</v>
      </c>
      <c r="AM258">
        <f>IF(M258="",0,VLOOKUP(M258,'Dados de consulta'!$H$2:$I$25,2,0))</f>
        <v>0</v>
      </c>
      <c r="AN258">
        <f>IF(N258="",0,VLOOKUP(N258,'Dados de consulta'!$H$2:$I$25,2,0))</f>
        <v>0</v>
      </c>
      <c r="AO258">
        <f>IF(O258="",0,VLOOKUP(O258,'Dados de consulta'!$H$2:$I$25,2,0))</f>
        <v>0</v>
      </c>
      <c r="AP258">
        <f>IF(P258="",0,VLOOKUP(P258,'Dados de consulta'!$H$2:$I$25,2,0))</f>
        <v>0</v>
      </c>
      <c r="AQ258">
        <f>IF(Q258="",0,VLOOKUP(Q258,'Dados de consulta'!$H$2:$I$25,2,0))</f>
        <v>0</v>
      </c>
      <c r="AR258">
        <f>IF(R258="",0,VLOOKUP(R258,'Dados de consulta'!$H$2:$I$25,2,0))</f>
        <v>0</v>
      </c>
      <c r="AS258">
        <f>IF(S258="",0,VLOOKUP(S258,'Dados de consulta'!$H$2:$I$25,2,0))</f>
        <v>0</v>
      </c>
      <c r="AT258">
        <f>IF(T258="",0,VLOOKUP(T258,'Dados de consulta'!$H$2:$I$25,2,0))</f>
        <v>0</v>
      </c>
      <c r="AU258">
        <f>IF(U258="",0,VLOOKUP(U258,'Dados de consulta'!$H$2:$I$25,2,0))</f>
        <v>0</v>
      </c>
      <c r="AV258">
        <f>IF(V258="",0,VLOOKUP(V258,'Dados de consulta'!$H$2:$I$25,2,0))</f>
        <v>0</v>
      </c>
      <c r="AW258">
        <f t="shared" si="26"/>
        <v>0</v>
      </c>
      <c r="AX258">
        <f t="shared" si="27"/>
        <v>0</v>
      </c>
      <c r="AY258">
        <f t="shared" si="28"/>
        <v>0</v>
      </c>
    </row>
    <row r="259" spans="1:51" x14ac:dyDescent="0.2">
      <c r="A259" s="202">
        <v>42516</v>
      </c>
      <c r="B259" s="78" t="s">
        <v>286</v>
      </c>
      <c r="W259">
        <f t="shared" ref="W259:W322" si="29">AW259</f>
        <v>0</v>
      </c>
      <c r="X259">
        <f t="shared" ref="X259:X322" si="30">AX259</f>
        <v>0</v>
      </c>
      <c r="Y259">
        <f t="shared" ref="Y259:Y322" si="31">AY259</f>
        <v>0</v>
      </c>
      <c r="AA259" s="202">
        <v>42516</v>
      </c>
      <c r="AB259" s="78" t="s">
        <v>286</v>
      </c>
      <c r="AC259">
        <f>IF(C259="",0,VLOOKUP(C259,'Dados de consulta'!$H$2:$I$25,2,0))</f>
        <v>0</v>
      </c>
      <c r="AD259">
        <f>IF(D259="",0,VLOOKUP(D259,'Dados de consulta'!$H$2:$I$25,2,0))</f>
        <v>0</v>
      </c>
      <c r="AE259">
        <f>IF(E259="",0,VLOOKUP(E259,'Dados de consulta'!$H$2:$I$25,2,0))</f>
        <v>0</v>
      </c>
      <c r="AF259">
        <f>IF(F259="",0,VLOOKUP(F259,'Dados de consulta'!$H$2:$I$25,2,0))</f>
        <v>0</v>
      </c>
      <c r="AG259">
        <f>IF(G259="",0,VLOOKUP(G259,'Dados de consulta'!$H$2:$I$25,2,0))</f>
        <v>0</v>
      </c>
      <c r="AH259">
        <f>IF(H259="",0,VLOOKUP(H259,'Dados de consulta'!$H$2:$I$25,2,0))</f>
        <v>0</v>
      </c>
      <c r="AI259">
        <f>IF(I259="",0,VLOOKUP(I259,'Dados de consulta'!$H$2:$I$25,2,0))</f>
        <v>0</v>
      </c>
      <c r="AJ259">
        <f>IF(J259="",0,VLOOKUP(J259,'Dados de consulta'!$H$2:$I$25,2,0))</f>
        <v>0</v>
      </c>
      <c r="AK259">
        <f>IF(K259="",0,VLOOKUP(K259,'Dados de consulta'!$H$2:$I$25,2,0))</f>
        <v>0</v>
      </c>
      <c r="AL259">
        <f>IF(L259="",0,VLOOKUP(L259,'Dados de consulta'!$H$2:$I$25,2,0))</f>
        <v>0</v>
      </c>
      <c r="AM259">
        <f>IF(M259="",0,VLOOKUP(M259,'Dados de consulta'!$H$2:$I$25,2,0))</f>
        <v>0</v>
      </c>
      <c r="AN259">
        <f>IF(N259="",0,VLOOKUP(N259,'Dados de consulta'!$H$2:$I$25,2,0))</f>
        <v>0</v>
      </c>
      <c r="AO259">
        <f>IF(O259="",0,VLOOKUP(O259,'Dados de consulta'!$H$2:$I$25,2,0))</f>
        <v>0</v>
      </c>
      <c r="AP259">
        <f>IF(P259="",0,VLOOKUP(P259,'Dados de consulta'!$H$2:$I$25,2,0))</f>
        <v>0</v>
      </c>
      <c r="AQ259">
        <f>IF(Q259="",0,VLOOKUP(Q259,'Dados de consulta'!$H$2:$I$25,2,0))</f>
        <v>0</v>
      </c>
      <c r="AR259">
        <f>IF(R259="",0,VLOOKUP(R259,'Dados de consulta'!$H$2:$I$25,2,0))</f>
        <v>0</v>
      </c>
      <c r="AS259">
        <f>IF(S259="",0,VLOOKUP(S259,'Dados de consulta'!$H$2:$I$25,2,0))</f>
        <v>0</v>
      </c>
      <c r="AT259">
        <f>IF(T259="",0,VLOOKUP(T259,'Dados de consulta'!$H$2:$I$25,2,0))</f>
        <v>0</v>
      </c>
      <c r="AU259">
        <f>IF(U259="",0,VLOOKUP(U259,'Dados de consulta'!$H$2:$I$25,2,0))</f>
        <v>0</v>
      </c>
      <c r="AV259">
        <f>IF(V259="",0,VLOOKUP(V259,'Dados de consulta'!$H$2:$I$25,2,0))</f>
        <v>0</v>
      </c>
      <c r="AW259">
        <f t="shared" si="26"/>
        <v>0</v>
      </c>
      <c r="AX259">
        <f t="shared" si="27"/>
        <v>0</v>
      </c>
      <c r="AY259">
        <f t="shared" si="28"/>
        <v>0</v>
      </c>
    </row>
    <row r="260" spans="1:51" x14ac:dyDescent="0.2">
      <c r="A260" s="202">
        <v>42517</v>
      </c>
      <c r="B260" s="78" t="s">
        <v>287</v>
      </c>
      <c r="W260">
        <f t="shared" si="29"/>
        <v>0</v>
      </c>
      <c r="X260">
        <f t="shared" si="30"/>
        <v>0</v>
      </c>
      <c r="Y260">
        <f t="shared" si="31"/>
        <v>0</v>
      </c>
      <c r="AA260" s="202">
        <v>42517</v>
      </c>
      <c r="AB260" s="78" t="s">
        <v>287</v>
      </c>
      <c r="AC260">
        <f>IF(C260="",0,VLOOKUP(C260,'Dados de consulta'!$H$2:$I$25,2,0))</f>
        <v>0</v>
      </c>
      <c r="AD260">
        <f>IF(D260="",0,VLOOKUP(D260,'Dados de consulta'!$H$2:$I$25,2,0))</f>
        <v>0</v>
      </c>
      <c r="AE260">
        <f>IF(E260="",0,VLOOKUP(E260,'Dados de consulta'!$H$2:$I$25,2,0))</f>
        <v>0</v>
      </c>
      <c r="AF260">
        <f>IF(F260="",0,VLOOKUP(F260,'Dados de consulta'!$H$2:$I$25,2,0))</f>
        <v>0</v>
      </c>
      <c r="AG260">
        <f>IF(G260="",0,VLOOKUP(G260,'Dados de consulta'!$H$2:$I$25,2,0))</f>
        <v>0</v>
      </c>
      <c r="AH260">
        <f>IF(H260="",0,VLOOKUP(H260,'Dados de consulta'!$H$2:$I$25,2,0))</f>
        <v>0</v>
      </c>
      <c r="AI260">
        <f>IF(I260="",0,VLOOKUP(I260,'Dados de consulta'!$H$2:$I$25,2,0))</f>
        <v>0</v>
      </c>
      <c r="AJ260">
        <f>IF(J260="",0,VLOOKUP(J260,'Dados de consulta'!$H$2:$I$25,2,0))</f>
        <v>0</v>
      </c>
      <c r="AK260">
        <f>IF(K260="",0,VLOOKUP(K260,'Dados de consulta'!$H$2:$I$25,2,0))</f>
        <v>0</v>
      </c>
      <c r="AL260">
        <f>IF(L260="",0,VLOOKUP(L260,'Dados de consulta'!$H$2:$I$25,2,0))</f>
        <v>0</v>
      </c>
      <c r="AM260">
        <f>IF(M260="",0,VLOOKUP(M260,'Dados de consulta'!$H$2:$I$25,2,0))</f>
        <v>0</v>
      </c>
      <c r="AN260">
        <f>IF(N260="",0,VLOOKUP(N260,'Dados de consulta'!$H$2:$I$25,2,0))</f>
        <v>0</v>
      </c>
      <c r="AO260">
        <f>IF(O260="",0,VLOOKUP(O260,'Dados de consulta'!$H$2:$I$25,2,0))</f>
        <v>0</v>
      </c>
      <c r="AP260">
        <f>IF(P260="",0,VLOOKUP(P260,'Dados de consulta'!$H$2:$I$25,2,0))</f>
        <v>0</v>
      </c>
      <c r="AQ260">
        <f>IF(Q260="",0,VLOOKUP(Q260,'Dados de consulta'!$H$2:$I$25,2,0))</f>
        <v>0</v>
      </c>
      <c r="AR260">
        <f>IF(R260="",0,VLOOKUP(R260,'Dados de consulta'!$H$2:$I$25,2,0))</f>
        <v>0</v>
      </c>
      <c r="AS260">
        <f>IF(S260="",0,VLOOKUP(S260,'Dados de consulta'!$H$2:$I$25,2,0))</f>
        <v>0</v>
      </c>
      <c r="AT260">
        <f>IF(T260="",0,VLOOKUP(T260,'Dados de consulta'!$H$2:$I$25,2,0))</f>
        <v>0</v>
      </c>
      <c r="AU260">
        <f>IF(U260="",0,VLOOKUP(U260,'Dados de consulta'!$H$2:$I$25,2,0))</f>
        <v>0</v>
      </c>
      <c r="AV260">
        <f>IF(V260="",0,VLOOKUP(V260,'Dados de consulta'!$H$2:$I$25,2,0))</f>
        <v>0</v>
      </c>
      <c r="AW260">
        <f t="shared" si="26"/>
        <v>0</v>
      </c>
      <c r="AX260">
        <f t="shared" si="27"/>
        <v>0</v>
      </c>
      <c r="AY260">
        <f t="shared" si="28"/>
        <v>0</v>
      </c>
    </row>
    <row r="261" spans="1:51" x14ac:dyDescent="0.2">
      <c r="A261" s="202">
        <v>42518</v>
      </c>
      <c r="B261" s="78" t="s">
        <v>281</v>
      </c>
      <c r="W261">
        <f t="shared" si="29"/>
        <v>0</v>
      </c>
      <c r="X261">
        <f t="shared" si="30"/>
        <v>0</v>
      </c>
      <c r="Y261">
        <f t="shared" si="31"/>
        <v>0</v>
      </c>
      <c r="AA261" s="202">
        <v>42518</v>
      </c>
      <c r="AB261" s="78" t="s">
        <v>281</v>
      </c>
      <c r="AC261">
        <f>IF(C261="",0,VLOOKUP(C261,'Dados de consulta'!$H$2:$I$25,2,0))</f>
        <v>0</v>
      </c>
      <c r="AD261">
        <f>IF(D261="",0,VLOOKUP(D261,'Dados de consulta'!$H$2:$I$25,2,0))</f>
        <v>0</v>
      </c>
      <c r="AE261">
        <f>IF(E261="",0,VLOOKUP(E261,'Dados de consulta'!$H$2:$I$25,2,0))</f>
        <v>0</v>
      </c>
      <c r="AF261">
        <f>IF(F261="",0,VLOOKUP(F261,'Dados de consulta'!$H$2:$I$25,2,0))</f>
        <v>0</v>
      </c>
      <c r="AG261">
        <f>IF(G261="",0,VLOOKUP(G261,'Dados de consulta'!$H$2:$I$25,2,0))</f>
        <v>0</v>
      </c>
      <c r="AH261">
        <f>IF(H261="",0,VLOOKUP(H261,'Dados de consulta'!$H$2:$I$25,2,0))</f>
        <v>0</v>
      </c>
      <c r="AI261">
        <f>IF(I261="",0,VLOOKUP(I261,'Dados de consulta'!$H$2:$I$25,2,0))</f>
        <v>0</v>
      </c>
      <c r="AJ261">
        <f>IF(J261="",0,VLOOKUP(J261,'Dados de consulta'!$H$2:$I$25,2,0))</f>
        <v>0</v>
      </c>
      <c r="AK261">
        <f>IF(K261="",0,VLOOKUP(K261,'Dados de consulta'!$H$2:$I$25,2,0))</f>
        <v>0</v>
      </c>
      <c r="AL261">
        <f>IF(L261="",0,VLOOKUP(L261,'Dados de consulta'!$H$2:$I$25,2,0))</f>
        <v>0</v>
      </c>
      <c r="AM261">
        <f>IF(M261="",0,VLOOKUP(M261,'Dados de consulta'!$H$2:$I$25,2,0))</f>
        <v>0</v>
      </c>
      <c r="AN261">
        <f>IF(N261="",0,VLOOKUP(N261,'Dados de consulta'!$H$2:$I$25,2,0))</f>
        <v>0</v>
      </c>
      <c r="AO261">
        <f>IF(O261="",0,VLOOKUP(O261,'Dados de consulta'!$H$2:$I$25,2,0))</f>
        <v>0</v>
      </c>
      <c r="AP261">
        <f>IF(P261="",0,VLOOKUP(P261,'Dados de consulta'!$H$2:$I$25,2,0))</f>
        <v>0</v>
      </c>
      <c r="AQ261">
        <f>IF(Q261="",0,VLOOKUP(Q261,'Dados de consulta'!$H$2:$I$25,2,0))</f>
        <v>0</v>
      </c>
      <c r="AR261">
        <f>IF(R261="",0,VLOOKUP(R261,'Dados de consulta'!$H$2:$I$25,2,0))</f>
        <v>0</v>
      </c>
      <c r="AS261">
        <f>IF(S261="",0,VLOOKUP(S261,'Dados de consulta'!$H$2:$I$25,2,0))</f>
        <v>0</v>
      </c>
      <c r="AT261">
        <f>IF(T261="",0,VLOOKUP(T261,'Dados de consulta'!$H$2:$I$25,2,0))</f>
        <v>0</v>
      </c>
      <c r="AU261">
        <f>IF(U261="",0,VLOOKUP(U261,'Dados de consulta'!$H$2:$I$25,2,0))</f>
        <v>0</v>
      </c>
      <c r="AV261">
        <f>IF(V261="",0,VLOOKUP(V261,'Dados de consulta'!$H$2:$I$25,2,0))</f>
        <v>0</v>
      </c>
      <c r="AW261">
        <f t="shared" si="26"/>
        <v>0</v>
      </c>
      <c r="AX261">
        <f t="shared" si="27"/>
        <v>0</v>
      </c>
      <c r="AY261">
        <f t="shared" si="28"/>
        <v>0</v>
      </c>
    </row>
    <row r="262" spans="1:51" x14ac:dyDescent="0.2">
      <c r="A262" s="202">
        <v>42519</v>
      </c>
      <c r="B262" s="78" t="s">
        <v>282</v>
      </c>
      <c r="W262">
        <f t="shared" si="29"/>
        <v>0</v>
      </c>
      <c r="X262">
        <f t="shared" si="30"/>
        <v>0</v>
      </c>
      <c r="Y262">
        <f t="shared" si="31"/>
        <v>0</v>
      </c>
      <c r="AA262" s="202">
        <v>42519</v>
      </c>
      <c r="AB262" s="78" t="s">
        <v>282</v>
      </c>
      <c r="AC262">
        <f>IF(C262="",0,VLOOKUP(C262,'Dados de consulta'!$H$2:$I$25,2,0))</f>
        <v>0</v>
      </c>
      <c r="AD262">
        <f>IF(D262="",0,VLOOKUP(D262,'Dados de consulta'!$H$2:$I$25,2,0))</f>
        <v>0</v>
      </c>
      <c r="AE262">
        <f>IF(E262="",0,VLOOKUP(E262,'Dados de consulta'!$H$2:$I$25,2,0))</f>
        <v>0</v>
      </c>
      <c r="AF262">
        <f>IF(F262="",0,VLOOKUP(F262,'Dados de consulta'!$H$2:$I$25,2,0))</f>
        <v>0</v>
      </c>
      <c r="AG262">
        <f>IF(G262="",0,VLOOKUP(G262,'Dados de consulta'!$H$2:$I$25,2,0))</f>
        <v>0</v>
      </c>
      <c r="AH262">
        <f>IF(H262="",0,VLOOKUP(H262,'Dados de consulta'!$H$2:$I$25,2,0))</f>
        <v>0</v>
      </c>
      <c r="AI262">
        <f>IF(I262="",0,VLOOKUP(I262,'Dados de consulta'!$H$2:$I$25,2,0))</f>
        <v>0</v>
      </c>
      <c r="AJ262">
        <f>IF(J262="",0,VLOOKUP(J262,'Dados de consulta'!$H$2:$I$25,2,0))</f>
        <v>0</v>
      </c>
      <c r="AK262">
        <f>IF(K262="",0,VLOOKUP(K262,'Dados de consulta'!$H$2:$I$25,2,0))</f>
        <v>0</v>
      </c>
      <c r="AL262">
        <f>IF(L262="",0,VLOOKUP(L262,'Dados de consulta'!$H$2:$I$25,2,0))</f>
        <v>0</v>
      </c>
      <c r="AM262">
        <f>IF(M262="",0,VLOOKUP(M262,'Dados de consulta'!$H$2:$I$25,2,0))</f>
        <v>0</v>
      </c>
      <c r="AN262">
        <f>IF(N262="",0,VLOOKUP(N262,'Dados de consulta'!$H$2:$I$25,2,0))</f>
        <v>0</v>
      </c>
      <c r="AO262">
        <f>IF(O262="",0,VLOOKUP(O262,'Dados de consulta'!$H$2:$I$25,2,0))</f>
        <v>0</v>
      </c>
      <c r="AP262">
        <f>IF(P262="",0,VLOOKUP(P262,'Dados de consulta'!$H$2:$I$25,2,0))</f>
        <v>0</v>
      </c>
      <c r="AQ262">
        <f>IF(Q262="",0,VLOOKUP(Q262,'Dados de consulta'!$H$2:$I$25,2,0))</f>
        <v>0</v>
      </c>
      <c r="AR262">
        <f>IF(R262="",0,VLOOKUP(R262,'Dados de consulta'!$H$2:$I$25,2,0))</f>
        <v>0</v>
      </c>
      <c r="AS262">
        <f>IF(S262="",0,VLOOKUP(S262,'Dados de consulta'!$H$2:$I$25,2,0))</f>
        <v>0</v>
      </c>
      <c r="AT262">
        <f>IF(T262="",0,VLOOKUP(T262,'Dados de consulta'!$H$2:$I$25,2,0))</f>
        <v>0</v>
      </c>
      <c r="AU262">
        <f>IF(U262="",0,VLOOKUP(U262,'Dados de consulta'!$H$2:$I$25,2,0))</f>
        <v>0</v>
      </c>
      <c r="AV262">
        <f>IF(V262="",0,VLOOKUP(V262,'Dados de consulta'!$H$2:$I$25,2,0))</f>
        <v>0</v>
      </c>
      <c r="AW262">
        <f t="shared" si="26"/>
        <v>0</v>
      </c>
      <c r="AX262">
        <f t="shared" si="27"/>
        <v>0</v>
      </c>
      <c r="AY262">
        <f t="shared" si="28"/>
        <v>0</v>
      </c>
    </row>
    <row r="263" spans="1:51" x14ac:dyDescent="0.2">
      <c r="A263" s="202">
        <v>42520</v>
      </c>
      <c r="B263" s="78" t="s">
        <v>283</v>
      </c>
      <c r="W263">
        <f t="shared" si="29"/>
        <v>0</v>
      </c>
      <c r="X263">
        <f t="shared" si="30"/>
        <v>0</v>
      </c>
      <c r="Y263">
        <f t="shared" si="31"/>
        <v>0</v>
      </c>
      <c r="AA263" s="202">
        <v>42520</v>
      </c>
      <c r="AB263" s="78" t="s">
        <v>283</v>
      </c>
      <c r="AC263">
        <f>IF(C263="",0,VLOOKUP(C263,'Dados de consulta'!$H$2:$I$25,2,0))</f>
        <v>0</v>
      </c>
      <c r="AD263">
        <f>IF(D263="",0,VLOOKUP(D263,'Dados de consulta'!$H$2:$I$25,2,0))</f>
        <v>0</v>
      </c>
      <c r="AE263">
        <f>IF(E263="",0,VLOOKUP(E263,'Dados de consulta'!$H$2:$I$25,2,0))</f>
        <v>0</v>
      </c>
      <c r="AF263">
        <f>IF(F263="",0,VLOOKUP(F263,'Dados de consulta'!$H$2:$I$25,2,0))</f>
        <v>0</v>
      </c>
      <c r="AG263">
        <f>IF(G263="",0,VLOOKUP(G263,'Dados de consulta'!$H$2:$I$25,2,0))</f>
        <v>0</v>
      </c>
      <c r="AH263">
        <f>IF(H263="",0,VLOOKUP(H263,'Dados de consulta'!$H$2:$I$25,2,0))</f>
        <v>0</v>
      </c>
      <c r="AI263">
        <f>IF(I263="",0,VLOOKUP(I263,'Dados de consulta'!$H$2:$I$25,2,0))</f>
        <v>0</v>
      </c>
      <c r="AJ263">
        <f>IF(J263="",0,VLOOKUP(J263,'Dados de consulta'!$H$2:$I$25,2,0))</f>
        <v>0</v>
      </c>
      <c r="AK263">
        <f>IF(K263="",0,VLOOKUP(K263,'Dados de consulta'!$H$2:$I$25,2,0))</f>
        <v>0</v>
      </c>
      <c r="AL263">
        <f>IF(L263="",0,VLOOKUP(L263,'Dados de consulta'!$H$2:$I$25,2,0))</f>
        <v>0</v>
      </c>
      <c r="AM263">
        <f>IF(M263="",0,VLOOKUP(M263,'Dados de consulta'!$H$2:$I$25,2,0))</f>
        <v>0</v>
      </c>
      <c r="AN263">
        <f>IF(N263="",0,VLOOKUP(N263,'Dados de consulta'!$H$2:$I$25,2,0))</f>
        <v>0</v>
      </c>
      <c r="AO263">
        <f>IF(O263="",0,VLOOKUP(O263,'Dados de consulta'!$H$2:$I$25,2,0))</f>
        <v>0</v>
      </c>
      <c r="AP263">
        <f>IF(P263="",0,VLOOKUP(P263,'Dados de consulta'!$H$2:$I$25,2,0))</f>
        <v>0</v>
      </c>
      <c r="AQ263">
        <f>IF(Q263="",0,VLOOKUP(Q263,'Dados de consulta'!$H$2:$I$25,2,0))</f>
        <v>0</v>
      </c>
      <c r="AR263">
        <f>IF(R263="",0,VLOOKUP(R263,'Dados de consulta'!$H$2:$I$25,2,0))</f>
        <v>0</v>
      </c>
      <c r="AS263">
        <f>IF(S263="",0,VLOOKUP(S263,'Dados de consulta'!$H$2:$I$25,2,0))</f>
        <v>0</v>
      </c>
      <c r="AT263">
        <f>IF(T263="",0,VLOOKUP(T263,'Dados de consulta'!$H$2:$I$25,2,0))</f>
        <v>0</v>
      </c>
      <c r="AU263">
        <f>IF(U263="",0,VLOOKUP(U263,'Dados de consulta'!$H$2:$I$25,2,0))</f>
        <v>0</v>
      </c>
      <c r="AV263">
        <f>IF(V263="",0,VLOOKUP(V263,'Dados de consulta'!$H$2:$I$25,2,0))</f>
        <v>0</v>
      </c>
      <c r="AW263">
        <f t="shared" si="26"/>
        <v>0</v>
      </c>
      <c r="AX263">
        <f t="shared" si="27"/>
        <v>0</v>
      </c>
      <c r="AY263">
        <f t="shared" si="28"/>
        <v>0</v>
      </c>
    </row>
    <row r="264" spans="1:51" x14ac:dyDescent="0.2">
      <c r="A264" s="202">
        <v>42521</v>
      </c>
      <c r="B264" s="78" t="s">
        <v>284</v>
      </c>
      <c r="W264">
        <f t="shared" si="29"/>
        <v>0</v>
      </c>
      <c r="X264">
        <f t="shared" si="30"/>
        <v>0</v>
      </c>
      <c r="Y264">
        <f t="shared" si="31"/>
        <v>0</v>
      </c>
      <c r="AA264" s="202">
        <v>42521</v>
      </c>
      <c r="AB264" s="78" t="s">
        <v>284</v>
      </c>
      <c r="AC264">
        <f>IF(C264="",0,VLOOKUP(C264,'Dados de consulta'!$H$2:$I$25,2,0))</f>
        <v>0</v>
      </c>
      <c r="AD264">
        <f>IF(D264="",0,VLOOKUP(D264,'Dados de consulta'!$H$2:$I$25,2,0))</f>
        <v>0</v>
      </c>
      <c r="AE264">
        <f>IF(E264="",0,VLOOKUP(E264,'Dados de consulta'!$H$2:$I$25,2,0))</f>
        <v>0</v>
      </c>
      <c r="AF264">
        <f>IF(F264="",0,VLOOKUP(F264,'Dados de consulta'!$H$2:$I$25,2,0))</f>
        <v>0</v>
      </c>
      <c r="AG264">
        <f>IF(G264="",0,VLOOKUP(G264,'Dados de consulta'!$H$2:$I$25,2,0))</f>
        <v>0</v>
      </c>
      <c r="AH264">
        <f>IF(H264="",0,VLOOKUP(H264,'Dados de consulta'!$H$2:$I$25,2,0))</f>
        <v>0</v>
      </c>
      <c r="AI264">
        <f>IF(I264="",0,VLOOKUP(I264,'Dados de consulta'!$H$2:$I$25,2,0))</f>
        <v>0</v>
      </c>
      <c r="AJ264">
        <f>IF(J264="",0,VLOOKUP(J264,'Dados de consulta'!$H$2:$I$25,2,0))</f>
        <v>0</v>
      </c>
      <c r="AK264">
        <f>IF(K264="",0,VLOOKUP(K264,'Dados de consulta'!$H$2:$I$25,2,0))</f>
        <v>0</v>
      </c>
      <c r="AL264">
        <f>IF(L264="",0,VLOOKUP(L264,'Dados de consulta'!$H$2:$I$25,2,0))</f>
        <v>0</v>
      </c>
      <c r="AM264">
        <f>IF(M264="",0,VLOOKUP(M264,'Dados de consulta'!$H$2:$I$25,2,0))</f>
        <v>0</v>
      </c>
      <c r="AN264">
        <f>IF(N264="",0,VLOOKUP(N264,'Dados de consulta'!$H$2:$I$25,2,0))</f>
        <v>0</v>
      </c>
      <c r="AO264">
        <f>IF(O264="",0,VLOOKUP(O264,'Dados de consulta'!$H$2:$I$25,2,0))</f>
        <v>0</v>
      </c>
      <c r="AP264">
        <f>IF(P264="",0,VLOOKUP(P264,'Dados de consulta'!$H$2:$I$25,2,0))</f>
        <v>0</v>
      </c>
      <c r="AQ264">
        <f>IF(Q264="",0,VLOOKUP(Q264,'Dados de consulta'!$H$2:$I$25,2,0))</f>
        <v>0</v>
      </c>
      <c r="AR264">
        <f>IF(R264="",0,VLOOKUP(R264,'Dados de consulta'!$H$2:$I$25,2,0))</f>
        <v>0</v>
      </c>
      <c r="AS264">
        <f>IF(S264="",0,VLOOKUP(S264,'Dados de consulta'!$H$2:$I$25,2,0))</f>
        <v>0</v>
      </c>
      <c r="AT264">
        <f>IF(T264="",0,VLOOKUP(T264,'Dados de consulta'!$H$2:$I$25,2,0))</f>
        <v>0</v>
      </c>
      <c r="AU264">
        <f>IF(U264="",0,VLOOKUP(U264,'Dados de consulta'!$H$2:$I$25,2,0))</f>
        <v>0</v>
      </c>
      <c r="AV264">
        <f>IF(V264="",0,VLOOKUP(V264,'Dados de consulta'!$H$2:$I$25,2,0))</f>
        <v>0</v>
      </c>
      <c r="AW264">
        <f t="shared" si="26"/>
        <v>0</v>
      </c>
      <c r="AX264">
        <f t="shared" si="27"/>
        <v>0</v>
      </c>
      <c r="AY264">
        <f t="shared" si="28"/>
        <v>0</v>
      </c>
    </row>
    <row r="265" spans="1:51" hidden="1" x14ac:dyDescent="0.2">
      <c r="A265" s="202">
        <v>42522</v>
      </c>
      <c r="B265" s="78" t="s">
        <v>285</v>
      </c>
      <c r="W265">
        <f t="shared" si="29"/>
        <v>0</v>
      </c>
      <c r="X265">
        <f t="shared" si="30"/>
        <v>0</v>
      </c>
      <c r="Y265">
        <f t="shared" si="31"/>
        <v>0</v>
      </c>
      <c r="AA265" s="202">
        <v>42522</v>
      </c>
      <c r="AB265" s="78" t="s">
        <v>285</v>
      </c>
      <c r="AC265">
        <f>IF(C265="",0,VLOOKUP(C265,'Dados de consulta'!$H$2:$I$25,2,0))</f>
        <v>0</v>
      </c>
      <c r="AD265">
        <f>IF(D265="",0,VLOOKUP(D265,'Dados de consulta'!$H$2:$I$25,2,0))</f>
        <v>0</v>
      </c>
      <c r="AE265">
        <f>IF(E265="",0,VLOOKUP(E265,'Dados de consulta'!$H$2:$I$25,2,0))</f>
        <v>0</v>
      </c>
      <c r="AF265">
        <f>IF(F265="",0,VLOOKUP(F265,'Dados de consulta'!$H$2:$I$25,2,0))</f>
        <v>0</v>
      </c>
      <c r="AG265">
        <f>IF(G265="",0,VLOOKUP(G265,'Dados de consulta'!$H$2:$I$25,2,0))</f>
        <v>0</v>
      </c>
      <c r="AH265">
        <f>IF(H265="",0,VLOOKUP(H265,'Dados de consulta'!$H$2:$I$25,2,0))</f>
        <v>0</v>
      </c>
      <c r="AI265">
        <f>IF(I265="",0,VLOOKUP(I265,'Dados de consulta'!$H$2:$I$25,2,0))</f>
        <v>0</v>
      </c>
      <c r="AJ265">
        <f>IF(J265="",0,VLOOKUP(J265,'Dados de consulta'!$H$2:$I$25,2,0))</f>
        <v>0</v>
      </c>
      <c r="AK265">
        <f>IF(K265="",0,VLOOKUP(K265,'Dados de consulta'!$H$2:$I$25,2,0))</f>
        <v>0</v>
      </c>
      <c r="AL265">
        <f>IF(L265="",0,VLOOKUP(L265,'Dados de consulta'!$H$2:$I$25,2,0))</f>
        <v>0</v>
      </c>
      <c r="AM265">
        <f>IF(M265="",0,VLOOKUP(M265,'Dados de consulta'!$H$2:$I$25,2,0))</f>
        <v>0</v>
      </c>
      <c r="AN265">
        <f>IF(N265="",0,VLOOKUP(N265,'Dados de consulta'!$H$2:$I$25,2,0))</f>
        <v>0</v>
      </c>
      <c r="AO265">
        <f>IF(O265="",0,VLOOKUP(O265,'Dados de consulta'!$H$2:$I$25,2,0))</f>
        <v>0</v>
      </c>
      <c r="AP265">
        <f>IF(P265="",0,VLOOKUP(P265,'Dados de consulta'!$H$2:$I$25,2,0))</f>
        <v>0</v>
      </c>
      <c r="AQ265">
        <f>IF(Q265="",0,VLOOKUP(Q265,'Dados de consulta'!$H$2:$I$25,2,0))</f>
        <v>0</v>
      </c>
      <c r="AR265">
        <f>IF(R265="",0,VLOOKUP(R265,'Dados de consulta'!$H$2:$I$25,2,0))</f>
        <v>0</v>
      </c>
      <c r="AS265">
        <f>IF(S265="",0,VLOOKUP(S265,'Dados de consulta'!$H$2:$I$25,2,0))</f>
        <v>0</v>
      </c>
      <c r="AT265">
        <f>IF(T265="",0,VLOOKUP(T265,'Dados de consulta'!$H$2:$I$25,2,0))</f>
        <v>0</v>
      </c>
      <c r="AU265">
        <f>IF(U265="",0,VLOOKUP(U265,'Dados de consulta'!$H$2:$I$25,2,0))</f>
        <v>0</v>
      </c>
      <c r="AV265">
        <f>IF(V265="",0,VLOOKUP(V265,'Dados de consulta'!$H$2:$I$25,2,0))</f>
        <v>0</v>
      </c>
      <c r="AW265">
        <f t="shared" si="26"/>
        <v>0</v>
      </c>
      <c r="AX265">
        <f t="shared" si="27"/>
        <v>0</v>
      </c>
      <c r="AY265">
        <f t="shared" si="28"/>
        <v>0</v>
      </c>
    </row>
    <row r="266" spans="1:51" hidden="1" x14ac:dyDescent="0.2">
      <c r="A266" s="202">
        <v>42523</v>
      </c>
      <c r="B266" s="78" t="s">
        <v>286</v>
      </c>
      <c r="W266">
        <f t="shared" si="29"/>
        <v>0</v>
      </c>
      <c r="X266">
        <f t="shared" si="30"/>
        <v>0</v>
      </c>
      <c r="Y266">
        <f t="shared" si="31"/>
        <v>0</v>
      </c>
      <c r="AA266" s="202">
        <v>42523</v>
      </c>
      <c r="AB266" s="78" t="s">
        <v>286</v>
      </c>
      <c r="AC266">
        <f>IF(C266="",0,VLOOKUP(C266,'Dados de consulta'!$H$2:$I$25,2,0))</f>
        <v>0</v>
      </c>
      <c r="AD266">
        <f>IF(D266="",0,VLOOKUP(D266,'Dados de consulta'!$H$2:$I$25,2,0))</f>
        <v>0</v>
      </c>
      <c r="AE266">
        <f>IF(E266="",0,VLOOKUP(E266,'Dados de consulta'!$H$2:$I$25,2,0))</f>
        <v>0</v>
      </c>
      <c r="AF266">
        <f>IF(F266="",0,VLOOKUP(F266,'Dados de consulta'!$H$2:$I$25,2,0))</f>
        <v>0</v>
      </c>
      <c r="AG266">
        <f>IF(G266="",0,VLOOKUP(G266,'Dados de consulta'!$H$2:$I$25,2,0))</f>
        <v>0</v>
      </c>
      <c r="AH266">
        <f>IF(H266="",0,VLOOKUP(H266,'Dados de consulta'!$H$2:$I$25,2,0))</f>
        <v>0</v>
      </c>
      <c r="AI266">
        <f>IF(I266="",0,VLOOKUP(I266,'Dados de consulta'!$H$2:$I$25,2,0))</f>
        <v>0</v>
      </c>
      <c r="AJ266">
        <f>IF(J266="",0,VLOOKUP(J266,'Dados de consulta'!$H$2:$I$25,2,0))</f>
        <v>0</v>
      </c>
      <c r="AK266">
        <f>IF(K266="",0,VLOOKUP(K266,'Dados de consulta'!$H$2:$I$25,2,0))</f>
        <v>0</v>
      </c>
      <c r="AL266">
        <f>IF(L266="",0,VLOOKUP(L266,'Dados de consulta'!$H$2:$I$25,2,0))</f>
        <v>0</v>
      </c>
      <c r="AM266">
        <f>IF(M266="",0,VLOOKUP(M266,'Dados de consulta'!$H$2:$I$25,2,0))</f>
        <v>0</v>
      </c>
      <c r="AN266">
        <f>IF(N266="",0,VLOOKUP(N266,'Dados de consulta'!$H$2:$I$25,2,0))</f>
        <v>0</v>
      </c>
      <c r="AO266">
        <f>IF(O266="",0,VLOOKUP(O266,'Dados de consulta'!$H$2:$I$25,2,0))</f>
        <v>0</v>
      </c>
      <c r="AP266">
        <f>IF(P266="",0,VLOOKUP(P266,'Dados de consulta'!$H$2:$I$25,2,0))</f>
        <v>0</v>
      </c>
      <c r="AQ266">
        <f>IF(Q266="",0,VLOOKUP(Q266,'Dados de consulta'!$H$2:$I$25,2,0))</f>
        <v>0</v>
      </c>
      <c r="AR266">
        <f>IF(R266="",0,VLOOKUP(R266,'Dados de consulta'!$H$2:$I$25,2,0))</f>
        <v>0</v>
      </c>
      <c r="AS266">
        <f>IF(S266="",0,VLOOKUP(S266,'Dados de consulta'!$H$2:$I$25,2,0))</f>
        <v>0</v>
      </c>
      <c r="AT266">
        <f>IF(T266="",0,VLOOKUP(T266,'Dados de consulta'!$H$2:$I$25,2,0))</f>
        <v>0</v>
      </c>
      <c r="AU266">
        <f>IF(U266="",0,VLOOKUP(U266,'Dados de consulta'!$H$2:$I$25,2,0))</f>
        <v>0</v>
      </c>
      <c r="AV266">
        <f>IF(V266="",0,VLOOKUP(V266,'Dados de consulta'!$H$2:$I$25,2,0))</f>
        <v>0</v>
      </c>
      <c r="AW266">
        <f t="shared" si="26"/>
        <v>0</v>
      </c>
      <c r="AX266">
        <f t="shared" si="27"/>
        <v>0</v>
      </c>
      <c r="AY266">
        <f t="shared" si="28"/>
        <v>0</v>
      </c>
    </row>
    <row r="267" spans="1:51" hidden="1" x14ac:dyDescent="0.2">
      <c r="A267" s="202">
        <v>42524</v>
      </c>
      <c r="B267" s="78" t="s">
        <v>287</v>
      </c>
      <c r="W267">
        <f t="shared" si="29"/>
        <v>0</v>
      </c>
      <c r="X267">
        <f t="shared" si="30"/>
        <v>0</v>
      </c>
      <c r="Y267">
        <f t="shared" si="31"/>
        <v>0</v>
      </c>
      <c r="AA267" s="202">
        <v>42524</v>
      </c>
      <c r="AB267" s="78" t="s">
        <v>287</v>
      </c>
      <c r="AC267">
        <f>IF(C267="",0,VLOOKUP(C267,'Dados de consulta'!$H$2:$I$25,2,0))</f>
        <v>0</v>
      </c>
      <c r="AD267">
        <f>IF(D267="",0,VLOOKUP(D267,'Dados de consulta'!$H$2:$I$25,2,0))</f>
        <v>0</v>
      </c>
      <c r="AE267">
        <f>IF(E267="",0,VLOOKUP(E267,'Dados de consulta'!$H$2:$I$25,2,0))</f>
        <v>0</v>
      </c>
      <c r="AF267">
        <f>IF(F267="",0,VLOOKUP(F267,'Dados de consulta'!$H$2:$I$25,2,0))</f>
        <v>0</v>
      </c>
      <c r="AG267">
        <f>IF(G267="",0,VLOOKUP(G267,'Dados de consulta'!$H$2:$I$25,2,0))</f>
        <v>0</v>
      </c>
      <c r="AH267">
        <f>IF(H267="",0,VLOOKUP(H267,'Dados de consulta'!$H$2:$I$25,2,0))</f>
        <v>0</v>
      </c>
      <c r="AI267">
        <f>IF(I267="",0,VLOOKUP(I267,'Dados de consulta'!$H$2:$I$25,2,0))</f>
        <v>0</v>
      </c>
      <c r="AJ267">
        <f>IF(J267="",0,VLOOKUP(J267,'Dados de consulta'!$H$2:$I$25,2,0))</f>
        <v>0</v>
      </c>
      <c r="AK267">
        <f>IF(K267="",0,VLOOKUP(K267,'Dados de consulta'!$H$2:$I$25,2,0))</f>
        <v>0</v>
      </c>
      <c r="AL267">
        <f>IF(L267="",0,VLOOKUP(L267,'Dados de consulta'!$H$2:$I$25,2,0))</f>
        <v>0</v>
      </c>
      <c r="AM267">
        <f>IF(M267="",0,VLOOKUP(M267,'Dados de consulta'!$H$2:$I$25,2,0))</f>
        <v>0</v>
      </c>
      <c r="AN267">
        <f>IF(N267="",0,VLOOKUP(N267,'Dados de consulta'!$H$2:$I$25,2,0))</f>
        <v>0</v>
      </c>
      <c r="AO267">
        <f>IF(O267="",0,VLOOKUP(O267,'Dados de consulta'!$H$2:$I$25,2,0))</f>
        <v>0</v>
      </c>
      <c r="AP267">
        <f>IF(P267="",0,VLOOKUP(P267,'Dados de consulta'!$H$2:$I$25,2,0))</f>
        <v>0</v>
      </c>
      <c r="AQ267">
        <f>IF(Q267="",0,VLOOKUP(Q267,'Dados de consulta'!$H$2:$I$25,2,0))</f>
        <v>0</v>
      </c>
      <c r="AR267">
        <f>IF(R267="",0,VLOOKUP(R267,'Dados de consulta'!$H$2:$I$25,2,0))</f>
        <v>0</v>
      </c>
      <c r="AS267">
        <f>IF(S267="",0,VLOOKUP(S267,'Dados de consulta'!$H$2:$I$25,2,0))</f>
        <v>0</v>
      </c>
      <c r="AT267">
        <f>IF(T267="",0,VLOOKUP(T267,'Dados de consulta'!$H$2:$I$25,2,0))</f>
        <v>0</v>
      </c>
      <c r="AU267">
        <f>IF(U267="",0,VLOOKUP(U267,'Dados de consulta'!$H$2:$I$25,2,0))</f>
        <v>0</v>
      </c>
      <c r="AV267">
        <f>IF(V267="",0,VLOOKUP(V267,'Dados de consulta'!$H$2:$I$25,2,0))</f>
        <v>0</v>
      </c>
      <c r="AW267">
        <f t="shared" si="26"/>
        <v>0</v>
      </c>
      <c r="AX267">
        <f t="shared" si="27"/>
        <v>0</v>
      </c>
      <c r="AY267">
        <f t="shared" si="28"/>
        <v>0</v>
      </c>
    </row>
    <row r="268" spans="1:51" hidden="1" x14ac:dyDescent="0.2">
      <c r="A268" s="202">
        <v>42525</v>
      </c>
      <c r="B268" s="78" t="s">
        <v>281</v>
      </c>
      <c r="W268">
        <f t="shared" si="29"/>
        <v>0</v>
      </c>
      <c r="X268">
        <f t="shared" si="30"/>
        <v>0</v>
      </c>
      <c r="Y268">
        <f t="shared" si="31"/>
        <v>0</v>
      </c>
      <c r="AA268" s="202">
        <v>42525</v>
      </c>
      <c r="AB268" s="78" t="s">
        <v>281</v>
      </c>
      <c r="AC268">
        <f>IF(C268="",0,VLOOKUP(C268,'Dados de consulta'!$H$2:$I$25,2,0))</f>
        <v>0</v>
      </c>
      <c r="AD268">
        <f>IF(D268="",0,VLOOKUP(D268,'Dados de consulta'!$H$2:$I$25,2,0))</f>
        <v>0</v>
      </c>
      <c r="AE268">
        <f>IF(E268="",0,VLOOKUP(E268,'Dados de consulta'!$H$2:$I$25,2,0))</f>
        <v>0</v>
      </c>
      <c r="AF268">
        <f>IF(F268="",0,VLOOKUP(F268,'Dados de consulta'!$H$2:$I$25,2,0))</f>
        <v>0</v>
      </c>
      <c r="AG268">
        <f>IF(G268="",0,VLOOKUP(G268,'Dados de consulta'!$H$2:$I$25,2,0))</f>
        <v>0</v>
      </c>
      <c r="AH268">
        <f>IF(H268="",0,VLOOKUP(H268,'Dados de consulta'!$H$2:$I$25,2,0))</f>
        <v>0</v>
      </c>
      <c r="AI268">
        <f>IF(I268="",0,VLOOKUP(I268,'Dados de consulta'!$H$2:$I$25,2,0))</f>
        <v>0</v>
      </c>
      <c r="AJ268">
        <f>IF(J268="",0,VLOOKUP(J268,'Dados de consulta'!$H$2:$I$25,2,0))</f>
        <v>0</v>
      </c>
      <c r="AK268">
        <f>IF(K268="",0,VLOOKUP(K268,'Dados de consulta'!$H$2:$I$25,2,0))</f>
        <v>0</v>
      </c>
      <c r="AL268">
        <f>IF(L268="",0,VLOOKUP(L268,'Dados de consulta'!$H$2:$I$25,2,0))</f>
        <v>0</v>
      </c>
      <c r="AM268">
        <f>IF(M268="",0,VLOOKUP(M268,'Dados de consulta'!$H$2:$I$25,2,0))</f>
        <v>0</v>
      </c>
      <c r="AN268">
        <f>IF(N268="",0,VLOOKUP(N268,'Dados de consulta'!$H$2:$I$25,2,0))</f>
        <v>0</v>
      </c>
      <c r="AO268">
        <f>IF(O268="",0,VLOOKUP(O268,'Dados de consulta'!$H$2:$I$25,2,0))</f>
        <v>0</v>
      </c>
      <c r="AP268">
        <f>IF(P268="",0,VLOOKUP(P268,'Dados de consulta'!$H$2:$I$25,2,0))</f>
        <v>0</v>
      </c>
      <c r="AQ268">
        <f>IF(Q268="",0,VLOOKUP(Q268,'Dados de consulta'!$H$2:$I$25,2,0))</f>
        <v>0</v>
      </c>
      <c r="AR268">
        <f>IF(R268="",0,VLOOKUP(R268,'Dados de consulta'!$H$2:$I$25,2,0))</f>
        <v>0</v>
      </c>
      <c r="AS268">
        <f>IF(S268="",0,VLOOKUP(S268,'Dados de consulta'!$H$2:$I$25,2,0))</f>
        <v>0</v>
      </c>
      <c r="AT268">
        <f>IF(T268="",0,VLOOKUP(T268,'Dados de consulta'!$H$2:$I$25,2,0))</f>
        <v>0</v>
      </c>
      <c r="AU268">
        <f>IF(U268="",0,VLOOKUP(U268,'Dados de consulta'!$H$2:$I$25,2,0))</f>
        <v>0</v>
      </c>
      <c r="AV268">
        <f>IF(V268="",0,VLOOKUP(V268,'Dados de consulta'!$H$2:$I$25,2,0))</f>
        <v>0</v>
      </c>
      <c r="AW268">
        <f t="shared" si="26"/>
        <v>0</v>
      </c>
      <c r="AX268">
        <f t="shared" si="27"/>
        <v>0</v>
      </c>
      <c r="AY268">
        <f t="shared" si="28"/>
        <v>0</v>
      </c>
    </row>
    <row r="269" spans="1:51" hidden="1" x14ac:dyDescent="0.2">
      <c r="A269" s="202">
        <v>42526</v>
      </c>
      <c r="B269" s="78" t="s">
        <v>282</v>
      </c>
      <c r="W269">
        <f t="shared" si="29"/>
        <v>0</v>
      </c>
      <c r="X269">
        <f t="shared" si="30"/>
        <v>0</v>
      </c>
      <c r="Y269">
        <f t="shared" si="31"/>
        <v>0</v>
      </c>
      <c r="AA269" s="202">
        <v>42526</v>
      </c>
      <c r="AB269" s="78" t="s">
        <v>282</v>
      </c>
      <c r="AC269">
        <f>IF(C269="",0,VLOOKUP(C269,'Dados de consulta'!$H$2:$I$25,2,0))</f>
        <v>0</v>
      </c>
      <c r="AD269">
        <f>IF(D269="",0,VLOOKUP(D269,'Dados de consulta'!$H$2:$I$25,2,0))</f>
        <v>0</v>
      </c>
      <c r="AE269">
        <f>IF(E269="",0,VLOOKUP(E269,'Dados de consulta'!$H$2:$I$25,2,0))</f>
        <v>0</v>
      </c>
      <c r="AF269">
        <f>IF(F269="",0,VLOOKUP(F269,'Dados de consulta'!$H$2:$I$25,2,0))</f>
        <v>0</v>
      </c>
      <c r="AG269">
        <f>IF(G269="",0,VLOOKUP(G269,'Dados de consulta'!$H$2:$I$25,2,0))</f>
        <v>0</v>
      </c>
      <c r="AH269">
        <f>IF(H269="",0,VLOOKUP(H269,'Dados de consulta'!$H$2:$I$25,2,0))</f>
        <v>0</v>
      </c>
      <c r="AI269">
        <f>IF(I269="",0,VLOOKUP(I269,'Dados de consulta'!$H$2:$I$25,2,0))</f>
        <v>0</v>
      </c>
      <c r="AJ269">
        <f>IF(J269="",0,VLOOKUP(J269,'Dados de consulta'!$H$2:$I$25,2,0))</f>
        <v>0</v>
      </c>
      <c r="AK269">
        <f>IF(K269="",0,VLOOKUP(K269,'Dados de consulta'!$H$2:$I$25,2,0))</f>
        <v>0</v>
      </c>
      <c r="AL269">
        <f>IF(L269="",0,VLOOKUP(L269,'Dados de consulta'!$H$2:$I$25,2,0))</f>
        <v>0</v>
      </c>
      <c r="AM269">
        <f>IF(M269="",0,VLOOKUP(M269,'Dados de consulta'!$H$2:$I$25,2,0))</f>
        <v>0</v>
      </c>
      <c r="AN269">
        <f>IF(N269="",0,VLOOKUP(N269,'Dados de consulta'!$H$2:$I$25,2,0))</f>
        <v>0</v>
      </c>
      <c r="AO269">
        <f>IF(O269="",0,VLOOKUP(O269,'Dados de consulta'!$H$2:$I$25,2,0))</f>
        <v>0</v>
      </c>
      <c r="AP269">
        <f>IF(P269="",0,VLOOKUP(P269,'Dados de consulta'!$H$2:$I$25,2,0))</f>
        <v>0</v>
      </c>
      <c r="AQ269">
        <f>IF(Q269="",0,VLOOKUP(Q269,'Dados de consulta'!$H$2:$I$25,2,0))</f>
        <v>0</v>
      </c>
      <c r="AR269">
        <f>IF(R269="",0,VLOOKUP(R269,'Dados de consulta'!$H$2:$I$25,2,0))</f>
        <v>0</v>
      </c>
      <c r="AS269">
        <f>IF(S269="",0,VLOOKUP(S269,'Dados de consulta'!$H$2:$I$25,2,0))</f>
        <v>0</v>
      </c>
      <c r="AT269">
        <f>IF(T269="",0,VLOOKUP(T269,'Dados de consulta'!$H$2:$I$25,2,0))</f>
        <v>0</v>
      </c>
      <c r="AU269">
        <f>IF(U269="",0,VLOOKUP(U269,'Dados de consulta'!$H$2:$I$25,2,0))</f>
        <v>0</v>
      </c>
      <c r="AV269">
        <f>IF(V269="",0,VLOOKUP(V269,'Dados de consulta'!$H$2:$I$25,2,0))</f>
        <v>0</v>
      </c>
      <c r="AW269">
        <f t="shared" si="26"/>
        <v>0</v>
      </c>
      <c r="AX269">
        <f t="shared" si="27"/>
        <v>0</v>
      </c>
      <c r="AY269">
        <f t="shared" si="28"/>
        <v>0</v>
      </c>
    </row>
    <row r="270" spans="1:51" hidden="1" x14ac:dyDescent="0.2">
      <c r="A270" s="202">
        <v>42527</v>
      </c>
      <c r="B270" s="78" t="s">
        <v>283</v>
      </c>
      <c r="W270">
        <f t="shared" si="29"/>
        <v>0</v>
      </c>
      <c r="X270">
        <f t="shared" si="30"/>
        <v>0</v>
      </c>
      <c r="Y270">
        <f t="shared" si="31"/>
        <v>0</v>
      </c>
      <c r="AA270" s="202">
        <v>42527</v>
      </c>
      <c r="AB270" s="78" t="s">
        <v>283</v>
      </c>
      <c r="AC270">
        <f>IF(C270="",0,VLOOKUP(C270,'Dados de consulta'!$H$2:$I$25,2,0))</f>
        <v>0</v>
      </c>
      <c r="AD270">
        <f>IF(D270="",0,VLOOKUP(D270,'Dados de consulta'!$H$2:$I$25,2,0))</f>
        <v>0</v>
      </c>
      <c r="AE270">
        <f>IF(E270="",0,VLOOKUP(E270,'Dados de consulta'!$H$2:$I$25,2,0))</f>
        <v>0</v>
      </c>
      <c r="AF270">
        <f>IF(F270="",0,VLOOKUP(F270,'Dados de consulta'!$H$2:$I$25,2,0))</f>
        <v>0</v>
      </c>
      <c r="AG270">
        <f>IF(G270="",0,VLOOKUP(G270,'Dados de consulta'!$H$2:$I$25,2,0))</f>
        <v>0</v>
      </c>
      <c r="AH270">
        <f>IF(H270="",0,VLOOKUP(H270,'Dados de consulta'!$H$2:$I$25,2,0))</f>
        <v>0</v>
      </c>
      <c r="AI270">
        <f>IF(I270="",0,VLOOKUP(I270,'Dados de consulta'!$H$2:$I$25,2,0))</f>
        <v>0</v>
      </c>
      <c r="AJ270">
        <f>IF(J270="",0,VLOOKUP(J270,'Dados de consulta'!$H$2:$I$25,2,0))</f>
        <v>0</v>
      </c>
      <c r="AK270">
        <f>IF(K270="",0,VLOOKUP(K270,'Dados de consulta'!$H$2:$I$25,2,0))</f>
        <v>0</v>
      </c>
      <c r="AL270">
        <f>IF(L270="",0,VLOOKUP(L270,'Dados de consulta'!$H$2:$I$25,2,0))</f>
        <v>0</v>
      </c>
      <c r="AM270">
        <f>IF(M270="",0,VLOOKUP(M270,'Dados de consulta'!$H$2:$I$25,2,0))</f>
        <v>0</v>
      </c>
      <c r="AN270">
        <f>IF(N270="",0,VLOOKUP(N270,'Dados de consulta'!$H$2:$I$25,2,0))</f>
        <v>0</v>
      </c>
      <c r="AO270">
        <f>IF(O270="",0,VLOOKUP(O270,'Dados de consulta'!$H$2:$I$25,2,0))</f>
        <v>0</v>
      </c>
      <c r="AP270">
        <f>IF(P270="",0,VLOOKUP(P270,'Dados de consulta'!$H$2:$I$25,2,0))</f>
        <v>0</v>
      </c>
      <c r="AQ270">
        <f>IF(Q270="",0,VLOOKUP(Q270,'Dados de consulta'!$H$2:$I$25,2,0))</f>
        <v>0</v>
      </c>
      <c r="AR270">
        <f>IF(R270="",0,VLOOKUP(R270,'Dados de consulta'!$H$2:$I$25,2,0))</f>
        <v>0</v>
      </c>
      <c r="AS270">
        <f>IF(S270="",0,VLOOKUP(S270,'Dados de consulta'!$H$2:$I$25,2,0))</f>
        <v>0</v>
      </c>
      <c r="AT270">
        <f>IF(T270="",0,VLOOKUP(T270,'Dados de consulta'!$H$2:$I$25,2,0))</f>
        <v>0</v>
      </c>
      <c r="AU270">
        <f>IF(U270="",0,VLOOKUP(U270,'Dados de consulta'!$H$2:$I$25,2,0))</f>
        <v>0</v>
      </c>
      <c r="AV270">
        <f>IF(V270="",0,VLOOKUP(V270,'Dados de consulta'!$H$2:$I$25,2,0))</f>
        <v>0</v>
      </c>
      <c r="AW270">
        <f t="shared" si="26"/>
        <v>0</v>
      </c>
      <c r="AX270">
        <f t="shared" si="27"/>
        <v>0</v>
      </c>
      <c r="AY270">
        <f t="shared" si="28"/>
        <v>0</v>
      </c>
    </row>
    <row r="271" spans="1:51" hidden="1" x14ac:dyDescent="0.2">
      <c r="A271" s="202">
        <v>42528</v>
      </c>
      <c r="B271" s="78" t="s">
        <v>284</v>
      </c>
      <c r="W271">
        <f t="shared" si="29"/>
        <v>0</v>
      </c>
      <c r="X271">
        <f t="shared" si="30"/>
        <v>0</v>
      </c>
      <c r="Y271">
        <f t="shared" si="31"/>
        <v>0</v>
      </c>
      <c r="AA271" s="202">
        <v>42528</v>
      </c>
      <c r="AB271" s="78" t="s">
        <v>284</v>
      </c>
      <c r="AC271">
        <f>IF(C271="",0,VLOOKUP(C271,'Dados de consulta'!$H$2:$I$25,2,0))</f>
        <v>0</v>
      </c>
      <c r="AD271">
        <f>IF(D271="",0,VLOOKUP(D271,'Dados de consulta'!$H$2:$I$25,2,0))</f>
        <v>0</v>
      </c>
      <c r="AE271">
        <f>IF(E271="",0,VLOOKUP(E271,'Dados de consulta'!$H$2:$I$25,2,0))</f>
        <v>0</v>
      </c>
      <c r="AF271">
        <f>IF(F271="",0,VLOOKUP(F271,'Dados de consulta'!$H$2:$I$25,2,0))</f>
        <v>0</v>
      </c>
      <c r="AG271">
        <f>IF(G271="",0,VLOOKUP(G271,'Dados de consulta'!$H$2:$I$25,2,0))</f>
        <v>0</v>
      </c>
      <c r="AH271">
        <f>IF(H271="",0,VLOOKUP(H271,'Dados de consulta'!$H$2:$I$25,2,0))</f>
        <v>0</v>
      </c>
      <c r="AI271">
        <f>IF(I271="",0,VLOOKUP(I271,'Dados de consulta'!$H$2:$I$25,2,0))</f>
        <v>0</v>
      </c>
      <c r="AJ271">
        <f>IF(J271="",0,VLOOKUP(J271,'Dados de consulta'!$H$2:$I$25,2,0))</f>
        <v>0</v>
      </c>
      <c r="AK271">
        <f>IF(K271="",0,VLOOKUP(K271,'Dados de consulta'!$H$2:$I$25,2,0))</f>
        <v>0</v>
      </c>
      <c r="AL271">
        <f>IF(L271="",0,VLOOKUP(L271,'Dados de consulta'!$H$2:$I$25,2,0))</f>
        <v>0</v>
      </c>
      <c r="AM271">
        <f>IF(M271="",0,VLOOKUP(M271,'Dados de consulta'!$H$2:$I$25,2,0))</f>
        <v>0</v>
      </c>
      <c r="AN271">
        <f>IF(N271="",0,VLOOKUP(N271,'Dados de consulta'!$H$2:$I$25,2,0))</f>
        <v>0</v>
      </c>
      <c r="AO271">
        <f>IF(O271="",0,VLOOKUP(O271,'Dados de consulta'!$H$2:$I$25,2,0))</f>
        <v>0</v>
      </c>
      <c r="AP271">
        <f>IF(P271="",0,VLOOKUP(P271,'Dados de consulta'!$H$2:$I$25,2,0))</f>
        <v>0</v>
      </c>
      <c r="AQ271">
        <f>IF(Q271="",0,VLOOKUP(Q271,'Dados de consulta'!$H$2:$I$25,2,0))</f>
        <v>0</v>
      </c>
      <c r="AR271">
        <f>IF(R271="",0,VLOOKUP(R271,'Dados de consulta'!$H$2:$I$25,2,0))</f>
        <v>0</v>
      </c>
      <c r="AS271">
        <f>IF(S271="",0,VLOOKUP(S271,'Dados de consulta'!$H$2:$I$25,2,0))</f>
        <v>0</v>
      </c>
      <c r="AT271">
        <f>IF(T271="",0,VLOOKUP(T271,'Dados de consulta'!$H$2:$I$25,2,0))</f>
        <v>0</v>
      </c>
      <c r="AU271">
        <f>IF(U271="",0,VLOOKUP(U271,'Dados de consulta'!$H$2:$I$25,2,0))</f>
        <v>0</v>
      </c>
      <c r="AV271">
        <f>IF(V271="",0,VLOOKUP(V271,'Dados de consulta'!$H$2:$I$25,2,0))</f>
        <v>0</v>
      </c>
      <c r="AW271">
        <f t="shared" si="26"/>
        <v>0</v>
      </c>
      <c r="AX271">
        <f t="shared" si="27"/>
        <v>0</v>
      </c>
      <c r="AY271">
        <f t="shared" si="28"/>
        <v>0</v>
      </c>
    </row>
    <row r="272" spans="1:51" hidden="1" x14ac:dyDescent="0.2">
      <c r="A272" s="202">
        <v>42529</v>
      </c>
      <c r="B272" s="78" t="s">
        <v>285</v>
      </c>
      <c r="W272">
        <f t="shared" si="29"/>
        <v>0</v>
      </c>
      <c r="X272">
        <f t="shared" si="30"/>
        <v>0</v>
      </c>
      <c r="Y272">
        <f t="shared" si="31"/>
        <v>0</v>
      </c>
      <c r="AA272" s="202">
        <v>42529</v>
      </c>
      <c r="AB272" s="78" t="s">
        <v>285</v>
      </c>
      <c r="AC272">
        <f>IF(C272="",0,VLOOKUP(C272,'Dados de consulta'!$H$2:$I$25,2,0))</f>
        <v>0</v>
      </c>
      <c r="AD272">
        <f>IF(D272="",0,VLOOKUP(D272,'Dados de consulta'!$H$2:$I$25,2,0))</f>
        <v>0</v>
      </c>
      <c r="AE272">
        <f>IF(E272="",0,VLOOKUP(E272,'Dados de consulta'!$H$2:$I$25,2,0))</f>
        <v>0</v>
      </c>
      <c r="AF272">
        <f>IF(F272="",0,VLOOKUP(F272,'Dados de consulta'!$H$2:$I$25,2,0))</f>
        <v>0</v>
      </c>
      <c r="AG272">
        <f>IF(G272="",0,VLOOKUP(G272,'Dados de consulta'!$H$2:$I$25,2,0))</f>
        <v>0</v>
      </c>
      <c r="AH272">
        <f>IF(H272="",0,VLOOKUP(H272,'Dados de consulta'!$H$2:$I$25,2,0))</f>
        <v>0</v>
      </c>
      <c r="AI272">
        <f>IF(I272="",0,VLOOKUP(I272,'Dados de consulta'!$H$2:$I$25,2,0))</f>
        <v>0</v>
      </c>
      <c r="AJ272">
        <f>IF(J272="",0,VLOOKUP(J272,'Dados de consulta'!$H$2:$I$25,2,0))</f>
        <v>0</v>
      </c>
      <c r="AK272">
        <f>IF(K272="",0,VLOOKUP(K272,'Dados de consulta'!$H$2:$I$25,2,0))</f>
        <v>0</v>
      </c>
      <c r="AL272">
        <f>IF(L272="",0,VLOOKUP(L272,'Dados de consulta'!$H$2:$I$25,2,0))</f>
        <v>0</v>
      </c>
      <c r="AM272">
        <f>IF(M272="",0,VLOOKUP(M272,'Dados de consulta'!$H$2:$I$25,2,0))</f>
        <v>0</v>
      </c>
      <c r="AN272">
        <f>IF(N272="",0,VLOOKUP(N272,'Dados de consulta'!$H$2:$I$25,2,0))</f>
        <v>0</v>
      </c>
      <c r="AO272">
        <f>IF(O272="",0,VLOOKUP(O272,'Dados de consulta'!$H$2:$I$25,2,0))</f>
        <v>0</v>
      </c>
      <c r="AP272">
        <f>IF(P272="",0,VLOOKUP(P272,'Dados de consulta'!$H$2:$I$25,2,0))</f>
        <v>0</v>
      </c>
      <c r="AQ272">
        <f>IF(Q272="",0,VLOOKUP(Q272,'Dados de consulta'!$H$2:$I$25,2,0))</f>
        <v>0</v>
      </c>
      <c r="AR272">
        <f>IF(R272="",0,VLOOKUP(R272,'Dados de consulta'!$H$2:$I$25,2,0))</f>
        <v>0</v>
      </c>
      <c r="AS272">
        <f>IF(S272="",0,VLOOKUP(S272,'Dados de consulta'!$H$2:$I$25,2,0))</f>
        <v>0</v>
      </c>
      <c r="AT272">
        <f>IF(T272="",0,VLOOKUP(T272,'Dados de consulta'!$H$2:$I$25,2,0))</f>
        <v>0</v>
      </c>
      <c r="AU272">
        <f>IF(U272="",0,VLOOKUP(U272,'Dados de consulta'!$H$2:$I$25,2,0))</f>
        <v>0</v>
      </c>
      <c r="AV272">
        <f>IF(V272="",0,VLOOKUP(V272,'Dados de consulta'!$H$2:$I$25,2,0))</f>
        <v>0</v>
      </c>
      <c r="AW272">
        <f t="shared" si="26"/>
        <v>0</v>
      </c>
      <c r="AX272">
        <f t="shared" si="27"/>
        <v>0</v>
      </c>
      <c r="AY272">
        <f t="shared" si="28"/>
        <v>0</v>
      </c>
    </row>
    <row r="273" spans="1:51" hidden="1" x14ac:dyDescent="0.2">
      <c r="A273" s="202">
        <v>42530</v>
      </c>
      <c r="B273" s="78" t="s">
        <v>286</v>
      </c>
      <c r="W273">
        <f t="shared" si="29"/>
        <v>0</v>
      </c>
      <c r="X273">
        <f t="shared" si="30"/>
        <v>0</v>
      </c>
      <c r="Y273">
        <f t="shared" si="31"/>
        <v>0</v>
      </c>
      <c r="AA273" s="202">
        <v>42530</v>
      </c>
      <c r="AB273" s="78" t="s">
        <v>286</v>
      </c>
      <c r="AC273">
        <f>IF(C273="",0,VLOOKUP(C273,'Dados de consulta'!$H$2:$I$25,2,0))</f>
        <v>0</v>
      </c>
      <c r="AD273">
        <f>IF(D273="",0,VLOOKUP(D273,'Dados de consulta'!$H$2:$I$25,2,0))</f>
        <v>0</v>
      </c>
      <c r="AE273">
        <f>IF(E273="",0,VLOOKUP(E273,'Dados de consulta'!$H$2:$I$25,2,0))</f>
        <v>0</v>
      </c>
      <c r="AF273">
        <f>IF(F273="",0,VLOOKUP(F273,'Dados de consulta'!$H$2:$I$25,2,0))</f>
        <v>0</v>
      </c>
      <c r="AG273">
        <f>IF(G273="",0,VLOOKUP(G273,'Dados de consulta'!$H$2:$I$25,2,0))</f>
        <v>0</v>
      </c>
      <c r="AH273">
        <f>IF(H273="",0,VLOOKUP(H273,'Dados de consulta'!$H$2:$I$25,2,0))</f>
        <v>0</v>
      </c>
      <c r="AI273">
        <f>IF(I273="",0,VLOOKUP(I273,'Dados de consulta'!$H$2:$I$25,2,0))</f>
        <v>0</v>
      </c>
      <c r="AJ273">
        <f>IF(J273="",0,VLOOKUP(J273,'Dados de consulta'!$H$2:$I$25,2,0))</f>
        <v>0</v>
      </c>
      <c r="AK273">
        <f>IF(K273="",0,VLOOKUP(K273,'Dados de consulta'!$H$2:$I$25,2,0))</f>
        <v>0</v>
      </c>
      <c r="AL273">
        <f>IF(L273="",0,VLOOKUP(L273,'Dados de consulta'!$H$2:$I$25,2,0))</f>
        <v>0</v>
      </c>
      <c r="AM273">
        <f>IF(M273="",0,VLOOKUP(M273,'Dados de consulta'!$H$2:$I$25,2,0))</f>
        <v>0</v>
      </c>
      <c r="AN273">
        <f>IF(N273="",0,VLOOKUP(N273,'Dados de consulta'!$H$2:$I$25,2,0))</f>
        <v>0</v>
      </c>
      <c r="AO273">
        <f>IF(O273="",0,VLOOKUP(O273,'Dados de consulta'!$H$2:$I$25,2,0))</f>
        <v>0</v>
      </c>
      <c r="AP273">
        <f>IF(P273="",0,VLOOKUP(P273,'Dados de consulta'!$H$2:$I$25,2,0))</f>
        <v>0</v>
      </c>
      <c r="AQ273">
        <f>IF(Q273="",0,VLOOKUP(Q273,'Dados de consulta'!$H$2:$I$25,2,0))</f>
        <v>0</v>
      </c>
      <c r="AR273">
        <f>IF(R273="",0,VLOOKUP(R273,'Dados de consulta'!$H$2:$I$25,2,0))</f>
        <v>0</v>
      </c>
      <c r="AS273">
        <f>IF(S273="",0,VLOOKUP(S273,'Dados de consulta'!$H$2:$I$25,2,0))</f>
        <v>0</v>
      </c>
      <c r="AT273">
        <f>IF(T273="",0,VLOOKUP(T273,'Dados de consulta'!$H$2:$I$25,2,0))</f>
        <v>0</v>
      </c>
      <c r="AU273">
        <f>IF(U273="",0,VLOOKUP(U273,'Dados de consulta'!$H$2:$I$25,2,0))</f>
        <v>0</v>
      </c>
      <c r="AV273">
        <f>IF(V273="",0,VLOOKUP(V273,'Dados de consulta'!$H$2:$I$25,2,0))</f>
        <v>0</v>
      </c>
      <c r="AW273">
        <f t="shared" si="26"/>
        <v>0</v>
      </c>
      <c r="AX273">
        <f t="shared" si="27"/>
        <v>0</v>
      </c>
      <c r="AY273">
        <f t="shared" si="28"/>
        <v>0</v>
      </c>
    </row>
    <row r="274" spans="1:51" hidden="1" x14ac:dyDescent="0.2">
      <c r="A274" s="202">
        <v>42531</v>
      </c>
      <c r="B274" s="78" t="s">
        <v>287</v>
      </c>
      <c r="W274">
        <f t="shared" si="29"/>
        <v>0</v>
      </c>
      <c r="X274">
        <f t="shared" si="30"/>
        <v>0</v>
      </c>
      <c r="Y274">
        <f t="shared" si="31"/>
        <v>0</v>
      </c>
      <c r="AA274" s="202">
        <v>42531</v>
      </c>
      <c r="AB274" s="78" t="s">
        <v>287</v>
      </c>
      <c r="AC274">
        <f>IF(C274="",0,VLOOKUP(C274,'Dados de consulta'!$H$2:$I$25,2,0))</f>
        <v>0</v>
      </c>
      <c r="AD274">
        <f>IF(D274="",0,VLOOKUP(D274,'Dados de consulta'!$H$2:$I$25,2,0))</f>
        <v>0</v>
      </c>
      <c r="AE274">
        <f>IF(E274="",0,VLOOKUP(E274,'Dados de consulta'!$H$2:$I$25,2,0))</f>
        <v>0</v>
      </c>
      <c r="AF274">
        <f>IF(F274="",0,VLOOKUP(F274,'Dados de consulta'!$H$2:$I$25,2,0))</f>
        <v>0</v>
      </c>
      <c r="AG274">
        <f>IF(G274="",0,VLOOKUP(G274,'Dados de consulta'!$H$2:$I$25,2,0))</f>
        <v>0</v>
      </c>
      <c r="AH274">
        <f>IF(H274="",0,VLOOKUP(H274,'Dados de consulta'!$H$2:$I$25,2,0))</f>
        <v>0</v>
      </c>
      <c r="AI274">
        <f>IF(I274="",0,VLOOKUP(I274,'Dados de consulta'!$H$2:$I$25,2,0))</f>
        <v>0</v>
      </c>
      <c r="AJ274">
        <f>IF(J274="",0,VLOOKUP(J274,'Dados de consulta'!$H$2:$I$25,2,0))</f>
        <v>0</v>
      </c>
      <c r="AK274">
        <f>IF(K274="",0,VLOOKUP(K274,'Dados de consulta'!$H$2:$I$25,2,0))</f>
        <v>0</v>
      </c>
      <c r="AL274">
        <f>IF(L274="",0,VLOOKUP(L274,'Dados de consulta'!$H$2:$I$25,2,0))</f>
        <v>0</v>
      </c>
      <c r="AM274">
        <f>IF(M274="",0,VLOOKUP(M274,'Dados de consulta'!$H$2:$I$25,2,0))</f>
        <v>0</v>
      </c>
      <c r="AN274">
        <f>IF(N274="",0,VLOOKUP(N274,'Dados de consulta'!$H$2:$I$25,2,0))</f>
        <v>0</v>
      </c>
      <c r="AO274">
        <f>IF(O274="",0,VLOOKUP(O274,'Dados de consulta'!$H$2:$I$25,2,0))</f>
        <v>0</v>
      </c>
      <c r="AP274">
        <f>IF(P274="",0,VLOOKUP(P274,'Dados de consulta'!$H$2:$I$25,2,0))</f>
        <v>0</v>
      </c>
      <c r="AQ274">
        <f>IF(Q274="",0,VLOOKUP(Q274,'Dados de consulta'!$H$2:$I$25,2,0))</f>
        <v>0</v>
      </c>
      <c r="AR274">
        <f>IF(R274="",0,VLOOKUP(R274,'Dados de consulta'!$H$2:$I$25,2,0))</f>
        <v>0</v>
      </c>
      <c r="AS274">
        <f>IF(S274="",0,VLOOKUP(S274,'Dados de consulta'!$H$2:$I$25,2,0))</f>
        <v>0</v>
      </c>
      <c r="AT274">
        <f>IF(T274="",0,VLOOKUP(T274,'Dados de consulta'!$H$2:$I$25,2,0))</f>
        <v>0</v>
      </c>
      <c r="AU274">
        <f>IF(U274="",0,VLOOKUP(U274,'Dados de consulta'!$H$2:$I$25,2,0))</f>
        <v>0</v>
      </c>
      <c r="AV274">
        <f>IF(V274="",0,VLOOKUP(V274,'Dados de consulta'!$H$2:$I$25,2,0))</f>
        <v>0</v>
      </c>
      <c r="AW274">
        <f t="shared" si="26"/>
        <v>0</v>
      </c>
      <c r="AX274">
        <f t="shared" si="27"/>
        <v>0</v>
      </c>
      <c r="AY274">
        <f t="shared" si="28"/>
        <v>0</v>
      </c>
    </row>
    <row r="275" spans="1:51" hidden="1" x14ac:dyDescent="0.2">
      <c r="A275" s="202">
        <v>42532</v>
      </c>
      <c r="B275" s="78" t="s">
        <v>281</v>
      </c>
      <c r="W275">
        <f t="shared" si="29"/>
        <v>0</v>
      </c>
      <c r="X275">
        <f t="shared" si="30"/>
        <v>0</v>
      </c>
      <c r="Y275">
        <f t="shared" si="31"/>
        <v>0</v>
      </c>
      <c r="AA275" s="202">
        <v>42532</v>
      </c>
      <c r="AB275" s="78" t="s">
        <v>281</v>
      </c>
      <c r="AC275">
        <f>IF(C275="",0,VLOOKUP(C275,'Dados de consulta'!$H$2:$I$25,2,0))</f>
        <v>0</v>
      </c>
      <c r="AD275">
        <f>IF(D275="",0,VLOOKUP(D275,'Dados de consulta'!$H$2:$I$25,2,0))</f>
        <v>0</v>
      </c>
      <c r="AE275">
        <f>IF(E275="",0,VLOOKUP(E275,'Dados de consulta'!$H$2:$I$25,2,0))</f>
        <v>0</v>
      </c>
      <c r="AF275">
        <f>IF(F275="",0,VLOOKUP(F275,'Dados de consulta'!$H$2:$I$25,2,0))</f>
        <v>0</v>
      </c>
      <c r="AG275">
        <f>IF(G275="",0,VLOOKUP(G275,'Dados de consulta'!$H$2:$I$25,2,0))</f>
        <v>0</v>
      </c>
      <c r="AH275">
        <f>IF(H275="",0,VLOOKUP(H275,'Dados de consulta'!$H$2:$I$25,2,0))</f>
        <v>0</v>
      </c>
      <c r="AI275">
        <f>IF(I275="",0,VLOOKUP(I275,'Dados de consulta'!$H$2:$I$25,2,0))</f>
        <v>0</v>
      </c>
      <c r="AJ275">
        <f>IF(J275="",0,VLOOKUP(J275,'Dados de consulta'!$H$2:$I$25,2,0))</f>
        <v>0</v>
      </c>
      <c r="AK275">
        <f>IF(K275="",0,VLOOKUP(K275,'Dados de consulta'!$H$2:$I$25,2,0))</f>
        <v>0</v>
      </c>
      <c r="AL275">
        <f>IF(L275="",0,VLOOKUP(L275,'Dados de consulta'!$H$2:$I$25,2,0))</f>
        <v>0</v>
      </c>
      <c r="AM275">
        <f>IF(M275="",0,VLOOKUP(M275,'Dados de consulta'!$H$2:$I$25,2,0))</f>
        <v>0</v>
      </c>
      <c r="AN275">
        <f>IF(N275="",0,VLOOKUP(N275,'Dados de consulta'!$H$2:$I$25,2,0))</f>
        <v>0</v>
      </c>
      <c r="AO275">
        <f>IF(O275="",0,VLOOKUP(O275,'Dados de consulta'!$H$2:$I$25,2,0))</f>
        <v>0</v>
      </c>
      <c r="AP275">
        <f>IF(P275="",0,VLOOKUP(P275,'Dados de consulta'!$H$2:$I$25,2,0))</f>
        <v>0</v>
      </c>
      <c r="AQ275">
        <f>IF(Q275="",0,VLOOKUP(Q275,'Dados de consulta'!$H$2:$I$25,2,0))</f>
        <v>0</v>
      </c>
      <c r="AR275">
        <f>IF(R275="",0,VLOOKUP(R275,'Dados de consulta'!$H$2:$I$25,2,0))</f>
        <v>0</v>
      </c>
      <c r="AS275">
        <f>IF(S275="",0,VLOOKUP(S275,'Dados de consulta'!$H$2:$I$25,2,0))</f>
        <v>0</v>
      </c>
      <c r="AT275">
        <f>IF(T275="",0,VLOOKUP(T275,'Dados de consulta'!$H$2:$I$25,2,0))</f>
        <v>0</v>
      </c>
      <c r="AU275">
        <f>IF(U275="",0,VLOOKUP(U275,'Dados de consulta'!$H$2:$I$25,2,0))</f>
        <v>0</v>
      </c>
      <c r="AV275">
        <f>IF(V275="",0,VLOOKUP(V275,'Dados de consulta'!$H$2:$I$25,2,0))</f>
        <v>0</v>
      </c>
      <c r="AW275">
        <f t="shared" si="26"/>
        <v>0</v>
      </c>
      <c r="AX275">
        <f t="shared" si="27"/>
        <v>0</v>
      </c>
      <c r="AY275">
        <f t="shared" si="28"/>
        <v>0</v>
      </c>
    </row>
    <row r="276" spans="1:51" hidden="1" x14ac:dyDescent="0.2">
      <c r="A276" s="202">
        <v>42533</v>
      </c>
      <c r="B276" s="78" t="s">
        <v>282</v>
      </c>
      <c r="W276">
        <f t="shared" si="29"/>
        <v>0</v>
      </c>
      <c r="X276">
        <f t="shared" si="30"/>
        <v>0</v>
      </c>
      <c r="Y276">
        <f t="shared" si="31"/>
        <v>0</v>
      </c>
      <c r="AA276" s="202">
        <v>42533</v>
      </c>
      <c r="AB276" s="78" t="s">
        <v>282</v>
      </c>
      <c r="AC276">
        <f>IF(C276="",0,VLOOKUP(C276,'Dados de consulta'!$H$2:$I$25,2,0))</f>
        <v>0</v>
      </c>
      <c r="AD276">
        <f>IF(D276="",0,VLOOKUP(D276,'Dados de consulta'!$H$2:$I$25,2,0))</f>
        <v>0</v>
      </c>
      <c r="AE276">
        <f>IF(E276="",0,VLOOKUP(E276,'Dados de consulta'!$H$2:$I$25,2,0))</f>
        <v>0</v>
      </c>
      <c r="AF276">
        <f>IF(F276="",0,VLOOKUP(F276,'Dados de consulta'!$H$2:$I$25,2,0))</f>
        <v>0</v>
      </c>
      <c r="AG276">
        <f>IF(G276="",0,VLOOKUP(G276,'Dados de consulta'!$H$2:$I$25,2,0))</f>
        <v>0</v>
      </c>
      <c r="AH276">
        <f>IF(H276="",0,VLOOKUP(H276,'Dados de consulta'!$H$2:$I$25,2,0))</f>
        <v>0</v>
      </c>
      <c r="AI276">
        <f>IF(I276="",0,VLOOKUP(I276,'Dados de consulta'!$H$2:$I$25,2,0))</f>
        <v>0</v>
      </c>
      <c r="AJ276">
        <f>IF(J276="",0,VLOOKUP(J276,'Dados de consulta'!$H$2:$I$25,2,0))</f>
        <v>0</v>
      </c>
      <c r="AK276">
        <f>IF(K276="",0,VLOOKUP(K276,'Dados de consulta'!$H$2:$I$25,2,0))</f>
        <v>0</v>
      </c>
      <c r="AL276">
        <f>IF(L276="",0,VLOOKUP(L276,'Dados de consulta'!$H$2:$I$25,2,0))</f>
        <v>0</v>
      </c>
      <c r="AM276">
        <f>IF(M276="",0,VLOOKUP(M276,'Dados de consulta'!$H$2:$I$25,2,0))</f>
        <v>0</v>
      </c>
      <c r="AN276">
        <f>IF(N276="",0,VLOOKUP(N276,'Dados de consulta'!$H$2:$I$25,2,0))</f>
        <v>0</v>
      </c>
      <c r="AO276">
        <f>IF(O276="",0,VLOOKUP(O276,'Dados de consulta'!$H$2:$I$25,2,0))</f>
        <v>0</v>
      </c>
      <c r="AP276">
        <f>IF(P276="",0,VLOOKUP(P276,'Dados de consulta'!$H$2:$I$25,2,0))</f>
        <v>0</v>
      </c>
      <c r="AQ276">
        <f>IF(Q276="",0,VLOOKUP(Q276,'Dados de consulta'!$H$2:$I$25,2,0))</f>
        <v>0</v>
      </c>
      <c r="AR276">
        <f>IF(R276="",0,VLOOKUP(R276,'Dados de consulta'!$H$2:$I$25,2,0))</f>
        <v>0</v>
      </c>
      <c r="AS276">
        <f>IF(S276="",0,VLOOKUP(S276,'Dados de consulta'!$H$2:$I$25,2,0))</f>
        <v>0</v>
      </c>
      <c r="AT276">
        <f>IF(T276="",0,VLOOKUP(T276,'Dados de consulta'!$H$2:$I$25,2,0))</f>
        <v>0</v>
      </c>
      <c r="AU276">
        <f>IF(U276="",0,VLOOKUP(U276,'Dados de consulta'!$H$2:$I$25,2,0))</f>
        <v>0</v>
      </c>
      <c r="AV276">
        <f>IF(V276="",0,VLOOKUP(V276,'Dados de consulta'!$H$2:$I$25,2,0))</f>
        <v>0</v>
      </c>
      <c r="AW276">
        <f t="shared" si="26"/>
        <v>0</v>
      </c>
      <c r="AX276">
        <f t="shared" si="27"/>
        <v>0</v>
      </c>
      <c r="AY276">
        <f t="shared" si="28"/>
        <v>0</v>
      </c>
    </row>
    <row r="277" spans="1:51" hidden="1" x14ac:dyDescent="0.2">
      <c r="A277" s="202">
        <v>42534</v>
      </c>
      <c r="B277" s="78" t="s">
        <v>283</v>
      </c>
      <c r="W277">
        <f t="shared" si="29"/>
        <v>0</v>
      </c>
      <c r="X277">
        <f t="shared" si="30"/>
        <v>0</v>
      </c>
      <c r="Y277">
        <f t="shared" si="31"/>
        <v>0</v>
      </c>
      <c r="AA277" s="202">
        <v>42534</v>
      </c>
      <c r="AB277" s="78" t="s">
        <v>283</v>
      </c>
      <c r="AC277">
        <f>IF(C277="",0,VLOOKUP(C277,'Dados de consulta'!$H$2:$I$25,2,0))</f>
        <v>0</v>
      </c>
      <c r="AD277">
        <f>IF(D277="",0,VLOOKUP(D277,'Dados de consulta'!$H$2:$I$25,2,0))</f>
        <v>0</v>
      </c>
      <c r="AE277">
        <f>IF(E277="",0,VLOOKUP(E277,'Dados de consulta'!$H$2:$I$25,2,0))</f>
        <v>0</v>
      </c>
      <c r="AF277">
        <f>IF(F277="",0,VLOOKUP(F277,'Dados de consulta'!$H$2:$I$25,2,0))</f>
        <v>0</v>
      </c>
      <c r="AG277">
        <f>IF(G277="",0,VLOOKUP(G277,'Dados de consulta'!$H$2:$I$25,2,0))</f>
        <v>0</v>
      </c>
      <c r="AH277">
        <f>IF(H277="",0,VLOOKUP(H277,'Dados de consulta'!$H$2:$I$25,2,0))</f>
        <v>0</v>
      </c>
      <c r="AI277">
        <f>IF(I277="",0,VLOOKUP(I277,'Dados de consulta'!$H$2:$I$25,2,0))</f>
        <v>0</v>
      </c>
      <c r="AJ277">
        <f>IF(J277="",0,VLOOKUP(J277,'Dados de consulta'!$H$2:$I$25,2,0))</f>
        <v>0</v>
      </c>
      <c r="AK277">
        <f>IF(K277="",0,VLOOKUP(K277,'Dados de consulta'!$H$2:$I$25,2,0))</f>
        <v>0</v>
      </c>
      <c r="AL277">
        <f>IF(L277="",0,VLOOKUP(L277,'Dados de consulta'!$H$2:$I$25,2,0))</f>
        <v>0</v>
      </c>
      <c r="AM277">
        <f>IF(M277="",0,VLOOKUP(M277,'Dados de consulta'!$H$2:$I$25,2,0))</f>
        <v>0</v>
      </c>
      <c r="AN277">
        <f>IF(N277="",0,VLOOKUP(N277,'Dados de consulta'!$H$2:$I$25,2,0))</f>
        <v>0</v>
      </c>
      <c r="AO277">
        <f>IF(O277="",0,VLOOKUP(O277,'Dados de consulta'!$H$2:$I$25,2,0))</f>
        <v>0</v>
      </c>
      <c r="AP277">
        <f>IF(P277="",0,VLOOKUP(P277,'Dados de consulta'!$H$2:$I$25,2,0))</f>
        <v>0</v>
      </c>
      <c r="AQ277">
        <f>IF(Q277="",0,VLOOKUP(Q277,'Dados de consulta'!$H$2:$I$25,2,0))</f>
        <v>0</v>
      </c>
      <c r="AR277">
        <f>IF(R277="",0,VLOOKUP(R277,'Dados de consulta'!$H$2:$I$25,2,0))</f>
        <v>0</v>
      </c>
      <c r="AS277">
        <f>IF(S277="",0,VLOOKUP(S277,'Dados de consulta'!$H$2:$I$25,2,0))</f>
        <v>0</v>
      </c>
      <c r="AT277">
        <f>IF(T277="",0,VLOOKUP(T277,'Dados de consulta'!$H$2:$I$25,2,0))</f>
        <v>0</v>
      </c>
      <c r="AU277">
        <f>IF(U277="",0,VLOOKUP(U277,'Dados de consulta'!$H$2:$I$25,2,0))</f>
        <v>0</v>
      </c>
      <c r="AV277">
        <f>IF(V277="",0,VLOOKUP(V277,'Dados de consulta'!$H$2:$I$25,2,0))</f>
        <v>0</v>
      </c>
      <c r="AW277">
        <f t="shared" si="26"/>
        <v>0</v>
      </c>
      <c r="AX277">
        <f t="shared" si="27"/>
        <v>0</v>
      </c>
      <c r="AY277">
        <f t="shared" si="28"/>
        <v>0</v>
      </c>
    </row>
    <row r="278" spans="1:51" hidden="1" x14ac:dyDescent="0.2">
      <c r="A278" s="202">
        <v>42535</v>
      </c>
      <c r="B278" s="78" t="s">
        <v>284</v>
      </c>
      <c r="W278">
        <f t="shared" si="29"/>
        <v>0</v>
      </c>
      <c r="X278">
        <f t="shared" si="30"/>
        <v>0</v>
      </c>
      <c r="Y278">
        <f t="shared" si="31"/>
        <v>0</v>
      </c>
      <c r="AA278" s="202">
        <v>42535</v>
      </c>
      <c r="AB278" s="78" t="s">
        <v>284</v>
      </c>
      <c r="AC278">
        <f>IF(C278="",0,VLOOKUP(C278,'Dados de consulta'!$H$2:$I$25,2,0))</f>
        <v>0</v>
      </c>
      <c r="AD278">
        <f>IF(D278="",0,VLOOKUP(D278,'Dados de consulta'!$H$2:$I$25,2,0))</f>
        <v>0</v>
      </c>
      <c r="AE278">
        <f>IF(E278="",0,VLOOKUP(E278,'Dados de consulta'!$H$2:$I$25,2,0))</f>
        <v>0</v>
      </c>
      <c r="AF278">
        <f>IF(F278="",0,VLOOKUP(F278,'Dados de consulta'!$H$2:$I$25,2,0))</f>
        <v>0</v>
      </c>
      <c r="AG278">
        <f>IF(G278="",0,VLOOKUP(G278,'Dados de consulta'!$H$2:$I$25,2,0))</f>
        <v>0</v>
      </c>
      <c r="AH278">
        <f>IF(H278="",0,VLOOKUP(H278,'Dados de consulta'!$H$2:$I$25,2,0))</f>
        <v>0</v>
      </c>
      <c r="AI278">
        <f>IF(I278="",0,VLOOKUP(I278,'Dados de consulta'!$H$2:$I$25,2,0))</f>
        <v>0</v>
      </c>
      <c r="AJ278">
        <f>IF(J278="",0,VLOOKUP(J278,'Dados de consulta'!$H$2:$I$25,2,0))</f>
        <v>0</v>
      </c>
      <c r="AK278">
        <f>IF(K278="",0,VLOOKUP(K278,'Dados de consulta'!$H$2:$I$25,2,0))</f>
        <v>0</v>
      </c>
      <c r="AL278">
        <f>IF(L278="",0,VLOOKUP(L278,'Dados de consulta'!$H$2:$I$25,2,0))</f>
        <v>0</v>
      </c>
      <c r="AM278">
        <f>IF(M278="",0,VLOOKUP(M278,'Dados de consulta'!$H$2:$I$25,2,0))</f>
        <v>0</v>
      </c>
      <c r="AN278">
        <f>IF(N278="",0,VLOOKUP(N278,'Dados de consulta'!$H$2:$I$25,2,0))</f>
        <v>0</v>
      </c>
      <c r="AO278">
        <f>IF(O278="",0,VLOOKUP(O278,'Dados de consulta'!$H$2:$I$25,2,0))</f>
        <v>0</v>
      </c>
      <c r="AP278">
        <f>IF(P278="",0,VLOOKUP(P278,'Dados de consulta'!$H$2:$I$25,2,0))</f>
        <v>0</v>
      </c>
      <c r="AQ278">
        <f>IF(Q278="",0,VLOOKUP(Q278,'Dados de consulta'!$H$2:$I$25,2,0))</f>
        <v>0</v>
      </c>
      <c r="AR278">
        <f>IF(R278="",0,VLOOKUP(R278,'Dados de consulta'!$H$2:$I$25,2,0))</f>
        <v>0</v>
      </c>
      <c r="AS278">
        <f>IF(S278="",0,VLOOKUP(S278,'Dados de consulta'!$H$2:$I$25,2,0))</f>
        <v>0</v>
      </c>
      <c r="AT278">
        <f>IF(T278="",0,VLOOKUP(T278,'Dados de consulta'!$H$2:$I$25,2,0))</f>
        <v>0</v>
      </c>
      <c r="AU278">
        <f>IF(U278="",0,VLOOKUP(U278,'Dados de consulta'!$H$2:$I$25,2,0))</f>
        <v>0</v>
      </c>
      <c r="AV278">
        <f>IF(V278="",0,VLOOKUP(V278,'Dados de consulta'!$H$2:$I$25,2,0))</f>
        <v>0</v>
      </c>
      <c r="AW278">
        <f t="shared" ref="AW278:AW333" si="32">SUMIF(AC278:AV278,"&lt;"&amp;9,AC278:AV278)</f>
        <v>0</v>
      </c>
      <c r="AX278">
        <f t="shared" ref="AX278:AX333" si="33">SUMIFS(AC278:AV278,AC278:AV278,"&gt;"&amp;8,AC278:AV278,"&lt;"&amp;19)-COUNTIFS(AC278:AV278,"&gt;"&amp;8,AC278:AV278,"&lt;"&amp;19)*10</f>
        <v>0</v>
      </c>
      <c r="AY278">
        <f t="shared" ref="AY278:AY333" si="34">SUMIFS(AC278:AV278,AC278:AV278,"&gt;"&amp;20,AC278:AV278,"&lt;"&amp;29)-COUNTIFS(AC278:AV278,"&gt;"&amp;20,AC278:AV278,"&lt;"&amp;29)*20</f>
        <v>0</v>
      </c>
    </row>
    <row r="279" spans="1:51" hidden="1" x14ac:dyDescent="0.2">
      <c r="A279" s="202">
        <v>42536</v>
      </c>
      <c r="B279" s="78" t="s">
        <v>285</v>
      </c>
      <c r="W279">
        <f t="shared" si="29"/>
        <v>0</v>
      </c>
      <c r="X279">
        <f t="shared" si="30"/>
        <v>0</v>
      </c>
      <c r="Y279">
        <f t="shared" si="31"/>
        <v>0</v>
      </c>
      <c r="AA279" s="202">
        <v>42536</v>
      </c>
      <c r="AB279" s="78" t="s">
        <v>285</v>
      </c>
      <c r="AC279">
        <f>IF(C279="",0,VLOOKUP(C279,'Dados de consulta'!$H$2:$I$25,2,0))</f>
        <v>0</v>
      </c>
      <c r="AD279">
        <f>IF(D279="",0,VLOOKUP(D279,'Dados de consulta'!$H$2:$I$25,2,0))</f>
        <v>0</v>
      </c>
      <c r="AE279">
        <f>IF(E279="",0,VLOOKUP(E279,'Dados de consulta'!$H$2:$I$25,2,0))</f>
        <v>0</v>
      </c>
      <c r="AF279">
        <f>IF(F279="",0,VLOOKUP(F279,'Dados de consulta'!$H$2:$I$25,2,0))</f>
        <v>0</v>
      </c>
      <c r="AG279">
        <f>IF(G279="",0,VLOOKUP(G279,'Dados de consulta'!$H$2:$I$25,2,0))</f>
        <v>0</v>
      </c>
      <c r="AH279">
        <f>IF(H279="",0,VLOOKUP(H279,'Dados de consulta'!$H$2:$I$25,2,0))</f>
        <v>0</v>
      </c>
      <c r="AI279">
        <f>IF(I279="",0,VLOOKUP(I279,'Dados de consulta'!$H$2:$I$25,2,0))</f>
        <v>0</v>
      </c>
      <c r="AJ279">
        <f>IF(J279="",0,VLOOKUP(J279,'Dados de consulta'!$H$2:$I$25,2,0))</f>
        <v>0</v>
      </c>
      <c r="AK279">
        <f>IF(K279="",0,VLOOKUP(K279,'Dados de consulta'!$H$2:$I$25,2,0))</f>
        <v>0</v>
      </c>
      <c r="AL279">
        <f>IF(L279="",0,VLOOKUP(L279,'Dados de consulta'!$H$2:$I$25,2,0))</f>
        <v>0</v>
      </c>
      <c r="AM279">
        <f>IF(M279="",0,VLOOKUP(M279,'Dados de consulta'!$H$2:$I$25,2,0))</f>
        <v>0</v>
      </c>
      <c r="AN279">
        <f>IF(N279="",0,VLOOKUP(N279,'Dados de consulta'!$H$2:$I$25,2,0))</f>
        <v>0</v>
      </c>
      <c r="AO279">
        <f>IF(O279="",0,VLOOKUP(O279,'Dados de consulta'!$H$2:$I$25,2,0))</f>
        <v>0</v>
      </c>
      <c r="AP279">
        <f>IF(P279="",0,VLOOKUP(P279,'Dados de consulta'!$H$2:$I$25,2,0))</f>
        <v>0</v>
      </c>
      <c r="AQ279">
        <f>IF(Q279="",0,VLOOKUP(Q279,'Dados de consulta'!$H$2:$I$25,2,0))</f>
        <v>0</v>
      </c>
      <c r="AR279">
        <f>IF(R279="",0,VLOOKUP(R279,'Dados de consulta'!$H$2:$I$25,2,0))</f>
        <v>0</v>
      </c>
      <c r="AS279">
        <f>IF(S279="",0,VLOOKUP(S279,'Dados de consulta'!$H$2:$I$25,2,0))</f>
        <v>0</v>
      </c>
      <c r="AT279">
        <f>IF(T279="",0,VLOOKUP(T279,'Dados de consulta'!$H$2:$I$25,2,0))</f>
        <v>0</v>
      </c>
      <c r="AU279">
        <f>IF(U279="",0,VLOOKUP(U279,'Dados de consulta'!$H$2:$I$25,2,0))</f>
        <v>0</v>
      </c>
      <c r="AV279">
        <f>IF(V279="",0,VLOOKUP(V279,'Dados de consulta'!$H$2:$I$25,2,0))</f>
        <v>0</v>
      </c>
      <c r="AW279">
        <f t="shared" si="32"/>
        <v>0</v>
      </c>
      <c r="AX279">
        <f t="shared" si="33"/>
        <v>0</v>
      </c>
      <c r="AY279">
        <f t="shared" si="34"/>
        <v>0</v>
      </c>
    </row>
    <row r="280" spans="1:51" hidden="1" x14ac:dyDescent="0.2">
      <c r="A280" s="202">
        <v>42537</v>
      </c>
      <c r="B280" s="78" t="s">
        <v>286</v>
      </c>
      <c r="W280">
        <f t="shared" si="29"/>
        <v>0</v>
      </c>
      <c r="X280">
        <f t="shared" si="30"/>
        <v>0</v>
      </c>
      <c r="Y280">
        <f t="shared" si="31"/>
        <v>0</v>
      </c>
      <c r="AA280" s="202">
        <v>42537</v>
      </c>
      <c r="AB280" s="78" t="s">
        <v>286</v>
      </c>
      <c r="AC280">
        <f>IF(C280="",0,VLOOKUP(C280,'Dados de consulta'!$H$2:$I$25,2,0))</f>
        <v>0</v>
      </c>
      <c r="AD280">
        <f>IF(D280="",0,VLOOKUP(D280,'Dados de consulta'!$H$2:$I$25,2,0))</f>
        <v>0</v>
      </c>
      <c r="AE280">
        <f>IF(E280="",0,VLOOKUP(E280,'Dados de consulta'!$H$2:$I$25,2,0))</f>
        <v>0</v>
      </c>
      <c r="AF280">
        <f>IF(F280="",0,VLOOKUP(F280,'Dados de consulta'!$H$2:$I$25,2,0))</f>
        <v>0</v>
      </c>
      <c r="AG280">
        <f>IF(G280="",0,VLOOKUP(G280,'Dados de consulta'!$H$2:$I$25,2,0))</f>
        <v>0</v>
      </c>
      <c r="AH280">
        <f>IF(H280="",0,VLOOKUP(H280,'Dados de consulta'!$H$2:$I$25,2,0))</f>
        <v>0</v>
      </c>
      <c r="AI280">
        <f>IF(I280="",0,VLOOKUP(I280,'Dados de consulta'!$H$2:$I$25,2,0))</f>
        <v>0</v>
      </c>
      <c r="AJ280">
        <f>IF(J280="",0,VLOOKUP(J280,'Dados de consulta'!$H$2:$I$25,2,0))</f>
        <v>0</v>
      </c>
      <c r="AK280">
        <f>IF(K280="",0,VLOOKUP(K280,'Dados de consulta'!$H$2:$I$25,2,0))</f>
        <v>0</v>
      </c>
      <c r="AL280">
        <f>IF(L280="",0,VLOOKUP(L280,'Dados de consulta'!$H$2:$I$25,2,0))</f>
        <v>0</v>
      </c>
      <c r="AM280">
        <f>IF(M280="",0,VLOOKUP(M280,'Dados de consulta'!$H$2:$I$25,2,0))</f>
        <v>0</v>
      </c>
      <c r="AN280">
        <f>IF(N280="",0,VLOOKUP(N280,'Dados de consulta'!$H$2:$I$25,2,0))</f>
        <v>0</v>
      </c>
      <c r="AO280">
        <f>IF(O280="",0,VLOOKUP(O280,'Dados de consulta'!$H$2:$I$25,2,0))</f>
        <v>0</v>
      </c>
      <c r="AP280">
        <f>IF(P280="",0,VLOOKUP(P280,'Dados de consulta'!$H$2:$I$25,2,0))</f>
        <v>0</v>
      </c>
      <c r="AQ280">
        <f>IF(Q280="",0,VLOOKUP(Q280,'Dados de consulta'!$H$2:$I$25,2,0))</f>
        <v>0</v>
      </c>
      <c r="AR280">
        <f>IF(R280="",0,VLOOKUP(R280,'Dados de consulta'!$H$2:$I$25,2,0))</f>
        <v>0</v>
      </c>
      <c r="AS280">
        <f>IF(S280="",0,VLOOKUP(S280,'Dados de consulta'!$H$2:$I$25,2,0))</f>
        <v>0</v>
      </c>
      <c r="AT280">
        <f>IF(T280="",0,VLOOKUP(T280,'Dados de consulta'!$H$2:$I$25,2,0))</f>
        <v>0</v>
      </c>
      <c r="AU280">
        <f>IF(U280="",0,VLOOKUP(U280,'Dados de consulta'!$H$2:$I$25,2,0))</f>
        <v>0</v>
      </c>
      <c r="AV280">
        <f>IF(V280="",0,VLOOKUP(V280,'Dados de consulta'!$H$2:$I$25,2,0))</f>
        <v>0</v>
      </c>
      <c r="AW280">
        <f t="shared" si="32"/>
        <v>0</v>
      </c>
      <c r="AX280">
        <f t="shared" si="33"/>
        <v>0</v>
      </c>
      <c r="AY280">
        <f t="shared" si="34"/>
        <v>0</v>
      </c>
    </row>
    <row r="281" spans="1:51" hidden="1" x14ac:dyDescent="0.2">
      <c r="A281" s="202">
        <v>42538</v>
      </c>
      <c r="B281" s="78" t="s">
        <v>287</v>
      </c>
      <c r="W281">
        <f t="shared" si="29"/>
        <v>0</v>
      </c>
      <c r="X281">
        <f t="shared" si="30"/>
        <v>0</v>
      </c>
      <c r="Y281">
        <f t="shared" si="31"/>
        <v>0</v>
      </c>
      <c r="AA281" s="202">
        <v>42538</v>
      </c>
      <c r="AB281" s="78" t="s">
        <v>287</v>
      </c>
      <c r="AC281">
        <f>IF(C281="",0,VLOOKUP(C281,'Dados de consulta'!$H$2:$I$25,2,0))</f>
        <v>0</v>
      </c>
      <c r="AD281">
        <f>IF(D281="",0,VLOOKUP(D281,'Dados de consulta'!$H$2:$I$25,2,0))</f>
        <v>0</v>
      </c>
      <c r="AE281">
        <f>IF(E281="",0,VLOOKUP(E281,'Dados de consulta'!$H$2:$I$25,2,0))</f>
        <v>0</v>
      </c>
      <c r="AF281">
        <f>IF(F281="",0,VLOOKUP(F281,'Dados de consulta'!$H$2:$I$25,2,0))</f>
        <v>0</v>
      </c>
      <c r="AG281">
        <f>IF(G281="",0,VLOOKUP(G281,'Dados de consulta'!$H$2:$I$25,2,0))</f>
        <v>0</v>
      </c>
      <c r="AH281">
        <f>IF(H281="",0,VLOOKUP(H281,'Dados de consulta'!$H$2:$I$25,2,0))</f>
        <v>0</v>
      </c>
      <c r="AI281">
        <f>IF(I281="",0,VLOOKUP(I281,'Dados de consulta'!$H$2:$I$25,2,0))</f>
        <v>0</v>
      </c>
      <c r="AJ281">
        <f>IF(J281="",0,VLOOKUP(J281,'Dados de consulta'!$H$2:$I$25,2,0))</f>
        <v>0</v>
      </c>
      <c r="AK281">
        <f>IF(K281="",0,VLOOKUP(K281,'Dados de consulta'!$H$2:$I$25,2,0))</f>
        <v>0</v>
      </c>
      <c r="AL281">
        <f>IF(L281="",0,VLOOKUP(L281,'Dados de consulta'!$H$2:$I$25,2,0))</f>
        <v>0</v>
      </c>
      <c r="AM281">
        <f>IF(M281="",0,VLOOKUP(M281,'Dados de consulta'!$H$2:$I$25,2,0))</f>
        <v>0</v>
      </c>
      <c r="AN281">
        <f>IF(N281="",0,VLOOKUP(N281,'Dados de consulta'!$H$2:$I$25,2,0))</f>
        <v>0</v>
      </c>
      <c r="AO281">
        <f>IF(O281="",0,VLOOKUP(O281,'Dados de consulta'!$H$2:$I$25,2,0))</f>
        <v>0</v>
      </c>
      <c r="AP281">
        <f>IF(P281="",0,VLOOKUP(P281,'Dados de consulta'!$H$2:$I$25,2,0))</f>
        <v>0</v>
      </c>
      <c r="AQ281">
        <f>IF(Q281="",0,VLOOKUP(Q281,'Dados de consulta'!$H$2:$I$25,2,0))</f>
        <v>0</v>
      </c>
      <c r="AR281">
        <f>IF(R281="",0,VLOOKUP(R281,'Dados de consulta'!$H$2:$I$25,2,0))</f>
        <v>0</v>
      </c>
      <c r="AS281">
        <f>IF(S281="",0,VLOOKUP(S281,'Dados de consulta'!$H$2:$I$25,2,0))</f>
        <v>0</v>
      </c>
      <c r="AT281">
        <f>IF(T281="",0,VLOOKUP(T281,'Dados de consulta'!$H$2:$I$25,2,0))</f>
        <v>0</v>
      </c>
      <c r="AU281">
        <f>IF(U281="",0,VLOOKUP(U281,'Dados de consulta'!$H$2:$I$25,2,0))</f>
        <v>0</v>
      </c>
      <c r="AV281">
        <f>IF(V281="",0,VLOOKUP(V281,'Dados de consulta'!$H$2:$I$25,2,0))</f>
        <v>0</v>
      </c>
      <c r="AW281">
        <f t="shared" si="32"/>
        <v>0</v>
      </c>
      <c r="AX281">
        <f t="shared" si="33"/>
        <v>0</v>
      </c>
      <c r="AY281">
        <f t="shared" si="34"/>
        <v>0</v>
      </c>
    </row>
    <row r="282" spans="1:51" hidden="1" x14ac:dyDescent="0.2">
      <c r="A282" s="202">
        <v>42539</v>
      </c>
      <c r="B282" s="78" t="s">
        <v>281</v>
      </c>
      <c r="W282">
        <f t="shared" si="29"/>
        <v>0</v>
      </c>
      <c r="X282">
        <f t="shared" si="30"/>
        <v>0</v>
      </c>
      <c r="Y282">
        <f t="shared" si="31"/>
        <v>0</v>
      </c>
      <c r="AA282" s="202">
        <v>42539</v>
      </c>
      <c r="AB282" s="78" t="s">
        <v>281</v>
      </c>
      <c r="AC282">
        <f>IF(C282="",0,VLOOKUP(C282,'Dados de consulta'!$H$2:$I$25,2,0))</f>
        <v>0</v>
      </c>
      <c r="AD282">
        <f>IF(D282="",0,VLOOKUP(D282,'Dados de consulta'!$H$2:$I$25,2,0))</f>
        <v>0</v>
      </c>
      <c r="AE282">
        <f>IF(E282="",0,VLOOKUP(E282,'Dados de consulta'!$H$2:$I$25,2,0))</f>
        <v>0</v>
      </c>
      <c r="AF282">
        <f>IF(F282="",0,VLOOKUP(F282,'Dados de consulta'!$H$2:$I$25,2,0))</f>
        <v>0</v>
      </c>
      <c r="AG282">
        <f>IF(G282="",0,VLOOKUP(G282,'Dados de consulta'!$H$2:$I$25,2,0))</f>
        <v>0</v>
      </c>
      <c r="AH282">
        <f>IF(H282="",0,VLOOKUP(H282,'Dados de consulta'!$H$2:$I$25,2,0))</f>
        <v>0</v>
      </c>
      <c r="AI282">
        <f>IF(I282="",0,VLOOKUP(I282,'Dados de consulta'!$H$2:$I$25,2,0))</f>
        <v>0</v>
      </c>
      <c r="AJ282">
        <f>IF(J282="",0,VLOOKUP(J282,'Dados de consulta'!$H$2:$I$25,2,0))</f>
        <v>0</v>
      </c>
      <c r="AK282">
        <f>IF(K282="",0,VLOOKUP(K282,'Dados de consulta'!$H$2:$I$25,2,0))</f>
        <v>0</v>
      </c>
      <c r="AL282">
        <f>IF(L282="",0,VLOOKUP(L282,'Dados de consulta'!$H$2:$I$25,2,0))</f>
        <v>0</v>
      </c>
      <c r="AM282">
        <f>IF(M282="",0,VLOOKUP(M282,'Dados de consulta'!$H$2:$I$25,2,0))</f>
        <v>0</v>
      </c>
      <c r="AN282">
        <f>IF(N282="",0,VLOOKUP(N282,'Dados de consulta'!$H$2:$I$25,2,0))</f>
        <v>0</v>
      </c>
      <c r="AO282">
        <f>IF(O282="",0,VLOOKUP(O282,'Dados de consulta'!$H$2:$I$25,2,0))</f>
        <v>0</v>
      </c>
      <c r="AP282">
        <f>IF(P282="",0,VLOOKUP(P282,'Dados de consulta'!$H$2:$I$25,2,0))</f>
        <v>0</v>
      </c>
      <c r="AQ282">
        <f>IF(Q282="",0,VLOOKUP(Q282,'Dados de consulta'!$H$2:$I$25,2,0))</f>
        <v>0</v>
      </c>
      <c r="AR282">
        <f>IF(R282="",0,VLOOKUP(R282,'Dados de consulta'!$H$2:$I$25,2,0))</f>
        <v>0</v>
      </c>
      <c r="AS282">
        <f>IF(S282="",0,VLOOKUP(S282,'Dados de consulta'!$H$2:$I$25,2,0))</f>
        <v>0</v>
      </c>
      <c r="AT282">
        <f>IF(T282="",0,VLOOKUP(T282,'Dados de consulta'!$H$2:$I$25,2,0))</f>
        <v>0</v>
      </c>
      <c r="AU282">
        <f>IF(U282="",0,VLOOKUP(U282,'Dados de consulta'!$H$2:$I$25,2,0))</f>
        <v>0</v>
      </c>
      <c r="AV282">
        <f>IF(V282="",0,VLOOKUP(V282,'Dados de consulta'!$H$2:$I$25,2,0))</f>
        <v>0</v>
      </c>
      <c r="AW282">
        <f t="shared" si="32"/>
        <v>0</v>
      </c>
      <c r="AX282">
        <f t="shared" si="33"/>
        <v>0</v>
      </c>
      <c r="AY282">
        <f t="shared" si="34"/>
        <v>0</v>
      </c>
    </row>
    <row r="283" spans="1:51" hidden="1" x14ac:dyDescent="0.2">
      <c r="A283" s="202">
        <v>42540</v>
      </c>
      <c r="B283" s="78" t="s">
        <v>282</v>
      </c>
      <c r="W283">
        <f t="shared" si="29"/>
        <v>0</v>
      </c>
      <c r="X283">
        <f t="shared" si="30"/>
        <v>0</v>
      </c>
      <c r="Y283">
        <f t="shared" si="31"/>
        <v>0</v>
      </c>
      <c r="AA283" s="202">
        <v>42540</v>
      </c>
      <c r="AB283" s="78" t="s">
        <v>282</v>
      </c>
      <c r="AC283">
        <f>IF(C283="",0,VLOOKUP(C283,'Dados de consulta'!$H$2:$I$25,2,0))</f>
        <v>0</v>
      </c>
      <c r="AD283">
        <f>IF(D283="",0,VLOOKUP(D283,'Dados de consulta'!$H$2:$I$25,2,0))</f>
        <v>0</v>
      </c>
      <c r="AE283">
        <f>IF(E283="",0,VLOOKUP(E283,'Dados de consulta'!$H$2:$I$25,2,0))</f>
        <v>0</v>
      </c>
      <c r="AF283">
        <f>IF(F283="",0,VLOOKUP(F283,'Dados de consulta'!$H$2:$I$25,2,0))</f>
        <v>0</v>
      </c>
      <c r="AG283">
        <f>IF(G283="",0,VLOOKUP(G283,'Dados de consulta'!$H$2:$I$25,2,0))</f>
        <v>0</v>
      </c>
      <c r="AH283">
        <f>IF(H283="",0,VLOOKUP(H283,'Dados de consulta'!$H$2:$I$25,2,0))</f>
        <v>0</v>
      </c>
      <c r="AI283">
        <f>IF(I283="",0,VLOOKUP(I283,'Dados de consulta'!$H$2:$I$25,2,0))</f>
        <v>0</v>
      </c>
      <c r="AJ283">
        <f>IF(J283="",0,VLOOKUP(J283,'Dados de consulta'!$H$2:$I$25,2,0))</f>
        <v>0</v>
      </c>
      <c r="AK283">
        <f>IF(K283="",0,VLOOKUP(K283,'Dados de consulta'!$H$2:$I$25,2,0))</f>
        <v>0</v>
      </c>
      <c r="AL283">
        <f>IF(L283="",0,VLOOKUP(L283,'Dados de consulta'!$H$2:$I$25,2,0))</f>
        <v>0</v>
      </c>
      <c r="AM283">
        <f>IF(M283="",0,VLOOKUP(M283,'Dados de consulta'!$H$2:$I$25,2,0))</f>
        <v>0</v>
      </c>
      <c r="AN283">
        <f>IF(N283="",0,VLOOKUP(N283,'Dados de consulta'!$H$2:$I$25,2,0))</f>
        <v>0</v>
      </c>
      <c r="AO283">
        <f>IF(O283="",0,VLOOKUP(O283,'Dados de consulta'!$H$2:$I$25,2,0))</f>
        <v>0</v>
      </c>
      <c r="AP283">
        <f>IF(P283="",0,VLOOKUP(P283,'Dados de consulta'!$H$2:$I$25,2,0))</f>
        <v>0</v>
      </c>
      <c r="AQ283">
        <f>IF(Q283="",0,VLOOKUP(Q283,'Dados de consulta'!$H$2:$I$25,2,0))</f>
        <v>0</v>
      </c>
      <c r="AR283">
        <f>IF(R283="",0,VLOOKUP(R283,'Dados de consulta'!$H$2:$I$25,2,0))</f>
        <v>0</v>
      </c>
      <c r="AS283">
        <f>IF(S283="",0,VLOOKUP(S283,'Dados de consulta'!$H$2:$I$25,2,0))</f>
        <v>0</v>
      </c>
      <c r="AT283">
        <f>IF(T283="",0,VLOOKUP(T283,'Dados de consulta'!$H$2:$I$25,2,0))</f>
        <v>0</v>
      </c>
      <c r="AU283">
        <f>IF(U283="",0,VLOOKUP(U283,'Dados de consulta'!$H$2:$I$25,2,0))</f>
        <v>0</v>
      </c>
      <c r="AV283">
        <f>IF(V283="",0,VLOOKUP(V283,'Dados de consulta'!$H$2:$I$25,2,0))</f>
        <v>0</v>
      </c>
      <c r="AW283">
        <f t="shared" si="32"/>
        <v>0</v>
      </c>
      <c r="AX283">
        <f t="shared" si="33"/>
        <v>0</v>
      </c>
      <c r="AY283">
        <f t="shared" si="34"/>
        <v>0</v>
      </c>
    </row>
    <row r="284" spans="1:51" hidden="1" x14ac:dyDescent="0.2">
      <c r="A284" s="202">
        <v>42541</v>
      </c>
      <c r="B284" s="78" t="s">
        <v>283</v>
      </c>
      <c r="W284">
        <f t="shared" si="29"/>
        <v>0</v>
      </c>
      <c r="X284">
        <f t="shared" si="30"/>
        <v>0</v>
      </c>
      <c r="Y284">
        <f t="shared" si="31"/>
        <v>0</v>
      </c>
      <c r="AA284" s="202">
        <v>42541</v>
      </c>
      <c r="AB284" s="78" t="s">
        <v>283</v>
      </c>
      <c r="AC284">
        <f>IF(C284="",0,VLOOKUP(C284,'Dados de consulta'!$H$2:$I$25,2,0))</f>
        <v>0</v>
      </c>
      <c r="AD284">
        <f>IF(D284="",0,VLOOKUP(D284,'Dados de consulta'!$H$2:$I$25,2,0))</f>
        <v>0</v>
      </c>
      <c r="AE284">
        <f>IF(E284="",0,VLOOKUP(E284,'Dados de consulta'!$H$2:$I$25,2,0))</f>
        <v>0</v>
      </c>
      <c r="AF284">
        <f>IF(F284="",0,VLOOKUP(F284,'Dados de consulta'!$H$2:$I$25,2,0))</f>
        <v>0</v>
      </c>
      <c r="AG284">
        <f>IF(G284="",0,VLOOKUP(G284,'Dados de consulta'!$H$2:$I$25,2,0))</f>
        <v>0</v>
      </c>
      <c r="AH284">
        <f>IF(H284="",0,VLOOKUP(H284,'Dados de consulta'!$H$2:$I$25,2,0))</f>
        <v>0</v>
      </c>
      <c r="AI284">
        <f>IF(I284="",0,VLOOKUP(I284,'Dados de consulta'!$H$2:$I$25,2,0))</f>
        <v>0</v>
      </c>
      <c r="AJ284">
        <f>IF(J284="",0,VLOOKUP(J284,'Dados de consulta'!$H$2:$I$25,2,0))</f>
        <v>0</v>
      </c>
      <c r="AK284">
        <f>IF(K284="",0,VLOOKUP(K284,'Dados de consulta'!$H$2:$I$25,2,0))</f>
        <v>0</v>
      </c>
      <c r="AL284">
        <f>IF(L284="",0,VLOOKUP(L284,'Dados de consulta'!$H$2:$I$25,2,0))</f>
        <v>0</v>
      </c>
      <c r="AM284">
        <f>IF(M284="",0,VLOOKUP(M284,'Dados de consulta'!$H$2:$I$25,2,0))</f>
        <v>0</v>
      </c>
      <c r="AN284">
        <f>IF(N284="",0,VLOOKUP(N284,'Dados de consulta'!$H$2:$I$25,2,0))</f>
        <v>0</v>
      </c>
      <c r="AO284">
        <f>IF(O284="",0,VLOOKUP(O284,'Dados de consulta'!$H$2:$I$25,2,0))</f>
        <v>0</v>
      </c>
      <c r="AP284">
        <f>IF(P284="",0,VLOOKUP(P284,'Dados de consulta'!$H$2:$I$25,2,0))</f>
        <v>0</v>
      </c>
      <c r="AQ284">
        <f>IF(Q284="",0,VLOOKUP(Q284,'Dados de consulta'!$H$2:$I$25,2,0))</f>
        <v>0</v>
      </c>
      <c r="AR284">
        <f>IF(R284="",0,VLOOKUP(R284,'Dados de consulta'!$H$2:$I$25,2,0))</f>
        <v>0</v>
      </c>
      <c r="AS284">
        <f>IF(S284="",0,VLOOKUP(S284,'Dados de consulta'!$H$2:$I$25,2,0))</f>
        <v>0</v>
      </c>
      <c r="AT284">
        <f>IF(T284="",0,VLOOKUP(T284,'Dados de consulta'!$H$2:$I$25,2,0))</f>
        <v>0</v>
      </c>
      <c r="AU284">
        <f>IF(U284="",0,VLOOKUP(U284,'Dados de consulta'!$H$2:$I$25,2,0))</f>
        <v>0</v>
      </c>
      <c r="AV284">
        <f>IF(V284="",0,VLOOKUP(V284,'Dados de consulta'!$H$2:$I$25,2,0))</f>
        <v>0</v>
      </c>
      <c r="AW284">
        <f t="shared" si="32"/>
        <v>0</v>
      </c>
      <c r="AX284">
        <f t="shared" si="33"/>
        <v>0</v>
      </c>
      <c r="AY284">
        <f t="shared" si="34"/>
        <v>0</v>
      </c>
    </row>
    <row r="285" spans="1:51" hidden="1" x14ac:dyDescent="0.2">
      <c r="A285" s="202">
        <v>42542</v>
      </c>
      <c r="B285" s="78" t="s">
        <v>284</v>
      </c>
      <c r="W285">
        <f t="shared" si="29"/>
        <v>0</v>
      </c>
      <c r="X285">
        <f t="shared" si="30"/>
        <v>0</v>
      </c>
      <c r="Y285">
        <f t="shared" si="31"/>
        <v>0</v>
      </c>
      <c r="AA285" s="202">
        <v>42542</v>
      </c>
      <c r="AB285" s="78" t="s">
        <v>284</v>
      </c>
      <c r="AC285">
        <f>IF(C285="",0,VLOOKUP(C285,'Dados de consulta'!$H$2:$I$25,2,0))</f>
        <v>0</v>
      </c>
      <c r="AD285">
        <f>IF(D285="",0,VLOOKUP(D285,'Dados de consulta'!$H$2:$I$25,2,0))</f>
        <v>0</v>
      </c>
      <c r="AE285">
        <f>IF(E285="",0,VLOOKUP(E285,'Dados de consulta'!$H$2:$I$25,2,0))</f>
        <v>0</v>
      </c>
      <c r="AF285">
        <f>IF(F285="",0,VLOOKUP(F285,'Dados de consulta'!$H$2:$I$25,2,0))</f>
        <v>0</v>
      </c>
      <c r="AG285">
        <f>IF(G285="",0,VLOOKUP(G285,'Dados de consulta'!$H$2:$I$25,2,0))</f>
        <v>0</v>
      </c>
      <c r="AH285">
        <f>IF(H285="",0,VLOOKUP(H285,'Dados de consulta'!$H$2:$I$25,2,0))</f>
        <v>0</v>
      </c>
      <c r="AI285">
        <f>IF(I285="",0,VLOOKUP(I285,'Dados de consulta'!$H$2:$I$25,2,0))</f>
        <v>0</v>
      </c>
      <c r="AJ285">
        <f>IF(J285="",0,VLOOKUP(J285,'Dados de consulta'!$H$2:$I$25,2,0))</f>
        <v>0</v>
      </c>
      <c r="AK285">
        <f>IF(K285="",0,VLOOKUP(K285,'Dados de consulta'!$H$2:$I$25,2,0))</f>
        <v>0</v>
      </c>
      <c r="AL285">
        <f>IF(L285="",0,VLOOKUP(L285,'Dados de consulta'!$H$2:$I$25,2,0))</f>
        <v>0</v>
      </c>
      <c r="AM285">
        <f>IF(M285="",0,VLOOKUP(M285,'Dados de consulta'!$H$2:$I$25,2,0))</f>
        <v>0</v>
      </c>
      <c r="AN285">
        <f>IF(N285="",0,VLOOKUP(N285,'Dados de consulta'!$H$2:$I$25,2,0))</f>
        <v>0</v>
      </c>
      <c r="AO285">
        <f>IF(O285="",0,VLOOKUP(O285,'Dados de consulta'!$H$2:$I$25,2,0))</f>
        <v>0</v>
      </c>
      <c r="AP285">
        <f>IF(P285="",0,VLOOKUP(P285,'Dados de consulta'!$H$2:$I$25,2,0))</f>
        <v>0</v>
      </c>
      <c r="AQ285">
        <f>IF(Q285="",0,VLOOKUP(Q285,'Dados de consulta'!$H$2:$I$25,2,0))</f>
        <v>0</v>
      </c>
      <c r="AR285">
        <f>IF(R285="",0,VLOOKUP(R285,'Dados de consulta'!$H$2:$I$25,2,0))</f>
        <v>0</v>
      </c>
      <c r="AS285">
        <f>IF(S285="",0,VLOOKUP(S285,'Dados de consulta'!$H$2:$I$25,2,0))</f>
        <v>0</v>
      </c>
      <c r="AT285">
        <f>IF(T285="",0,VLOOKUP(T285,'Dados de consulta'!$H$2:$I$25,2,0))</f>
        <v>0</v>
      </c>
      <c r="AU285">
        <f>IF(U285="",0,VLOOKUP(U285,'Dados de consulta'!$H$2:$I$25,2,0))</f>
        <v>0</v>
      </c>
      <c r="AV285">
        <f>IF(V285="",0,VLOOKUP(V285,'Dados de consulta'!$H$2:$I$25,2,0))</f>
        <v>0</v>
      </c>
      <c r="AW285">
        <f t="shared" si="32"/>
        <v>0</v>
      </c>
      <c r="AX285">
        <f t="shared" si="33"/>
        <v>0</v>
      </c>
      <c r="AY285">
        <f t="shared" si="34"/>
        <v>0</v>
      </c>
    </row>
    <row r="286" spans="1:51" hidden="1" x14ac:dyDescent="0.2">
      <c r="A286" s="202">
        <v>42543</v>
      </c>
      <c r="B286" s="78" t="s">
        <v>285</v>
      </c>
      <c r="W286">
        <f t="shared" si="29"/>
        <v>0</v>
      </c>
      <c r="X286">
        <f t="shared" si="30"/>
        <v>0</v>
      </c>
      <c r="Y286">
        <f t="shared" si="31"/>
        <v>0</v>
      </c>
      <c r="AA286" s="202">
        <v>42543</v>
      </c>
      <c r="AB286" s="78" t="s">
        <v>285</v>
      </c>
      <c r="AC286">
        <f>IF(C286="",0,VLOOKUP(C286,'Dados de consulta'!$H$2:$I$25,2,0))</f>
        <v>0</v>
      </c>
      <c r="AD286">
        <f>IF(D286="",0,VLOOKUP(D286,'Dados de consulta'!$H$2:$I$25,2,0))</f>
        <v>0</v>
      </c>
      <c r="AE286">
        <f>IF(E286="",0,VLOOKUP(E286,'Dados de consulta'!$H$2:$I$25,2,0))</f>
        <v>0</v>
      </c>
      <c r="AF286">
        <f>IF(F286="",0,VLOOKUP(F286,'Dados de consulta'!$H$2:$I$25,2,0))</f>
        <v>0</v>
      </c>
      <c r="AG286">
        <f>IF(G286="",0,VLOOKUP(G286,'Dados de consulta'!$H$2:$I$25,2,0))</f>
        <v>0</v>
      </c>
      <c r="AH286">
        <f>IF(H286="",0,VLOOKUP(H286,'Dados de consulta'!$H$2:$I$25,2,0))</f>
        <v>0</v>
      </c>
      <c r="AI286">
        <f>IF(I286="",0,VLOOKUP(I286,'Dados de consulta'!$H$2:$I$25,2,0))</f>
        <v>0</v>
      </c>
      <c r="AJ286">
        <f>IF(J286="",0,VLOOKUP(J286,'Dados de consulta'!$H$2:$I$25,2,0))</f>
        <v>0</v>
      </c>
      <c r="AK286">
        <f>IF(K286="",0,VLOOKUP(K286,'Dados de consulta'!$H$2:$I$25,2,0))</f>
        <v>0</v>
      </c>
      <c r="AL286">
        <f>IF(L286="",0,VLOOKUP(L286,'Dados de consulta'!$H$2:$I$25,2,0))</f>
        <v>0</v>
      </c>
      <c r="AM286">
        <f>IF(M286="",0,VLOOKUP(M286,'Dados de consulta'!$H$2:$I$25,2,0))</f>
        <v>0</v>
      </c>
      <c r="AN286">
        <f>IF(N286="",0,VLOOKUP(N286,'Dados de consulta'!$H$2:$I$25,2,0))</f>
        <v>0</v>
      </c>
      <c r="AO286">
        <f>IF(O286="",0,VLOOKUP(O286,'Dados de consulta'!$H$2:$I$25,2,0))</f>
        <v>0</v>
      </c>
      <c r="AP286">
        <f>IF(P286="",0,VLOOKUP(P286,'Dados de consulta'!$H$2:$I$25,2,0))</f>
        <v>0</v>
      </c>
      <c r="AQ286">
        <f>IF(Q286="",0,VLOOKUP(Q286,'Dados de consulta'!$H$2:$I$25,2,0))</f>
        <v>0</v>
      </c>
      <c r="AR286">
        <f>IF(R286="",0,VLOOKUP(R286,'Dados de consulta'!$H$2:$I$25,2,0))</f>
        <v>0</v>
      </c>
      <c r="AS286">
        <f>IF(S286="",0,VLOOKUP(S286,'Dados de consulta'!$H$2:$I$25,2,0))</f>
        <v>0</v>
      </c>
      <c r="AT286">
        <f>IF(T286="",0,VLOOKUP(T286,'Dados de consulta'!$H$2:$I$25,2,0))</f>
        <v>0</v>
      </c>
      <c r="AU286">
        <f>IF(U286="",0,VLOOKUP(U286,'Dados de consulta'!$H$2:$I$25,2,0))</f>
        <v>0</v>
      </c>
      <c r="AV286">
        <f>IF(V286="",0,VLOOKUP(V286,'Dados de consulta'!$H$2:$I$25,2,0))</f>
        <v>0</v>
      </c>
      <c r="AW286">
        <f t="shared" si="32"/>
        <v>0</v>
      </c>
      <c r="AX286">
        <f t="shared" si="33"/>
        <v>0</v>
      </c>
      <c r="AY286">
        <f t="shared" si="34"/>
        <v>0</v>
      </c>
    </row>
    <row r="287" spans="1:51" hidden="1" x14ac:dyDescent="0.2">
      <c r="A287" s="202">
        <v>42544</v>
      </c>
      <c r="B287" s="78" t="s">
        <v>286</v>
      </c>
      <c r="W287">
        <f t="shared" si="29"/>
        <v>0</v>
      </c>
      <c r="X287">
        <f t="shared" si="30"/>
        <v>0</v>
      </c>
      <c r="Y287">
        <f t="shared" si="31"/>
        <v>0</v>
      </c>
      <c r="AA287" s="202">
        <v>42544</v>
      </c>
      <c r="AB287" s="78" t="s">
        <v>286</v>
      </c>
      <c r="AC287">
        <f>IF(C287="",0,VLOOKUP(C287,'Dados de consulta'!$H$2:$I$25,2,0))</f>
        <v>0</v>
      </c>
      <c r="AD287">
        <f>IF(D287="",0,VLOOKUP(D287,'Dados de consulta'!$H$2:$I$25,2,0))</f>
        <v>0</v>
      </c>
      <c r="AE287">
        <f>IF(E287="",0,VLOOKUP(E287,'Dados de consulta'!$H$2:$I$25,2,0))</f>
        <v>0</v>
      </c>
      <c r="AF287">
        <f>IF(F287="",0,VLOOKUP(F287,'Dados de consulta'!$H$2:$I$25,2,0))</f>
        <v>0</v>
      </c>
      <c r="AG287">
        <f>IF(G287="",0,VLOOKUP(G287,'Dados de consulta'!$H$2:$I$25,2,0))</f>
        <v>0</v>
      </c>
      <c r="AH287">
        <f>IF(H287="",0,VLOOKUP(H287,'Dados de consulta'!$H$2:$I$25,2,0))</f>
        <v>0</v>
      </c>
      <c r="AI287">
        <f>IF(I287="",0,VLOOKUP(I287,'Dados de consulta'!$H$2:$I$25,2,0))</f>
        <v>0</v>
      </c>
      <c r="AJ287">
        <f>IF(J287="",0,VLOOKUP(J287,'Dados de consulta'!$H$2:$I$25,2,0))</f>
        <v>0</v>
      </c>
      <c r="AK287">
        <f>IF(K287="",0,VLOOKUP(K287,'Dados de consulta'!$H$2:$I$25,2,0))</f>
        <v>0</v>
      </c>
      <c r="AL287">
        <f>IF(L287="",0,VLOOKUP(L287,'Dados de consulta'!$H$2:$I$25,2,0))</f>
        <v>0</v>
      </c>
      <c r="AM287">
        <f>IF(M287="",0,VLOOKUP(M287,'Dados de consulta'!$H$2:$I$25,2,0))</f>
        <v>0</v>
      </c>
      <c r="AN287">
        <f>IF(N287="",0,VLOOKUP(N287,'Dados de consulta'!$H$2:$I$25,2,0))</f>
        <v>0</v>
      </c>
      <c r="AO287">
        <f>IF(O287="",0,VLOOKUP(O287,'Dados de consulta'!$H$2:$I$25,2,0))</f>
        <v>0</v>
      </c>
      <c r="AP287">
        <f>IF(P287="",0,VLOOKUP(P287,'Dados de consulta'!$H$2:$I$25,2,0))</f>
        <v>0</v>
      </c>
      <c r="AQ287">
        <f>IF(Q287="",0,VLOOKUP(Q287,'Dados de consulta'!$H$2:$I$25,2,0))</f>
        <v>0</v>
      </c>
      <c r="AR287">
        <f>IF(R287="",0,VLOOKUP(R287,'Dados de consulta'!$H$2:$I$25,2,0))</f>
        <v>0</v>
      </c>
      <c r="AS287">
        <f>IF(S287="",0,VLOOKUP(S287,'Dados de consulta'!$H$2:$I$25,2,0))</f>
        <v>0</v>
      </c>
      <c r="AT287">
        <f>IF(T287="",0,VLOOKUP(T287,'Dados de consulta'!$H$2:$I$25,2,0))</f>
        <v>0</v>
      </c>
      <c r="AU287">
        <f>IF(U287="",0,VLOOKUP(U287,'Dados de consulta'!$H$2:$I$25,2,0))</f>
        <v>0</v>
      </c>
      <c r="AV287">
        <f>IF(V287="",0,VLOOKUP(V287,'Dados de consulta'!$H$2:$I$25,2,0))</f>
        <v>0</v>
      </c>
      <c r="AW287">
        <f t="shared" si="32"/>
        <v>0</v>
      </c>
      <c r="AX287">
        <f t="shared" si="33"/>
        <v>0</v>
      </c>
      <c r="AY287">
        <f t="shared" si="34"/>
        <v>0</v>
      </c>
    </row>
    <row r="288" spans="1:51" hidden="1" x14ac:dyDescent="0.2">
      <c r="A288" s="202">
        <v>42545</v>
      </c>
      <c r="B288" s="78" t="s">
        <v>287</v>
      </c>
      <c r="W288">
        <f t="shared" si="29"/>
        <v>0</v>
      </c>
      <c r="X288">
        <f t="shared" si="30"/>
        <v>0</v>
      </c>
      <c r="Y288">
        <f t="shared" si="31"/>
        <v>0</v>
      </c>
      <c r="AA288" s="202">
        <v>42545</v>
      </c>
      <c r="AB288" s="78" t="s">
        <v>287</v>
      </c>
      <c r="AC288">
        <f>IF(C288="",0,VLOOKUP(C288,'Dados de consulta'!$H$2:$I$25,2,0))</f>
        <v>0</v>
      </c>
      <c r="AD288">
        <f>IF(D288="",0,VLOOKUP(D288,'Dados de consulta'!$H$2:$I$25,2,0))</f>
        <v>0</v>
      </c>
      <c r="AE288">
        <f>IF(E288="",0,VLOOKUP(E288,'Dados de consulta'!$H$2:$I$25,2,0))</f>
        <v>0</v>
      </c>
      <c r="AF288">
        <f>IF(F288="",0,VLOOKUP(F288,'Dados de consulta'!$H$2:$I$25,2,0))</f>
        <v>0</v>
      </c>
      <c r="AG288">
        <f>IF(G288="",0,VLOOKUP(G288,'Dados de consulta'!$H$2:$I$25,2,0))</f>
        <v>0</v>
      </c>
      <c r="AH288">
        <f>IF(H288="",0,VLOOKUP(H288,'Dados de consulta'!$H$2:$I$25,2,0))</f>
        <v>0</v>
      </c>
      <c r="AI288">
        <f>IF(I288="",0,VLOOKUP(I288,'Dados de consulta'!$H$2:$I$25,2,0))</f>
        <v>0</v>
      </c>
      <c r="AJ288">
        <f>IF(J288="",0,VLOOKUP(J288,'Dados de consulta'!$H$2:$I$25,2,0))</f>
        <v>0</v>
      </c>
      <c r="AK288">
        <f>IF(K288="",0,VLOOKUP(K288,'Dados de consulta'!$H$2:$I$25,2,0))</f>
        <v>0</v>
      </c>
      <c r="AL288">
        <f>IF(L288="",0,VLOOKUP(L288,'Dados de consulta'!$H$2:$I$25,2,0))</f>
        <v>0</v>
      </c>
      <c r="AM288">
        <f>IF(M288="",0,VLOOKUP(M288,'Dados de consulta'!$H$2:$I$25,2,0))</f>
        <v>0</v>
      </c>
      <c r="AN288">
        <f>IF(N288="",0,VLOOKUP(N288,'Dados de consulta'!$H$2:$I$25,2,0))</f>
        <v>0</v>
      </c>
      <c r="AO288">
        <f>IF(O288="",0,VLOOKUP(O288,'Dados de consulta'!$H$2:$I$25,2,0))</f>
        <v>0</v>
      </c>
      <c r="AP288">
        <f>IF(P288="",0,VLOOKUP(P288,'Dados de consulta'!$H$2:$I$25,2,0))</f>
        <v>0</v>
      </c>
      <c r="AQ288">
        <f>IF(Q288="",0,VLOOKUP(Q288,'Dados de consulta'!$H$2:$I$25,2,0))</f>
        <v>0</v>
      </c>
      <c r="AR288">
        <f>IF(R288="",0,VLOOKUP(R288,'Dados de consulta'!$H$2:$I$25,2,0))</f>
        <v>0</v>
      </c>
      <c r="AS288">
        <f>IF(S288="",0,VLOOKUP(S288,'Dados de consulta'!$H$2:$I$25,2,0))</f>
        <v>0</v>
      </c>
      <c r="AT288">
        <f>IF(T288="",0,VLOOKUP(T288,'Dados de consulta'!$H$2:$I$25,2,0))</f>
        <v>0</v>
      </c>
      <c r="AU288">
        <f>IF(U288="",0,VLOOKUP(U288,'Dados de consulta'!$H$2:$I$25,2,0))</f>
        <v>0</v>
      </c>
      <c r="AV288">
        <f>IF(V288="",0,VLOOKUP(V288,'Dados de consulta'!$H$2:$I$25,2,0))</f>
        <v>0</v>
      </c>
      <c r="AW288">
        <f t="shared" si="32"/>
        <v>0</v>
      </c>
      <c r="AX288">
        <f t="shared" si="33"/>
        <v>0</v>
      </c>
      <c r="AY288">
        <f t="shared" si="34"/>
        <v>0</v>
      </c>
    </row>
    <row r="289" spans="1:51" hidden="1" x14ac:dyDescent="0.2">
      <c r="A289" s="202">
        <v>42546</v>
      </c>
      <c r="B289" s="78" t="s">
        <v>281</v>
      </c>
      <c r="W289">
        <f t="shared" si="29"/>
        <v>0</v>
      </c>
      <c r="X289">
        <f t="shared" si="30"/>
        <v>0</v>
      </c>
      <c r="Y289">
        <f t="shared" si="31"/>
        <v>0</v>
      </c>
      <c r="AA289" s="202">
        <v>42546</v>
      </c>
      <c r="AB289" s="78" t="s">
        <v>281</v>
      </c>
      <c r="AC289">
        <f>IF(C289="",0,VLOOKUP(C289,'Dados de consulta'!$H$2:$I$25,2,0))</f>
        <v>0</v>
      </c>
      <c r="AD289">
        <f>IF(D289="",0,VLOOKUP(D289,'Dados de consulta'!$H$2:$I$25,2,0))</f>
        <v>0</v>
      </c>
      <c r="AE289">
        <f>IF(E289="",0,VLOOKUP(E289,'Dados de consulta'!$H$2:$I$25,2,0))</f>
        <v>0</v>
      </c>
      <c r="AF289">
        <f>IF(F289="",0,VLOOKUP(F289,'Dados de consulta'!$H$2:$I$25,2,0))</f>
        <v>0</v>
      </c>
      <c r="AG289">
        <f>IF(G289="",0,VLOOKUP(G289,'Dados de consulta'!$H$2:$I$25,2,0))</f>
        <v>0</v>
      </c>
      <c r="AH289">
        <f>IF(H289="",0,VLOOKUP(H289,'Dados de consulta'!$H$2:$I$25,2,0))</f>
        <v>0</v>
      </c>
      <c r="AI289">
        <f>IF(I289="",0,VLOOKUP(I289,'Dados de consulta'!$H$2:$I$25,2,0))</f>
        <v>0</v>
      </c>
      <c r="AJ289">
        <f>IF(J289="",0,VLOOKUP(J289,'Dados de consulta'!$H$2:$I$25,2,0))</f>
        <v>0</v>
      </c>
      <c r="AK289">
        <f>IF(K289="",0,VLOOKUP(K289,'Dados de consulta'!$H$2:$I$25,2,0))</f>
        <v>0</v>
      </c>
      <c r="AL289">
        <f>IF(L289="",0,VLOOKUP(L289,'Dados de consulta'!$H$2:$I$25,2,0))</f>
        <v>0</v>
      </c>
      <c r="AM289">
        <f>IF(M289="",0,VLOOKUP(M289,'Dados de consulta'!$H$2:$I$25,2,0))</f>
        <v>0</v>
      </c>
      <c r="AN289">
        <f>IF(N289="",0,VLOOKUP(N289,'Dados de consulta'!$H$2:$I$25,2,0))</f>
        <v>0</v>
      </c>
      <c r="AO289">
        <f>IF(O289="",0,VLOOKUP(O289,'Dados de consulta'!$H$2:$I$25,2,0))</f>
        <v>0</v>
      </c>
      <c r="AP289">
        <f>IF(P289="",0,VLOOKUP(P289,'Dados de consulta'!$H$2:$I$25,2,0))</f>
        <v>0</v>
      </c>
      <c r="AQ289">
        <f>IF(Q289="",0,VLOOKUP(Q289,'Dados de consulta'!$H$2:$I$25,2,0))</f>
        <v>0</v>
      </c>
      <c r="AR289">
        <f>IF(R289="",0,VLOOKUP(R289,'Dados de consulta'!$H$2:$I$25,2,0))</f>
        <v>0</v>
      </c>
      <c r="AS289">
        <f>IF(S289="",0,VLOOKUP(S289,'Dados de consulta'!$H$2:$I$25,2,0))</f>
        <v>0</v>
      </c>
      <c r="AT289">
        <f>IF(T289="",0,VLOOKUP(T289,'Dados de consulta'!$H$2:$I$25,2,0))</f>
        <v>0</v>
      </c>
      <c r="AU289">
        <f>IF(U289="",0,VLOOKUP(U289,'Dados de consulta'!$H$2:$I$25,2,0))</f>
        <v>0</v>
      </c>
      <c r="AV289">
        <f>IF(V289="",0,VLOOKUP(V289,'Dados de consulta'!$H$2:$I$25,2,0))</f>
        <v>0</v>
      </c>
      <c r="AW289">
        <f t="shared" si="32"/>
        <v>0</v>
      </c>
      <c r="AX289">
        <f t="shared" si="33"/>
        <v>0</v>
      </c>
      <c r="AY289">
        <f t="shared" si="34"/>
        <v>0</v>
      </c>
    </row>
    <row r="290" spans="1:51" hidden="1" x14ac:dyDescent="0.2">
      <c r="A290" s="202">
        <v>42547</v>
      </c>
      <c r="B290" s="78" t="s">
        <v>282</v>
      </c>
      <c r="W290">
        <f t="shared" si="29"/>
        <v>0</v>
      </c>
      <c r="X290">
        <f t="shared" si="30"/>
        <v>0</v>
      </c>
      <c r="Y290">
        <f t="shared" si="31"/>
        <v>0</v>
      </c>
      <c r="AA290" s="202">
        <v>42547</v>
      </c>
      <c r="AB290" s="78" t="s">
        <v>282</v>
      </c>
      <c r="AC290">
        <f>IF(C290="",0,VLOOKUP(C290,'Dados de consulta'!$H$2:$I$25,2,0))</f>
        <v>0</v>
      </c>
      <c r="AD290">
        <f>IF(D290="",0,VLOOKUP(D290,'Dados de consulta'!$H$2:$I$25,2,0))</f>
        <v>0</v>
      </c>
      <c r="AE290">
        <f>IF(E290="",0,VLOOKUP(E290,'Dados de consulta'!$H$2:$I$25,2,0))</f>
        <v>0</v>
      </c>
      <c r="AF290">
        <f>IF(F290="",0,VLOOKUP(F290,'Dados de consulta'!$H$2:$I$25,2,0))</f>
        <v>0</v>
      </c>
      <c r="AG290">
        <f>IF(G290="",0,VLOOKUP(G290,'Dados de consulta'!$H$2:$I$25,2,0))</f>
        <v>0</v>
      </c>
      <c r="AH290">
        <f>IF(H290="",0,VLOOKUP(H290,'Dados de consulta'!$H$2:$I$25,2,0))</f>
        <v>0</v>
      </c>
      <c r="AI290">
        <f>IF(I290="",0,VLOOKUP(I290,'Dados de consulta'!$H$2:$I$25,2,0))</f>
        <v>0</v>
      </c>
      <c r="AJ290">
        <f>IF(J290="",0,VLOOKUP(J290,'Dados de consulta'!$H$2:$I$25,2,0))</f>
        <v>0</v>
      </c>
      <c r="AK290">
        <f>IF(K290="",0,VLOOKUP(K290,'Dados de consulta'!$H$2:$I$25,2,0))</f>
        <v>0</v>
      </c>
      <c r="AL290">
        <f>IF(L290="",0,VLOOKUP(L290,'Dados de consulta'!$H$2:$I$25,2,0))</f>
        <v>0</v>
      </c>
      <c r="AM290">
        <f>IF(M290="",0,VLOOKUP(M290,'Dados de consulta'!$H$2:$I$25,2,0))</f>
        <v>0</v>
      </c>
      <c r="AN290">
        <f>IF(N290="",0,VLOOKUP(N290,'Dados de consulta'!$H$2:$I$25,2,0))</f>
        <v>0</v>
      </c>
      <c r="AO290">
        <f>IF(O290="",0,VLOOKUP(O290,'Dados de consulta'!$H$2:$I$25,2,0))</f>
        <v>0</v>
      </c>
      <c r="AP290">
        <f>IF(P290="",0,VLOOKUP(P290,'Dados de consulta'!$H$2:$I$25,2,0))</f>
        <v>0</v>
      </c>
      <c r="AQ290">
        <f>IF(Q290="",0,VLOOKUP(Q290,'Dados de consulta'!$H$2:$I$25,2,0))</f>
        <v>0</v>
      </c>
      <c r="AR290">
        <f>IF(R290="",0,VLOOKUP(R290,'Dados de consulta'!$H$2:$I$25,2,0))</f>
        <v>0</v>
      </c>
      <c r="AS290">
        <f>IF(S290="",0,VLOOKUP(S290,'Dados de consulta'!$H$2:$I$25,2,0))</f>
        <v>0</v>
      </c>
      <c r="AT290">
        <f>IF(T290="",0,VLOOKUP(T290,'Dados de consulta'!$H$2:$I$25,2,0))</f>
        <v>0</v>
      </c>
      <c r="AU290">
        <f>IF(U290="",0,VLOOKUP(U290,'Dados de consulta'!$H$2:$I$25,2,0))</f>
        <v>0</v>
      </c>
      <c r="AV290">
        <f>IF(V290="",0,VLOOKUP(V290,'Dados de consulta'!$H$2:$I$25,2,0))</f>
        <v>0</v>
      </c>
      <c r="AW290">
        <f t="shared" si="32"/>
        <v>0</v>
      </c>
      <c r="AX290">
        <f t="shared" si="33"/>
        <v>0</v>
      </c>
      <c r="AY290">
        <f t="shared" si="34"/>
        <v>0</v>
      </c>
    </row>
    <row r="291" spans="1:51" hidden="1" x14ac:dyDescent="0.2">
      <c r="A291" s="202">
        <v>42548</v>
      </c>
      <c r="B291" s="78" t="s">
        <v>283</v>
      </c>
      <c r="W291">
        <f t="shared" si="29"/>
        <v>0</v>
      </c>
      <c r="X291">
        <f t="shared" si="30"/>
        <v>0</v>
      </c>
      <c r="Y291">
        <f t="shared" si="31"/>
        <v>0</v>
      </c>
      <c r="AA291" s="202">
        <v>42548</v>
      </c>
      <c r="AB291" s="78" t="s">
        <v>283</v>
      </c>
      <c r="AC291">
        <f>IF(C291="",0,VLOOKUP(C291,'Dados de consulta'!$H$2:$I$25,2,0))</f>
        <v>0</v>
      </c>
      <c r="AD291">
        <f>IF(D291="",0,VLOOKUP(D291,'Dados de consulta'!$H$2:$I$25,2,0))</f>
        <v>0</v>
      </c>
      <c r="AE291">
        <f>IF(E291="",0,VLOOKUP(E291,'Dados de consulta'!$H$2:$I$25,2,0))</f>
        <v>0</v>
      </c>
      <c r="AF291">
        <f>IF(F291="",0,VLOOKUP(F291,'Dados de consulta'!$H$2:$I$25,2,0))</f>
        <v>0</v>
      </c>
      <c r="AG291">
        <f>IF(G291="",0,VLOOKUP(G291,'Dados de consulta'!$H$2:$I$25,2,0))</f>
        <v>0</v>
      </c>
      <c r="AH291">
        <f>IF(H291="",0,VLOOKUP(H291,'Dados de consulta'!$H$2:$I$25,2,0))</f>
        <v>0</v>
      </c>
      <c r="AI291">
        <f>IF(I291="",0,VLOOKUP(I291,'Dados de consulta'!$H$2:$I$25,2,0))</f>
        <v>0</v>
      </c>
      <c r="AJ291">
        <f>IF(J291="",0,VLOOKUP(J291,'Dados de consulta'!$H$2:$I$25,2,0))</f>
        <v>0</v>
      </c>
      <c r="AK291">
        <f>IF(K291="",0,VLOOKUP(K291,'Dados de consulta'!$H$2:$I$25,2,0))</f>
        <v>0</v>
      </c>
      <c r="AL291">
        <f>IF(L291="",0,VLOOKUP(L291,'Dados de consulta'!$H$2:$I$25,2,0))</f>
        <v>0</v>
      </c>
      <c r="AM291">
        <f>IF(M291="",0,VLOOKUP(M291,'Dados de consulta'!$H$2:$I$25,2,0))</f>
        <v>0</v>
      </c>
      <c r="AN291">
        <f>IF(N291="",0,VLOOKUP(N291,'Dados de consulta'!$H$2:$I$25,2,0))</f>
        <v>0</v>
      </c>
      <c r="AO291">
        <f>IF(O291="",0,VLOOKUP(O291,'Dados de consulta'!$H$2:$I$25,2,0))</f>
        <v>0</v>
      </c>
      <c r="AP291">
        <f>IF(P291="",0,VLOOKUP(P291,'Dados de consulta'!$H$2:$I$25,2,0))</f>
        <v>0</v>
      </c>
      <c r="AQ291">
        <f>IF(Q291="",0,VLOOKUP(Q291,'Dados de consulta'!$H$2:$I$25,2,0))</f>
        <v>0</v>
      </c>
      <c r="AR291">
        <f>IF(R291="",0,VLOOKUP(R291,'Dados de consulta'!$H$2:$I$25,2,0))</f>
        <v>0</v>
      </c>
      <c r="AS291">
        <f>IF(S291="",0,VLOOKUP(S291,'Dados de consulta'!$H$2:$I$25,2,0))</f>
        <v>0</v>
      </c>
      <c r="AT291">
        <f>IF(T291="",0,VLOOKUP(T291,'Dados de consulta'!$H$2:$I$25,2,0))</f>
        <v>0</v>
      </c>
      <c r="AU291">
        <f>IF(U291="",0,VLOOKUP(U291,'Dados de consulta'!$H$2:$I$25,2,0))</f>
        <v>0</v>
      </c>
      <c r="AV291">
        <f>IF(V291="",0,VLOOKUP(V291,'Dados de consulta'!$H$2:$I$25,2,0))</f>
        <v>0</v>
      </c>
      <c r="AW291">
        <f t="shared" si="32"/>
        <v>0</v>
      </c>
      <c r="AX291">
        <f t="shared" si="33"/>
        <v>0</v>
      </c>
      <c r="AY291">
        <f t="shared" si="34"/>
        <v>0</v>
      </c>
    </row>
    <row r="292" spans="1:51" hidden="1" x14ac:dyDescent="0.2">
      <c r="A292" s="202">
        <v>42549</v>
      </c>
      <c r="B292" s="78" t="s">
        <v>284</v>
      </c>
      <c r="W292">
        <f t="shared" si="29"/>
        <v>0</v>
      </c>
      <c r="X292">
        <f t="shared" si="30"/>
        <v>0</v>
      </c>
      <c r="Y292">
        <f t="shared" si="31"/>
        <v>0</v>
      </c>
      <c r="AA292" s="202">
        <v>42549</v>
      </c>
      <c r="AB292" s="78" t="s">
        <v>284</v>
      </c>
      <c r="AC292">
        <f>IF(C292="",0,VLOOKUP(C292,'Dados de consulta'!$H$2:$I$25,2,0))</f>
        <v>0</v>
      </c>
      <c r="AD292">
        <f>IF(D292="",0,VLOOKUP(D292,'Dados de consulta'!$H$2:$I$25,2,0))</f>
        <v>0</v>
      </c>
      <c r="AE292">
        <f>IF(E292="",0,VLOOKUP(E292,'Dados de consulta'!$H$2:$I$25,2,0))</f>
        <v>0</v>
      </c>
      <c r="AF292">
        <f>IF(F292="",0,VLOOKUP(F292,'Dados de consulta'!$H$2:$I$25,2,0))</f>
        <v>0</v>
      </c>
      <c r="AG292">
        <f>IF(G292="",0,VLOOKUP(G292,'Dados de consulta'!$H$2:$I$25,2,0))</f>
        <v>0</v>
      </c>
      <c r="AH292">
        <f>IF(H292="",0,VLOOKUP(H292,'Dados de consulta'!$H$2:$I$25,2,0))</f>
        <v>0</v>
      </c>
      <c r="AI292">
        <f>IF(I292="",0,VLOOKUP(I292,'Dados de consulta'!$H$2:$I$25,2,0))</f>
        <v>0</v>
      </c>
      <c r="AJ292">
        <f>IF(J292="",0,VLOOKUP(J292,'Dados de consulta'!$H$2:$I$25,2,0))</f>
        <v>0</v>
      </c>
      <c r="AK292">
        <f>IF(K292="",0,VLOOKUP(K292,'Dados de consulta'!$H$2:$I$25,2,0))</f>
        <v>0</v>
      </c>
      <c r="AL292">
        <f>IF(L292="",0,VLOOKUP(L292,'Dados de consulta'!$H$2:$I$25,2,0))</f>
        <v>0</v>
      </c>
      <c r="AM292">
        <f>IF(M292="",0,VLOOKUP(M292,'Dados de consulta'!$H$2:$I$25,2,0))</f>
        <v>0</v>
      </c>
      <c r="AN292">
        <f>IF(N292="",0,VLOOKUP(N292,'Dados de consulta'!$H$2:$I$25,2,0))</f>
        <v>0</v>
      </c>
      <c r="AO292">
        <f>IF(O292="",0,VLOOKUP(O292,'Dados de consulta'!$H$2:$I$25,2,0))</f>
        <v>0</v>
      </c>
      <c r="AP292">
        <f>IF(P292="",0,VLOOKUP(P292,'Dados de consulta'!$H$2:$I$25,2,0))</f>
        <v>0</v>
      </c>
      <c r="AQ292">
        <f>IF(Q292="",0,VLOOKUP(Q292,'Dados de consulta'!$H$2:$I$25,2,0))</f>
        <v>0</v>
      </c>
      <c r="AR292">
        <f>IF(R292="",0,VLOOKUP(R292,'Dados de consulta'!$H$2:$I$25,2,0))</f>
        <v>0</v>
      </c>
      <c r="AS292">
        <f>IF(S292="",0,VLOOKUP(S292,'Dados de consulta'!$H$2:$I$25,2,0))</f>
        <v>0</v>
      </c>
      <c r="AT292">
        <f>IF(T292="",0,VLOOKUP(T292,'Dados de consulta'!$H$2:$I$25,2,0))</f>
        <v>0</v>
      </c>
      <c r="AU292">
        <f>IF(U292="",0,VLOOKUP(U292,'Dados de consulta'!$H$2:$I$25,2,0))</f>
        <v>0</v>
      </c>
      <c r="AV292">
        <f>IF(V292="",0,VLOOKUP(V292,'Dados de consulta'!$H$2:$I$25,2,0))</f>
        <v>0</v>
      </c>
      <c r="AW292">
        <f t="shared" si="32"/>
        <v>0</v>
      </c>
      <c r="AX292">
        <f t="shared" si="33"/>
        <v>0</v>
      </c>
      <c r="AY292">
        <f t="shared" si="34"/>
        <v>0</v>
      </c>
    </row>
    <row r="293" spans="1:51" hidden="1" x14ac:dyDescent="0.2">
      <c r="A293" s="202">
        <v>42550</v>
      </c>
      <c r="B293" s="78" t="s">
        <v>285</v>
      </c>
      <c r="W293">
        <f t="shared" si="29"/>
        <v>0</v>
      </c>
      <c r="X293">
        <f t="shared" si="30"/>
        <v>0</v>
      </c>
      <c r="Y293">
        <f t="shared" si="31"/>
        <v>0</v>
      </c>
      <c r="AA293" s="202">
        <v>42550</v>
      </c>
      <c r="AB293" s="78" t="s">
        <v>285</v>
      </c>
      <c r="AC293">
        <f>IF(C293="",0,VLOOKUP(C293,'Dados de consulta'!$H$2:$I$25,2,0))</f>
        <v>0</v>
      </c>
      <c r="AD293">
        <f>IF(D293="",0,VLOOKUP(D293,'Dados de consulta'!$H$2:$I$25,2,0))</f>
        <v>0</v>
      </c>
      <c r="AE293">
        <f>IF(E293="",0,VLOOKUP(E293,'Dados de consulta'!$H$2:$I$25,2,0))</f>
        <v>0</v>
      </c>
      <c r="AF293">
        <f>IF(F293="",0,VLOOKUP(F293,'Dados de consulta'!$H$2:$I$25,2,0))</f>
        <v>0</v>
      </c>
      <c r="AG293">
        <f>IF(G293="",0,VLOOKUP(G293,'Dados de consulta'!$H$2:$I$25,2,0))</f>
        <v>0</v>
      </c>
      <c r="AH293">
        <f>IF(H293="",0,VLOOKUP(H293,'Dados de consulta'!$H$2:$I$25,2,0))</f>
        <v>0</v>
      </c>
      <c r="AI293">
        <f>IF(I293="",0,VLOOKUP(I293,'Dados de consulta'!$H$2:$I$25,2,0))</f>
        <v>0</v>
      </c>
      <c r="AJ293">
        <f>IF(J293="",0,VLOOKUP(J293,'Dados de consulta'!$H$2:$I$25,2,0))</f>
        <v>0</v>
      </c>
      <c r="AK293">
        <f>IF(K293="",0,VLOOKUP(K293,'Dados de consulta'!$H$2:$I$25,2,0))</f>
        <v>0</v>
      </c>
      <c r="AL293">
        <f>IF(L293="",0,VLOOKUP(L293,'Dados de consulta'!$H$2:$I$25,2,0))</f>
        <v>0</v>
      </c>
      <c r="AM293">
        <f>IF(M293="",0,VLOOKUP(M293,'Dados de consulta'!$H$2:$I$25,2,0))</f>
        <v>0</v>
      </c>
      <c r="AN293">
        <f>IF(N293="",0,VLOOKUP(N293,'Dados de consulta'!$H$2:$I$25,2,0))</f>
        <v>0</v>
      </c>
      <c r="AO293">
        <f>IF(O293="",0,VLOOKUP(O293,'Dados de consulta'!$H$2:$I$25,2,0))</f>
        <v>0</v>
      </c>
      <c r="AP293">
        <f>IF(P293="",0,VLOOKUP(P293,'Dados de consulta'!$H$2:$I$25,2,0))</f>
        <v>0</v>
      </c>
      <c r="AQ293">
        <f>IF(Q293="",0,VLOOKUP(Q293,'Dados de consulta'!$H$2:$I$25,2,0))</f>
        <v>0</v>
      </c>
      <c r="AR293">
        <f>IF(R293="",0,VLOOKUP(R293,'Dados de consulta'!$H$2:$I$25,2,0))</f>
        <v>0</v>
      </c>
      <c r="AS293">
        <f>IF(S293="",0,VLOOKUP(S293,'Dados de consulta'!$H$2:$I$25,2,0))</f>
        <v>0</v>
      </c>
      <c r="AT293">
        <f>IF(T293="",0,VLOOKUP(T293,'Dados de consulta'!$H$2:$I$25,2,0))</f>
        <v>0</v>
      </c>
      <c r="AU293">
        <f>IF(U293="",0,VLOOKUP(U293,'Dados de consulta'!$H$2:$I$25,2,0))</f>
        <v>0</v>
      </c>
      <c r="AV293">
        <f>IF(V293="",0,VLOOKUP(V293,'Dados de consulta'!$H$2:$I$25,2,0))</f>
        <v>0</v>
      </c>
      <c r="AW293">
        <f t="shared" si="32"/>
        <v>0</v>
      </c>
      <c r="AX293">
        <f t="shared" si="33"/>
        <v>0</v>
      </c>
      <c r="AY293">
        <f t="shared" si="34"/>
        <v>0</v>
      </c>
    </row>
    <row r="294" spans="1:51" hidden="1" x14ac:dyDescent="0.2">
      <c r="A294" s="202">
        <v>42551</v>
      </c>
      <c r="B294" s="78" t="s">
        <v>286</v>
      </c>
      <c r="W294">
        <f t="shared" si="29"/>
        <v>0</v>
      </c>
      <c r="X294">
        <f t="shared" si="30"/>
        <v>0</v>
      </c>
      <c r="Y294">
        <f t="shared" si="31"/>
        <v>0</v>
      </c>
      <c r="AA294" s="202">
        <v>42551</v>
      </c>
      <c r="AB294" s="78" t="s">
        <v>286</v>
      </c>
      <c r="AC294">
        <f>IF(C294="",0,VLOOKUP(C294,'Dados de consulta'!$H$2:$I$25,2,0))</f>
        <v>0</v>
      </c>
      <c r="AD294">
        <f>IF(D294="",0,VLOOKUP(D294,'Dados de consulta'!$H$2:$I$25,2,0))</f>
        <v>0</v>
      </c>
      <c r="AE294">
        <f>IF(E294="",0,VLOOKUP(E294,'Dados de consulta'!$H$2:$I$25,2,0))</f>
        <v>0</v>
      </c>
      <c r="AF294">
        <f>IF(F294="",0,VLOOKUP(F294,'Dados de consulta'!$H$2:$I$25,2,0))</f>
        <v>0</v>
      </c>
      <c r="AG294">
        <f>IF(G294="",0,VLOOKUP(G294,'Dados de consulta'!$H$2:$I$25,2,0))</f>
        <v>0</v>
      </c>
      <c r="AH294">
        <f>IF(H294="",0,VLOOKUP(H294,'Dados de consulta'!$H$2:$I$25,2,0))</f>
        <v>0</v>
      </c>
      <c r="AI294">
        <f>IF(I294="",0,VLOOKUP(I294,'Dados de consulta'!$H$2:$I$25,2,0))</f>
        <v>0</v>
      </c>
      <c r="AJ294">
        <f>IF(J294="",0,VLOOKUP(J294,'Dados de consulta'!$H$2:$I$25,2,0))</f>
        <v>0</v>
      </c>
      <c r="AK294">
        <f>IF(K294="",0,VLOOKUP(K294,'Dados de consulta'!$H$2:$I$25,2,0))</f>
        <v>0</v>
      </c>
      <c r="AL294">
        <f>IF(L294="",0,VLOOKUP(L294,'Dados de consulta'!$H$2:$I$25,2,0))</f>
        <v>0</v>
      </c>
      <c r="AM294">
        <f>IF(M294="",0,VLOOKUP(M294,'Dados de consulta'!$H$2:$I$25,2,0))</f>
        <v>0</v>
      </c>
      <c r="AN294">
        <f>IF(N294="",0,VLOOKUP(N294,'Dados de consulta'!$H$2:$I$25,2,0))</f>
        <v>0</v>
      </c>
      <c r="AO294">
        <f>IF(O294="",0,VLOOKUP(O294,'Dados de consulta'!$H$2:$I$25,2,0))</f>
        <v>0</v>
      </c>
      <c r="AP294">
        <f>IF(P294="",0,VLOOKUP(P294,'Dados de consulta'!$H$2:$I$25,2,0))</f>
        <v>0</v>
      </c>
      <c r="AQ294">
        <f>IF(Q294="",0,VLOOKUP(Q294,'Dados de consulta'!$H$2:$I$25,2,0))</f>
        <v>0</v>
      </c>
      <c r="AR294">
        <f>IF(R294="",0,VLOOKUP(R294,'Dados de consulta'!$H$2:$I$25,2,0))</f>
        <v>0</v>
      </c>
      <c r="AS294">
        <f>IF(S294="",0,VLOOKUP(S294,'Dados de consulta'!$H$2:$I$25,2,0))</f>
        <v>0</v>
      </c>
      <c r="AT294">
        <f>IF(T294="",0,VLOOKUP(T294,'Dados de consulta'!$H$2:$I$25,2,0))</f>
        <v>0</v>
      </c>
      <c r="AU294">
        <f>IF(U294="",0,VLOOKUP(U294,'Dados de consulta'!$H$2:$I$25,2,0))</f>
        <v>0</v>
      </c>
      <c r="AV294">
        <f>IF(V294="",0,VLOOKUP(V294,'Dados de consulta'!$H$2:$I$25,2,0))</f>
        <v>0</v>
      </c>
      <c r="AW294">
        <f t="shared" si="32"/>
        <v>0</v>
      </c>
      <c r="AX294">
        <f t="shared" si="33"/>
        <v>0</v>
      </c>
      <c r="AY294">
        <f t="shared" si="34"/>
        <v>0</v>
      </c>
    </row>
    <row r="295" spans="1:51" hidden="1" x14ac:dyDescent="0.2">
      <c r="A295" s="202">
        <v>42552</v>
      </c>
      <c r="B295" s="78" t="s">
        <v>287</v>
      </c>
      <c r="W295">
        <f t="shared" si="29"/>
        <v>0</v>
      </c>
      <c r="X295">
        <f t="shared" si="30"/>
        <v>0</v>
      </c>
      <c r="Y295">
        <f t="shared" si="31"/>
        <v>0</v>
      </c>
      <c r="AA295" s="202">
        <v>42552</v>
      </c>
      <c r="AB295" s="78" t="s">
        <v>287</v>
      </c>
      <c r="AC295">
        <f>IF(C295="",0,VLOOKUP(C295,'Dados de consulta'!$H$2:$I$25,2,0))</f>
        <v>0</v>
      </c>
      <c r="AD295">
        <f>IF(D295="",0,VLOOKUP(D295,'Dados de consulta'!$H$2:$I$25,2,0))</f>
        <v>0</v>
      </c>
      <c r="AE295">
        <f>IF(E295="",0,VLOOKUP(E295,'Dados de consulta'!$H$2:$I$25,2,0))</f>
        <v>0</v>
      </c>
      <c r="AF295">
        <f>IF(F295="",0,VLOOKUP(F295,'Dados de consulta'!$H$2:$I$25,2,0))</f>
        <v>0</v>
      </c>
      <c r="AG295">
        <f>IF(G295="",0,VLOOKUP(G295,'Dados de consulta'!$H$2:$I$25,2,0))</f>
        <v>0</v>
      </c>
      <c r="AH295">
        <f>IF(H295="",0,VLOOKUP(H295,'Dados de consulta'!$H$2:$I$25,2,0))</f>
        <v>0</v>
      </c>
      <c r="AI295">
        <f>IF(I295="",0,VLOOKUP(I295,'Dados de consulta'!$H$2:$I$25,2,0))</f>
        <v>0</v>
      </c>
      <c r="AJ295">
        <f>IF(J295="",0,VLOOKUP(J295,'Dados de consulta'!$H$2:$I$25,2,0))</f>
        <v>0</v>
      </c>
      <c r="AK295">
        <f>IF(K295="",0,VLOOKUP(K295,'Dados de consulta'!$H$2:$I$25,2,0))</f>
        <v>0</v>
      </c>
      <c r="AL295">
        <f>IF(L295="",0,VLOOKUP(L295,'Dados de consulta'!$H$2:$I$25,2,0))</f>
        <v>0</v>
      </c>
      <c r="AM295">
        <f>IF(M295="",0,VLOOKUP(M295,'Dados de consulta'!$H$2:$I$25,2,0))</f>
        <v>0</v>
      </c>
      <c r="AN295">
        <f>IF(N295="",0,VLOOKUP(N295,'Dados de consulta'!$H$2:$I$25,2,0))</f>
        <v>0</v>
      </c>
      <c r="AO295">
        <f>IF(O295="",0,VLOOKUP(O295,'Dados de consulta'!$H$2:$I$25,2,0))</f>
        <v>0</v>
      </c>
      <c r="AP295">
        <f>IF(P295="",0,VLOOKUP(P295,'Dados de consulta'!$H$2:$I$25,2,0))</f>
        <v>0</v>
      </c>
      <c r="AQ295">
        <f>IF(Q295="",0,VLOOKUP(Q295,'Dados de consulta'!$H$2:$I$25,2,0))</f>
        <v>0</v>
      </c>
      <c r="AR295">
        <f>IF(R295="",0,VLOOKUP(R295,'Dados de consulta'!$H$2:$I$25,2,0))</f>
        <v>0</v>
      </c>
      <c r="AS295">
        <f>IF(S295="",0,VLOOKUP(S295,'Dados de consulta'!$H$2:$I$25,2,0))</f>
        <v>0</v>
      </c>
      <c r="AT295">
        <f>IF(T295="",0,VLOOKUP(T295,'Dados de consulta'!$H$2:$I$25,2,0))</f>
        <v>0</v>
      </c>
      <c r="AU295">
        <f>IF(U295="",0,VLOOKUP(U295,'Dados de consulta'!$H$2:$I$25,2,0))</f>
        <v>0</v>
      </c>
      <c r="AV295">
        <f>IF(V295="",0,VLOOKUP(V295,'Dados de consulta'!$H$2:$I$25,2,0))</f>
        <v>0</v>
      </c>
      <c r="AW295">
        <f t="shared" si="32"/>
        <v>0</v>
      </c>
      <c r="AX295">
        <f t="shared" si="33"/>
        <v>0</v>
      </c>
      <c r="AY295">
        <f t="shared" si="34"/>
        <v>0</v>
      </c>
    </row>
    <row r="296" spans="1:51" hidden="1" x14ac:dyDescent="0.2">
      <c r="A296" s="202">
        <v>42553</v>
      </c>
      <c r="B296" s="78" t="s">
        <v>281</v>
      </c>
      <c r="W296">
        <f t="shared" si="29"/>
        <v>0</v>
      </c>
      <c r="X296">
        <f t="shared" si="30"/>
        <v>0</v>
      </c>
      <c r="Y296">
        <f t="shared" si="31"/>
        <v>0</v>
      </c>
      <c r="AA296" s="202">
        <v>42553</v>
      </c>
      <c r="AB296" s="78" t="s">
        <v>281</v>
      </c>
      <c r="AC296">
        <f>IF(C296="",0,VLOOKUP(C296,'Dados de consulta'!$H$2:$I$25,2,0))</f>
        <v>0</v>
      </c>
      <c r="AD296">
        <f>IF(D296="",0,VLOOKUP(D296,'Dados de consulta'!$H$2:$I$25,2,0))</f>
        <v>0</v>
      </c>
      <c r="AE296">
        <f>IF(E296="",0,VLOOKUP(E296,'Dados de consulta'!$H$2:$I$25,2,0))</f>
        <v>0</v>
      </c>
      <c r="AF296">
        <f>IF(F296="",0,VLOOKUP(F296,'Dados de consulta'!$H$2:$I$25,2,0))</f>
        <v>0</v>
      </c>
      <c r="AG296">
        <f>IF(G296="",0,VLOOKUP(G296,'Dados de consulta'!$H$2:$I$25,2,0))</f>
        <v>0</v>
      </c>
      <c r="AH296">
        <f>IF(H296="",0,VLOOKUP(H296,'Dados de consulta'!$H$2:$I$25,2,0))</f>
        <v>0</v>
      </c>
      <c r="AI296">
        <f>IF(I296="",0,VLOOKUP(I296,'Dados de consulta'!$H$2:$I$25,2,0))</f>
        <v>0</v>
      </c>
      <c r="AJ296">
        <f>IF(J296="",0,VLOOKUP(J296,'Dados de consulta'!$H$2:$I$25,2,0))</f>
        <v>0</v>
      </c>
      <c r="AK296">
        <f>IF(K296="",0,VLOOKUP(K296,'Dados de consulta'!$H$2:$I$25,2,0))</f>
        <v>0</v>
      </c>
      <c r="AL296">
        <f>IF(L296="",0,VLOOKUP(L296,'Dados de consulta'!$H$2:$I$25,2,0))</f>
        <v>0</v>
      </c>
      <c r="AM296">
        <f>IF(M296="",0,VLOOKUP(M296,'Dados de consulta'!$H$2:$I$25,2,0))</f>
        <v>0</v>
      </c>
      <c r="AN296">
        <f>IF(N296="",0,VLOOKUP(N296,'Dados de consulta'!$H$2:$I$25,2,0))</f>
        <v>0</v>
      </c>
      <c r="AO296">
        <f>IF(O296="",0,VLOOKUP(O296,'Dados de consulta'!$H$2:$I$25,2,0))</f>
        <v>0</v>
      </c>
      <c r="AP296">
        <f>IF(P296="",0,VLOOKUP(P296,'Dados de consulta'!$H$2:$I$25,2,0))</f>
        <v>0</v>
      </c>
      <c r="AQ296">
        <f>IF(Q296="",0,VLOOKUP(Q296,'Dados de consulta'!$H$2:$I$25,2,0))</f>
        <v>0</v>
      </c>
      <c r="AR296">
        <f>IF(R296="",0,VLOOKUP(R296,'Dados de consulta'!$H$2:$I$25,2,0))</f>
        <v>0</v>
      </c>
      <c r="AS296">
        <f>IF(S296="",0,VLOOKUP(S296,'Dados de consulta'!$H$2:$I$25,2,0))</f>
        <v>0</v>
      </c>
      <c r="AT296">
        <f>IF(T296="",0,VLOOKUP(T296,'Dados de consulta'!$H$2:$I$25,2,0))</f>
        <v>0</v>
      </c>
      <c r="AU296">
        <f>IF(U296="",0,VLOOKUP(U296,'Dados de consulta'!$H$2:$I$25,2,0))</f>
        <v>0</v>
      </c>
      <c r="AV296">
        <f>IF(V296="",0,VLOOKUP(V296,'Dados de consulta'!$H$2:$I$25,2,0))</f>
        <v>0</v>
      </c>
      <c r="AW296">
        <f t="shared" si="32"/>
        <v>0</v>
      </c>
      <c r="AX296">
        <f t="shared" si="33"/>
        <v>0</v>
      </c>
      <c r="AY296">
        <f t="shared" si="34"/>
        <v>0</v>
      </c>
    </row>
    <row r="297" spans="1:51" hidden="1" x14ac:dyDescent="0.2">
      <c r="A297" s="202">
        <v>42554</v>
      </c>
      <c r="B297" s="78" t="s">
        <v>282</v>
      </c>
      <c r="W297">
        <f t="shared" si="29"/>
        <v>0</v>
      </c>
      <c r="X297">
        <f t="shared" si="30"/>
        <v>0</v>
      </c>
      <c r="Y297">
        <f t="shared" si="31"/>
        <v>0</v>
      </c>
      <c r="AA297" s="202">
        <v>42554</v>
      </c>
      <c r="AB297" s="78" t="s">
        <v>282</v>
      </c>
      <c r="AC297">
        <f>IF(C297="",0,VLOOKUP(C297,'Dados de consulta'!$H$2:$I$25,2,0))</f>
        <v>0</v>
      </c>
      <c r="AD297">
        <f>IF(D297="",0,VLOOKUP(D297,'Dados de consulta'!$H$2:$I$25,2,0))</f>
        <v>0</v>
      </c>
      <c r="AE297">
        <f>IF(E297="",0,VLOOKUP(E297,'Dados de consulta'!$H$2:$I$25,2,0))</f>
        <v>0</v>
      </c>
      <c r="AF297">
        <f>IF(F297="",0,VLOOKUP(F297,'Dados de consulta'!$H$2:$I$25,2,0))</f>
        <v>0</v>
      </c>
      <c r="AG297">
        <f>IF(G297="",0,VLOOKUP(G297,'Dados de consulta'!$H$2:$I$25,2,0))</f>
        <v>0</v>
      </c>
      <c r="AH297">
        <f>IF(H297="",0,VLOOKUP(H297,'Dados de consulta'!$H$2:$I$25,2,0))</f>
        <v>0</v>
      </c>
      <c r="AI297">
        <f>IF(I297="",0,VLOOKUP(I297,'Dados de consulta'!$H$2:$I$25,2,0))</f>
        <v>0</v>
      </c>
      <c r="AJ297">
        <f>IF(J297="",0,VLOOKUP(J297,'Dados de consulta'!$H$2:$I$25,2,0))</f>
        <v>0</v>
      </c>
      <c r="AK297">
        <f>IF(K297="",0,VLOOKUP(K297,'Dados de consulta'!$H$2:$I$25,2,0))</f>
        <v>0</v>
      </c>
      <c r="AL297">
        <f>IF(L297="",0,VLOOKUP(L297,'Dados de consulta'!$H$2:$I$25,2,0))</f>
        <v>0</v>
      </c>
      <c r="AM297">
        <f>IF(M297="",0,VLOOKUP(M297,'Dados de consulta'!$H$2:$I$25,2,0))</f>
        <v>0</v>
      </c>
      <c r="AN297">
        <f>IF(N297="",0,VLOOKUP(N297,'Dados de consulta'!$H$2:$I$25,2,0))</f>
        <v>0</v>
      </c>
      <c r="AO297">
        <f>IF(O297="",0,VLOOKUP(O297,'Dados de consulta'!$H$2:$I$25,2,0))</f>
        <v>0</v>
      </c>
      <c r="AP297">
        <f>IF(P297="",0,VLOOKUP(P297,'Dados de consulta'!$H$2:$I$25,2,0))</f>
        <v>0</v>
      </c>
      <c r="AQ297">
        <f>IF(Q297="",0,VLOOKUP(Q297,'Dados de consulta'!$H$2:$I$25,2,0))</f>
        <v>0</v>
      </c>
      <c r="AR297">
        <f>IF(R297="",0,VLOOKUP(R297,'Dados de consulta'!$H$2:$I$25,2,0))</f>
        <v>0</v>
      </c>
      <c r="AS297">
        <f>IF(S297="",0,VLOOKUP(S297,'Dados de consulta'!$H$2:$I$25,2,0))</f>
        <v>0</v>
      </c>
      <c r="AT297">
        <f>IF(T297="",0,VLOOKUP(T297,'Dados de consulta'!$H$2:$I$25,2,0))</f>
        <v>0</v>
      </c>
      <c r="AU297">
        <f>IF(U297="",0,VLOOKUP(U297,'Dados de consulta'!$H$2:$I$25,2,0))</f>
        <v>0</v>
      </c>
      <c r="AV297">
        <f>IF(V297="",0,VLOOKUP(V297,'Dados de consulta'!$H$2:$I$25,2,0))</f>
        <v>0</v>
      </c>
      <c r="AW297">
        <f t="shared" si="32"/>
        <v>0</v>
      </c>
      <c r="AX297">
        <f t="shared" si="33"/>
        <v>0</v>
      </c>
      <c r="AY297">
        <f t="shared" si="34"/>
        <v>0</v>
      </c>
    </row>
    <row r="298" spans="1:51" hidden="1" x14ac:dyDescent="0.2">
      <c r="A298" s="202">
        <v>42555</v>
      </c>
      <c r="B298" s="78" t="s">
        <v>283</v>
      </c>
      <c r="W298">
        <f t="shared" si="29"/>
        <v>0</v>
      </c>
      <c r="X298">
        <f t="shared" si="30"/>
        <v>0</v>
      </c>
      <c r="Y298">
        <f t="shared" si="31"/>
        <v>0</v>
      </c>
      <c r="AA298" s="202">
        <v>42555</v>
      </c>
      <c r="AB298" s="78" t="s">
        <v>283</v>
      </c>
      <c r="AC298">
        <f>IF(C298="",0,VLOOKUP(C298,'Dados de consulta'!$H$2:$I$25,2,0))</f>
        <v>0</v>
      </c>
      <c r="AD298">
        <f>IF(D298="",0,VLOOKUP(D298,'Dados de consulta'!$H$2:$I$25,2,0))</f>
        <v>0</v>
      </c>
      <c r="AE298">
        <f>IF(E298="",0,VLOOKUP(E298,'Dados de consulta'!$H$2:$I$25,2,0))</f>
        <v>0</v>
      </c>
      <c r="AF298">
        <f>IF(F298="",0,VLOOKUP(F298,'Dados de consulta'!$H$2:$I$25,2,0))</f>
        <v>0</v>
      </c>
      <c r="AG298">
        <f>IF(G298="",0,VLOOKUP(G298,'Dados de consulta'!$H$2:$I$25,2,0))</f>
        <v>0</v>
      </c>
      <c r="AH298">
        <f>IF(H298="",0,VLOOKUP(H298,'Dados de consulta'!$H$2:$I$25,2,0))</f>
        <v>0</v>
      </c>
      <c r="AI298">
        <f>IF(I298="",0,VLOOKUP(I298,'Dados de consulta'!$H$2:$I$25,2,0))</f>
        <v>0</v>
      </c>
      <c r="AJ298">
        <f>IF(J298="",0,VLOOKUP(J298,'Dados de consulta'!$H$2:$I$25,2,0))</f>
        <v>0</v>
      </c>
      <c r="AK298">
        <f>IF(K298="",0,VLOOKUP(K298,'Dados de consulta'!$H$2:$I$25,2,0))</f>
        <v>0</v>
      </c>
      <c r="AL298">
        <f>IF(L298="",0,VLOOKUP(L298,'Dados de consulta'!$H$2:$I$25,2,0))</f>
        <v>0</v>
      </c>
      <c r="AM298">
        <f>IF(M298="",0,VLOOKUP(M298,'Dados de consulta'!$H$2:$I$25,2,0))</f>
        <v>0</v>
      </c>
      <c r="AN298">
        <f>IF(N298="",0,VLOOKUP(N298,'Dados de consulta'!$H$2:$I$25,2,0))</f>
        <v>0</v>
      </c>
      <c r="AO298">
        <f>IF(O298="",0,VLOOKUP(O298,'Dados de consulta'!$H$2:$I$25,2,0))</f>
        <v>0</v>
      </c>
      <c r="AP298">
        <f>IF(P298="",0,VLOOKUP(P298,'Dados de consulta'!$H$2:$I$25,2,0))</f>
        <v>0</v>
      </c>
      <c r="AQ298">
        <f>IF(Q298="",0,VLOOKUP(Q298,'Dados de consulta'!$H$2:$I$25,2,0))</f>
        <v>0</v>
      </c>
      <c r="AR298">
        <f>IF(R298="",0,VLOOKUP(R298,'Dados de consulta'!$H$2:$I$25,2,0))</f>
        <v>0</v>
      </c>
      <c r="AS298">
        <f>IF(S298="",0,VLOOKUP(S298,'Dados de consulta'!$H$2:$I$25,2,0))</f>
        <v>0</v>
      </c>
      <c r="AT298">
        <f>IF(T298="",0,VLOOKUP(T298,'Dados de consulta'!$H$2:$I$25,2,0))</f>
        <v>0</v>
      </c>
      <c r="AU298">
        <f>IF(U298="",0,VLOOKUP(U298,'Dados de consulta'!$H$2:$I$25,2,0))</f>
        <v>0</v>
      </c>
      <c r="AV298">
        <f>IF(V298="",0,VLOOKUP(V298,'Dados de consulta'!$H$2:$I$25,2,0))</f>
        <v>0</v>
      </c>
      <c r="AW298">
        <f t="shared" si="32"/>
        <v>0</v>
      </c>
      <c r="AX298">
        <f t="shared" si="33"/>
        <v>0</v>
      </c>
      <c r="AY298">
        <f t="shared" si="34"/>
        <v>0</v>
      </c>
    </row>
    <row r="299" spans="1:51" hidden="1" x14ac:dyDescent="0.2">
      <c r="A299" s="202">
        <v>42556</v>
      </c>
      <c r="B299" s="78" t="s">
        <v>284</v>
      </c>
      <c r="W299">
        <f t="shared" si="29"/>
        <v>0</v>
      </c>
      <c r="X299">
        <f t="shared" si="30"/>
        <v>0</v>
      </c>
      <c r="Y299">
        <f t="shared" si="31"/>
        <v>0</v>
      </c>
      <c r="AA299" s="202">
        <v>42556</v>
      </c>
      <c r="AB299" s="78" t="s">
        <v>284</v>
      </c>
      <c r="AC299">
        <f>IF(C299="",0,VLOOKUP(C299,'Dados de consulta'!$H$2:$I$25,2,0))</f>
        <v>0</v>
      </c>
      <c r="AD299">
        <f>IF(D299="",0,VLOOKUP(D299,'Dados de consulta'!$H$2:$I$25,2,0))</f>
        <v>0</v>
      </c>
      <c r="AE299">
        <f>IF(E299="",0,VLOOKUP(E299,'Dados de consulta'!$H$2:$I$25,2,0))</f>
        <v>0</v>
      </c>
      <c r="AF299">
        <f>IF(F299="",0,VLOOKUP(F299,'Dados de consulta'!$H$2:$I$25,2,0))</f>
        <v>0</v>
      </c>
      <c r="AG299">
        <f>IF(G299="",0,VLOOKUP(G299,'Dados de consulta'!$H$2:$I$25,2,0))</f>
        <v>0</v>
      </c>
      <c r="AH299">
        <f>IF(H299="",0,VLOOKUP(H299,'Dados de consulta'!$H$2:$I$25,2,0))</f>
        <v>0</v>
      </c>
      <c r="AI299">
        <f>IF(I299="",0,VLOOKUP(I299,'Dados de consulta'!$H$2:$I$25,2,0))</f>
        <v>0</v>
      </c>
      <c r="AJ299">
        <f>IF(J299="",0,VLOOKUP(J299,'Dados de consulta'!$H$2:$I$25,2,0))</f>
        <v>0</v>
      </c>
      <c r="AK299">
        <f>IF(K299="",0,VLOOKUP(K299,'Dados de consulta'!$H$2:$I$25,2,0))</f>
        <v>0</v>
      </c>
      <c r="AL299">
        <f>IF(L299="",0,VLOOKUP(L299,'Dados de consulta'!$H$2:$I$25,2,0))</f>
        <v>0</v>
      </c>
      <c r="AM299">
        <f>IF(M299="",0,VLOOKUP(M299,'Dados de consulta'!$H$2:$I$25,2,0))</f>
        <v>0</v>
      </c>
      <c r="AN299">
        <f>IF(N299="",0,VLOOKUP(N299,'Dados de consulta'!$H$2:$I$25,2,0))</f>
        <v>0</v>
      </c>
      <c r="AO299">
        <f>IF(O299="",0,VLOOKUP(O299,'Dados de consulta'!$H$2:$I$25,2,0))</f>
        <v>0</v>
      </c>
      <c r="AP299">
        <f>IF(P299="",0,VLOOKUP(P299,'Dados de consulta'!$H$2:$I$25,2,0))</f>
        <v>0</v>
      </c>
      <c r="AQ299">
        <f>IF(Q299="",0,VLOOKUP(Q299,'Dados de consulta'!$H$2:$I$25,2,0))</f>
        <v>0</v>
      </c>
      <c r="AR299">
        <f>IF(R299="",0,VLOOKUP(R299,'Dados de consulta'!$H$2:$I$25,2,0))</f>
        <v>0</v>
      </c>
      <c r="AS299">
        <f>IF(S299="",0,VLOOKUP(S299,'Dados de consulta'!$H$2:$I$25,2,0))</f>
        <v>0</v>
      </c>
      <c r="AT299">
        <f>IF(T299="",0,VLOOKUP(T299,'Dados de consulta'!$H$2:$I$25,2,0))</f>
        <v>0</v>
      </c>
      <c r="AU299">
        <f>IF(U299="",0,VLOOKUP(U299,'Dados de consulta'!$H$2:$I$25,2,0))</f>
        <v>0</v>
      </c>
      <c r="AV299">
        <f>IF(V299="",0,VLOOKUP(V299,'Dados de consulta'!$H$2:$I$25,2,0))</f>
        <v>0</v>
      </c>
      <c r="AW299">
        <f t="shared" si="32"/>
        <v>0</v>
      </c>
      <c r="AX299">
        <f t="shared" si="33"/>
        <v>0</v>
      </c>
      <c r="AY299">
        <f t="shared" si="34"/>
        <v>0</v>
      </c>
    </row>
    <row r="300" spans="1:51" hidden="1" x14ac:dyDescent="0.2">
      <c r="A300" s="202">
        <v>42557</v>
      </c>
      <c r="B300" s="78" t="s">
        <v>285</v>
      </c>
      <c r="W300">
        <f t="shared" si="29"/>
        <v>0</v>
      </c>
      <c r="X300">
        <f t="shared" si="30"/>
        <v>0</v>
      </c>
      <c r="Y300">
        <f t="shared" si="31"/>
        <v>0</v>
      </c>
      <c r="AA300" s="202">
        <v>42557</v>
      </c>
      <c r="AB300" s="78" t="s">
        <v>285</v>
      </c>
      <c r="AC300">
        <f>IF(C300="",0,VLOOKUP(C300,'Dados de consulta'!$H$2:$I$25,2,0))</f>
        <v>0</v>
      </c>
      <c r="AD300">
        <f>IF(D300="",0,VLOOKUP(D300,'Dados de consulta'!$H$2:$I$25,2,0))</f>
        <v>0</v>
      </c>
      <c r="AE300">
        <f>IF(E300="",0,VLOOKUP(E300,'Dados de consulta'!$H$2:$I$25,2,0))</f>
        <v>0</v>
      </c>
      <c r="AF300">
        <f>IF(F300="",0,VLOOKUP(F300,'Dados de consulta'!$H$2:$I$25,2,0))</f>
        <v>0</v>
      </c>
      <c r="AG300">
        <f>IF(G300="",0,VLOOKUP(G300,'Dados de consulta'!$H$2:$I$25,2,0))</f>
        <v>0</v>
      </c>
      <c r="AH300">
        <f>IF(H300="",0,VLOOKUP(H300,'Dados de consulta'!$H$2:$I$25,2,0))</f>
        <v>0</v>
      </c>
      <c r="AI300">
        <f>IF(I300="",0,VLOOKUP(I300,'Dados de consulta'!$H$2:$I$25,2,0))</f>
        <v>0</v>
      </c>
      <c r="AJ300">
        <f>IF(J300="",0,VLOOKUP(J300,'Dados de consulta'!$H$2:$I$25,2,0))</f>
        <v>0</v>
      </c>
      <c r="AK300">
        <f>IF(K300="",0,VLOOKUP(K300,'Dados de consulta'!$H$2:$I$25,2,0))</f>
        <v>0</v>
      </c>
      <c r="AL300">
        <f>IF(L300="",0,VLOOKUP(L300,'Dados de consulta'!$H$2:$I$25,2,0))</f>
        <v>0</v>
      </c>
      <c r="AM300">
        <f>IF(M300="",0,VLOOKUP(M300,'Dados de consulta'!$H$2:$I$25,2,0))</f>
        <v>0</v>
      </c>
      <c r="AN300">
        <f>IF(N300="",0,VLOOKUP(N300,'Dados de consulta'!$H$2:$I$25,2,0))</f>
        <v>0</v>
      </c>
      <c r="AO300">
        <f>IF(O300="",0,VLOOKUP(O300,'Dados de consulta'!$H$2:$I$25,2,0))</f>
        <v>0</v>
      </c>
      <c r="AP300">
        <f>IF(P300="",0,VLOOKUP(P300,'Dados de consulta'!$H$2:$I$25,2,0))</f>
        <v>0</v>
      </c>
      <c r="AQ300">
        <f>IF(Q300="",0,VLOOKUP(Q300,'Dados de consulta'!$H$2:$I$25,2,0))</f>
        <v>0</v>
      </c>
      <c r="AR300">
        <f>IF(R300="",0,VLOOKUP(R300,'Dados de consulta'!$H$2:$I$25,2,0))</f>
        <v>0</v>
      </c>
      <c r="AS300">
        <f>IF(S300="",0,VLOOKUP(S300,'Dados de consulta'!$H$2:$I$25,2,0))</f>
        <v>0</v>
      </c>
      <c r="AT300">
        <f>IF(T300="",0,VLOOKUP(T300,'Dados de consulta'!$H$2:$I$25,2,0))</f>
        <v>0</v>
      </c>
      <c r="AU300">
        <f>IF(U300="",0,VLOOKUP(U300,'Dados de consulta'!$H$2:$I$25,2,0))</f>
        <v>0</v>
      </c>
      <c r="AV300">
        <f>IF(V300="",0,VLOOKUP(V300,'Dados de consulta'!$H$2:$I$25,2,0))</f>
        <v>0</v>
      </c>
      <c r="AW300">
        <f t="shared" si="32"/>
        <v>0</v>
      </c>
      <c r="AX300">
        <f t="shared" si="33"/>
        <v>0</v>
      </c>
      <c r="AY300">
        <f t="shared" si="34"/>
        <v>0</v>
      </c>
    </row>
    <row r="301" spans="1:51" hidden="1" x14ac:dyDescent="0.2">
      <c r="A301" s="202">
        <v>42558</v>
      </c>
      <c r="B301" s="78" t="s">
        <v>286</v>
      </c>
      <c r="W301">
        <f t="shared" si="29"/>
        <v>0</v>
      </c>
      <c r="X301">
        <f t="shared" si="30"/>
        <v>0</v>
      </c>
      <c r="Y301">
        <f t="shared" si="31"/>
        <v>0</v>
      </c>
      <c r="AA301" s="202">
        <v>42558</v>
      </c>
      <c r="AB301" s="78" t="s">
        <v>286</v>
      </c>
      <c r="AC301">
        <f>IF(C301="",0,VLOOKUP(C301,'Dados de consulta'!$H$2:$I$25,2,0))</f>
        <v>0</v>
      </c>
      <c r="AD301">
        <f>IF(D301="",0,VLOOKUP(D301,'Dados de consulta'!$H$2:$I$25,2,0))</f>
        <v>0</v>
      </c>
      <c r="AE301">
        <f>IF(E301="",0,VLOOKUP(E301,'Dados de consulta'!$H$2:$I$25,2,0))</f>
        <v>0</v>
      </c>
      <c r="AF301">
        <f>IF(F301="",0,VLOOKUP(F301,'Dados de consulta'!$H$2:$I$25,2,0))</f>
        <v>0</v>
      </c>
      <c r="AG301">
        <f>IF(G301="",0,VLOOKUP(G301,'Dados de consulta'!$H$2:$I$25,2,0))</f>
        <v>0</v>
      </c>
      <c r="AH301">
        <f>IF(H301="",0,VLOOKUP(H301,'Dados de consulta'!$H$2:$I$25,2,0))</f>
        <v>0</v>
      </c>
      <c r="AI301">
        <f>IF(I301="",0,VLOOKUP(I301,'Dados de consulta'!$H$2:$I$25,2,0))</f>
        <v>0</v>
      </c>
      <c r="AJ301">
        <f>IF(J301="",0,VLOOKUP(J301,'Dados de consulta'!$H$2:$I$25,2,0))</f>
        <v>0</v>
      </c>
      <c r="AK301">
        <f>IF(K301="",0,VLOOKUP(K301,'Dados de consulta'!$H$2:$I$25,2,0))</f>
        <v>0</v>
      </c>
      <c r="AL301">
        <f>IF(L301="",0,VLOOKUP(L301,'Dados de consulta'!$H$2:$I$25,2,0))</f>
        <v>0</v>
      </c>
      <c r="AM301">
        <f>IF(M301="",0,VLOOKUP(M301,'Dados de consulta'!$H$2:$I$25,2,0))</f>
        <v>0</v>
      </c>
      <c r="AN301">
        <f>IF(N301="",0,VLOOKUP(N301,'Dados de consulta'!$H$2:$I$25,2,0))</f>
        <v>0</v>
      </c>
      <c r="AO301">
        <f>IF(O301="",0,VLOOKUP(O301,'Dados de consulta'!$H$2:$I$25,2,0))</f>
        <v>0</v>
      </c>
      <c r="AP301">
        <f>IF(P301="",0,VLOOKUP(P301,'Dados de consulta'!$H$2:$I$25,2,0))</f>
        <v>0</v>
      </c>
      <c r="AQ301">
        <f>IF(Q301="",0,VLOOKUP(Q301,'Dados de consulta'!$H$2:$I$25,2,0))</f>
        <v>0</v>
      </c>
      <c r="AR301">
        <f>IF(R301="",0,VLOOKUP(R301,'Dados de consulta'!$H$2:$I$25,2,0))</f>
        <v>0</v>
      </c>
      <c r="AS301">
        <f>IF(S301="",0,VLOOKUP(S301,'Dados de consulta'!$H$2:$I$25,2,0))</f>
        <v>0</v>
      </c>
      <c r="AT301">
        <f>IF(T301="",0,VLOOKUP(T301,'Dados de consulta'!$H$2:$I$25,2,0))</f>
        <v>0</v>
      </c>
      <c r="AU301">
        <f>IF(U301="",0,VLOOKUP(U301,'Dados de consulta'!$H$2:$I$25,2,0))</f>
        <v>0</v>
      </c>
      <c r="AV301">
        <f>IF(V301="",0,VLOOKUP(V301,'Dados de consulta'!$H$2:$I$25,2,0))</f>
        <v>0</v>
      </c>
      <c r="AW301">
        <f t="shared" si="32"/>
        <v>0</v>
      </c>
      <c r="AX301">
        <f t="shared" si="33"/>
        <v>0</v>
      </c>
      <c r="AY301">
        <f t="shared" si="34"/>
        <v>0</v>
      </c>
    </row>
    <row r="302" spans="1:51" hidden="1" x14ac:dyDescent="0.2">
      <c r="A302" s="202">
        <v>42559</v>
      </c>
      <c r="B302" s="78" t="s">
        <v>287</v>
      </c>
      <c r="W302">
        <f t="shared" si="29"/>
        <v>0</v>
      </c>
      <c r="X302">
        <f t="shared" si="30"/>
        <v>0</v>
      </c>
      <c r="Y302">
        <f t="shared" si="31"/>
        <v>0</v>
      </c>
      <c r="AA302" s="202">
        <v>42559</v>
      </c>
      <c r="AB302" s="78" t="s">
        <v>287</v>
      </c>
      <c r="AC302">
        <f>IF(C302="",0,VLOOKUP(C302,'Dados de consulta'!$H$2:$I$25,2,0))</f>
        <v>0</v>
      </c>
      <c r="AD302">
        <f>IF(D302="",0,VLOOKUP(D302,'Dados de consulta'!$H$2:$I$25,2,0))</f>
        <v>0</v>
      </c>
      <c r="AE302">
        <f>IF(E302="",0,VLOOKUP(E302,'Dados de consulta'!$H$2:$I$25,2,0))</f>
        <v>0</v>
      </c>
      <c r="AF302">
        <f>IF(F302="",0,VLOOKUP(F302,'Dados de consulta'!$H$2:$I$25,2,0))</f>
        <v>0</v>
      </c>
      <c r="AG302">
        <f>IF(G302="",0,VLOOKUP(G302,'Dados de consulta'!$H$2:$I$25,2,0))</f>
        <v>0</v>
      </c>
      <c r="AH302">
        <f>IF(H302="",0,VLOOKUP(H302,'Dados de consulta'!$H$2:$I$25,2,0))</f>
        <v>0</v>
      </c>
      <c r="AI302">
        <f>IF(I302="",0,VLOOKUP(I302,'Dados de consulta'!$H$2:$I$25,2,0))</f>
        <v>0</v>
      </c>
      <c r="AJ302">
        <f>IF(J302="",0,VLOOKUP(J302,'Dados de consulta'!$H$2:$I$25,2,0))</f>
        <v>0</v>
      </c>
      <c r="AK302">
        <f>IF(K302="",0,VLOOKUP(K302,'Dados de consulta'!$H$2:$I$25,2,0))</f>
        <v>0</v>
      </c>
      <c r="AL302">
        <f>IF(L302="",0,VLOOKUP(L302,'Dados de consulta'!$H$2:$I$25,2,0))</f>
        <v>0</v>
      </c>
      <c r="AM302">
        <f>IF(M302="",0,VLOOKUP(M302,'Dados de consulta'!$H$2:$I$25,2,0))</f>
        <v>0</v>
      </c>
      <c r="AN302">
        <f>IF(N302="",0,VLOOKUP(N302,'Dados de consulta'!$H$2:$I$25,2,0))</f>
        <v>0</v>
      </c>
      <c r="AO302">
        <f>IF(O302="",0,VLOOKUP(O302,'Dados de consulta'!$H$2:$I$25,2,0))</f>
        <v>0</v>
      </c>
      <c r="AP302">
        <f>IF(P302="",0,VLOOKUP(P302,'Dados de consulta'!$H$2:$I$25,2,0))</f>
        <v>0</v>
      </c>
      <c r="AQ302">
        <f>IF(Q302="",0,VLOOKUP(Q302,'Dados de consulta'!$H$2:$I$25,2,0))</f>
        <v>0</v>
      </c>
      <c r="AR302">
        <f>IF(R302="",0,VLOOKUP(R302,'Dados de consulta'!$H$2:$I$25,2,0))</f>
        <v>0</v>
      </c>
      <c r="AS302">
        <f>IF(S302="",0,VLOOKUP(S302,'Dados de consulta'!$H$2:$I$25,2,0))</f>
        <v>0</v>
      </c>
      <c r="AT302">
        <f>IF(T302="",0,VLOOKUP(T302,'Dados de consulta'!$H$2:$I$25,2,0))</f>
        <v>0</v>
      </c>
      <c r="AU302">
        <f>IF(U302="",0,VLOOKUP(U302,'Dados de consulta'!$H$2:$I$25,2,0))</f>
        <v>0</v>
      </c>
      <c r="AV302">
        <f>IF(V302="",0,VLOOKUP(V302,'Dados de consulta'!$H$2:$I$25,2,0))</f>
        <v>0</v>
      </c>
      <c r="AW302">
        <f t="shared" si="32"/>
        <v>0</v>
      </c>
      <c r="AX302">
        <f t="shared" si="33"/>
        <v>0</v>
      </c>
      <c r="AY302">
        <f t="shared" si="34"/>
        <v>0</v>
      </c>
    </row>
    <row r="303" spans="1:51" hidden="1" x14ac:dyDescent="0.2">
      <c r="A303" s="202">
        <v>42560</v>
      </c>
      <c r="B303" s="78" t="s">
        <v>281</v>
      </c>
      <c r="W303">
        <f t="shared" si="29"/>
        <v>0</v>
      </c>
      <c r="X303">
        <f t="shared" si="30"/>
        <v>0</v>
      </c>
      <c r="Y303">
        <f t="shared" si="31"/>
        <v>0</v>
      </c>
      <c r="AA303" s="202">
        <v>42560</v>
      </c>
      <c r="AB303" s="78" t="s">
        <v>281</v>
      </c>
      <c r="AC303">
        <f>IF(C303="",0,VLOOKUP(C303,'Dados de consulta'!$H$2:$I$25,2,0))</f>
        <v>0</v>
      </c>
      <c r="AD303">
        <f>IF(D303="",0,VLOOKUP(D303,'Dados de consulta'!$H$2:$I$25,2,0))</f>
        <v>0</v>
      </c>
      <c r="AE303">
        <f>IF(E303="",0,VLOOKUP(E303,'Dados de consulta'!$H$2:$I$25,2,0))</f>
        <v>0</v>
      </c>
      <c r="AF303">
        <f>IF(F303="",0,VLOOKUP(F303,'Dados de consulta'!$H$2:$I$25,2,0))</f>
        <v>0</v>
      </c>
      <c r="AG303">
        <f>IF(G303="",0,VLOOKUP(G303,'Dados de consulta'!$H$2:$I$25,2,0))</f>
        <v>0</v>
      </c>
      <c r="AH303">
        <f>IF(H303="",0,VLOOKUP(H303,'Dados de consulta'!$H$2:$I$25,2,0))</f>
        <v>0</v>
      </c>
      <c r="AI303">
        <f>IF(I303="",0,VLOOKUP(I303,'Dados de consulta'!$H$2:$I$25,2,0))</f>
        <v>0</v>
      </c>
      <c r="AJ303">
        <f>IF(J303="",0,VLOOKUP(J303,'Dados de consulta'!$H$2:$I$25,2,0))</f>
        <v>0</v>
      </c>
      <c r="AK303">
        <f>IF(K303="",0,VLOOKUP(K303,'Dados de consulta'!$H$2:$I$25,2,0))</f>
        <v>0</v>
      </c>
      <c r="AL303">
        <f>IF(L303="",0,VLOOKUP(L303,'Dados de consulta'!$H$2:$I$25,2,0))</f>
        <v>0</v>
      </c>
      <c r="AM303">
        <f>IF(M303="",0,VLOOKUP(M303,'Dados de consulta'!$H$2:$I$25,2,0))</f>
        <v>0</v>
      </c>
      <c r="AN303">
        <f>IF(N303="",0,VLOOKUP(N303,'Dados de consulta'!$H$2:$I$25,2,0))</f>
        <v>0</v>
      </c>
      <c r="AO303">
        <f>IF(O303="",0,VLOOKUP(O303,'Dados de consulta'!$H$2:$I$25,2,0))</f>
        <v>0</v>
      </c>
      <c r="AP303">
        <f>IF(P303="",0,VLOOKUP(P303,'Dados de consulta'!$H$2:$I$25,2,0))</f>
        <v>0</v>
      </c>
      <c r="AQ303">
        <f>IF(Q303="",0,VLOOKUP(Q303,'Dados de consulta'!$H$2:$I$25,2,0))</f>
        <v>0</v>
      </c>
      <c r="AR303">
        <f>IF(R303="",0,VLOOKUP(R303,'Dados de consulta'!$H$2:$I$25,2,0))</f>
        <v>0</v>
      </c>
      <c r="AS303">
        <f>IF(S303="",0,VLOOKUP(S303,'Dados de consulta'!$H$2:$I$25,2,0))</f>
        <v>0</v>
      </c>
      <c r="AT303">
        <f>IF(T303="",0,VLOOKUP(T303,'Dados de consulta'!$H$2:$I$25,2,0))</f>
        <v>0</v>
      </c>
      <c r="AU303">
        <f>IF(U303="",0,VLOOKUP(U303,'Dados de consulta'!$H$2:$I$25,2,0))</f>
        <v>0</v>
      </c>
      <c r="AV303">
        <f>IF(V303="",0,VLOOKUP(V303,'Dados de consulta'!$H$2:$I$25,2,0))</f>
        <v>0</v>
      </c>
      <c r="AW303">
        <f t="shared" si="32"/>
        <v>0</v>
      </c>
      <c r="AX303">
        <f t="shared" si="33"/>
        <v>0</v>
      </c>
      <c r="AY303">
        <f t="shared" si="34"/>
        <v>0</v>
      </c>
    </row>
    <row r="304" spans="1:51" hidden="1" x14ac:dyDescent="0.2">
      <c r="A304" s="202">
        <v>42561</v>
      </c>
      <c r="B304" s="78" t="s">
        <v>282</v>
      </c>
      <c r="W304">
        <f t="shared" si="29"/>
        <v>0</v>
      </c>
      <c r="X304">
        <f t="shared" si="30"/>
        <v>0</v>
      </c>
      <c r="Y304">
        <f t="shared" si="31"/>
        <v>0</v>
      </c>
      <c r="AA304" s="202">
        <v>42561</v>
      </c>
      <c r="AB304" s="78" t="s">
        <v>282</v>
      </c>
      <c r="AC304">
        <f>IF(C304="",0,VLOOKUP(C304,'Dados de consulta'!$H$2:$I$25,2,0))</f>
        <v>0</v>
      </c>
      <c r="AD304">
        <f>IF(D304="",0,VLOOKUP(D304,'Dados de consulta'!$H$2:$I$25,2,0))</f>
        <v>0</v>
      </c>
      <c r="AE304">
        <f>IF(E304="",0,VLOOKUP(E304,'Dados de consulta'!$H$2:$I$25,2,0))</f>
        <v>0</v>
      </c>
      <c r="AF304">
        <f>IF(F304="",0,VLOOKUP(F304,'Dados de consulta'!$H$2:$I$25,2,0))</f>
        <v>0</v>
      </c>
      <c r="AG304">
        <f>IF(G304="",0,VLOOKUP(G304,'Dados de consulta'!$H$2:$I$25,2,0))</f>
        <v>0</v>
      </c>
      <c r="AH304">
        <f>IF(H304="",0,VLOOKUP(H304,'Dados de consulta'!$H$2:$I$25,2,0))</f>
        <v>0</v>
      </c>
      <c r="AI304">
        <f>IF(I304="",0,VLOOKUP(I304,'Dados de consulta'!$H$2:$I$25,2,0))</f>
        <v>0</v>
      </c>
      <c r="AJ304">
        <f>IF(J304="",0,VLOOKUP(J304,'Dados de consulta'!$H$2:$I$25,2,0))</f>
        <v>0</v>
      </c>
      <c r="AK304">
        <f>IF(K304="",0,VLOOKUP(K304,'Dados de consulta'!$H$2:$I$25,2,0))</f>
        <v>0</v>
      </c>
      <c r="AL304">
        <f>IF(L304="",0,VLOOKUP(L304,'Dados de consulta'!$H$2:$I$25,2,0))</f>
        <v>0</v>
      </c>
      <c r="AM304">
        <f>IF(M304="",0,VLOOKUP(M304,'Dados de consulta'!$H$2:$I$25,2,0))</f>
        <v>0</v>
      </c>
      <c r="AN304">
        <f>IF(N304="",0,VLOOKUP(N304,'Dados de consulta'!$H$2:$I$25,2,0))</f>
        <v>0</v>
      </c>
      <c r="AO304">
        <f>IF(O304="",0,VLOOKUP(O304,'Dados de consulta'!$H$2:$I$25,2,0))</f>
        <v>0</v>
      </c>
      <c r="AP304">
        <f>IF(P304="",0,VLOOKUP(P304,'Dados de consulta'!$H$2:$I$25,2,0))</f>
        <v>0</v>
      </c>
      <c r="AQ304">
        <f>IF(Q304="",0,VLOOKUP(Q304,'Dados de consulta'!$H$2:$I$25,2,0))</f>
        <v>0</v>
      </c>
      <c r="AR304">
        <f>IF(R304="",0,VLOOKUP(R304,'Dados de consulta'!$H$2:$I$25,2,0))</f>
        <v>0</v>
      </c>
      <c r="AS304">
        <f>IF(S304="",0,VLOOKUP(S304,'Dados de consulta'!$H$2:$I$25,2,0))</f>
        <v>0</v>
      </c>
      <c r="AT304">
        <f>IF(T304="",0,VLOOKUP(T304,'Dados de consulta'!$H$2:$I$25,2,0))</f>
        <v>0</v>
      </c>
      <c r="AU304">
        <f>IF(U304="",0,VLOOKUP(U304,'Dados de consulta'!$H$2:$I$25,2,0))</f>
        <v>0</v>
      </c>
      <c r="AV304">
        <f>IF(V304="",0,VLOOKUP(V304,'Dados de consulta'!$H$2:$I$25,2,0))</f>
        <v>0</v>
      </c>
      <c r="AW304">
        <f t="shared" si="32"/>
        <v>0</v>
      </c>
      <c r="AX304">
        <f t="shared" si="33"/>
        <v>0</v>
      </c>
      <c r="AY304">
        <f t="shared" si="34"/>
        <v>0</v>
      </c>
    </row>
    <row r="305" spans="1:51" hidden="1" x14ac:dyDescent="0.2">
      <c r="A305" s="202">
        <v>42562</v>
      </c>
      <c r="B305" s="78" t="s">
        <v>283</v>
      </c>
      <c r="W305">
        <f t="shared" si="29"/>
        <v>0</v>
      </c>
      <c r="X305">
        <f t="shared" si="30"/>
        <v>0</v>
      </c>
      <c r="Y305">
        <f t="shared" si="31"/>
        <v>0</v>
      </c>
      <c r="AA305" s="202">
        <v>42562</v>
      </c>
      <c r="AB305" s="78" t="s">
        <v>283</v>
      </c>
      <c r="AC305">
        <f>IF(C305="",0,VLOOKUP(C305,'Dados de consulta'!$H$2:$I$25,2,0))</f>
        <v>0</v>
      </c>
      <c r="AD305">
        <f>IF(D305="",0,VLOOKUP(D305,'Dados de consulta'!$H$2:$I$25,2,0))</f>
        <v>0</v>
      </c>
      <c r="AE305">
        <f>IF(E305="",0,VLOOKUP(E305,'Dados de consulta'!$H$2:$I$25,2,0))</f>
        <v>0</v>
      </c>
      <c r="AF305">
        <f>IF(F305="",0,VLOOKUP(F305,'Dados de consulta'!$H$2:$I$25,2,0))</f>
        <v>0</v>
      </c>
      <c r="AG305">
        <f>IF(G305="",0,VLOOKUP(G305,'Dados de consulta'!$H$2:$I$25,2,0))</f>
        <v>0</v>
      </c>
      <c r="AH305">
        <f>IF(H305="",0,VLOOKUP(H305,'Dados de consulta'!$H$2:$I$25,2,0))</f>
        <v>0</v>
      </c>
      <c r="AI305">
        <f>IF(I305="",0,VLOOKUP(I305,'Dados de consulta'!$H$2:$I$25,2,0))</f>
        <v>0</v>
      </c>
      <c r="AJ305">
        <f>IF(J305="",0,VLOOKUP(J305,'Dados de consulta'!$H$2:$I$25,2,0))</f>
        <v>0</v>
      </c>
      <c r="AK305">
        <f>IF(K305="",0,VLOOKUP(K305,'Dados de consulta'!$H$2:$I$25,2,0))</f>
        <v>0</v>
      </c>
      <c r="AL305">
        <f>IF(L305="",0,VLOOKUP(L305,'Dados de consulta'!$H$2:$I$25,2,0))</f>
        <v>0</v>
      </c>
      <c r="AM305">
        <f>IF(M305="",0,VLOOKUP(M305,'Dados de consulta'!$H$2:$I$25,2,0))</f>
        <v>0</v>
      </c>
      <c r="AN305">
        <f>IF(N305="",0,VLOOKUP(N305,'Dados de consulta'!$H$2:$I$25,2,0))</f>
        <v>0</v>
      </c>
      <c r="AO305">
        <f>IF(O305="",0,VLOOKUP(O305,'Dados de consulta'!$H$2:$I$25,2,0))</f>
        <v>0</v>
      </c>
      <c r="AP305">
        <f>IF(P305="",0,VLOOKUP(P305,'Dados de consulta'!$H$2:$I$25,2,0))</f>
        <v>0</v>
      </c>
      <c r="AQ305">
        <f>IF(Q305="",0,VLOOKUP(Q305,'Dados de consulta'!$H$2:$I$25,2,0))</f>
        <v>0</v>
      </c>
      <c r="AR305">
        <f>IF(R305="",0,VLOOKUP(R305,'Dados de consulta'!$H$2:$I$25,2,0))</f>
        <v>0</v>
      </c>
      <c r="AS305">
        <f>IF(S305="",0,VLOOKUP(S305,'Dados de consulta'!$H$2:$I$25,2,0))</f>
        <v>0</v>
      </c>
      <c r="AT305">
        <f>IF(T305="",0,VLOOKUP(T305,'Dados de consulta'!$H$2:$I$25,2,0))</f>
        <v>0</v>
      </c>
      <c r="AU305">
        <f>IF(U305="",0,VLOOKUP(U305,'Dados de consulta'!$H$2:$I$25,2,0))</f>
        <v>0</v>
      </c>
      <c r="AV305">
        <f>IF(V305="",0,VLOOKUP(V305,'Dados de consulta'!$H$2:$I$25,2,0))</f>
        <v>0</v>
      </c>
      <c r="AW305">
        <f t="shared" si="32"/>
        <v>0</v>
      </c>
      <c r="AX305">
        <f t="shared" si="33"/>
        <v>0</v>
      </c>
      <c r="AY305">
        <f t="shared" si="34"/>
        <v>0</v>
      </c>
    </row>
    <row r="306" spans="1:51" hidden="1" x14ac:dyDescent="0.2">
      <c r="A306" s="202">
        <v>42563</v>
      </c>
      <c r="B306" s="78" t="s">
        <v>284</v>
      </c>
      <c r="W306">
        <f t="shared" si="29"/>
        <v>0</v>
      </c>
      <c r="X306">
        <f t="shared" si="30"/>
        <v>0</v>
      </c>
      <c r="Y306">
        <f t="shared" si="31"/>
        <v>0</v>
      </c>
      <c r="AA306" s="202">
        <v>42563</v>
      </c>
      <c r="AB306" s="78" t="s">
        <v>284</v>
      </c>
      <c r="AC306">
        <f>IF(C306="",0,VLOOKUP(C306,'Dados de consulta'!$H$2:$I$25,2,0))</f>
        <v>0</v>
      </c>
      <c r="AD306">
        <f>IF(D306="",0,VLOOKUP(D306,'Dados de consulta'!$H$2:$I$25,2,0))</f>
        <v>0</v>
      </c>
      <c r="AE306">
        <f>IF(E306="",0,VLOOKUP(E306,'Dados de consulta'!$H$2:$I$25,2,0))</f>
        <v>0</v>
      </c>
      <c r="AF306">
        <f>IF(F306="",0,VLOOKUP(F306,'Dados de consulta'!$H$2:$I$25,2,0))</f>
        <v>0</v>
      </c>
      <c r="AG306">
        <f>IF(G306="",0,VLOOKUP(G306,'Dados de consulta'!$H$2:$I$25,2,0))</f>
        <v>0</v>
      </c>
      <c r="AH306">
        <f>IF(H306="",0,VLOOKUP(H306,'Dados de consulta'!$H$2:$I$25,2,0))</f>
        <v>0</v>
      </c>
      <c r="AI306">
        <f>IF(I306="",0,VLOOKUP(I306,'Dados de consulta'!$H$2:$I$25,2,0))</f>
        <v>0</v>
      </c>
      <c r="AJ306">
        <f>IF(J306="",0,VLOOKUP(J306,'Dados de consulta'!$H$2:$I$25,2,0))</f>
        <v>0</v>
      </c>
      <c r="AK306">
        <f>IF(K306="",0,VLOOKUP(K306,'Dados de consulta'!$H$2:$I$25,2,0))</f>
        <v>0</v>
      </c>
      <c r="AL306">
        <f>IF(L306="",0,VLOOKUP(L306,'Dados de consulta'!$H$2:$I$25,2,0))</f>
        <v>0</v>
      </c>
      <c r="AM306">
        <f>IF(M306="",0,VLOOKUP(M306,'Dados de consulta'!$H$2:$I$25,2,0))</f>
        <v>0</v>
      </c>
      <c r="AN306">
        <f>IF(N306="",0,VLOOKUP(N306,'Dados de consulta'!$H$2:$I$25,2,0))</f>
        <v>0</v>
      </c>
      <c r="AO306">
        <f>IF(O306="",0,VLOOKUP(O306,'Dados de consulta'!$H$2:$I$25,2,0))</f>
        <v>0</v>
      </c>
      <c r="AP306">
        <f>IF(P306="",0,VLOOKUP(P306,'Dados de consulta'!$H$2:$I$25,2,0))</f>
        <v>0</v>
      </c>
      <c r="AQ306">
        <f>IF(Q306="",0,VLOOKUP(Q306,'Dados de consulta'!$H$2:$I$25,2,0))</f>
        <v>0</v>
      </c>
      <c r="AR306">
        <f>IF(R306="",0,VLOOKUP(R306,'Dados de consulta'!$H$2:$I$25,2,0))</f>
        <v>0</v>
      </c>
      <c r="AS306">
        <f>IF(S306="",0,VLOOKUP(S306,'Dados de consulta'!$H$2:$I$25,2,0))</f>
        <v>0</v>
      </c>
      <c r="AT306">
        <f>IF(T306="",0,VLOOKUP(T306,'Dados de consulta'!$H$2:$I$25,2,0))</f>
        <v>0</v>
      </c>
      <c r="AU306">
        <f>IF(U306="",0,VLOOKUP(U306,'Dados de consulta'!$H$2:$I$25,2,0))</f>
        <v>0</v>
      </c>
      <c r="AV306">
        <f>IF(V306="",0,VLOOKUP(V306,'Dados de consulta'!$H$2:$I$25,2,0))</f>
        <v>0</v>
      </c>
      <c r="AW306">
        <f t="shared" si="32"/>
        <v>0</v>
      </c>
      <c r="AX306">
        <f t="shared" si="33"/>
        <v>0</v>
      </c>
      <c r="AY306">
        <f t="shared" si="34"/>
        <v>0</v>
      </c>
    </row>
    <row r="307" spans="1:51" hidden="1" x14ac:dyDescent="0.2">
      <c r="A307" s="202">
        <v>42564</v>
      </c>
      <c r="B307" s="78" t="s">
        <v>285</v>
      </c>
      <c r="W307">
        <f t="shared" si="29"/>
        <v>0</v>
      </c>
      <c r="X307">
        <f t="shared" si="30"/>
        <v>0</v>
      </c>
      <c r="Y307">
        <f t="shared" si="31"/>
        <v>0</v>
      </c>
      <c r="AA307" s="202">
        <v>42564</v>
      </c>
      <c r="AB307" s="78" t="s">
        <v>285</v>
      </c>
      <c r="AC307">
        <f>IF(C307="",0,VLOOKUP(C307,'Dados de consulta'!$H$2:$I$25,2,0))</f>
        <v>0</v>
      </c>
      <c r="AD307">
        <f>IF(D307="",0,VLOOKUP(D307,'Dados de consulta'!$H$2:$I$25,2,0))</f>
        <v>0</v>
      </c>
      <c r="AE307">
        <f>IF(E307="",0,VLOOKUP(E307,'Dados de consulta'!$H$2:$I$25,2,0))</f>
        <v>0</v>
      </c>
      <c r="AF307">
        <f>IF(F307="",0,VLOOKUP(F307,'Dados de consulta'!$H$2:$I$25,2,0))</f>
        <v>0</v>
      </c>
      <c r="AG307">
        <f>IF(G307="",0,VLOOKUP(G307,'Dados de consulta'!$H$2:$I$25,2,0))</f>
        <v>0</v>
      </c>
      <c r="AH307">
        <f>IF(H307="",0,VLOOKUP(H307,'Dados de consulta'!$H$2:$I$25,2,0))</f>
        <v>0</v>
      </c>
      <c r="AI307">
        <f>IF(I307="",0,VLOOKUP(I307,'Dados de consulta'!$H$2:$I$25,2,0))</f>
        <v>0</v>
      </c>
      <c r="AJ307">
        <f>IF(J307="",0,VLOOKUP(J307,'Dados de consulta'!$H$2:$I$25,2,0))</f>
        <v>0</v>
      </c>
      <c r="AK307">
        <f>IF(K307="",0,VLOOKUP(K307,'Dados de consulta'!$H$2:$I$25,2,0))</f>
        <v>0</v>
      </c>
      <c r="AL307">
        <f>IF(L307="",0,VLOOKUP(L307,'Dados de consulta'!$H$2:$I$25,2,0))</f>
        <v>0</v>
      </c>
      <c r="AM307">
        <f>IF(M307="",0,VLOOKUP(M307,'Dados de consulta'!$H$2:$I$25,2,0))</f>
        <v>0</v>
      </c>
      <c r="AN307">
        <f>IF(N307="",0,VLOOKUP(N307,'Dados de consulta'!$H$2:$I$25,2,0))</f>
        <v>0</v>
      </c>
      <c r="AO307">
        <f>IF(O307="",0,VLOOKUP(O307,'Dados de consulta'!$H$2:$I$25,2,0))</f>
        <v>0</v>
      </c>
      <c r="AP307">
        <f>IF(P307="",0,VLOOKUP(P307,'Dados de consulta'!$H$2:$I$25,2,0))</f>
        <v>0</v>
      </c>
      <c r="AQ307">
        <f>IF(Q307="",0,VLOOKUP(Q307,'Dados de consulta'!$H$2:$I$25,2,0))</f>
        <v>0</v>
      </c>
      <c r="AR307">
        <f>IF(R307="",0,VLOOKUP(R307,'Dados de consulta'!$H$2:$I$25,2,0))</f>
        <v>0</v>
      </c>
      <c r="AS307">
        <f>IF(S307="",0,VLOOKUP(S307,'Dados de consulta'!$H$2:$I$25,2,0))</f>
        <v>0</v>
      </c>
      <c r="AT307">
        <f>IF(T307="",0,VLOOKUP(T307,'Dados de consulta'!$H$2:$I$25,2,0))</f>
        <v>0</v>
      </c>
      <c r="AU307">
        <f>IF(U307="",0,VLOOKUP(U307,'Dados de consulta'!$H$2:$I$25,2,0))</f>
        <v>0</v>
      </c>
      <c r="AV307">
        <f>IF(V307="",0,VLOOKUP(V307,'Dados de consulta'!$H$2:$I$25,2,0))</f>
        <v>0</v>
      </c>
      <c r="AW307">
        <f t="shared" si="32"/>
        <v>0</v>
      </c>
      <c r="AX307">
        <f t="shared" si="33"/>
        <v>0</v>
      </c>
      <c r="AY307">
        <f t="shared" si="34"/>
        <v>0</v>
      </c>
    </row>
    <row r="308" spans="1:51" hidden="1" x14ac:dyDescent="0.2">
      <c r="A308" s="202">
        <v>42565</v>
      </c>
      <c r="B308" s="78" t="s">
        <v>286</v>
      </c>
      <c r="W308">
        <f t="shared" si="29"/>
        <v>0</v>
      </c>
      <c r="X308">
        <f t="shared" si="30"/>
        <v>0</v>
      </c>
      <c r="Y308">
        <f t="shared" si="31"/>
        <v>0</v>
      </c>
      <c r="AA308" s="202">
        <v>42565</v>
      </c>
      <c r="AB308" s="78" t="s">
        <v>286</v>
      </c>
      <c r="AC308">
        <f>IF(C308="",0,VLOOKUP(C308,'Dados de consulta'!$H$2:$I$25,2,0))</f>
        <v>0</v>
      </c>
      <c r="AD308">
        <f>IF(D308="",0,VLOOKUP(D308,'Dados de consulta'!$H$2:$I$25,2,0))</f>
        <v>0</v>
      </c>
      <c r="AE308">
        <f>IF(E308="",0,VLOOKUP(E308,'Dados de consulta'!$H$2:$I$25,2,0))</f>
        <v>0</v>
      </c>
      <c r="AF308">
        <f>IF(F308="",0,VLOOKUP(F308,'Dados de consulta'!$H$2:$I$25,2,0))</f>
        <v>0</v>
      </c>
      <c r="AG308">
        <f>IF(G308="",0,VLOOKUP(G308,'Dados de consulta'!$H$2:$I$25,2,0))</f>
        <v>0</v>
      </c>
      <c r="AH308">
        <f>IF(H308="",0,VLOOKUP(H308,'Dados de consulta'!$H$2:$I$25,2,0))</f>
        <v>0</v>
      </c>
      <c r="AI308">
        <f>IF(I308="",0,VLOOKUP(I308,'Dados de consulta'!$H$2:$I$25,2,0))</f>
        <v>0</v>
      </c>
      <c r="AJ308">
        <f>IF(J308="",0,VLOOKUP(J308,'Dados de consulta'!$H$2:$I$25,2,0))</f>
        <v>0</v>
      </c>
      <c r="AK308">
        <f>IF(K308="",0,VLOOKUP(K308,'Dados de consulta'!$H$2:$I$25,2,0))</f>
        <v>0</v>
      </c>
      <c r="AL308">
        <f>IF(L308="",0,VLOOKUP(L308,'Dados de consulta'!$H$2:$I$25,2,0))</f>
        <v>0</v>
      </c>
      <c r="AM308">
        <f>IF(M308="",0,VLOOKUP(M308,'Dados de consulta'!$H$2:$I$25,2,0))</f>
        <v>0</v>
      </c>
      <c r="AN308">
        <f>IF(N308="",0,VLOOKUP(N308,'Dados de consulta'!$H$2:$I$25,2,0))</f>
        <v>0</v>
      </c>
      <c r="AO308">
        <f>IF(O308="",0,VLOOKUP(O308,'Dados de consulta'!$H$2:$I$25,2,0))</f>
        <v>0</v>
      </c>
      <c r="AP308">
        <f>IF(P308="",0,VLOOKUP(P308,'Dados de consulta'!$H$2:$I$25,2,0))</f>
        <v>0</v>
      </c>
      <c r="AQ308">
        <f>IF(Q308="",0,VLOOKUP(Q308,'Dados de consulta'!$H$2:$I$25,2,0))</f>
        <v>0</v>
      </c>
      <c r="AR308">
        <f>IF(R308="",0,VLOOKUP(R308,'Dados de consulta'!$H$2:$I$25,2,0))</f>
        <v>0</v>
      </c>
      <c r="AS308">
        <f>IF(S308="",0,VLOOKUP(S308,'Dados de consulta'!$H$2:$I$25,2,0))</f>
        <v>0</v>
      </c>
      <c r="AT308">
        <f>IF(T308="",0,VLOOKUP(T308,'Dados de consulta'!$H$2:$I$25,2,0))</f>
        <v>0</v>
      </c>
      <c r="AU308">
        <f>IF(U308="",0,VLOOKUP(U308,'Dados de consulta'!$H$2:$I$25,2,0))</f>
        <v>0</v>
      </c>
      <c r="AV308">
        <f>IF(V308="",0,VLOOKUP(V308,'Dados de consulta'!$H$2:$I$25,2,0))</f>
        <v>0</v>
      </c>
      <c r="AW308">
        <f t="shared" si="32"/>
        <v>0</v>
      </c>
      <c r="AX308">
        <f t="shared" si="33"/>
        <v>0</v>
      </c>
      <c r="AY308">
        <f t="shared" si="34"/>
        <v>0</v>
      </c>
    </row>
    <row r="309" spans="1:51" hidden="1" x14ac:dyDescent="0.2">
      <c r="A309" s="202">
        <v>42566</v>
      </c>
      <c r="B309" s="78" t="s">
        <v>287</v>
      </c>
      <c r="W309">
        <f t="shared" si="29"/>
        <v>0</v>
      </c>
      <c r="X309">
        <f t="shared" si="30"/>
        <v>0</v>
      </c>
      <c r="Y309">
        <f t="shared" si="31"/>
        <v>0</v>
      </c>
      <c r="AA309" s="202">
        <v>42566</v>
      </c>
      <c r="AB309" s="78" t="s">
        <v>287</v>
      </c>
      <c r="AC309">
        <f>IF(C309="",0,VLOOKUP(C309,'Dados de consulta'!$H$2:$I$25,2,0))</f>
        <v>0</v>
      </c>
      <c r="AD309">
        <f>IF(D309="",0,VLOOKUP(D309,'Dados de consulta'!$H$2:$I$25,2,0))</f>
        <v>0</v>
      </c>
      <c r="AE309">
        <f>IF(E309="",0,VLOOKUP(E309,'Dados de consulta'!$H$2:$I$25,2,0))</f>
        <v>0</v>
      </c>
      <c r="AF309">
        <f>IF(F309="",0,VLOOKUP(F309,'Dados de consulta'!$H$2:$I$25,2,0))</f>
        <v>0</v>
      </c>
      <c r="AG309">
        <f>IF(G309="",0,VLOOKUP(G309,'Dados de consulta'!$H$2:$I$25,2,0))</f>
        <v>0</v>
      </c>
      <c r="AH309">
        <f>IF(H309="",0,VLOOKUP(H309,'Dados de consulta'!$H$2:$I$25,2,0))</f>
        <v>0</v>
      </c>
      <c r="AI309">
        <f>IF(I309="",0,VLOOKUP(I309,'Dados de consulta'!$H$2:$I$25,2,0))</f>
        <v>0</v>
      </c>
      <c r="AJ309">
        <f>IF(J309="",0,VLOOKUP(J309,'Dados de consulta'!$H$2:$I$25,2,0))</f>
        <v>0</v>
      </c>
      <c r="AK309">
        <f>IF(K309="",0,VLOOKUP(K309,'Dados de consulta'!$H$2:$I$25,2,0))</f>
        <v>0</v>
      </c>
      <c r="AL309">
        <f>IF(L309="",0,VLOOKUP(L309,'Dados de consulta'!$H$2:$I$25,2,0))</f>
        <v>0</v>
      </c>
      <c r="AM309">
        <f>IF(M309="",0,VLOOKUP(M309,'Dados de consulta'!$H$2:$I$25,2,0))</f>
        <v>0</v>
      </c>
      <c r="AN309">
        <f>IF(N309="",0,VLOOKUP(N309,'Dados de consulta'!$H$2:$I$25,2,0))</f>
        <v>0</v>
      </c>
      <c r="AO309">
        <f>IF(O309="",0,VLOOKUP(O309,'Dados de consulta'!$H$2:$I$25,2,0))</f>
        <v>0</v>
      </c>
      <c r="AP309">
        <f>IF(P309="",0,VLOOKUP(P309,'Dados de consulta'!$H$2:$I$25,2,0))</f>
        <v>0</v>
      </c>
      <c r="AQ309">
        <f>IF(Q309="",0,VLOOKUP(Q309,'Dados de consulta'!$H$2:$I$25,2,0))</f>
        <v>0</v>
      </c>
      <c r="AR309">
        <f>IF(R309="",0,VLOOKUP(R309,'Dados de consulta'!$H$2:$I$25,2,0))</f>
        <v>0</v>
      </c>
      <c r="AS309">
        <f>IF(S309="",0,VLOOKUP(S309,'Dados de consulta'!$H$2:$I$25,2,0))</f>
        <v>0</v>
      </c>
      <c r="AT309">
        <f>IF(T309="",0,VLOOKUP(T309,'Dados de consulta'!$H$2:$I$25,2,0))</f>
        <v>0</v>
      </c>
      <c r="AU309">
        <f>IF(U309="",0,VLOOKUP(U309,'Dados de consulta'!$H$2:$I$25,2,0))</f>
        <v>0</v>
      </c>
      <c r="AV309">
        <f>IF(V309="",0,VLOOKUP(V309,'Dados de consulta'!$H$2:$I$25,2,0))</f>
        <v>0</v>
      </c>
      <c r="AW309">
        <f t="shared" si="32"/>
        <v>0</v>
      </c>
      <c r="AX309">
        <f t="shared" si="33"/>
        <v>0</v>
      </c>
      <c r="AY309">
        <f t="shared" si="34"/>
        <v>0</v>
      </c>
    </row>
    <row r="310" spans="1:51" hidden="1" x14ac:dyDescent="0.2">
      <c r="A310" s="202">
        <v>42567</v>
      </c>
      <c r="B310" s="78" t="s">
        <v>281</v>
      </c>
      <c r="W310">
        <f t="shared" si="29"/>
        <v>0</v>
      </c>
      <c r="X310">
        <f t="shared" si="30"/>
        <v>0</v>
      </c>
      <c r="Y310">
        <f t="shared" si="31"/>
        <v>0</v>
      </c>
      <c r="AA310" s="202">
        <v>42567</v>
      </c>
      <c r="AB310" s="78" t="s">
        <v>281</v>
      </c>
      <c r="AC310">
        <f>IF(C310="",0,VLOOKUP(C310,'Dados de consulta'!$H$2:$I$25,2,0))</f>
        <v>0</v>
      </c>
      <c r="AD310">
        <f>IF(D310="",0,VLOOKUP(D310,'Dados de consulta'!$H$2:$I$25,2,0))</f>
        <v>0</v>
      </c>
      <c r="AE310">
        <f>IF(E310="",0,VLOOKUP(E310,'Dados de consulta'!$H$2:$I$25,2,0))</f>
        <v>0</v>
      </c>
      <c r="AF310">
        <f>IF(F310="",0,VLOOKUP(F310,'Dados de consulta'!$H$2:$I$25,2,0))</f>
        <v>0</v>
      </c>
      <c r="AG310">
        <f>IF(G310="",0,VLOOKUP(G310,'Dados de consulta'!$H$2:$I$25,2,0))</f>
        <v>0</v>
      </c>
      <c r="AH310">
        <f>IF(H310="",0,VLOOKUP(H310,'Dados de consulta'!$H$2:$I$25,2,0))</f>
        <v>0</v>
      </c>
      <c r="AI310">
        <f>IF(I310="",0,VLOOKUP(I310,'Dados de consulta'!$H$2:$I$25,2,0))</f>
        <v>0</v>
      </c>
      <c r="AJ310">
        <f>IF(J310="",0,VLOOKUP(J310,'Dados de consulta'!$H$2:$I$25,2,0))</f>
        <v>0</v>
      </c>
      <c r="AK310">
        <f>IF(K310="",0,VLOOKUP(K310,'Dados de consulta'!$H$2:$I$25,2,0))</f>
        <v>0</v>
      </c>
      <c r="AL310">
        <f>IF(L310="",0,VLOOKUP(L310,'Dados de consulta'!$H$2:$I$25,2,0))</f>
        <v>0</v>
      </c>
      <c r="AM310">
        <f>IF(M310="",0,VLOOKUP(M310,'Dados de consulta'!$H$2:$I$25,2,0))</f>
        <v>0</v>
      </c>
      <c r="AN310">
        <f>IF(N310="",0,VLOOKUP(N310,'Dados de consulta'!$H$2:$I$25,2,0))</f>
        <v>0</v>
      </c>
      <c r="AO310">
        <f>IF(O310="",0,VLOOKUP(O310,'Dados de consulta'!$H$2:$I$25,2,0))</f>
        <v>0</v>
      </c>
      <c r="AP310">
        <f>IF(P310="",0,VLOOKUP(P310,'Dados de consulta'!$H$2:$I$25,2,0))</f>
        <v>0</v>
      </c>
      <c r="AQ310">
        <f>IF(Q310="",0,VLOOKUP(Q310,'Dados de consulta'!$H$2:$I$25,2,0))</f>
        <v>0</v>
      </c>
      <c r="AR310">
        <f>IF(R310="",0,VLOOKUP(R310,'Dados de consulta'!$H$2:$I$25,2,0))</f>
        <v>0</v>
      </c>
      <c r="AS310">
        <f>IF(S310="",0,VLOOKUP(S310,'Dados de consulta'!$H$2:$I$25,2,0))</f>
        <v>0</v>
      </c>
      <c r="AT310">
        <f>IF(T310="",0,VLOOKUP(T310,'Dados de consulta'!$H$2:$I$25,2,0))</f>
        <v>0</v>
      </c>
      <c r="AU310">
        <f>IF(U310="",0,VLOOKUP(U310,'Dados de consulta'!$H$2:$I$25,2,0))</f>
        <v>0</v>
      </c>
      <c r="AV310">
        <f>IF(V310="",0,VLOOKUP(V310,'Dados de consulta'!$H$2:$I$25,2,0))</f>
        <v>0</v>
      </c>
      <c r="AW310">
        <f t="shared" si="32"/>
        <v>0</v>
      </c>
      <c r="AX310">
        <f t="shared" si="33"/>
        <v>0</v>
      </c>
      <c r="AY310">
        <f t="shared" si="34"/>
        <v>0</v>
      </c>
    </row>
    <row r="311" spans="1:51" hidden="1" x14ac:dyDescent="0.2">
      <c r="A311" s="202">
        <v>42568</v>
      </c>
      <c r="B311" s="78" t="s">
        <v>282</v>
      </c>
      <c r="W311">
        <f t="shared" si="29"/>
        <v>0</v>
      </c>
      <c r="X311">
        <f t="shared" si="30"/>
        <v>0</v>
      </c>
      <c r="Y311">
        <f t="shared" si="31"/>
        <v>0</v>
      </c>
      <c r="AA311" s="202">
        <v>42568</v>
      </c>
      <c r="AB311" s="78" t="s">
        <v>282</v>
      </c>
      <c r="AC311">
        <f>IF(C311="",0,VLOOKUP(C311,'Dados de consulta'!$H$2:$I$25,2,0))</f>
        <v>0</v>
      </c>
      <c r="AD311">
        <f>IF(D311="",0,VLOOKUP(D311,'Dados de consulta'!$H$2:$I$25,2,0))</f>
        <v>0</v>
      </c>
      <c r="AE311">
        <f>IF(E311="",0,VLOOKUP(E311,'Dados de consulta'!$H$2:$I$25,2,0))</f>
        <v>0</v>
      </c>
      <c r="AF311">
        <f>IF(F311="",0,VLOOKUP(F311,'Dados de consulta'!$H$2:$I$25,2,0))</f>
        <v>0</v>
      </c>
      <c r="AG311">
        <f>IF(G311="",0,VLOOKUP(G311,'Dados de consulta'!$H$2:$I$25,2,0))</f>
        <v>0</v>
      </c>
      <c r="AH311">
        <f>IF(H311="",0,VLOOKUP(H311,'Dados de consulta'!$H$2:$I$25,2,0))</f>
        <v>0</v>
      </c>
      <c r="AI311">
        <f>IF(I311="",0,VLOOKUP(I311,'Dados de consulta'!$H$2:$I$25,2,0))</f>
        <v>0</v>
      </c>
      <c r="AJ311">
        <f>IF(J311="",0,VLOOKUP(J311,'Dados de consulta'!$H$2:$I$25,2,0))</f>
        <v>0</v>
      </c>
      <c r="AK311">
        <f>IF(K311="",0,VLOOKUP(K311,'Dados de consulta'!$H$2:$I$25,2,0))</f>
        <v>0</v>
      </c>
      <c r="AL311">
        <f>IF(L311="",0,VLOOKUP(L311,'Dados de consulta'!$H$2:$I$25,2,0))</f>
        <v>0</v>
      </c>
      <c r="AM311">
        <f>IF(M311="",0,VLOOKUP(M311,'Dados de consulta'!$H$2:$I$25,2,0))</f>
        <v>0</v>
      </c>
      <c r="AN311">
        <f>IF(N311="",0,VLOOKUP(N311,'Dados de consulta'!$H$2:$I$25,2,0))</f>
        <v>0</v>
      </c>
      <c r="AO311">
        <f>IF(O311="",0,VLOOKUP(O311,'Dados de consulta'!$H$2:$I$25,2,0))</f>
        <v>0</v>
      </c>
      <c r="AP311">
        <f>IF(P311="",0,VLOOKUP(P311,'Dados de consulta'!$H$2:$I$25,2,0))</f>
        <v>0</v>
      </c>
      <c r="AQ311">
        <f>IF(Q311="",0,VLOOKUP(Q311,'Dados de consulta'!$H$2:$I$25,2,0))</f>
        <v>0</v>
      </c>
      <c r="AR311">
        <f>IF(R311="",0,VLOOKUP(R311,'Dados de consulta'!$H$2:$I$25,2,0))</f>
        <v>0</v>
      </c>
      <c r="AS311">
        <f>IF(S311="",0,VLOOKUP(S311,'Dados de consulta'!$H$2:$I$25,2,0))</f>
        <v>0</v>
      </c>
      <c r="AT311">
        <f>IF(T311="",0,VLOOKUP(T311,'Dados de consulta'!$H$2:$I$25,2,0))</f>
        <v>0</v>
      </c>
      <c r="AU311">
        <f>IF(U311="",0,VLOOKUP(U311,'Dados de consulta'!$H$2:$I$25,2,0))</f>
        <v>0</v>
      </c>
      <c r="AV311">
        <f>IF(V311="",0,VLOOKUP(V311,'Dados de consulta'!$H$2:$I$25,2,0))</f>
        <v>0</v>
      </c>
      <c r="AW311">
        <f t="shared" si="32"/>
        <v>0</v>
      </c>
      <c r="AX311">
        <f t="shared" si="33"/>
        <v>0</v>
      </c>
      <c r="AY311">
        <f t="shared" si="34"/>
        <v>0</v>
      </c>
    </row>
    <row r="312" spans="1:51" hidden="1" x14ac:dyDescent="0.2">
      <c r="A312" s="202">
        <v>42569</v>
      </c>
      <c r="B312" s="78" t="s">
        <v>283</v>
      </c>
      <c r="W312">
        <f t="shared" si="29"/>
        <v>0</v>
      </c>
      <c r="X312">
        <f t="shared" si="30"/>
        <v>0</v>
      </c>
      <c r="Y312">
        <f t="shared" si="31"/>
        <v>0</v>
      </c>
      <c r="AA312" s="202">
        <v>42569</v>
      </c>
      <c r="AB312" s="78" t="s">
        <v>283</v>
      </c>
      <c r="AC312">
        <f>IF(C312="",0,VLOOKUP(C312,'Dados de consulta'!$H$2:$I$25,2,0))</f>
        <v>0</v>
      </c>
      <c r="AD312">
        <f>IF(D312="",0,VLOOKUP(D312,'Dados de consulta'!$H$2:$I$25,2,0))</f>
        <v>0</v>
      </c>
      <c r="AE312">
        <f>IF(E312="",0,VLOOKUP(E312,'Dados de consulta'!$H$2:$I$25,2,0))</f>
        <v>0</v>
      </c>
      <c r="AF312">
        <f>IF(F312="",0,VLOOKUP(F312,'Dados de consulta'!$H$2:$I$25,2,0))</f>
        <v>0</v>
      </c>
      <c r="AG312">
        <f>IF(G312="",0,VLOOKUP(G312,'Dados de consulta'!$H$2:$I$25,2,0))</f>
        <v>0</v>
      </c>
      <c r="AH312">
        <f>IF(H312="",0,VLOOKUP(H312,'Dados de consulta'!$H$2:$I$25,2,0))</f>
        <v>0</v>
      </c>
      <c r="AI312">
        <f>IF(I312="",0,VLOOKUP(I312,'Dados de consulta'!$H$2:$I$25,2,0))</f>
        <v>0</v>
      </c>
      <c r="AJ312">
        <f>IF(J312="",0,VLOOKUP(J312,'Dados de consulta'!$H$2:$I$25,2,0))</f>
        <v>0</v>
      </c>
      <c r="AK312">
        <f>IF(K312="",0,VLOOKUP(K312,'Dados de consulta'!$H$2:$I$25,2,0))</f>
        <v>0</v>
      </c>
      <c r="AL312">
        <f>IF(L312="",0,VLOOKUP(L312,'Dados de consulta'!$H$2:$I$25,2,0))</f>
        <v>0</v>
      </c>
      <c r="AM312">
        <f>IF(M312="",0,VLOOKUP(M312,'Dados de consulta'!$H$2:$I$25,2,0))</f>
        <v>0</v>
      </c>
      <c r="AN312">
        <f>IF(N312="",0,VLOOKUP(N312,'Dados de consulta'!$H$2:$I$25,2,0))</f>
        <v>0</v>
      </c>
      <c r="AO312">
        <f>IF(O312="",0,VLOOKUP(O312,'Dados de consulta'!$H$2:$I$25,2,0))</f>
        <v>0</v>
      </c>
      <c r="AP312">
        <f>IF(P312="",0,VLOOKUP(P312,'Dados de consulta'!$H$2:$I$25,2,0))</f>
        <v>0</v>
      </c>
      <c r="AQ312">
        <f>IF(Q312="",0,VLOOKUP(Q312,'Dados de consulta'!$H$2:$I$25,2,0))</f>
        <v>0</v>
      </c>
      <c r="AR312">
        <f>IF(R312="",0,VLOOKUP(R312,'Dados de consulta'!$H$2:$I$25,2,0))</f>
        <v>0</v>
      </c>
      <c r="AS312">
        <f>IF(S312="",0,VLOOKUP(S312,'Dados de consulta'!$H$2:$I$25,2,0))</f>
        <v>0</v>
      </c>
      <c r="AT312">
        <f>IF(T312="",0,VLOOKUP(T312,'Dados de consulta'!$H$2:$I$25,2,0))</f>
        <v>0</v>
      </c>
      <c r="AU312">
        <f>IF(U312="",0,VLOOKUP(U312,'Dados de consulta'!$H$2:$I$25,2,0))</f>
        <v>0</v>
      </c>
      <c r="AV312">
        <f>IF(V312="",0,VLOOKUP(V312,'Dados de consulta'!$H$2:$I$25,2,0))</f>
        <v>0</v>
      </c>
      <c r="AW312">
        <f t="shared" si="32"/>
        <v>0</v>
      </c>
      <c r="AX312">
        <f t="shared" si="33"/>
        <v>0</v>
      </c>
      <c r="AY312">
        <f t="shared" si="34"/>
        <v>0</v>
      </c>
    </row>
    <row r="313" spans="1:51" hidden="1" x14ac:dyDescent="0.2">
      <c r="A313" s="202">
        <v>42570</v>
      </c>
      <c r="B313" s="78" t="s">
        <v>284</v>
      </c>
      <c r="W313">
        <f t="shared" si="29"/>
        <v>0</v>
      </c>
      <c r="X313">
        <f t="shared" si="30"/>
        <v>0</v>
      </c>
      <c r="Y313">
        <f t="shared" si="31"/>
        <v>0</v>
      </c>
      <c r="AA313" s="202">
        <v>42570</v>
      </c>
      <c r="AB313" s="78" t="s">
        <v>284</v>
      </c>
      <c r="AC313">
        <f>IF(C313="",0,VLOOKUP(C313,'Dados de consulta'!$H$2:$I$25,2,0))</f>
        <v>0</v>
      </c>
      <c r="AD313">
        <f>IF(D313="",0,VLOOKUP(D313,'Dados de consulta'!$H$2:$I$25,2,0))</f>
        <v>0</v>
      </c>
      <c r="AE313">
        <f>IF(E313="",0,VLOOKUP(E313,'Dados de consulta'!$H$2:$I$25,2,0))</f>
        <v>0</v>
      </c>
      <c r="AF313">
        <f>IF(F313="",0,VLOOKUP(F313,'Dados de consulta'!$H$2:$I$25,2,0))</f>
        <v>0</v>
      </c>
      <c r="AG313">
        <f>IF(G313="",0,VLOOKUP(G313,'Dados de consulta'!$H$2:$I$25,2,0))</f>
        <v>0</v>
      </c>
      <c r="AH313">
        <f>IF(H313="",0,VLOOKUP(H313,'Dados de consulta'!$H$2:$I$25,2,0))</f>
        <v>0</v>
      </c>
      <c r="AI313">
        <f>IF(I313="",0,VLOOKUP(I313,'Dados de consulta'!$H$2:$I$25,2,0))</f>
        <v>0</v>
      </c>
      <c r="AJ313">
        <f>IF(J313="",0,VLOOKUP(J313,'Dados de consulta'!$H$2:$I$25,2,0))</f>
        <v>0</v>
      </c>
      <c r="AK313">
        <f>IF(K313="",0,VLOOKUP(K313,'Dados de consulta'!$H$2:$I$25,2,0))</f>
        <v>0</v>
      </c>
      <c r="AL313">
        <f>IF(L313="",0,VLOOKUP(L313,'Dados de consulta'!$H$2:$I$25,2,0))</f>
        <v>0</v>
      </c>
      <c r="AM313">
        <f>IF(M313="",0,VLOOKUP(M313,'Dados de consulta'!$H$2:$I$25,2,0))</f>
        <v>0</v>
      </c>
      <c r="AN313">
        <f>IF(N313="",0,VLOOKUP(N313,'Dados de consulta'!$H$2:$I$25,2,0))</f>
        <v>0</v>
      </c>
      <c r="AO313">
        <f>IF(O313="",0,VLOOKUP(O313,'Dados de consulta'!$H$2:$I$25,2,0))</f>
        <v>0</v>
      </c>
      <c r="AP313">
        <f>IF(P313="",0,VLOOKUP(P313,'Dados de consulta'!$H$2:$I$25,2,0))</f>
        <v>0</v>
      </c>
      <c r="AQ313">
        <f>IF(Q313="",0,VLOOKUP(Q313,'Dados de consulta'!$H$2:$I$25,2,0))</f>
        <v>0</v>
      </c>
      <c r="AR313">
        <f>IF(R313="",0,VLOOKUP(R313,'Dados de consulta'!$H$2:$I$25,2,0))</f>
        <v>0</v>
      </c>
      <c r="AS313">
        <f>IF(S313="",0,VLOOKUP(S313,'Dados de consulta'!$H$2:$I$25,2,0))</f>
        <v>0</v>
      </c>
      <c r="AT313">
        <f>IF(T313="",0,VLOOKUP(T313,'Dados de consulta'!$H$2:$I$25,2,0))</f>
        <v>0</v>
      </c>
      <c r="AU313">
        <f>IF(U313="",0,VLOOKUP(U313,'Dados de consulta'!$H$2:$I$25,2,0))</f>
        <v>0</v>
      </c>
      <c r="AV313">
        <f>IF(V313="",0,VLOOKUP(V313,'Dados de consulta'!$H$2:$I$25,2,0))</f>
        <v>0</v>
      </c>
      <c r="AW313">
        <f t="shared" si="32"/>
        <v>0</v>
      </c>
      <c r="AX313">
        <f t="shared" si="33"/>
        <v>0</v>
      </c>
      <c r="AY313">
        <f t="shared" si="34"/>
        <v>0</v>
      </c>
    </row>
    <row r="314" spans="1:51" hidden="1" x14ac:dyDescent="0.2">
      <c r="A314" s="202">
        <v>42571</v>
      </c>
      <c r="B314" s="78" t="s">
        <v>285</v>
      </c>
      <c r="W314">
        <f t="shared" si="29"/>
        <v>0</v>
      </c>
      <c r="X314">
        <f t="shared" si="30"/>
        <v>0</v>
      </c>
      <c r="Y314">
        <f t="shared" si="31"/>
        <v>0</v>
      </c>
      <c r="AA314" s="202">
        <v>42571</v>
      </c>
      <c r="AB314" s="78" t="s">
        <v>285</v>
      </c>
      <c r="AC314">
        <f>IF(C314="",0,VLOOKUP(C314,'Dados de consulta'!$H$2:$I$25,2,0))</f>
        <v>0</v>
      </c>
      <c r="AD314">
        <f>IF(D314="",0,VLOOKUP(D314,'Dados de consulta'!$H$2:$I$25,2,0))</f>
        <v>0</v>
      </c>
      <c r="AE314">
        <f>IF(E314="",0,VLOOKUP(E314,'Dados de consulta'!$H$2:$I$25,2,0))</f>
        <v>0</v>
      </c>
      <c r="AF314">
        <f>IF(F314="",0,VLOOKUP(F314,'Dados de consulta'!$H$2:$I$25,2,0))</f>
        <v>0</v>
      </c>
      <c r="AG314">
        <f>IF(G314="",0,VLOOKUP(G314,'Dados de consulta'!$H$2:$I$25,2,0))</f>
        <v>0</v>
      </c>
      <c r="AH314">
        <f>IF(H314="",0,VLOOKUP(H314,'Dados de consulta'!$H$2:$I$25,2,0))</f>
        <v>0</v>
      </c>
      <c r="AI314">
        <f>IF(I314="",0,VLOOKUP(I314,'Dados de consulta'!$H$2:$I$25,2,0))</f>
        <v>0</v>
      </c>
      <c r="AJ314">
        <f>IF(J314="",0,VLOOKUP(J314,'Dados de consulta'!$H$2:$I$25,2,0))</f>
        <v>0</v>
      </c>
      <c r="AK314">
        <f>IF(K314="",0,VLOOKUP(K314,'Dados de consulta'!$H$2:$I$25,2,0))</f>
        <v>0</v>
      </c>
      <c r="AL314">
        <f>IF(L314="",0,VLOOKUP(L314,'Dados de consulta'!$H$2:$I$25,2,0))</f>
        <v>0</v>
      </c>
      <c r="AM314">
        <f>IF(M314="",0,VLOOKUP(M314,'Dados de consulta'!$H$2:$I$25,2,0))</f>
        <v>0</v>
      </c>
      <c r="AN314">
        <f>IF(N314="",0,VLOOKUP(N314,'Dados de consulta'!$H$2:$I$25,2,0))</f>
        <v>0</v>
      </c>
      <c r="AO314">
        <f>IF(O314="",0,VLOOKUP(O314,'Dados de consulta'!$H$2:$I$25,2,0))</f>
        <v>0</v>
      </c>
      <c r="AP314">
        <f>IF(P314="",0,VLOOKUP(P314,'Dados de consulta'!$H$2:$I$25,2,0))</f>
        <v>0</v>
      </c>
      <c r="AQ314">
        <f>IF(Q314="",0,VLOOKUP(Q314,'Dados de consulta'!$H$2:$I$25,2,0))</f>
        <v>0</v>
      </c>
      <c r="AR314">
        <f>IF(R314="",0,VLOOKUP(R314,'Dados de consulta'!$H$2:$I$25,2,0))</f>
        <v>0</v>
      </c>
      <c r="AS314">
        <f>IF(S314="",0,VLOOKUP(S314,'Dados de consulta'!$H$2:$I$25,2,0))</f>
        <v>0</v>
      </c>
      <c r="AT314">
        <f>IF(T314="",0,VLOOKUP(T314,'Dados de consulta'!$H$2:$I$25,2,0))</f>
        <v>0</v>
      </c>
      <c r="AU314">
        <f>IF(U314="",0,VLOOKUP(U314,'Dados de consulta'!$H$2:$I$25,2,0))</f>
        <v>0</v>
      </c>
      <c r="AV314">
        <f>IF(V314="",0,VLOOKUP(V314,'Dados de consulta'!$H$2:$I$25,2,0))</f>
        <v>0</v>
      </c>
      <c r="AW314">
        <f t="shared" si="32"/>
        <v>0</v>
      </c>
      <c r="AX314">
        <f t="shared" si="33"/>
        <v>0</v>
      </c>
      <c r="AY314">
        <f t="shared" si="34"/>
        <v>0</v>
      </c>
    </row>
    <row r="315" spans="1:51" hidden="1" x14ac:dyDescent="0.2">
      <c r="A315" s="202">
        <v>42572</v>
      </c>
      <c r="B315" s="78" t="s">
        <v>286</v>
      </c>
      <c r="W315">
        <f t="shared" si="29"/>
        <v>0</v>
      </c>
      <c r="X315">
        <f t="shared" si="30"/>
        <v>0</v>
      </c>
      <c r="Y315">
        <f t="shared" si="31"/>
        <v>0</v>
      </c>
      <c r="AA315" s="202">
        <v>42572</v>
      </c>
      <c r="AB315" s="78" t="s">
        <v>286</v>
      </c>
      <c r="AC315">
        <f>IF(C315="",0,VLOOKUP(C315,'Dados de consulta'!$H$2:$I$25,2,0))</f>
        <v>0</v>
      </c>
      <c r="AD315">
        <f>IF(D315="",0,VLOOKUP(D315,'Dados de consulta'!$H$2:$I$25,2,0))</f>
        <v>0</v>
      </c>
      <c r="AE315">
        <f>IF(E315="",0,VLOOKUP(E315,'Dados de consulta'!$H$2:$I$25,2,0))</f>
        <v>0</v>
      </c>
      <c r="AF315">
        <f>IF(F315="",0,VLOOKUP(F315,'Dados de consulta'!$H$2:$I$25,2,0))</f>
        <v>0</v>
      </c>
      <c r="AG315">
        <f>IF(G315="",0,VLOOKUP(G315,'Dados de consulta'!$H$2:$I$25,2,0))</f>
        <v>0</v>
      </c>
      <c r="AH315">
        <f>IF(H315="",0,VLOOKUP(H315,'Dados de consulta'!$H$2:$I$25,2,0))</f>
        <v>0</v>
      </c>
      <c r="AI315">
        <f>IF(I315="",0,VLOOKUP(I315,'Dados de consulta'!$H$2:$I$25,2,0))</f>
        <v>0</v>
      </c>
      <c r="AJ315">
        <f>IF(J315="",0,VLOOKUP(J315,'Dados de consulta'!$H$2:$I$25,2,0))</f>
        <v>0</v>
      </c>
      <c r="AK315">
        <f>IF(K315="",0,VLOOKUP(K315,'Dados de consulta'!$H$2:$I$25,2,0))</f>
        <v>0</v>
      </c>
      <c r="AL315">
        <f>IF(L315="",0,VLOOKUP(L315,'Dados de consulta'!$H$2:$I$25,2,0))</f>
        <v>0</v>
      </c>
      <c r="AM315">
        <f>IF(M315="",0,VLOOKUP(M315,'Dados de consulta'!$H$2:$I$25,2,0))</f>
        <v>0</v>
      </c>
      <c r="AN315">
        <f>IF(N315="",0,VLOOKUP(N315,'Dados de consulta'!$H$2:$I$25,2,0))</f>
        <v>0</v>
      </c>
      <c r="AO315">
        <f>IF(O315="",0,VLOOKUP(O315,'Dados de consulta'!$H$2:$I$25,2,0))</f>
        <v>0</v>
      </c>
      <c r="AP315">
        <f>IF(P315="",0,VLOOKUP(P315,'Dados de consulta'!$H$2:$I$25,2,0))</f>
        <v>0</v>
      </c>
      <c r="AQ315">
        <f>IF(Q315="",0,VLOOKUP(Q315,'Dados de consulta'!$H$2:$I$25,2,0))</f>
        <v>0</v>
      </c>
      <c r="AR315">
        <f>IF(R315="",0,VLOOKUP(R315,'Dados de consulta'!$H$2:$I$25,2,0))</f>
        <v>0</v>
      </c>
      <c r="AS315">
        <f>IF(S315="",0,VLOOKUP(S315,'Dados de consulta'!$H$2:$I$25,2,0))</f>
        <v>0</v>
      </c>
      <c r="AT315">
        <f>IF(T315="",0,VLOOKUP(T315,'Dados de consulta'!$H$2:$I$25,2,0))</f>
        <v>0</v>
      </c>
      <c r="AU315">
        <f>IF(U315="",0,VLOOKUP(U315,'Dados de consulta'!$H$2:$I$25,2,0))</f>
        <v>0</v>
      </c>
      <c r="AV315">
        <f>IF(V315="",0,VLOOKUP(V315,'Dados de consulta'!$H$2:$I$25,2,0))</f>
        <v>0</v>
      </c>
      <c r="AW315">
        <f t="shared" si="32"/>
        <v>0</v>
      </c>
      <c r="AX315">
        <f t="shared" si="33"/>
        <v>0</v>
      </c>
      <c r="AY315">
        <f t="shared" si="34"/>
        <v>0</v>
      </c>
    </row>
    <row r="316" spans="1:51" hidden="1" x14ac:dyDescent="0.2">
      <c r="A316" s="202">
        <v>42573</v>
      </c>
      <c r="B316" s="78" t="s">
        <v>287</v>
      </c>
      <c r="W316">
        <f t="shared" si="29"/>
        <v>0</v>
      </c>
      <c r="X316">
        <f t="shared" si="30"/>
        <v>0</v>
      </c>
      <c r="Y316">
        <f t="shared" si="31"/>
        <v>0</v>
      </c>
      <c r="AA316" s="202">
        <v>42573</v>
      </c>
      <c r="AB316" s="78" t="s">
        <v>287</v>
      </c>
      <c r="AC316">
        <f>IF(C316="",0,VLOOKUP(C316,'Dados de consulta'!$H$2:$I$25,2,0))</f>
        <v>0</v>
      </c>
      <c r="AD316">
        <f>IF(D316="",0,VLOOKUP(D316,'Dados de consulta'!$H$2:$I$25,2,0))</f>
        <v>0</v>
      </c>
      <c r="AE316">
        <f>IF(E316="",0,VLOOKUP(E316,'Dados de consulta'!$H$2:$I$25,2,0))</f>
        <v>0</v>
      </c>
      <c r="AF316">
        <f>IF(F316="",0,VLOOKUP(F316,'Dados de consulta'!$H$2:$I$25,2,0))</f>
        <v>0</v>
      </c>
      <c r="AG316">
        <f>IF(G316="",0,VLOOKUP(G316,'Dados de consulta'!$H$2:$I$25,2,0))</f>
        <v>0</v>
      </c>
      <c r="AH316">
        <f>IF(H316="",0,VLOOKUP(H316,'Dados de consulta'!$H$2:$I$25,2,0))</f>
        <v>0</v>
      </c>
      <c r="AI316">
        <f>IF(I316="",0,VLOOKUP(I316,'Dados de consulta'!$H$2:$I$25,2,0))</f>
        <v>0</v>
      </c>
      <c r="AJ316">
        <f>IF(J316="",0,VLOOKUP(J316,'Dados de consulta'!$H$2:$I$25,2,0))</f>
        <v>0</v>
      </c>
      <c r="AK316">
        <f>IF(K316="",0,VLOOKUP(K316,'Dados de consulta'!$H$2:$I$25,2,0))</f>
        <v>0</v>
      </c>
      <c r="AL316">
        <f>IF(L316="",0,VLOOKUP(L316,'Dados de consulta'!$H$2:$I$25,2,0))</f>
        <v>0</v>
      </c>
      <c r="AM316">
        <f>IF(M316="",0,VLOOKUP(M316,'Dados de consulta'!$H$2:$I$25,2,0))</f>
        <v>0</v>
      </c>
      <c r="AN316">
        <f>IF(N316="",0,VLOOKUP(N316,'Dados de consulta'!$H$2:$I$25,2,0))</f>
        <v>0</v>
      </c>
      <c r="AO316">
        <f>IF(O316="",0,VLOOKUP(O316,'Dados de consulta'!$H$2:$I$25,2,0))</f>
        <v>0</v>
      </c>
      <c r="AP316">
        <f>IF(P316="",0,VLOOKUP(P316,'Dados de consulta'!$H$2:$I$25,2,0))</f>
        <v>0</v>
      </c>
      <c r="AQ316">
        <f>IF(Q316="",0,VLOOKUP(Q316,'Dados de consulta'!$H$2:$I$25,2,0))</f>
        <v>0</v>
      </c>
      <c r="AR316">
        <f>IF(R316="",0,VLOOKUP(R316,'Dados de consulta'!$H$2:$I$25,2,0))</f>
        <v>0</v>
      </c>
      <c r="AS316">
        <f>IF(S316="",0,VLOOKUP(S316,'Dados de consulta'!$H$2:$I$25,2,0))</f>
        <v>0</v>
      </c>
      <c r="AT316">
        <f>IF(T316="",0,VLOOKUP(T316,'Dados de consulta'!$H$2:$I$25,2,0))</f>
        <v>0</v>
      </c>
      <c r="AU316">
        <f>IF(U316="",0,VLOOKUP(U316,'Dados de consulta'!$H$2:$I$25,2,0))</f>
        <v>0</v>
      </c>
      <c r="AV316">
        <f>IF(V316="",0,VLOOKUP(V316,'Dados de consulta'!$H$2:$I$25,2,0))</f>
        <v>0</v>
      </c>
      <c r="AW316">
        <f t="shared" si="32"/>
        <v>0</v>
      </c>
      <c r="AX316">
        <f t="shared" si="33"/>
        <v>0</v>
      </c>
      <c r="AY316">
        <f t="shared" si="34"/>
        <v>0</v>
      </c>
    </row>
    <row r="317" spans="1:51" hidden="1" x14ac:dyDescent="0.2">
      <c r="A317" s="202">
        <v>42574</v>
      </c>
      <c r="B317" s="78" t="s">
        <v>281</v>
      </c>
      <c r="W317">
        <f t="shared" si="29"/>
        <v>0</v>
      </c>
      <c r="X317">
        <f t="shared" si="30"/>
        <v>0</v>
      </c>
      <c r="Y317">
        <f t="shared" si="31"/>
        <v>0</v>
      </c>
      <c r="AA317" s="202">
        <v>42574</v>
      </c>
      <c r="AB317" s="78" t="s">
        <v>281</v>
      </c>
      <c r="AC317">
        <f>IF(C317="",0,VLOOKUP(C317,'Dados de consulta'!$H$2:$I$25,2,0))</f>
        <v>0</v>
      </c>
      <c r="AD317">
        <f>IF(D317="",0,VLOOKUP(D317,'Dados de consulta'!$H$2:$I$25,2,0))</f>
        <v>0</v>
      </c>
      <c r="AE317">
        <f>IF(E317="",0,VLOOKUP(E317,'Dados de consulta'!$H$2:$I$25,2,0))</f>
        <v>0</v>
      </c>
      <c r="AF317">
        <f>IF(F317="",0,VLOOKUP(F317,'Dados de consulta'!$H$2:$I$25,2,0))</f>
        <v>0</v>
      </c>
      <c r="AG317">
        <f>IF(G317="",0,VLOOKUP(G317,'Dados de consulta'!$H$2:$I$25,2,0))</f>
        <v>0</v>
      </c>
      <c r="AH317">
        <f>IF(H317="",0,VLOOKUP(H317,'Dados de consulta'!$H$2:$I$25,2,0))</f>
        <v>0</v>
      </c>
      <c r="AI317">
        <f>IF(I317="",0,VLOOKUP(I317,'Dados de consulta'!$H$2:$I$25,2,0))</f>
        <v>0</v>
      </c>
      <c r="AJ317">
        <f>IF(J317="",0,VLOOKUP(J317,'Dados de consulta'!$H$2:$I$25,2,0))</f>
        <v>0</v>
      </c>
      <c r="AK317">
        <f>IF(K317="",0,VLOOKUP(K317,'Dados de consulta'!$H$2:$I$25,2,0))</f>
        <v>0</v>
      </c>
      <c r="AL317">
        <f>IF(L317="",0,VLOOKUP(L317,'Dados de consulta'!$H$2:$I$25,2,0))</f>
        <v>0</v>
      </c>
      <c r="AM317">
        <f>IF(M317="",0,VLOOKUP(M317,'Dados de consulta'!$H$2:$I$25,2,0))</f>
        <v>0</v>
      </c>
      <c r="AN317">
        <f>IF(N317="",0,VLOOKUP(N317,'Dados de consulta'!$H$2:$I$25,2,0))</f>
        <v>0</v>
      </c>
      <c r="AO317">
        <f>IF(O317="",0,VLOOKUP(O317,'Dados de consulta'!$H$2:$I$25,2,0))</f>
        <v>0</v>
      </c>
      <c r="AP317">
        <f>IF(P317="",0,VLOOKUP(P317,'Dados de consulta'!$H$2:$I$25,2,0))</f>
        <v>0</v>
      </c>
      <c r="AQ317">
        <f>IF(Q317="",0,VLOOKUP(Q317,'Dados de consulta'!$H$2:$I$25,2,0))</f>
        <v>0</v>
      </c>
      <c r="AR317">
        <f>IF(R317="",0,VLOOKUP(R317,'Dados de consulta'!$H$2:$I$25,2,0))</f>
        <v>0</v>
      </c>
      <c r="AS317">
        <f>IF(S317="",0,VLOOKUP(S317,'Dados de consulta'!$H$2:$I$25,2,0))</f>
        <v>0</v>
      </c>
      <c r="AT317">
        <f>IF(T317="",0,VLOOKUP(T317,'Dados de consulta'!$H$2:$I$25,2,0))</f>
        <v>0</v>
      </c>
      <c r="AU317">
        <f>IF(U317="",0,VLOOKUP(U317,'Dados de consulta'!$H$2:$I$25,2,0))</f>
        <v>0</v>
      </c>
      <c r="AV317">
        <f>IF(V317="",0,VLOOKUP(V317,'Dados de consulta'!$H$2:$I$25,2,0))</f>
        <v>0</v>
      </c>
      <c r="AW317">
        <f t="shared" si="32"/>
        <v>0</v>
      </c>
      <c r="AX317">
        <f t="shared" si="33"/>
        <v>0</v>
      </c>
      <c r="AY317">
        <f t="shared" si="34"/>
        <v>0</v>
      </c>
    </row>
    <row r="318" spans="1:51" hidden="1" x14ac:dyDescent="0.2">
      <c r="A318" s="202">
        <v>42575</v>
      </c>
      <c r="B318" s="78" t="s">
        <v>282</v>
      </c>
      <c r="W318">
        <f t="shared" si="29"/>
        <v>0</v>
      </c>
      <c r="X318">
        <f t="shared" si="30"/>
        <v>0</v>
      </c>
      <c r="Y318">
        <f t="shared" si="31"/>
        <v>0</v>
      </c>
      <c r="AA318" s="202">
        <v>42575</v>
      </c>
      <c r="AB318" s="78" t="s">
        <v>282</v>
      </c>
      <c r="AC318">
        <f>IF(C318="",0,VLOOKUP(C318,'Dados de consulta'!$H$2:$I$25,2,0))</f>
        <v>0</v>
      </c>
      <c r="AD318">
        <f>IF(D318="",0,VLOOKUP(D318,'Dados de consulta'!$H$2:$I$25,2,0))</f>
        <v>0</v>
      </c>
      <c r="AE318">
        <f>IF(E318="",0,VLOOKUP(E318,'Dados de consulta'!$H$2:$I$25,2,0))</f>
        <v>0</v>
      </c>
      <c r="AF318">
        <f>IF(F318="",0,VLOOKUP(F318,'Dados de consulta'!$H$2:$I$25,2,0))</f>
        <v>0</v>
      </c>
      <c r="AG318">
        <f>IF(G318="",0,VLOOKUP(G318,'Dados de consulta'!$H$2:$I$25,2,0))</f>
        <v>0</v>
      </c>
      <c r="AH318">
        <f>IF(H318="",0,VLOOKUP(H318,'Dados de consulta'!$H$2:$I$25,2,0))</f>
        <v>0</v>
      </c>
      <c r="AI318">
        <f>IF(I318="",0,VLOOKUP(I318,'Dados de consulta'!$H$2:$I$25,2,0))</f>
        <v>0</v>
      </c>
      <c r="AJ318">
        <f>IF(J318="",0,VLOOKUP(J318,'Dados de consulta'!$H$2:$I$25,2,0))</f>
        <v>0</v>
      </c>
      <c r="AK318">
        <f>IF(K318="",0,VLOOKUP(K318,'Dados de consulta'!$H$2:$I$25,2,0))</f>
        <v>0</v>
      </c>
      <c r="AL318">
        <f>IF(L318="",0,VLOOKUP(L318,'Dados de consulta'!$H$2:$I$25,2,0))</f>
        <v>0</v>
      </c>
      <c r="AM318">
        <f>IF(M318="",0,VLOOKUP(M318,'Dados de consulta'!$H$2:$I$25,2,0))</f>
        <v>0</v>
      </c>
      <c r="AN318">
        <f>IF(N318="",0,VLOOKUP(N318,'Dados de consulta'!$H$2:$I$25,2,0))</f>
        <v>0</v>
      </c>
      <c r="AO318">
        <f>IF(O318="",0,VLOOKUP(O318,'Dados de consulta'!$H$2:$I$25,2,0))</f>
        <v>0</v>
      </c>
      <c r="AP318">
        <f>IF(P318="",0,VLOOKUP(P318,'Dados de consulta'!$H$2:$I$25,2,0))</f>
        <v>0</v>
      </c>
      <c r="AQ318">
        <f>IF(Q318="",0,VLOOKUP(Q318,'Dados de consulta'!$H$2:$I$25,2,0))</f>
        <v>0</v>
      </c>
      <c r="AR318">
        <f>IF(R318="",0,VLOOKUP(R318,'Dados de consulta'!$H$2:$I$25,2,0))</f>
        <v>0</v>
      </c>
      <c r="AS318">
        <f>IF(S318="",0,VLOOKUP(S318,'Dados de consulta'!$H$2:$I$25,2,0))</f>
        <v>0</v>
      </c>
      <c r="AT318">
        <f>IF(T318="",0,VLOOKUP(T318,'Dados de consulta'!$H$2:$I$25,2,0))</f>
        <v>0</v>
      </c>
      <c r="AU318">
        <f>IF(U318="",0,VLOOKUP(U318,'Dados de consulta'!$H$2:$I$25,2,0))</f>
        <v>0</v>
      </c>
      <c r="AV318">
        <f>IF(V318="",0,VLOOKUP(V318,'Dados de consulta'!$H$2:$I$25,2,0))</f>
        <v>0</v>
      </c>
      <c r="AW318">
        <f t="shared" si="32"/>
        <v>0</v>
      </c>
      <c r="AX318">
        <f t="shared" si="33"/>
        <v>0</v>
      </c>
      <c r="AY318">
        <f t="shared" si="34"/>
        <v>0</v>
      </c>
    </row>
    <row r="319" spans="1:51" hidden="1" x14ac:dyDescent="0.2">
      <c r="A319" s="202">
        <v>42576</v>
      </c>
      <c r="B319" s="78" t="s">
        <v>283</v>
      </c>
      <c r="W319">
        <f t="shared" si="29"/>
        <v>0</v>
      </c>
      <c r="X319">
        <f t="shared" si="30"/>
        <v>0</v>
      </c>
      <c r="Y319">
        <f t="shared" si="31"/>
        <v>0</v>
      </c>
      <c r="AA319" s="202">
        <v>42576</v>
      </c>
      <c r="AB319" s="78" t="s">
        <v>283</v>
      </c>
      <c r="AC319">
        <f>IF(C319="",0,VLOOKUP(C319,'Dados de consulta'!$H$2:$I$25,2,0))</f>
        <v>0</v>
      </c>
      <c r="AD319">
        <f>IF(D319="",0,VLOOKUP(D319,'Dados de consulta'!$H$2:$I$25,2,0))</f>
        <v>0</v>
      </c>
      <c r="AE319">
        <f>IF(E319="",0,VLOOKUP(E319,'Dados de consulta'!$H$2:$I$25,2,0))</f>
        <v>0</v>
      </c>
      <c r="AF319">
        <f>IF(F319="",0,VLOOKUP(F319,'Dados de consulta'!$H$2:$I$25,2,0))</f>
        <v>0</v>
      </c>
      <c r="AG319">
        <f>IF(G319="",0,VLOOKUP(G319,'Dados de consulta'!$H$2:$I$25,2,0))</f>
        <v>0</v>
      </c>
      <c r="AH319">
        <f>IF(H319="",0,VLOOKUP(H319,'Dados de consulta'!$H$2:$I$25,2,0))</f>
        <v>0</v>
      </c>
      <c r="AI319">
        <f>IF(I319="",0,VLOOKUP(I319,'Dados de consulta'!$H$2:$I$25,2,0))</f>
        <v>0</v>
      </c>
      <c r="AJ319">
        <f>IF(J319="",0,VLOOKUP(J319,'Dados de consulta'!$H$2:$I$25,2,0))</f>
        <v>0</v>
      </c>
      <c r="AK319">
        <f>IF(K319="",0,VLOOKUP(K319,'Dados de consulta'!$H$2:$I$25,2,0))</f>
        <v>0</v>
      </c>
      <c r="AL319">
        <f>IF(L319="",0,VLOOKUP(L319,'Dados de consulta'!$H$2:$I$25,2,0))</f>
        <v>0</v>
      </c>
      <c r="AM319">
        <f>IF(M319="",0,VLOOKUP(M319,'Dados de consulta'!$H$2:$I$25,2,0))</f>
        <v>0</v>
      </c>
      <c r="AN319">
        <f>IF(N319="",0,VLOOKUP(N319,'Dados de consulta'!$H$2:$I$25,2,0))</f>
        <v>0</v>
      </c>
      <c r="AO319">
        <f>IF(O319="",0,VLOOKUP(O319,'Dados de consulta'!$H$2:$I$25,2,0))</f>
        <v>0</v>
      </c>
      <c r="AP319">
        <f>IF(P319="",0,VLOOKUP(P319,'Dados de consulta'!$H$2:$I$25,2,0))</f>
        <v>0</v>
      </c>
      <c r="AQ319">
        <f>IF(Q319="",0,VLOOKUP(Q319,'Dados de consulta'!$H$2:$I$25,2,0))</f>
        <v>0</v>
      </c>
      <c r="AR319">
        <f>IF(R319="",0,VLOOKUP(R319,'Dados de consulta'!$H$2:$I$25,2,0))</f>
        <v>0</v>
      </c>
      <c r="AS319">
        <f>IF(S319="",0,VLOOKUP(S319,'Dados de consulta'!$H$2:$I$25,2,0))</f>
        <v>0</v>
      </c>
      <c r="AT319">
        <f>IF(T319="",0,VLOOKUP(T319,'Dados de consulta'!$H$2:$I$25,2,0))</f>
        <v>0</v>
      </c>
      <c r="AU319">
        <f>IF(U319="",0,VLOOKUP(U319,'Dados de consulta'!$H$2:$I$25,2,0))</f>
        <v>0</v>
      </c>
      <c r="AV319">
        <f>IF(V319="",0,VLOOKUP(V319,'Dados de consulta'!$H$2:$I$25,2,0))</f>
        <v>0</v>
      </c>
      <c r="AW319">
        <f t="shared" si="32"/>
        <v>0</v>
      </c>
      <c r="AX319">
        <f t="shared" si="33"/>
        <v>0</v>
      </c>
      <c r="AY319">
        <f t="shared" si="34"/>
        <v>0</v>
      </c>
    </row>
    <row r="320" spans="1:51" hidden="1" x14ac:dyDescent="0.2">
      <c r="A320" s="202">
        <v>42577</v>
      </c>
      <c r="B320" s="78" t="s">
        <v>284</v>
      </c>
      <c r="W320">
        <f t="shared" si="29"/>
        <v>0</v>
      </c>
      <c r="X320">
        <f t="shared" si="30"/>
        <v>0</v>
      </c>
      <c r="Y320">
        <f t="shared" si="31"/>
        <v>0</v>
      </c>
      <c r="AA320" s="202">
        <v>42577</v>
      </c>
      <c r="AB320" s="78" t="s">
        <v>284</v>
      </c>
      <c r="AC320">
        <f>IF(C320="",0,VLOOKUP(C320,'Dados de consulta'!$H$2:$I$25,2,0))</f>
        <v>0</v>
      </c>
      <c r="AD320">
        <f>IF(D320="",0,VLOOKUP(D320,'Dados de consulta'!$H$2:$I$25,2,0))</f>
        <v>0</v>
      </c>
      <c r="AE320">
        <f>IF(E320="",0,VLOOKUP(E320,'Dados de consulta'!$H$2:$I$25,2,0))</f>
        <v>0</v>
      </c>
      <c r="AF320">
        <f>IF(F320="",0,VLOOKUP(F320,'Dados de consulta'!$H$2:$I$25,2,0))</f>
        <v>0</v>
      </c>
      <c r="AG320">
        <f>IF(G320="",0,VLOOKUP(G320,'Dados de consulta'!$H$2:$I$25,2,0))</f>
        <v>0</v>
      </c>
      <c r="AH320">
        <f>IF(H320="",0,VLOOKUP(H320,'Dados de consulta'!$H$2:$I$25,2,0))</f>
        <v>0</v>
      </c>
      <c r="AI320">
        <f>IF(I320="",0,VLOOKUP(I320,'Dados de consulta'!$H$2:$I$25,2,0))</f>
        <v>0</v>
      </c>
      <c r="AJ320">
        <f>IF(J320="",0,VLOOKUP(J320,'Dados de consulta'!$H$2:$I$25,2,0))</f>
        <v>0</v>
      </c>
      <c r="AK320">
        <f>IF(K320="",0,VLOOKUP(K320,'Dados de consulta'!$H$2:$I$25,2,0))</f>
        <v>0</v>
      </c>
      <c r="AL320">
        <f>IF(L320="",0,VLOOKUP(L320,'Dados de consulta'!$H$2:$I$25,2,0))</f>
        <v>0</v>
      </c>
      <c r="AM320">
        <f>IF(M320="",0,VLOOKUP(M320,'Dados de consulta'!$H$2:$I$25,2,0))</f>
        <v>0</v>
      </c>
      <c r="AN320">
        <f>IF(N320="",0,VLOOKUP(N320,'Dados de consulta'!$H$2:$I$25,2,0))</f>
        <v>0</v>
      </c>
      <c r="AO320">
        <f>IF(O320="",0,VLOOKUP(O320,'Dados de consulta'!$H$2:$I$25,2,0))</f>
        <v>0</v>
      </c>
      <c r="AP320">
        <f>IF(P320="",0,VLOOKUP(P320,'Dados de consulta'!$H$2:$I$25,2,0))</f>
        <v>0</v>
      </c>
      <c r="AQ320">
        <f>IF(Q320="",0,VLOOKUP(Q320,'Dados de consulta'!$H$2:$I$25,2,0))</f>
        <v>0</v>
      </c>
      <c r="AR320">
        <f>IF(R320="",0,VLOOKUP(R320,'Dados de consulta'!$H$2:$I$25,2,0))</f>
        <v>0</v>
      </c>
      <c r="AS320">
        <f>IF(S320="",0,VLOOKUP(S320,'Dados de consulta'!$H$2:$I$25,2,0))</f>
        <v>0</v>
      </c>
      <c r="AT320">
        <f>IF(T320="",0,VLOOKUP(T320,'Dados de consulta'!$H$2:$I$25,2,0))</f>
        <v>0</v>
      </c>
      <c r="AU320">
        <f>IF(U320="",0,VLOOKUP(U320,'Dados de consulta'!$H$2:$I$25,2,0))</f>
        <v>0</v>
      </c>
      <c r="AV320">
        <f>IF(V320="",0,VLOOKUP(V320,'Dados de consulta'!$H$2:$I$25,2,0))</f>
        <v>0</v>
      </c>
      <c r="AW320">
        <f t="shared" si="32"/>
        <v>0</v>
      </c>
      <c r="AX320">
        <f t="shared" si="33"/>
        <v>0</v>
      </c>
      <c r="AY320">
        <f t="shared" si="34"/>
        <v>0</v>
      </c>
    </row>
    <row r="321" spans="1:51" hidden="1" x14ac:dyDescent="0.2">
      <c r="A321" s="202">
        <v>42578</v>
      </c>
      <c r="B321" s="78" t="s">
        <v>285</v>
      </c>
      <c r="W321">
        <f t="shared" si="29"/>
        <v>0</v>
      </c>
      <c r="X321">
        <f t="shared" si="30"/>
        <v>0</v>
      </c>
      <c r="Y321">
        <f t="shared" si="31"/>
        <v>0</v>
      </c>
      <c r="AA321" s="202">
        <v>42578</v>
      </c>
      <c r="AB321" s="78" t="s">
        <v>285</v>
      </c>
      <c r="AC321">
        <f>IF(C321="",0,VLOOKUP(C321,'Dados de consulta'!$H$2:$I$25,2,0))</f>
        <v>0</v>
      </c>
      <c r="AD321">
        <f>IF(D321="",0,VLOOKUP(D321,'Dados de consulta'!$H$2:$I$25,2,0))</f>
        <v>0</v>
      </c>
      <c r="AE321">
        <f>IF(E321="",0,VLOOKUP(E321,'Dados de consulta'!$H$2:$I$25,2,0))</f>
        <v>0</v>
      </c>
      <c r="AF321">
        <f>IF(F321="",0,VLOOKUP(F321,'Dados de consulta'!$H$2:$I$25,2,0))</f>
        <v>0</v>
      </c>
      <c r="AG321">
        <f>IF(G321="",0,VLOOKUP(G321,'Dados de consulta'!$H$2:$I$25,2,0))</f>
        <v>0</v>
      </c>
      <c r="AH321">
        <f>IF(H321="",0,VLOOKUP(H321,'Dados de consulta'!$H$2:$I$25,2,0))</f>
        <v>0</v>
      </c>
      <c r="AI321">
        <f>IF(I321="",0,VLOOKUP(I321,'Dados de consulta'!$H$2:$I$25,2,0))</f>
        <v>0</v>
      </c>
      <c r="AJ321">
        <f>IF(J321="",0,VLOOKUP(J321,'Dados de consulta'!$H$2:$I$25,2,0))</f>
        <v>0</v>
      </c>
      <c r="AK321">
        <f>IF(K321="",0,VLOOKUP(K321,'Dados de consulta'!$H$2:$I$25,2,0))</f>
        <v>0</v>
      </c>
      <c r="AL321">
        <f>IF(L321="",0,VLOOKUP(L321,'Dados de consulta'!$H$2:$I$25,2,0))</f>
        <v>0</v>
      </c>
      <c r="AM321">
        <f>IF(M321="",0,VLOOKUP(M321,'Dados de consulta'!$H$2:$I$25,2,0))</f>
        <v>0</v>
      </c>
      <c r="AN321">
        <f>IF(N321="",0,VLOOKUP(N321,'Dados de consulta'!$H$2:$I$25,2,0))</f>
        <v>0</v>
      </c>
      <c r="AO321">
        <f>IF(O321="",0,VLOOKUP(O321,'Dados de consulta'!$H$2:$I$25,2,0))</f>
        <v>0</v>
      </c>
      <c r="AP321">
        <f>IF(P321="",0,VLOOKUP(P321,'Dados de consulta'!$H$2:$I$25,2,0))</f>
        <v>0</v>
      </c>
      <c r="AQ321">
        <f>IF(Q321="",0,VLOOKUP(Q321,'Dados de consulta'!$H$2:$I$25,2,0))</f>
        <v>0</v>
      </c>
      <c r="AR321">
        <f>IF(R321="",0,VLOOKUP(R321,'Dados de consulta'!$H$2:$I$25,2,0))</f>
        <v>0</v>
      </c>
      <c r="AS321">
        <f>IF(S321="",0,VLOOKUP(S321,'Dados de consulta'!$H$2:$I$25,2,0))</f>
        <v>0</v>
      </c>
      <c r="AT321">
        <f>IF(T321="",0,VLOOKUP(T321,'Dados de consulta'!$H$2:$I$25,2,0))</f>
        <v>0</v>
      </c>
      <c r="AU321">
        <f>IF(U321="",0,VLOOKUP(U321,'Dados de consulta'!$H$2:$I$25,2,0))</f>
        <v>0</v>
      </c>
      <c r="AV321">
        <f>IF(V321="",0,VLOOKUP(V321,'Dados de consulta'!$H$2:$I$25,2,0))</f>
        <v>0</v>
      </c>
      <c r="AW321">
        <f t="shared" si="32"/>
        <v>0</v>
      </c>
      <c r="AX321">
        <f t="shared" si="33"/>
        <v>0</v>
      </c>
      <c r="AY321">
        <f t="shared" si="34"/>
        <v>0</v>
      </c>
    </row>
    <row r="322" spans="1:51" hidden="1" x14ac:dyDescent="0.2">
      <c r="A322" s="202">
        <v>42579</v>
      </c>
      <c r="B322" s="78" t="s">
        <v>286</v>
      </c>
      <c r="W322">
        <f t="shared" si="29"/>
        <v>0</v>
      </c>
      <c r="X322">
        <f t="shared" si="30"/>
        <v>0</v>
      </c>
      <c r="Y322">
        <f t="shared" si="31"/>
        <v>0</v>
      </c>
      <c r="AA322" s="202">
        <v>42579</v>
      </c>
      <c r="AB322" s="78" t="s">
        <v>286</v>
      </c>
      <c r="AC322">
        <f>IF(C322="",0,VLOOKUP(C322,'Dados de consulta'!$H$2:$I$25,2,0))</f>
        <v>0</v>
      </c>
      <c r="AD322">
        <f>IF(D322="",0,VLOOKUP(D322,'Dados de consulta'!$H$2:$I$25,2,0))</f>
        <v>0</v>
      </c>
      <c r="AE322">
        <f>IF(E322="",0,VLOOKUP(E322,'Dados de consulta'!$H$2:$I$25,2,0))</f>
        <v>0</v>
      </c>
      <c r="AF322">
        <f>IF(F322="",0,VLOOKUP(F322,'Dados de consulta'!$H$2:$I$25,2,0))</f>
        <v>0</v>
      </c>
      <c r="AG322">
        <f>IF(G322="",0,VLOOKUP(G322,'Dados de consulta'!$H$2:$I$25,2,0))</f>
        <v>0</v>
      </c>
      <c r="AH322">
        <f>IF(H322="",0,VLOOKUP(H322,'Dados de consulta'!$H$2:$I$25,2,0))</f>
        <v>0</v>
      </c>
      <c r="AI322">
        <f>IF(I322="",0,VLOOKUP(I322,'Dados de consulta'!$H$2:$I$25,2,0))</f>
        <v>0</v>
      </c>
      <c r="AJ322">
        <f>IF(J322="",0,VLOOKUP(J322,'Dados de consulta'!$H$2:$I$25,2,0))</f>
        <v>0</v>
      </c>
      <c r="AK322">
        <f>IF(K322="",0,VLOOKUP(K322,'Dados de consulta'!$H$2:$I$25,2,0))</f>
        <v>0</v>
      </c>
      <c r="AL322">
        <f>IF(L322="",0,VLOOKUP(L322,'Dados de consulta'!$H$2:$I$25,2,0))</f>
        <v>0</v>
      </c>
      <c r="AM322">
        <f>IF(M322="",0,VLOOKUP(M322,'Dados de consulta'!$H$2:$I$25,2,0))</f>
        <v>0</v>
      </c>
      <c r="AN322">
        <f>IF(N322="",0,VLOOKUP(N322,'Dados de consulta'!$H$2:$I$25,2,0))</f>
        <v>0</v>
      </c>
      <c r="AO322">
        <f>IF(O322="",0,VLOOKUP(O322,'Dados de consulta'!$H$2:$I$25,2,0))</f>
        <v>0</v>
      </c>
      <c r="AP322">
        <f>IF(P322="",0,VLOOKUP(P322,'Dados de consulta'!$H$2:$I$25,2,0))</f>
        <v>0</v>
      </c>
      <c r="AQ322">
        <f>IF(Q322="",0,VLOOKUP(Q322,'Dados de consulta'!$H$2:$I$25,2,0))</f>
        <v>0</v>
      </c>
      <c r="AR322">
        <f>IF(R322="",0,VLOOKUP(R322,'Dados de consulta'!$H$2:$I$25,2,0))</f>
        <v>0</v>
      </c>
      <c r="AS322">
        <f>IF(S322="",0,VLOOKUP(S322,'Dados de consulta'!$H$2:$I$25,2,0))</f>
        <v>0</v>
      </c>
      <c r="AT322">
        <f>IF(T322="",0,VLOOKUP(T322,'Dados de consulta'!$H$2:$I$25,2,0))</f>
        <v>0</v>
      </c>
      <c r="AU322">
        <f>IF(U322="",0,VLOOKUP(U322,'Dados de consulta'!$H$2:$I$25,2,0))</f>
        <v>0</v>
      </c>
      <c r="AV322">
        <f>IF(V322="",0,VLOOKUP(V322,'Dados de consulta'!$H$2:$I$25,2,0))</f>
        <v>0</v>
      </c>
      <c r="AW322">
        <f t="shared" si="32"/>
        <v>0</v>
      </c>
      <c r="AX322">
        <f t="shared" si="33"/>
        <v>0</v>
      </c>
      <c r="AY322">
        <f t="shared" si="34"/>
        <v>0</v>
      </c>
    </row>
    <row r="323" spans="1:51" hidden="1" x14ac:dyDescent="0.2">
      <c r="A323" s="202">
        <v>42580</v>
      </c>
      <c r="B323" s="78" t="s">
        <v>287</v>
      </c>
      <c r="W323">
        <f t="shared" ref="W323:W336" si="35">AW323</f>
        <v>0</v>
      </c>
      <c r="X323">
        <f t="shared" ref="X323:X336" si="36">AX323</f>
        <v>0</v>
      </c>
      <c r="Y323">
        <f t="shared" ref="Y323:Y336" si="37">AY323</f>
        <v>0</v>
      </c>
      <c r="AA323" s="202">
        <v>42580</v>
      </c>
      <c r="AB323" s="78" t="s">
        <v>287</v>
      </c>
      <c r="AC323">
        <f>IF(C323="",0,VLOOKUP(C323,'Dados de consulta'!$H$2:$I$25,2,0))</f>
        <v>0</v>
      </c>
      <c r="AD323">
        <f>IF(D323="",0,VLOOKUP(D323,'Dados de consulta'!$H$2:$I$25,2,0))</f>
        <v>0</v>
      </c>
      <c r="AE323">
        <f>IF(E323="",0,VLOOKUP(E323,'Dados de consulta'!$H$2:$I$25,2,0))</f>
        <v>0</v>
      </c>
      <c r="AF323">
        <f>IF(F323="",0,VLOOKUP(F323,'Dados de consulta'!$H$2:$I$25,2,0))</f>
        <v>0</v>
      </c>
      <c r="AG323">
        <f>IF(G323="",0,VLOOKUP(G323,'Dados de consulta'!$H$2:$I$25,2,0))</f>
        <v>0</v>
      </c>
      <c r="AH323">
        <f>IF(H323="",0,VLOOKUP(H323,'Dados de consulta'!$H$2:$I$25,2,0))</f>
        <v>0</v>
      </c>
      <c r="AI323">
        <f>IF(I323="",0,VLOOKUP(I323,'Dados de consulta'!$H$2:$I$25,2,0))</f>
        <v>0</v>
      </c>
      <c r="AJ323">
        <f>IF(J323="",0,VLOOKUP(J323,'Dados de consulta'!$H$2:$I$25,2,0))</f>
        <v>0</v>
      </c>
      <c r="AK323">
        <f>IF(K323="",0,VLOOKUP(K323,'Dados de consulta'!$H$2:$I$25,2,0))</f>
        <v>0</v>
      </c>
      <c r="AL323">
        <f>IF(L323="",0,VLOOKUP(L323,'Dados de consulta'!$H$2:$I$25,2,0))</f>
        <v>0</v>
      </c>
      <c r="AM323">
        <f>IF(M323="",0,VLOOKUP(M323,'Dados de consulta'!$H$2:$I$25,2,0))</f>
        <v>0</v>
      </c>
      <c r="AN323">
        <f>IF(N323="",0,VLOOKUP(N323,'Dados de consulta'!$H$2:$I$25,2,0))</f>
        <v>0</v>
      </c>
      <c r="AO323">
        <f>IF(O323="",0,VLOOKUP(O323,'Dados de consulta'!$H$2:$I$25,2,0))</f>
        <v>0</v>
      </c>
      <c r="AP323">
        <f>IF(P323="",0,VLOOKUP(P323,'Dados de consulta'!$H$2:$I$25,2,0))</f>
        <v>0</v>
      </c>
      <c r="AQ323">
        <f>IF(Q323="",0,VLOOKUP(Q323,'Dados de consulta'!$H$2:$I$25,2,0))</f>
        <v>0</v>
      </c>
      <c r="AR323">
        <f>IF(R323="",0,VLOOKUP(R323,'Dados de consulta'!$H$2:$I$25,2,0))</f>
        <v>0</v>
      </c>
      <c r="AS323">
        <f>IF(S323="",0,VLOOKUP(S323,'Dados de consulta'!$H$2:$I$25,2,0))</f>
        <v>0</v>
      </c>
      <c r="AT323">
        <f>IF(T323="",0,VLOOKUP(T323,'Dados de consulta'!$H$2:$I$25,2,0))</f>
        <v>0</v>
      </c>
      <c r="AU323">
        <f>IF(U323="",0,VLOOKUP(U323,'Dados de consulta'!$H$2:$I$25,2,0))</f>
        <v>0</v>
      </c>
      <c r="AV323">
        <f>IF(V323="",0,VLOOKUP(V323,'Dados de consulta'!$H$2:$I$25,2,0))</f>
        <v>0</v>
      </c>
      <c r="AW323">
        <f t="shared" si="32"/>
        <v>0</v>
      </c>
      <c r="AX323">
        <f t="shared" si="33"/>
        <v>0</v>
      </c>
      <c r="AY323">
        <f t="shared" si="34"/>
        <v>0</v>
      </c>
    </row>
    <row r="324" spans="1:51" hidden="1" x14ac:dyDescent="0.2">
      <c r="A324" s="202">
        <v>42581</v>
      </c>
      <c r="B324" s="78" t="s">
        <v>281</v>
      </c>
      <c r="W324">
        <f t="shared" si="35"/>
        <v>0</v>
      </c>
      <c r="X324">
        <f t="shared" si="36"/>
        <v>0</v>
      </c>
      <c r="Y324">
        <f t="shared" si="37"/>
        <v>0</v>
      </c>
      <c r="AA324" s="202">
        <v>42581</v>
      </c>
      <c r="AB324" s="78" t="s">
        <v>281</v>
      </c>
      <c r="AC324">
        <f>IF(C324="",0,VLOOKUP(C324,'Dados de consulta'!$H$2:$I$25,2,0))</f>
        <v>0</v>
      </c>
      <c r="AD324">
        <f>IF(D324="",0,VLOOKUP(D324,'Dados de consulta'!$H$2:$I$25,2,0))</f>
        <v>0</v>
      </c>
      <c r="AE324">
        <f>IF(E324="",0,VLOOKUP(E324,'Dados de consulta'!$H$2:$I$25,2,0))</f>
        <v>0</v>
      </c>
      <c r="AF324">
        <f>IF(F324="",0,VLOOKUP(F324,'Dados de consulta'!$H$2:$I$25,2,0))</f>
        <v>0</v>
      </c>
      <c r="AG324">
        <f>IF(G324="",0,VLOOKUP(G324,'Dados de consulta'!$H$2:$I$25,2,0))</f>
        <v>0</v>
      </c>
      <c r="AH324">
        <f>IF(H324="",0,VLOOKUP(H324,'Dados de consulta'!$H$2:$I$25,2,0))</f>
        <v>0</v>
      </c>
      <c r="AI324">
        <f>IF(I324="",0,VLOOKUP(I324,'Dados de consulta'!$H$2:$I$25,2,0))</f>
        <v>0</v>
      </c>
      <c r="AJ324">
        <f>IF(J324="",0,VLOOKUP(J324,'Dados de consulta'!$H$2:$I$25,2,0))</f>
        <v>0</v>
      </c>
      <c r="AK324">
        <f>IF(K324="",0,VLOOKUP(K324,'Dados de consulta'!$H$2:$I$25,2,0))</f>
        <v>0</v>
      </c>
      <c r="AL324">
        <f>IF(L324="",0,VLOOKUP(L324,'Dados de consulta'!$H$2:$I$25,2,0))</f>
        <v>0</v>
      </c>
      <c r="AM324">
        <f>IF(M324="",0,VLOOKUP(M324,'Dados de consulta'!$H$2:$I$25,2,0))</f>
        <v>0</v>
      </c>
      <c r="AN324">
        <f>IF(N324="",0,VLOOKUP(N324,'Dados de consulta'!$H$2:$I$25,2,0))</f>
        <v>0</v>
      </c>
      <c r="AO324">
        <f>IF(O324="",0,VLOOKUP(O324,'Dados de consulta'!$H$2:$I$25,2,0))</f>
        <v>0</v>
      </c>
      <c r="AP324">
        <f>IF(P324="",0,VLOOKUP(P324,'Dados de consulta'!$H$2:$I$25,2,0))</f>
        <v>0</v>
      </c>
      <c r="AQ324">
        <f>IF(Q324="",0,VLOOKUP(Q324,'Dados de consulta'!$H$2:$I$25,2,0))</f>
        <v>0</v>
      </c>
      <c r="AR324">
        <f>IF(R324="",0,VLOOKUP(R324,'Dados de consulta'!$H$2:$I$25,2,0))</f>
        <v>0</v>
      </c>
      <c r="AS324">
        <f>IF(S324="",0,VLOOKUP(S324,'Dados de consulta'!$H$2:$I$25,2,0))</f>
        <v>0</v>
      </c>
      <c r="AT324">
        <f>IF(T324="",0,VLOOKUP(T324,'Dados de consulta'!$H$2:$I$25,2,0))</f>
        <v>0</v>
      </c>
      <c r="AU324">
        <f>IF(U324="",0,VLOOKUP(U324,'Dados de consulta'!$H$2:$I$25,2,0))</f>
        <v>0</v>
      </c>
      <c r="AV324">
        <f>IF(V324="",0,VLOOKUP(V324,'Dados de consulta'!$H$2:$I$25,2,0))</f>
        <v>0</v>
      </c>
      <c r="AW324">
        <f t="shared" si="32"/>
        <v>0</v>
      </c>
      <c r="AX324">
        <f t="shared" si="33"/>
        <v>0</v>
      </c>
      <c r="AY324">
        <f t="shared" si="34"/>
        <v>0</v>
      </c>
    </row>
    <row r="325" spans="1:51" hidden="1" x14ac:dyDescent="0.2">
      <c r="A325" s="202">
        <v>42582</v>
      </c>
      <c r="B325" s="78" t="s">
        <v>282</v>
      </c>
      <c r="W325">
        <f t="shared" si="35"/>
        <v>0</v>
      </c>
      <c r="X325">
        <f t="shared" si="36"/>
        <v>0</v>
      </c>
      <c r="Y325">
        <f t="shared" si="37"/>
        <v>0</v>
      </c>
      <c r="AA325" s="202">
        <v>42582</v>
      </c>
      <c r="AB325" s="78" t="s">
        <v>282</v>
      </c>
      <c r="AC325">
        <f>IF(C325="",0,VLOOKUP(C325,'Dados de consulta'!$H$2:$I$25,2,0))</f>
        <v>0</v>
      </c>
      <c r="AD325">
        <f>IF(D325="",0,VLOOKUP(D325,'Dados de consulta'!$H$2:$I$25,2,0))</f>
        <v>0</v>
      </c>
      <c r="AE325">
        <f>IF(E325="",0,VLOOKUP(E325,'Dados de consulta'!$H$2:$I$25,2,0))</f>
        <v>0</v>
      </c>
      <c r="AF325">
        <f>IF(F325="",0,VLOOKUP(F325,'Dados de consulta'!$H$2:$I$25,2,0))</f>
        <v>0</v>
      </c>
      <c r="AG325">
        <f>IF(G325="",0,VLOOKUP(G325,'Dados de consulta'!$H$2:$I$25,2,0))</f>
        <v>0</v>
      </c>
      <c r="AH325">
        <f>IF(H325="",0,VLOOKUP(H325,'Dados de consulta'!$H$2:$I$25,2,0))</f>
        <v>0</v>
      </c>
      <c r="AI325">
        <f>IF(I325="",0,VLOOKUP(I325,'Dados de consulta'!$H$2:$I$25,2,0))</f>
        <v>0</v>
      </c>
      <c r="AJ325">
        <f>IF(J325="",0,VLOOKUP(J325,'Dados de consulta'!$H$2:$I$25,2,0))</f>
        <v>0</v>
      </c>
      <c r="AK325">
        <f>IF(K325="",0,VLOOKUP(K325,'Dados de consulta'!$H$2:$I$25,2,0))</f>
        <v>0</v>
      </c>
      <c r="AL325">
        <f>IF(L325="",0,VLOOKUP(L325,'Dados de consulta'!$H$2:$I$25,2,0))</f>
        <v>0</v>
      </c>
      <c r="AM325">
        <f>IF(M325="",0,VLOOKUP(M325,'Dados de consulta'!$H$2:$I$25,2,0))</f>
        <v>0</v>
      </c>
      <c r="AN325">
        <f>IF(N325="",0,VLOOKUP(N325,'Dados de consulta'!$H$2:$I$25,2,0))</f>
        <v>0</v>
      </c>
      <c r="AO325">
        <f>IF(O325="",0,VLOOKUP(O325,'Dados de consulta'!$H$2:$I$25,2,0))</f>
        <v>0</v>
      </c>
      <c r="AP325">
        <f>IF(P325="",0,VLOOKUP(P325,'Dados de consulta'!$H$2:$I$25,2,0))</f>
        <v>0</v>
      </c>
      <c r="AQ325">
        <f>IF(Q325="",0,VLOOKUP(Q325,'Dados de consulta'!$H$2:$I$25,2,0))</f>
        <v>0</v>
      </c>
      <c r="AR325">
        <f>IF(R325="",0,VLOOKUP(R325,'Dados de consulta'!$H$2:$I$25,2,0))</f>
        <v>0</v>
      </c>
      <c r="AS325">
        <f>IF(S325="",0,VLOOKUP(S325,'Dados de consulta'!$H$2:$I$25,2,0))</f>
        <v>0</v>
      </c>
      <c r="AT325">
        <f>IF(T325="",0,VLOOKUP(T325,'Dados de consulta'!$H$2:$I$25,2,0))</f>
        <v>0</v>
      </c>
      <c r="AU325">
        <f>IF(U325="",0,VLOOKUP(U325,'Dados de consulta'!$H$2:$I$25,2,0))</f>
        <v>0</v>
      </c>
      <c r="AV325">
        <f>IF(V325="",0,VLOOKUP(V325,'Dados de consulta'!$H$2:$I$25,2,0))</f>
        <v>0</v>
      </c>
      <c r="AW325">
        <f t="shared" si="32"/>
        <v>0</v>
      </c>
      <c r="AX325">
        <f t="shared" si="33"/>
        <v>0</v>
      </c>
      <c r="AY325">
        <f t="shared" si="34"/>
        <v>0</v>
      </c>
    </row>
    <row r="326" spans="1:51" hidden="1" x14ac:dyDescent="0.2">
      <c r="A326" s="202">
        <v>42583</v>
      </c>
      <c r="B326" s="78" t="s">
        <v>283</v>
      </c>
      <c r="W326">
        <f t="shared" si="35"/>
        <v>0</v>
      </c>
      <c r="X326">
        <f t="shared" si="36"/>
        <v>0</v>
      </c>
      <c r="Y326">
        <f t="shared" si="37"/>
        <v>0</v>
      </c>
      <c r="AA326" s="202">
        <v>42583</v>
      </c>
      <c r="AB326" s="78" t="s">
        <v>283</v>
      </c>
      <c r="AC326">
        <f>IF(C326="",0,VLOOKUP(C326,'Dados de consulta'!$H$2:$I$25,2,0))</f>
        <v>0</v>
      </c>
      <c r="AD326">
        <f>IF(D326="",0,VLOOKUP(D326,'Dados de consulta'!$H$2:$I$25,2,0))</f>
        <v>0</v>
      </c>
      <c r="AE326">
        <f>IF(E326="",0,VLOOKUP(E326,'Dados de consulta'!$H$2:$I$25,2,0))</f>
        <v>0</v>
      </c>
      <c r="AF326">
        <f>IF(F326="",0,VLOOKUP(F326,'Dados de consulta'!$H$2:$I$25,2,0))</f>
        <v>0</v>
      </c>
      <c r="AG326">
        <f>IF(G326="",0,VLOOKUP(G326,'Dados de consulta'!$H$2:$I$25,2,0))</f>
        <v>0</v>
      </c>
      <c r="AH326">
        <f>IF(H326="",0,VLOOKUP(H326,'Dados de consulta'!$H$2:$I$25,2,0))</f>
        <v>0</v>
      </c>
      <c r="AI326">
        <f>IF(I326="",0,VLOOKUP(I326,'Dados de consulta'!$H$2:$I$25,2,0))</f>
        <v>0</v>
      </c>
      <c r="AJ326">
        <f>IF(J326="",0,VLOOKUP(J326,'Dados de consulta'!$H$2:$I$25,2,0))</f>
        <v>0</v>
      </c>
      <c r="AK326">
        <f>IF(K326="",0,VLOOKUP(K326,'Dados de consulta'!$H$2:$I$25,2,0))</f>
        <v>0</v>
      </c>
      <c r="AL326">
        <f>IF(L326="",0,VLOOKUP(L326,'Dados de consulta'!$H$2:$I$25,2,0))</f>
        <v>0</v>
      </c>
      <c r="AM326">
        <f>IF(M326="",0,VLOOKUP(M326,'Dados de consulta'!$H$2:$I$25,2,0))</f>
        <v>0</v>
      </c>
      <c r="AN326">
        <f>IF(N326="",0,VLOOKUP(N326,'Dados de consulta'!$H$2:$I$25,2,0))</f>
        <v>0</v>
      </c>
      <c r="AO326">
        <f>IF(O326="",0,VLOOKUP(O326,'Dados de consulta'!$H$2:$I$25,2,0))</f>
        <v>0</v>
      </c>
      <c r="AP326">
        <f>IF(P326="",0,VLOOKUP(P326,'Dados de consulta'!$H$2:$I$25,2,0))</f>
        <v>0</v>
      </c>
      <c r="AQ326">
        <f>IF(Q326="",0,VLOOKUP(Q326,'Dados de consulta'!$H$2:$I$25,2,0))</f>
        <v>0</v>
      </c>
      <c r="AR326">
        <f>IF(R326="",0,VLOOKUP(R326,'Dados de consulta'!$H$2:$I$25,2,0))</f>
        <v>0</v>
      </c>
      <c r="AS326">
        <f>IF(S326="",0,VLOOKUP(S326,'Dados de consulta'!$H$2:$I$25,2,0))</f>
        <v>0</v>
      </c>
      <c r="AT326">
        <f>IF(T326="",0,VLOOKUP(T326,'Dados de consulta'!$H$2:$I$25,2,0))</f>
        <v>0</v>
      </c>
      <c r="AU326">
        <f>IF(U326="",0,VLOOKUP(U326,'Dados de consulta'!$H$2:$I$25,2,0))</f>
        <v>0</v>
      </c>
      <c r="AV326">
        <f>IF(V326="",0,VLOOKUP(V326,'Dados de consulta'!$H$2:$I$25,2,0))</f>
        <v>0</v>
      </c>
      <c r="AW326">
        <f t="shared" si="32"/>
        <v>0</v>
      </c>
      <c r="AX326">
        <f t="shared" si="33"/>
        <v>0</v>
      </c>
      <c r="AY326">
        <f t="shared" si="34"/>
        <v>0</v>
      </c>
    </row>
    <row r="327" spans="1:51" hidden="1" x14ac:dyDescent="0.2">
      <c r="A327" s="202">
        <v>42584</v>
      </c>
      <c r="B327" s="78" t="s">
        <v>284</v>
      </c>
      <c r="W327">
        <f t="shared" si="35"/>
        <v>0</v>
      </c>
      <c r="X327">
        <f t="shared" si="36"/>
        <v>0</v>
      </c>
      <c r="Y327">
        <f t="shared" si="37"/>
        <v>0</v>
      </c>
      <c r="AA327" s="202">
        <v>42584</v>
      </c>
      <c r="AB327" s="78" t="s">
        <v>284</v>
      </c>
      <c r="AC327">
        <f>IF(C327="",0,VLOOKUP(C327,'Dados de consulta'!$H$2:$I$25,2,0))</f>
        <v>0</v>
      </c>
      <c r="AD327">
        <f>IF(D327="",0,VLOOKUP(D327,'Dados de consulta'!$H$2:$I$25,2,0))</f>
        <v>0</v>
      </c>
      <c r="AE327">
        <f>IF(E327="",0,VLOOKUP(E327,'Dados de consulta'!$H$2:$I$25,2,0))</f>
        <v>0</v>
      </c>
      <c r="AF327">
        <f>IF(F327="",0,VLOOKUP(F327,'Dados de consulta'!$H$2:$I$25,2,0))</f>
        <v>0</v>
      </c>
      <c r="AG327">
        <f>IF(G327="",0,VLOOKUP(G327,'Dados de consulta'!$H$2:$I$25,2,0))</f>
        <v>0</v>
      </c>
      <c r="AH327">
        <f>IF(H327="",0,VLOOKUP(H327,'Dados de consulta'!$H$2:$I$25,2,0))</f>
        <v>0</v>
      </c>
      <c r="AI327">
        <f>IF(I327="",0,VLOOKUP(I327,'Dados de consulta'!$H$2:$I$25,2,0))</f>
        <v>0</v>
      </c>
      <c r="AJ327">
        <f>IF(J327="",0,VLOOKUP(J327,'Dados de consulta'!$H$2:$I$25,2,0))</f>
        <v>0</v>
      </c>
      <c r="AK327">
        <f>IF(K327="",0,VLOOKUP(K327,'Dados de consulta'!$H$2:$I$25,2,0))</f>
        <v>0</v>
      </c>
      <c r="AL327">
        <f>IF(L327="",0,VLOOKUP(L327,'Dados de consulta'!$H$2:$I$25,2,0))</f>
        <v>0</v>
      </c>
      <c r="AM327">
        <f>IF(M327="",0,VLOOKUP(M327,'Dados de consulta'!$H$2:$I$25,2,0))</f>
        <v>0</v>
      </c>
      <c r="AN327">
        <f>IF(N327="",0,VLOOKUP(N327,'Dados de consulta'!$H$2:$I$25,2,0))</f>
        <v>0</v>
      </c>
      <c r="AO327">
        <f>IF(O327="",0,VLOOKUP(O327,'Dados de consulta'!$H$2:$I$25,2,0))</f>
        <v>0</v>
      </c>
      <c r="AP327">
        <f>IF(P327="",0,VLOOKUP(P327,'Dados de consulta'!$H$2:$I$25,2,0))</f>
        <v>0</v>
      </c>
      <c r="AQ327">
        <f>IF(Q327="",0,VLOOKUP(Q327,'Dados de consulta'!$H$2:$I$25,2,0))</f>
        <v>0</v>
      </c>
      <c r="AR327">
        <f>IF(R327="",0,VLOOKUP(R327,'Dados de consulta'!$H$2:$I$25,2,0))</f>
        <v>0</v>
      </c>
      <c r="AS327">
        <f>IF(S327="",0,VLOOKUP(S327,'Dados de consulta'!$H$2:$I$25,2,0))</f>
        <v>0</v>
      </c>
      <c r="AT327">
        <f>IF(T327="",0,VLOOKUP(T327,'Dados de consulta'!$H$2:$I$25,2,0))</f>
        <v>0</v>
      </c>
      <c r="AU327">
        <f>IF(U327="",0,VLOOKUP(U327,'Dados de consulta'!$H$2:$I$25,2,0))</f>
        <v>0</v>
      </c>
      <c r="AV327">
        <f>IF(V327="",0,VLOOKUP(V327,'Dados de consulta'!$H$2:$I$25,2,0))</f>
        <v>0</v>
      </c>
      <c r="AW327">
        <f t="shared" si="32"/>
        <v>0</v>
      </c>
      <c r="AX327">
        <f t="shared" si="33"/>
        <v>0</v>
      </c>
      <c r="AY327">
        <f t="shared" si="34"/>
        <v>0</v>
      </c>
    </row>
    <row r="328" spans="1:51" hidden="1" x14ac:dyDescent="0.2">
      <c r="A328" s="202">
        <v>42585</v>
      </c>
      <c r="B328" s="78" t="s">
        <v>285</v>
      </c>
      <c r="W328">
        <f t="shared" si="35"/>
        <v>0</v>
      </c>
      <c r="X328">
        <f t="shared" si="36"/>
        <v>0</v>
      </c>
      <c r="Y328">
        <f t="shared" si="37"/>
        <v>0</v>
      </c>
      <c r="AA328" s="202">
        <v>42585</v>
      </c>
      <c r="AB328" s="78" t="s">
        <v>285</v>
      </c>
      <c r="AC328">
        <f>IF(C328="",0,VLOOKUP(C328,'Dados de consulta'!$H$2:$I$25,2,0))</f>
        <v>0</v>
      </c>
      <c r="AD328">
        <f>IF(D328="",0,VLOOKUP(D328,'Dados de consulta'!$H$2:$I$25,2,0))</f>
        <v>0</v>
      </c>
      <c r="AE328">
        <f>IF(E328="",0,VLOOKUP(E328,'Dados de consulta'!$H$2:$I$25,2,0))</f>
        <v>0</v>
      </c>
      <c r="AF328">
        <f>IF(F328="",0,VLOOKUP(F328,'Dados de consulta'!$H$2:$I$25,2,0))</f>
        <v>0</v>
      </c>
      <c r="AG328">
        <f>IF(G328="",0,VLOOKUP(G328,'Dados de consulta'!$H$2:$I$25,2,0))</f>
        <v>0</v>
      </c>
      <c r="AH328">
        <f>IF(H328="",0,VLOOKUP(H328,'Dados de consulta'!$H$2:$I$25,2,0))</f>
        <v>0</v>
      </c>
      <c r="AI328">
        <f>IF(I328="",0,VLOOKUP(I328,'Dados de consulta'!$H$2:$I$25,2,0))</f>
        <v>0</v>
      </c>
      <c r="AJ328">
        <f>IF(J328="",0,VLOOKUP(J328,'Dados de consulta'!$H$2:$I$25,2,0))</f>
        <v>0</v>
      </c>
      <c r="AK328">
        <f>IF(K328="",0,VLOOKUP(K328,'Dados de consulta'!$H$2:$I$25,2,0))</f>
        <v>0</v>
      </c>
      <c r="AL328">
        <f>IF(L328="",0,VLOOKUP(L328,'Dados de consulta'!$H$2:$I$25,2,0))</f>
        <v>0</v>
      </c>
      <c r="AM328">
        <f>IF(M328="",0,VLOOKUP(M328,'Dados de consulta'!$H$2:$I$25,2,0))</f>
        <v>0</v>
      </c>
      <c r="AN328">
        <f>IF(N328="",0,VLOOKUP(N328,'Dados de consulta'!$H$2:$I$25,2,0))</f>
        <v>0</v>
      </c>
      <c r="AO328">
        <f>IF(O328="",0,VLOOKUP(O328,'Dados de consulta'!$H$2:$I$25,2,0))</f>
        <v>0</v>
      </c>
      <c r="AP328">
        <f>IF(P328="",0,VLOOKUP(P328,'Dados de consulta'!$H$2:$I$25,2,0))</f>
        <v>0</v>
      </c>
      <c r="AQ328">
        <f>IF(Q328="",0,VLOOKUP(Q328,'Dados de consulta'!$H$2:$I$25,2,0))</f>
        <v>0</v>
      </c>
      <c r="AR328">
        <f>IF(R328="",0,VLOOKUP(R328,'Dados de consulta'!$H$2:$I$25,2,0))</f>
        <v>0</v>
      </c>
      <c r="AS328">
        <f>IF(S328="",0,VLOOKUP(S328,'Dados de consulta'!$H$2:$I$25,2,0))</f>
        <v>0</v>
      </c>
      <c r="AT328">
        <f>IF(T328="",0,VLOOKUP(T328,'Dados de consulta'!$H$2:$I$25,2,0))</f>
        <v>0</v>
      </c>
      <c r="AU328">
        <f>IF(U328="",0,VLOOKUP(U328,'Dados de consulta'!$H$2:$I$25,2,0))</f>
        <v>0</v>
      </c>
      <c r="AV328">
        <f>IF(V328="",0,VLOOKUP(V328,'Dados de consulta'!$H$2:$I$25,2,0))</f>
        <v>0</v>
      </c>
      <c r="AW328">
        <f t="shared" si="32"/>
        <v>0</v>
      </c>
      <c r="AX328">
        <f t="shared" si="33"/>
        <v>0</v>
      </c>
      <c r="AY328">
        <f t="shared" si="34"/>
        <v>0</v>
      </c>
    </row>
    <row r="329" spans="1:51" hidden="1" x14ac:dyDescent="0.2">
      <c r="A329" s="202">
        <v>42586</v>
      </c>
      <c r="B329" s="78" t="s">
        <v>286</v>
      </c>
      <c r="W329">
        <f t="shared" si="35"/>
        <v>0</v>
      </c>
      <c r="X329">
        <f t="shared" si="36"/>
        <v>0</v>
      </c>
      <c r="Y329">
        <f t="shared" si="37"/>
        <v>0</v>
      </c>
      <c r="AA329" s="202">
        <v>42586</v>
      </c>
      <c r="AB329" s="78" t="s">
        <v>286</v>
      </c>
      <c r="AC329">
        <f>IF(C329="",0,VLOOKUP(C329,'Dados de consulta'!$H$2:$I$25,2,0))</f>
        <v>0</v>
      </c>
      <c r="AD329">
        <f>IF(D329="",0,VLOOKUP(D329,'Dados de consulta'!$H$2:$I$25,2,0))</f>
        <v>0</v>
      </c>
      <c r="AE329">
        <f>IF(E329="",0,VLOOKUP(E329,'Dados de consulta'!$H$2:$I$25,2,0))</f>
        <v>0</v>
      </c>
      <c r="AF329">
        <f>IF(F329="",0,VLOOKUP(F329,'Dados de consulta'!$H$2:$I$25,2,0))</f>
        <v>0</v>
      </c>
      <c r="AG329">
        <f>IF(G329="",0,VLOOKUP(G329,'Dados de consulta'!$H$2:$I$25,2,0))</f>
        <v>0</v>
      </c>
      <c r="AH329">
        <f>IF(H329="",0,VLOOKUP(H329,'Dados de consulta'!$H$2:$I$25,2,0))</f>
        <v>0</v>
      </c>
      <c r="AI329">
        <f>IF(I329="",0,VLOOKUP(I329,'Dados de consulta'!$H$2:$I$25,2,0))</f>
        <v>0</v>
      </c>
      <c r="AJ329">
        <f>IF(J329="",0,VLOOKUP(J329,'Dados de consulta'!$H$2:$I$25,2,0))</f>
        <v>0</v>
      </c>
      <c r="AK329">
        <f>IF(K329="",0,VLOOKUP(K329,'Dados de consulta'!$H$2:$I$25,2,0))</f>
        <v>0</v>
      </c>
      <c r="AL329">
        <f>IF(L329="",0,VLOOKUP(L329,'Dados de consulta'!$H$2:$I$25,2,0))</f>
        <v>0</v>
      </c>
      <c r="AM329">
        <f>IF(M329="",0,VLOOKUP(M329,'Dados de consulta'!$H$2:$I$25,2,0))</f>
        <v>0</v>
      </c>
      <c r="AN329">
        <f>IF(N329="",0,VLOOKUP(N329,'Dados de consulta'!$H$2:$I$25,2,0))</f>
        <v>0</v>
      </c>
      <c r="AO329">
        <f>IF(O329="",0,VLOOKUP(O329,'Dados de consulta'!$H$2:$I$25,2,0))</f>
        <v>0</v>
      </c>
      <c r="AP329">
        <f>IF(P329="",0,VLOOKUP(P329,'Dados de consulta'!$H$2:$I$25,2,0))</f>
        <v>0</v>
      </c>
      <c r="AQ329">
        <f>IF(Q329="",0,VLOOKUP(Q329,'Dados de consulta'!$H$2:$I$25,2,0))</f>
        <v>0</v>
      </c>
      <c r="AR329">
        <f>IF(R329="",0,VLOOKUP(R329,'Dados de consulta'!$H$2:$I$25,2,0))</f>
        <v>0</v>
      </c>
      <c r="AS329">
        <f>IF(S329="",0,VLOOKUP(S329,'Dados de consulta'!$H$2:$I$25,2,0))</f>
        <v>0</v>
      </c>
      <c r="AT329">
        <f>IF(T329="",0,VLOOKUP(T329,'Dados de consulta'!$H$2:$I$25,2,0))</f>
        <v>0</v>
      </c>
      <c r="AU329">
        <f>IF(U329="",0,VLOOKUP(U329,'Dados de consulta'!$H$2:$I$25,2,0))</f>
        <v>0</v>
      </c>
      <c r="AV329">
        <f>IF(V329="",0,VLOOKUP(V329,'Dados de consulta'!$H$2:$I$25,2,0))</f>
        <v>0</v>
      </c>
      <c r="AW329">
        <f t="shared" si="32"/>
        <v>0</v>
      </c>
      <c r="AX329">
        <f t="shared" si="33"/>
        <v>0</v>
      </c>
      <c r="AY329">
        <f t="shared" si="34"/>
        <v>0</v>
      </c>
    </row>
    <row r="330" spans="1:51" hidden="1" x14ac:dyDescent="0.2">
      <c r="A330" s="202">
        <v>42587</v>
      </c>
      <c r="B330" s="78" t="s">
        <v>287</v>
      </c>
      <c r="W330">
        <f t="shared" si="35"/>
        <v>0</v>
      </c>
      <c r="X330">
        <f t="shared" si="36"/>
        <v>0</v>
      </c>
      <c r="Y330">
        <f t="shared" si="37"/>
        <v>0</v>
      </c>
      <c r="AA330" s="202">
        <v>42587</v>
      </c>
      <c r="AB330" s="78" t="s">
        <v>287</v>
      </c>
      <c r="AC330">
        <f>IF(C330="",0,VLOOKUP(C330,'Dados de consulta'!$H$2:$I$25,2,0))</f>
        <v>0</v>
      </c>
      <c r="AD330">
        <f>IF(D330="",0,VLOOKUP(D330,'Dados de consulta'!$H$2:$I$25,2,0))</f>
        <v>0</v>
      </c>
      <c r="AE330">
        <f>IF(E330="",0,VLOOKUP(E330,'Dados de consulta'!$H$2:$I$25,2,0))</f>
        <v>0</v>
      </c>
      <c r="AF330">
        <f>IF(F330="",0,VLOOKUP(F330,'Dados de consulta'!$H$2:$I$25,2,0))</f>
        <v>0</v>
      </c>
      <c r="AG330">
        <f>IF(G330="",0,VLOOKUP(G330,'Dados de consulta'!$H$2:$I$25,2,0))</f>
        <v>0</v>
      </c>
      <c r="AH330">
        <f>IF(H330="",0,VLOOKUP(H330,'Dados de consulta'!$H$2:$I$25,2,0))</f>
        <v>0</v>
      </c>
      <c r="AI330">
        <f>IF(I330="",0,VLOOKUP(I330,'Dados de consulta'!$H$2:$I$25,2,0))</f>
        <v>0</v>
      </c>
      <c r="AJ330">
        <f>IF(J330="",0,VLOOKUP(J330,'Dados de consulta'!$H$2:$I$25,2,0))</f>
        <v>0</v>
      </c>
      <c r="AK330">
        <f>IF(K330="",0,VLOOKUP(K330,'Dados de consulta'!$H$2:$I$25,2,0))</f>
        <v>0</v>
      </c>
      <c r="AL330">
        <f>IF(L330="",0,VLOOKUP(L330,'Dados de consulta'!$H$2:$I$25,2,0))</f>
        <v>0</v>
      </c>
      <c r="AM330">
        <f>IF(M330="",0,VLOOKUP(M330,'Dados de consulta'!$H$2:$I$25,2,0))</f>
        <v>0</v>
      </c>
      <c r="AN330">
        <f>IF(N330="",0,VLOOKUP(N330,'Dados de consulta'!$H$2:$I$25,2,0))</f>
        <v>0</v>
      </c>
      <c r="AO330">
        <f>IF(O330="",0,VLOOKUP(O330,'Dados de consulta'!$H$2:$I$25,2,0))</f>
        <v>0</v>
      </c>
      <c r="AP330">
        <f>IF(P330="",0,VLOOKUP(P330,'Dados de consulta'!$H$2:$I$25,2,0))</f>
        <v>0</v>
      </c>
      <c r="AQ330">
        <f>IF(Q330="",0,VLOOKUP(Q330,'Dados de consulta'!$H$2:$I$25,2,0))</f>
        <v>0</v>
      </c>
      <c r="AR330">
        <f>IF(R330="",0,VLOOKUP(R330,'Dados de consulta'!$H$2:$I$25,2,0))</f>
        <v>0</v>
      </c>
      <c r="AS330">
        <f>IF(S330="",0,VLOOKUP(S330,'Dados de consulta'!$H$2:$I$25,2,0))</f>
        <v>0</v>
      </c>
      <c r="AT330">
        <f>IF(T330="",0,VLOOKUP(T330,'Dados de consulta'!$H$2:$I$25,2,0))</f>
        <v>0</v>
      </c>
      <c r="AU330">
        <f>IF(U330="",0,VLOOKUP(U330,'Dados de consulta'!$H$2:$I$25,2,0))</f>
        <v>0</v>
      </c>
      <c r="AV330">
        <f>IF(V330="",0,VLOOKUP(V330,'Dados de consulta'!$H$2:$I$25,2,0))</f>
        <v>0</v>
      </c>
      <c r="AW330">
        <f t="shared" si="32"/>
        <v>0</v>
      </c>
      <c r="AX330">
        <f t="shared" si="33"/>
        <v>0</v>
      </c>
      <c r="AY330">
        <f t="shared" si="34"/>
        <v>0</v>
      </c>
    </row>
    <row r="331" spans="1:51" hidden="1" x14ac:dyDescent="0.2">
      <c r="A331" s="202">
        <v>42588</v>
      </c>
      <c r="B331" s="78" t="s">
        <v>281</v>
      </c>
      <c r="W331">
        <f t="shared" si="35"/>
        <v>0</v>
      </c>
      <c r="X331">
        <f t="shared" si="36"/>
        <v>0</v>
      </c>
      <c r="Y331">
        <f t="shared" si="37"/>
        <v>0</v>
      </c>
      <c r="AA331" s="202">
        <v>42588</v>
      </c>
      <c r="AB331" s="78" t="s">
        <v>281</v>
      </c>
      <c r="AC331">
        <f>IF(C331="",0,VLOOKUP(C331,'Dados de consulta'!$H$2:$I$25,2,0))</f>
        <v>0</v>
      </c>
      <c r="AD331">
        <f>IF(D331="",0,VLOOKUP(D331,'Dados de consulta'!$H$2:$I$25,2,0))</f>
        <v>0</v>
      </c>
      <c r="AE331">
        <f>IF(E331="",0,VLOOKUP(E331,'Dados de consulta'!$H$2:$I$25,2,0))</f>
        <v>0</v>
      </c>
      <c r="AF331">
        <f>IF(F331="",0,VLOOKUP(F331,'Dados de consulta'!$H$2:$I$25,2,0))</f>
        <v>0</v>
      </c>
      <c r="AG331">
        <f>IF(G331="",0,VLOOKUP(G331,'Dados de consulta'!$H$2:$I$25,2,0))</f>
        <v>0</v>
      </c>
      <c r="AH331">
        <f>IF(H331="",0,VLOOKUP(H331,'Dados de consulta'!$H$2:$I$25,2,0))</f>
        <v>0</v>
      </c>
      <c r="AI331">
        <f>IF(I331="",0,VLOOKUP(I331,'Dados de consulta'!$H$2:$I$25,2,0))</f>
        <v>0</v>
      </c>
      <c r="AJ331">
        <f>IF(J331="",0,VLOOKUP(J331,'Dados de consulta'!$H$2:$I$25,2,0))</f>
        <v>0</v>
      </c>
      <c r="AK331">
        <f>IF(K331="",0,VLOOKUP(K331,'Dados de consulta'!$H$2:$I$25,2,0))</f>
        <v>0</v>
      </c>
      <c r="AL331">
        <f>IF(L331="",0,VLOOKUP(L331,'Dados de consulta'!$H$2:$I$25,2,0))</f>
        <v>0</v>
      </c>
      <c r="AM331">
        <f>IF(M331="",0,VLOOKUP(M331,'Dados de consulta'!$H$2:$I$25,2,0))</f>
        <v>0</v>
      </c>
      <c r="AN331">
        <f>IF(N331="",0,VLOOKUP(N331,'Dados de consulta'!$H$2:$I$25,2,0))</f>
        <v>0</v>
      </c>
      <c r="AO331">
        <f>IF(O331="",0,VLOOKUP(O331,'Dados de consulta'!$H$2:$I$25,2,0))</f>
        <v>0</v>
      </c>
      <c r="AP331">
        <f>IF(P331="",0,VLOOKUP(P331,'Dados de consulta'!$H$2:$I$25,2,0))</f>
        <v>0</v>
      </c>
      <c r="AQ331">
        <f>IF(Q331="",0,VLOOKUP(Q331,'Dados de consulta'!$H$2:$I$25,2,0))</f>
        <v>0</v>
      </c>
      <c r="AR331">
        <f>IF(R331="",0,VLOOKUP(R331,'Dados de consulta'!$H$2:$I$25,2,0))</f>
        <v>0</v>
      </c>
      <c r="AS331">
        <f>IF(S331="",0,VLOOKUP(S331,'Dados de consulta'!$H$2:$I$25,2,0))</f>
        <v>0</v>
      </c>
      <c r="AT331">
        <f>IF(T331="",0,VLOOKUP(T331,'Dados de consulta'!$H$2:$I$25,2,0))</f>
        <v>0</v>
      </c>
      <c r="AU331">
        <f>IF(U331="",0,VLOOKUP(U331,'Dados de consulta'!$H$2:$I$25,2,0))</f>
        <v>0</v>
      </c>
      <c r="AV331">
        <f>IF(V331="",0,VLOOKUP(V331,'Dados de consulta'!$H$2:$I$25,2,0))</f>
        <v>0</v>
      </c>
      <c r="AW331">
        <f t="shared" si="32"/>
        <v>0</v>
      </c>
      <c r="AX331">
        <f t="shared" si="33"/>
        <v>0</v>
      </c>
      <c r="AY331">
        <f t="shared" si="34"/>
        <v>0</v>
      </c>
    </row>
    <row r="332" spans="1:51" hidden="1" x14ac:dyDescent="0.2">
      <c r="A332" s="202">
        <v>42589</v>
      </c>
      <c r="B332" s="78" t="s">
        <v>282</v>
      </c>
      <c r="W332">
        <f t="shared" si="35"/>
        <v>0</v>
      </c>
      <c r="X332">
        <f t="shared" si="36"/>
        <v>0</v>
      </c>
      <c r="Y332">
        <f t="shared" si="37"/>
        <v>0</v>
      </c>
      <c r="AA332" s="202">
        <v>42589</v>
      </c>
      <c r="AB332" s="78" t="s">
        <v>282</v>
      </c>
      <c r="AC332">
        <f>IF(C332="",0,VLOOKUP(C332,'Dados de consulta'!$H$2:$I$25,2,0))</f>
        <v>0</v>
      </c>
      <c r="AD332">
        <f>IF(D332="",0,VLOOKUP(D332,'Dados de consulta'!$H$2:$I$25,2,0))</f>
        <v>0</v>
      </c>
      <c r="AE332">
        <f>IF(E332="",0,VLOOKUP(E332,'Dados de consulta'!$H$2:$I$25,2,0))</f>
        <v>0</v>
      </c>
      <c r="AF332">
        <f>IF(F332="",0,VLOOKUP(F332,'Dados de consulta'!$H$2:$I$25,2,0))</f>
        <v>0</v>
      </c>
      <c r="AG332">
        <f>IF(G332="",0,VLOOKUP(G332,'Dados de consulta'!$H$2:$I$25,2,0))</f>
        <v>0</v>
      </c>
      <c r="AH332">
        <f>IF(H332="",0,VLOOKUP(H332,'Dados de consulta'!$H$2:$I$25,2,0))</f>
        <v>0</v>
      </c>
      <c r="AI332">
        <f>IF(I332="",0,VLOOKUP(I332,'Dados de consulta'!$H$2:$I$25,2,0))</f>
        <v>0</v>
      </c>
      <c r="AJ332">
        <f>IF(J332="",0,VLOOKUP(J332,'Dados de consulta'!$H$2:$I$25,2,0))</f>
        <v>0</v>
      </c>
      <c r="AK332">
        <f>IF(K332="",0,VLOOKUP(K332,'Dados de consulta'!$H$2:$I$25,2,0))</f>
        <v>0</v>
      </c>
      <c r="AL332">
        <f>IF(L332="",0,VLOOKUP(L332,'Dados de consulta'!$H$2:$I$25,2,0))</f>
        <v>0</v>
      </c>
      <c r="AM332">
        <f>IF(M332="",0,VLOOKUP(M332,'Dados de consulta'!$H$2:$I$25,2,0))</f>
        <v>0</v>
      </c>
      <c r="AN332">
        <f>IF(N332="",0,VLOOKUP(N332,'Dados de consulta'!$H$2:$I$25,2,0))</f>
        <v>0</v>
      </c>
      <c r="AO332">
        <f>IF(O332="",0,VLOOKUP(O332,'Dados de consulta'!$H$2:$I$25,2,0))</f>
        <v>0</v>
      </c>
      <c r="AP332">
        <f>IF(P332="",0,VLOOKUP(P332,'Dados de consulta'!$H$2:$I$25,2,0))</f>
        <v>0</v>
      </c>
      <c r="AQ332">
        <f>IF(Q332="",0,VLOOKUP(Q332,'Dados de consulta'!$H$2:$I$25,2,0))</f>
        <v>0</v>
      </c>
      <c r="AR332">
        <f>IF(R332="",0,VLOOKUP(R332,'Dados de consulta'!$H$2:$I$25,2,0))</f>
        <v>0</v>
      </c>
      <c r="AS332">
        <f>IF(S332="",0,VLOOKUP(S332,'Dados de consulta'!$H$2:$I$25,2,0))</f>
        <v>0</v>
      </c>
      <c r="AT332">
        <f>IF(T332="",0,VLOOKUP(T332,'Dados de consulta'!$H$2:$I$25,2,0))</f>
        <v>0</v>
      </c>
      <c r="AU332">
        <f>IF(U332="",0,VLOOKUP(U332,'Dados de consulta'!$H$2:$I$25,2,0))</f>
        <v>0</v>
      </c>
      <c r="AV332">
        <f>IF(V332="",0,VLOOKUP(V332,'Dados de consulta'!$H$2:$I$25,2,0))</f>
        <v>0</v>
      </c>
      <c r="AW332">
        <f t="shared" si="32"/>
        <v>0</v>
      </c>
      <c r="AX332">
        <f t="shared" si="33"/>
        <v>0</v>
      </c>
      <c r="AY332">
        <f t="shared" si="34"/>
        <v>0</v>
      </c>
    </row>
    <row r="333" spans="1:51" hidden="1" x14ac:dyDescent="0.2">
      <c r="A333" s="202">
        <v>42590</v>
      </c>
      <c r="B333" s="78" t="s">
        <v>283</v>
      </c>
      <c r="W333">
        <f t="shared" si="35"/>
        <v>0</v>
      </c>
      <c r="X333">
        <f t="shared" si="36"/>
        <v>0</v>
      </c>
      <c r="Y333">
        <f t="shared" si="37"/>
        <v>0</v>
      </c>
      <c r="AA333" s="202">
        <v>42590</v>
      </c>
      <c r="AB333" s="78" t="s">
        <v>283</v>
      </c>
      <c r="AC333">
        <f>IF(C333="",0,VLOOKUP(C333,'Dados de consulta'!$H$2:$I$25,2,0))</f>
        <v>0</v>
      </c>
      <c r="AD333">
        <f>IF(D333="",0,VLOOKUP(D333,'Dados de consulta'!$H$2:$I$25,2,0))</f>
        <v>0</v>
      </c>
      <c r="AE333">
        <f>IF(E333="",0,VLOOKUP(E333,'Dados de consulta'!$H$2:$I$25,2,0))</f>
        <v>0</v>
      </c>
      <c r="AF333">
        <f>IF(F333="",0,VLOOKUP(F333,'Dados de consulta'!$H$2:$I$25,2,0))</f>
        <v>0</v>
      </c>
      <c r="AG333">
        <f>IF(G333="",0,VLOOKUP(G333,'Dados de consulta'!$H$2:$I$25,2,0))</f>
        <v>0</v>
      </c>
      <c r="AH333">
        <f>IF(H333="",0,VLOOKUP(H333,'Dados de consulta'!$H$2:$I$25,2,0))</f>
        <v>0</v>
      </c>
      <c r="AI333">
        <f>IF(I333="",0,VLOOKUP(I333,'Dados de consulta'!$H$2:$I$25,2,0))</f>
        <v>0</v>
      </c>
      <c r="AJ333">
        <f>IF(J333="",0,VLOOKUP(J333,'Dados de consulta'!$H$2:$I$25,2,0))</f>
        <v>0</v>
      </c>
      <c r="AK333">
        <f>IF(K333="",0,VLOOKUP(K333,'Dados de consulta'!$H$2:$I$25,2,0))</f>
        <v>0</v>
      </c>
      <c r="AL333">
        <f>IF(L333="",0,VLOOKUP(L333,'Dados de consulta'!$H$2:$I$25,2,0))</f>
        <v>0</v>
      </c>
      <c r="AM333">
        <f>IF(M333="",0,VLOOKUP(M333,'Dados de consulta'!$H$2:$I$25,2,0))</f>
        <v>0</v>
      </c>
      <c r="AN333">
        <f>IF(N333="",0,VLOOKUP(N333,'Dados de consulta'!$H$2:$I$25,2,0))</f>
        <v>0</v>
      </c>
      <c r="AO333">
        <f>IF(O333="",0,VLOOKUP(O333,'Dados de consulta'!$H$2:$I$25,2,0))</f>
        <v>0</v>
      </c>
      <c r="AP333">
        <f>IF(P333="",0,VLOOKUP(P333,'Dados de consulta'!$H$2:$I$25,2,0))</f>
        <v>0</v>
      </c>
      <c r="AQ333">
        <f>IF(Q333="",0,VLOOKUP(Q333,'Dados de consulta'!$H$2:$I$25,2,0))</f>
        <v>0</v>
      </c>
      <c r="AR333">
        <f>IF(R333="",0,VLOOKUP(R333,'Dados de consulta'!$H$2:$I$25,2,0))</f>
        <v>0</v>
      </c>
      <c r="AS333">
        <f>IF(S333="",0,VLOOKUP(S333,'Dados de consulta'!$H$2:$I$25,2,0))</f>
        <v>0</v>
      </c>
      <c r="AT333">
        <f>IF(T333="",0,VLOOKUP(T333,'Dados de consulta'!$H$2:$I$25,2,0))</f>
        <v>0</v>
      </c>
      <c r="AU333">
        <f>IF(U333="",0,VLOOKUP(U333,'Dados de consulta'!$H$2:$I$25,2,0))</f>
        <v>0</v>
      </c>
      <c r="AV333">
        <f>IF(V333="",0,VLOOKUP(V333,'Dados de consulta'!$H$2:$I$25,2,0))</f>
        <v>0</v>
      </c>
      <c r="AW333">
        <f t="shared" si="32"/>
        <v>0</v>
      </c>
      <c r="AX333">
        <f t="shared" si="33"/>
        <v>0</v>
      </c>
      <c r="AY333">
        <f t="shared" si="34"/>
        <v>0</v>
      </c>
    </row>
    <row r="334" spans="1:51" hidden="1" x14ac:dyDescent="0.2">
      <c r="A334" s="202">
        <v>42591</v>
      </c>
      <c r="B334" s="78" t="s">
        <v>284</v>
      </c>
      <c r="W334">
        <f t="shared" si="35"/>
        <v>0</v>
      </c>
      <c r="X334">
        <f t="shared" si="36"/>
        <v>0</v>
      </c>
      <c r="Y334">
        <f t="shared" si="37"/>
        <v>0</v>
      </c>
      <c r="AA334" s="202">
        <v>42591</v>
      </c>
      <c r="AB334" s="78" t="s">
        <v>284</v>
      </c>
      <c r="AC334">
        <f>IF(C334="",0,VLOOKUP(C334,'Dados de consulta'!$H$2:$I$25,2,0))</f>
        <v>0</v>
      </c>
      <c r="AD334">
        <f>IF(D334="",0,VLOOKUP(D334,'Dados de consulta'!$H$2:$I$25,2,0))</f>
        <v>0</v>
      </c>
      <c r="AE334">
        <f>IF(E334="",0,VLOOKUP(E334,'Dados de consulta'!$H$2:$I$25,2,0))</f>
        <v>0</v>
      </c>
      <c r="AF334">
        <f>IF(F334="",0,VLOOKUP(F334,'Dados de consulta'!$H$2:$I$25,2,0))</f>
        <v>0</v>
      </c>
      <c r="AG334">
        <f>IF(G334="",0,VLOOKUP(G334,'Dados de consulta'!$H$2:$I$25,2,0))</f>
        <v>0</v>
      </c>
      <c r="AH334">
        <f>IF(H334="",0,VLOOKUP(H334,'Dados de consulta'!$H$2:$I$25,2,0))</f>
        <v>0</v>
      </c>
      <c r="AI334">
        <f>IF(I334="",0,VLOOKUP(I334,'Dados de consulta'!$H$2:$I$25,2,0))</f>
        <v>0</v>
      </c>
      <c r="AJ334">
        <f>IF(J334="",0,VLOOKUP(J334,'Dados de consulta'!$H$2:$I$25,2,0))</f>
        <v>0</v>
      </c>
      <c r="AK334">
        <f>IF(K334="",0,VLOOKUP(K334,'Dados de consulta'!$H$2:$I$25,2,0))</f>
        <v>0</v>
      </c>
      <c r="AL334">
        <f>IF(L334="",0,VLOOKUP(L334,'Dados de consulta'!$H$2:$I$25,2,0))</f>
        <v>0</v>
      </c>
      <c r="AM334">
        <f>IF(M334="",0,VLOOKUP(M334,'Dados de consulta'!$H$2:$I$25,2,0))</f>
        <v>0</v>
      </c>
      <c r="AN334">
        <f>IF(N334="",0,VLOOKUP(N334,'Dados de consulta'!$H$2:$I$25,2,0))</f>
        <v>0</v>
      </c>
      <c r="AO334">
        <f>IF(O334="",0,VLOOKUP(O334,'Dados de consulta'!$H$2:$I$25,2,0))</f>
        <v>0</v>
      </c>
      <c r="AP334">
        <f>IF(P334="",0,VLOOKUP(P334,'Dados de consulta'!$H$2:$I$25,2,0))</f>
        <v>0</v>
      </c>
      <c r="AQ334">
        <f>IF(Q334="",0,VLOOKUP(Q334,'Dados de consulta'!$H$2:$I$25,2,0))</f>
        <v>0</v>
      </c>
      <c r="AR334">
        <f>IF(R334="",0,VLOOKUP(R334,'Dados de consulta'!$H$2:$I$25,2,0))</f>
        <v>0</v>
      </c>
      <c r="AS334">
        <f>IF(S334="",0,VLOOKUP(S334,'Dados de consulta'!$H$2:$I$25,2,0))</f>
        <v>0</v>
      </c>
      <c r="AT334">
        <f>IF(T334="",0,VLOOKUP(T334,'Dados de consulta'!$H$2:$I$25,2,0))</f>
        <v>0</v>
      </c>
      <c r="AU334">
        <f>IF(U334="",0,VLOOKUP(U334,'Dados de consulta'!$H$2:$I$25,2,0))</f>
        <v>0</v>
      </c>
      <c r="AV334">
        <f>IF(V334="",0,VLOOKUP(V334,'Dados de consulta'!$H$2:$I$25,2,0))</f>
        <v>0</v>
      </c>
      <c r="AW334">
        <f>SUMIF(AC334:AV334,"&lt;"&amp;9,AC334:AV334)</f>
        <v>0</v>
      </c>
      <c r="AX334">
        <f>SUMIFS(AC334:AV334,AC334:AV334,"&gt;"&amp;8,AC334:AV334,"&lt;"&amp;19)-COUNTIFS(AC334:AV334,"&gt;"&amp;8,AC334:AV334,"&lt;"&amp;19)*10</f>
        <v>0</v>
      </c>
      <c r="AY334">
        <f>SUMIFS(AC334:AV334,AC334:AV334,"&gt;"&amp;20,AC334:AV334,"&lt;"&amp;29)-COUNTIFS(AC334:AV334,"&gt;"&amp;20,AC334:AV334,"&lt;"&amp;29)*20</f>
        <v>0</v>
      </c>
    </row>
    <row r="335" spans="1:51" hidden="1" x14ac:dyDescent="0.2">
      <c r="A335" s="202">
        <v>42592</v>
      </c>
      <c r="B335" s="78" t="s">
        <v>285</v>
      </c>
      <c r="W335">
        <f t="shared" si="35"/>
        <v>0</v>
      </c>
      <c r="X335">
        <f t="shared" si="36"/>
        <v>0</v>
      </c>
      <c r="Y335">
        <f t="shared" si="37"/>
        <v>0</v>
      </c>
      <c r="AA335" s="202">
        <v>42592</v>
      </c>
      <c r="AB335" s="78" t="s">
        <v>285</v>
      </c>
      <c r="AC335">
        <f>IF(C335="",0,VLOOKUP(C335,'Dados de consulta'!$H$2:$I$25,2,0))</f>
        <v>0</v>
      </c>
      <c r="AD335">
        <f>IF(D335="",0,VLOOKUP(D335,'Dados de consulta'!$H$2:$I$25,2,0))</f>
        <v>0</v>
      </c>
      <c r="AE335">
        <f>IF(E335="",0,VLOOKUP(E335,'Dados de consulta'!$H$2:$I$25,2,0))</f>
        <v>0</v>
      </c>
      <c r="AF335">
        <f>IF(F335="",0,VLOOKUP(F335,'Dados de consulta'!$H$2:$I$25,2,0))</f>
        <v>0</v>
      </c>
      <c r="AG335">
        <f>IF(G335="",0,VLOOKUP(G335,'Dados de consulta'!$H$2:$I$25,2,0))</f>
        <v>0</v>
      </c>
      <c r="AH335">
        <f>IF(H335="",0,VLOOKUP(H335,'Dados de consulta'!$H$2:$I$25,2,0))</f>
        <v>0</v>
      </c>
      <c r="AI335">
        <f>IF(I335="",0,VLOOKUP(I335,'Dados de consulta'!$H$2:$I$25,2,0))</f>
        <v>0</v>
      </c>
      <c r="AJ335">
        <f>IF(J335="",0,VLOOKUP(J335,'Dados de consulta'!$H$2:$I$25,2,0))</f>
        <v>0</v>
      </c>
      <c r="AK335">
        <f>IF(K335="",0,VLOOKUP(K335,'Dados de consulta'!$H$2:$I$25,2,0))</f>
        <v>0</v>
      </c>
      <c r="AL335">
        <f>IF(L335="",0,VLOOKUP(L335,'Dados de consulta'!$H$2:$I$25,2,0))</f>
        <v>0</v>
      </c>
      <c r="AM335">
        <f>IF(M335="",0,VLOOKUP(M335,'Dados de consulta'!$H$2:$I$25,2,0))</f>
        <v>0</v>
      </c>
      <c r="AN335">
        <f>IF(N335="",0,VLOOKUP(N335,'Dados de consulta'!$H$2:$I$25,2,0))</f>
        <v>0</v>
      </c>
      <c r="AO335">
        <f>IF(O335="",0,VLOOKUP(O335,'Dados de consulta'!$H$2:$I$25,2,0))</f>
        <v>0</v>
      </c>
      <c r="AP335">
        <f>IF(P335="",0,VLOOKUP(P335,'Dados de consulta'!$H$2:$I$25,2,0))</f>
        <v>0</v>
      </c>
      <c r="AQ335">
        <f>IF(Q335="",0,VLOOKUP(Q335,'Dados de consulta'!$H$2:$I$25,2,0))</f>
        <v>0</v>
      </c>
      <c r="AR335">
        <f>IF(R335="",0,VLOOKUP(R335,'Dados de consulta'!$H$2:$I$25,2,0))</f>
        <v>0</v>
      </c>
      <c r="AS335">
        <f>IF(S335="",0,VLOOKUP(S335,'Dados de consulta'!$H$2:$I$25,2,0))</f>
        <v>0</v>
      </c>
      <c r="AT335">
        <f>IF(T335="",0,VLOOKUP(T335,'Dados de consulta'!$H$2:$I$25,2,0))</f>
        <v>0</v>
      </c>
      <c r="AU335">
        <f>IF(U335="",0,VLOOKUP(U335,'Dados de consulta'!$H$2:$I$25,2,0))</f>
        <v>0</v>
      </c>
      <c r="AV335">
        <f>IF(V335="",0,VLOOKUP(V335,'Dados de consulta'!$H$2:$I$25,2,0))</f>
        <v>0</v>
      </c>
      <c r="AW335">
        <f>SUMIF(AC335:AV335,"&lt;"&amp;9,AC335:AV335)</f>
        <v>0</v>
      </c>
      <c r="AX335">
        <f>SUMIFS(AC335:AV335,AC335:AV335,"&gt;"&amp;8,AC335:AV335,"&lt;"&amp;19)-COUNTIFS(AC335:AV335,"&gt;"&amp;8,AC335:AV335,"&lt;"&amp;19)*10</f>
        <v>0</v>
      </c>
      <c r="AY335">
        <f>SUMIFS(AC335:AV335,AC335:AV335,"&gt;"&amp;20,AC335:AV335,"&lt;"&amp;29)-COUNTIFS(AC335:AV335,"&gt;"&amp;20,AC335:AV335,"&lt;"&amp;29)*20</f>
        <v>0</v>
      </c>
    </row>
    <row r="336" spans="1:51" hidden="1" x14ac:dyDescent="0.2">
      <c r="A336" s="202">
        <v>42593</v>
      </c>
      <c r="B336" s="78" t="s">
        <v>286</v>
      </c>
      <c r="W336">
        <f t="shared" si="35"/>
        <v>0</v>
      </c>
      <c r="X336">
        <f t="shared" si="36"/>
        <v>0</v>
      </c>
      <c r="Y336">
        <f t="shared" si="37"/>
        <v>0</v>
      </c>
      <c r="AA336" s="202">
        <v>42593</v>
      </c>
      <c r="AB336" s="78" t="s">
        <v>286</v>
      </c>
      <c r="AC336">
        <f>IF(C336="",0,VLOOKUP(C336,'Dados de consulta'!$H$2:$I$25,2,0))</f>
        <v>0</v>
      </c>
      <c r="AD336">
        <f>IF(D336="",0,VLOOKUP(D336,'Dados de consulta'!$H$2:$I$25,2,0))</f>
        <v>0</v>
      </c>
      <c r="AE336">
        <f>IF(E336="",0,VLOOKUP(E336,'Dados de consulta'!$H$2:$I$25,2,0))</f>
        <v>0</v>
      </c>
      <c r="AF336">
        <f>IF(F336="",0,VLOOKUP(F336,'Dados de consulta'!$H$2:$I$25,2,0))</f>
        <v>0</v>
      </c>
      <c r="AG336">
        <f>IF(G336="",0,VLOOKUP(G336,'Dados de consulta'!$H$2:$I$25,2,0))</f>
        <v>0</v>
      </c>
      <c r="AH336">
        <f>IF(H336="",0,VLOOKUP(H336,'Dados de consulta'!$H$2:$I$25,2,0))</f>
        <v>0</v>
      </c>
      <c r="AI336">
        <f>IF(I336="",0,VLOOKUP(I336,'Dados de consulta'!$H$2:$I$25,2,0))</f>
        <v>0</v>
      </c>
      <c r="AJ336">
        <f>IF(J336="",0,VLOOKUP(J336,'Dados de consulta'!$H$2:$I$25,2,0))</f>
        <v>0</v>
      </c>
      <c r="AK336">
        <f>IF(K336="",0,VLOOKUP(K336,'Dados de consulta'!$H$2:$I$25,2,0))</f>
        <v>0</v>
      </c>
      <c r="AL336">
        <f>IF(L336="",0,VLOOKUP(L336,'Dados de consulta'!$H$2:$I$25,2,0))</f>
        <v>0</v>
      </c>
      <c r="AM336">
        <f>IF(M336="",0,VLOOKUP(M336,'Dados de consulta'!$H$2:$I$25,2,0))</f>
        <v>0</v>
      </c>
      <c r="AN336">
        <f>IF(N336="",0,VLOOKUP(N336,'Dados de consulta'!$H$2:$I$25,2,0))</f>
        <v>0</v>
      </c>
      <c r="AO336">
        <f>IF(O336="",0,VLOOKUP(O336,'Dados de consulta'!$H$2:$I$25,2,0))</f>
        <v>0</v>
      </c>
      <c r="AP336">
        <f>IF(P336="",0,VLOOKUP(P336,'Dados de consulta'!$H$2:$I$25,2,0))</f>
        <v>0</v>
      </c>
      <c r="AQ336">
        <f>IF(Q336="",0,VLOOKUP(Q336,'Dados de consulta'!$H$2:$I$25,2,0))</f>
        <v>0</v>
      </c>
      <c r="AR336">
        <f>IF(R336="",0,VLOOKUP(R336,'Dados de consulta'!$H$2:$I$25,2,0))</f>
        <v>0</v>
      </c>
      <c r="AS336">
        <f>IF(S336="",0,VLOOKUP(S336,'Dados de consulta'!$H$2:$I$25,2,0))</f>
        <v>0</v>
      </c>
      <c r="AT336">
        <f>IF(T336="",0,VLOOKUP(T336,'Dados de consulta'!$H$2:$I$25,2,0))</f>
        <v>0</v>
      </c>
      <c r="AU336">
        <f>IF(U336="",0,VLOOKUP(U336,'Dados de consulta'!$H$2:$I$25,2,0))</f>
        <v>0</v>
      </c>
      <c r="AV336">
        <f>IF(V336="",0,VLOOKUP(V336,'Dados de consulta'!$H$2:$I$25,2,0))</f>
        <v>0</v>
      </c>
      <c r="AW336">
        <f>SUMIF(AC336:AV336,"&lt;"&amp;9,AC336:AV336)</f>
        <v>0</v>
      </c>
      <c r="AX336">
        <f>SUMIFS(AC336:AV336,AC336:AV336,"&gt;"&amp;8,AC336:AV336,"&lt;"&amp;19)-COUNTIFS(AC336:AV336,"&gt;"&amp;8,AC336:AV336,"&lt;"&amp;19)*10</f>
        <v>0</v>
      </c>
      <c r="AY336">
        <f>SUMIFS(AC336:AV336,AC336:AV336,"&gt;"&amp;20,AC336:AV336,"&lt;"&amp;29)-COUNTIFS(AC336:AV336,"&gt;"&amp;20,AC336:AV336,"&lt;"&amp;29)*20</f>
        <v>0</v>
      </c>
    </row>
    <row r="337" spans="1:51" hidden="1" x14ac:dyDescent="0.2">
      <c r="A337" s="202">
        <v>42594</v>
      </c>
      <c r="B337" s="78" t="s">
        <v>287</v>
      </c>
      <c r="AA337" s="202">
        <v>42594</v>
      </c>
      <c r="AB337" s="78" t="s">
        <v>287</v>
      </c>
      <c r="AC337">
        <f>IF(C337="",0,VLOOKUP(C337,'Dados de consulta'!$H$2:$I$25,2,0))</f>
        <v>0</v>
      </c>
      <c r="AD337">
        <f>IF(D337="",0,VLOOKUP(D337,'Dados de consulta'!$H$2:$I$25,2,0))</f>
        <v>0</v>
      </c>
      <c r="AE337">
        <f>IF(E337="",0,VLOOKUP(E337,'Dados de consulta'!$H$2:$I$25,2,0))</f>
        <v>0</v>
      </c>
      <c r="AF337">
        <f>IF(F337="",0,VLOOKUP(F337,'Dados de consulta'!$H$2:$I$25,2,0))</f>
        <v>0</v>
      </c>
      <c r="AG337">
        <f>IF(G337="",0,VLOOKUP(G337,'Dados de consulta'!$H$2:$I$25,2,0))</f>
        <v>0</v>
      </c>
      <c r="AH337">
        <f>IF(H337="",0,VLOOKUP(H337,'Dados de consulta'!$H$2:$I$25,2,0))</f>
        <v>0</v>
      </c>
      <c r="AI337">
        <f>IF(I337="",0,VLOOKUP(I337,'Dados de consulta'!$H$2:$I$25,2,0))</f>
        <v>0</v>
      </c>
      <c r="AJ337">
        <f>IF(J337="",0,VLOOKUP(J337,'Dados de consulta'!$H$2:$I$25,2,0))</f>
        <v>0</v>
      </c>
      <c r="AK337">
        <f>IF(K337="",0,VLOOKUP(K337,'Dados de consulta'!$H$2:$I$25,2,0))</f>
        <v>0</v>
      </c>
      <c r="AL337">
        <f>IF(L337="",0,VLOOKUP(L337,'Dados de consulta'!$H$2:$I$25,2,0))</f>
        <v>0</v>
      </c>
      <c r="AM337">
        <f>IF(M337="",0,VLOOKUP(M337,'Dados de consulta'!$H$2:$I$25,2,0))</f>
        <v>0</v>
      </c>
      <c r="AN337">
        <f>IF(N337="",0,VLOOKUP(N337,'Dados de consulta'!$H$2:$I$25,2,0))</f>
        <v>0</v>
      </c>
      <c r="AO337">
        <f>IF(O337="",0,VLOOKUP(O337,'Dados de consulta'!$H$2:$I$25,2,0))</f>
        <v>0</v>
      </c>
      <c r="AP337">
        <f>IF(P337="",0,VLOOKUP(P337,'Dados de consulta'!$H$2:$I$25,2,0))</f>
        <v>0</v>
      </c>
      <c r="AQ337">
        <f>IF(Q337="",0,VLOOKUP(Q337,'Dados de consulta'!$H$2:$I$25,2,0))</f>
        <v>0</v>
      </c>
      <c r="AR337">
        <f>IF(R337="",0,VLOOKUP(R337,'Dados de consulta'!$H$2:$I$25,2,0))</f>
        <v>0</v>
      </c>
      <c r="AS337">
        <f>IF(S337="",0,VLOOKUP(S337,'Dados de consulta'!$H$2:$I$25,2,0))</f>
        <v>0</v>
      </c>
      <c r="AT337">
        <f>IF(T337="",0,VLOOKUP(T337,'Dados de consulta'!$H$2:$I$25,2,0))</f>
        <v>0</v>
      </c>
      <c r="AU337">
        <f>IF(U337="",0,VLOOKUP(U337,'Dados de consulta'!$H$2:$I$25,2,0))</f>
        <v>0</v>
      </c>
      <c r="AV337">
        <f>IF(V337="",0,VLOOKUP(V337,'Dados de consulta'!$H$2:$I$25,2,0))</f>
        <v>0</v>
      </c>
      <c r="AW337">
        <f t="shared" ref="AW337:AW400" si="38">SUMIF(AC337:AV337,"&lt;"&amp;9,AC337:AV337)</f>
        <v>0</v>
      </c>
      <c r="AX337">
        <f t="shared" ref="AX337:AX400" si="39">SUMIFS(AC337:AV337,AC337:AV337,"&gt;"&amp;8,AC337:AV337,"&lt;"&amp;19)-COUNTIFS(AC337:AV337,"&gt;"&amp;8,AC337:AV337,"&lt;"&amp;19)*10</f>
        <v>0</v>
      </c>
      <c r="AY337">
        <f t="shared" ref="AY337:AY400" si="40">SUMIFS(AC337:AV337,AC337:AV337,"&gt;"&amp;20,AC337:AV337,"&lt;"&amp;29)-COUNTIFS(AC337:AV337,"&gt;"&amp;20,AC337:AV337,"&lt;"&amp;29)*20</f>
        <v>0</v>
      </c>
    </row>
    <row r="338" spans="1:51" hidden="1" x14ac:dyDescent="0.2">
      <c r="A338" s="202">
        <v>42595</v>
      </c>
      <c r="B338" s="78" t="s">
        <v>281</v>
      </c>
      <c r="AA338" s="202">
        <v>42595</v>
      </c>
      <c r="AB338" s="78" t="s">
        <v>281</v>
      </c>
      <c r="AC338">
        <f>IF(C338="",0,VLOOKUP(C338,'Dados de consulta'!$H$2:$I$25,2,0))</f>
        <v>0</v>
      </c>
      <c r="AD338">
        <f>IF(D338="",0,VLOOKUP(D338,'Dados de consulta'!$H$2:$I$25,2,0))</f>
        <v>0</v>
      </c>
      <c r="AE338">
        <f>IF(E338="",0,VLOOKUP(E338,'Dados de consulta'!$H$2:$I$25,2,0))</f>
        <v>0</v>
      </c>
      <c r="AF338">
        <f>IF(F338="",0,VLOOKUP(F338,'Dados de consulta'!$H$2:$I$25,2,0))</f>
        <v>0</v>
      </c>
      <c r="AG338">
        <f>IF(G338="",0,VLOOKUP(G338,'Dados de consulta'!$H$2:$I$25,2,0))</f>
        <v>0</v>
      </c>
      <c r="AH338">
        <f>IF(H338="",0,VLOOKUP(H338,'Dados de consulta'!$H$2:$I$25,2,0))</f>
        <v>0</v>
      </c>
      <c r="AI338">
        <f>IF(I338="",0,VLOOKUP(I338,'Dados de consulta'!$H$2:$I$25,2,0))</f>
        <v>0</v>
      </c>
      <c r="AJ338">
        <f>IF(J338="",0,VLOOKUP(J338,'Dados de consulta'!$H$2:$I$25,2,0))</f>
        <v>0</v>
      </c>
      <c r="AK338">
        <f>IF(K338="",0,VLOOKUP(K338,'Dados de consulta'!$H$2:$I$25,2,0))</f>
        <v>0</v>
      </c>
      <c r="AL338">
        <f>IF(L338="",0,VLOOKUP(L338,'Dados de consulta'!$H$2:$I$25,2,0))</f>
        <v>0</v>
      </c>
      <c r="AM338">
        <f>IF(M338="",0,VLOOKUP(M338,'Dados de consulta'!$H$2:$I$25,2,0))</f>
        <v>0</v>
      </c>
      <c r="AN338">
        <f>IF(N338="",0,VLOOKUP(N338,'Dados de consulta'!$H$2:$I$25,2,0))</f>
        <v>0</v>
      </c>
      <c r="AO338">
        <f>IF(O338="",0,VLOOKUP(O338,'Dados de consulta'!$H$2:$I$25,2,0))</f>
        <v>0</v>
      </c>
      <c r="AP338">
        <f>IF(P338="",0,VLOOKUP(P338,'Dados de consulta'!$H$2:$I$25,2,0))</f>
        <v>0</v>
      </c>
      <c r="AQ338">
        <f>IF(Q338="",0,VLOOKUP(Q338,'Dados de consulta'!$H$2:$I$25,2,0))</f>
        <v>0</v>
      </c>
      <c r="AR338">
        <f>IF(R338="",0,VLOOKUP(R338,'Dados de consulta'!$H$2:$I$25,2,0))</f>
        <v>0</v>
      </c>
      <c r="AS338">
        <f>IF(S338="",0,VLOOKUP(S338,'Dados de consulta'!$H$2:$I$25,2,0))</f>
        <v>0</v>
      </c>
      <c r="AT338">
        <f>IF(T338="",0,VLOOKUP(T338,'Dados de consulta'!$H$2:$I$25,2,0))</f>
        <v>0</v>
      </c>
      <c r="AU338">
        <f>IF(U338="",0,VLOOKUP(U338,'Dados de consulta'!$H$2:$I$25,2,0))</f>
        <v>0</v>
      </c>
      <c r="AV338">
        <f>IF(V338="",0,VLOOKUP(V338,'Dados de consulta'!$H$2:$I$25,2,0))</f>
        <v>0</v>
      </c>
      <c r="AW338">
        <f t="shared" si="38"/>
        <v>0</v>
      </c>
      <c r="AX338">
        <f t="shared" si="39"/>
        <v>0</v>
      </c>
      <c r="AY338">
        <f t="shared" si="40"/>
        <v>0</v>
      </c>
    </row>
    <row r="339" spans="1:51" hidden="1" x14ac:dyDescent="0.2">
      <c r="A339" s="202">
        <v>42596</v>
      </c>
      <c r="B339" s="78" t="s">
        <v>282</v>
      </c>
      <c r="AA339" s="202">
        <v>42596</v>
      </c>
      <c r="AB339" s="78" t="s">
        <v>282</v>
      </c>
      <c r="AC339">
        <f>IF(C339="",0,VLOOKUP(C339,'Dados de consulta'!$H$2:$I$25,2,0))</f>
        <v>0</v>
      </c>
      <c r="AD339">
        <f>IF(D339="",0,VLOOKUP(D339,'Dados de consulta'!$H$2:$I$25,2,0))</f>
        <v>0</v>
      </c>
      <c r="AE339">
        <f>IF(E339="",0,VLOOKUP(E339,'Dados de consulta'!$H$2:$I$25,2,0))</f>
        <v>0</v>
      </c>
      <c r="AF339">
        <f>IF(F339="",0,VLOOKUP(F339,'Dados de consulta'!$H$2:$I$25,2,0))</f>
        <v>0</v>
      </c>
      <c r="AG339">
        <f>IF(G339="",0,VLOOKUP(G339,'Dados de consulta'!$H$2:$I$25,2,0))</f>
        <v>0</v>
      </c>
      <c r="AH339">
        <f>IF(H339="",0,VLOOKUP(H339,'Dados de consulta'!$H$2:$I$25,2,0))</f>
        <v>0</v>
      </c>
      <c r="AI339">
        <f>IF(I339="",0,VLOOKUP(I339,'Dados de consulta'!$H$2:$I$25,2,0))</f>
        <v>0</v>
      </c>
      <c r="AJ339">
        <f>IF(J339="",0,VLOOKUP(J339,'Dados de consulta'!$H$2:$I$25,2,0))</f>
        <v>0</v>
      </c>
      <c r="AK339">
        <f>IF(K339="",0,VLOOKUP(K339,'Dados de consulta'!$H$2:$I$25,2,0))</f>
        <v>0</v>
      </c>
      <c r="AL339">
        <f>IF(L339="",0,VLOOKUP(L339,'Dados de consulta'!$H$2:$I$25,2,0))</f>
        <v>0</v>
      </c>
      <c r="AM339">
        <f>IF(M339="",0,VLOOKUP(M339,'Dados de consulta'!$H$2:$I$25,2,0))</f>
        <v>0</v>
      </c>
      <c r="AN339">
        <f>IF(N339="",0,VLOOKUP(N339,'Dados de consulta'!$H$2:$I$25,2,0))</f>
        <v>0</v>
      </c>
      <c r="AO339">
        <f>IF(O339="",0,VLOOKUP(O339,'Dados de consulta'!$H$2:$I$25,2,0))</f>
        <v>0</v>
      </c>
      <c r="AP339">
        <f>IF(P339="",0,VLOOKUP(P339,'Dados de consulta'!$H$2:$I$25,2,0))</f>
        <v>0</v>
      </c>
      <c r="AQ339">
        <f>IF(Q339="",0,VLOOKUP(Q339,'Dados de consulta'!$H$2:$I$25,2,0))</f>
        <v>0</v>
      </c>
      <c r="AR339">
        <f>IF(R339="",0,VLOOKUP(R339,'Dados de consulta'!$H$2:$I$25,2,0))</f>
        <v>0</v>
      </c>
      <c r="AS339">
        <f>IF(S339="",0,VLOOKUP(S339,'Dados de consulta'!$H$2:$I$25,2,0))</f>
        <v>0</v>
      </c>
      <c r="AT339">
        <f>IF(T339="",0,VLOOKUP(T339,'Dados de consulta'!$H$2:$I$25,2,0))</f>
        <v>0</v>
      </c>
      <c r="AU339">
        <f>IF(U339="",0,VLOOKUP(U339,'Dados de consulta'!$H$2:$I$25,2,0))</f>
        <v>0</v>
      </c>
      <c r="AV339">
        <f>IF(V339="",0,VLOOKUP(V339,'Dados de consulta'!$H$2:$I$25,2,0))</f>
        <v>0</v>
      </c>
      <c r="AW339">
        <f t="shared" si="38"/>
        <v>0</v>
      </c>
      <c r="AX339">
        <f t="shared" si="39"/>
        <v>0</v>
      </c>
      <c r="AY339">
        <f t="shared" si="40"/>
        <v>0</v>
      </c>
    </row>
    <row r="340" spans="1:51" hidden="1" x14ac:dyDescent="0.2">
      <c r="A340" s="202">
        <v>42597</v>
      </c>
      <c r="B340" s="78" t="s">
        <v>283</v>
      </c>
      <c r="AA340" s="202">
        <v>42597</v>
      </c>
      <c r="AB340" s="78" t="s">
        <v>283</v>
      </c>
      <c r="AC340">
        <f>IF(C340="",0,VLOOKUP(C340,'Dados de consulta'!$H$2:$I$25,2,0))</f>
        <v>0</v>
      </c>
      <c r="AD340">
        <f>IF(D340="",0,VLOOKUP(D340,'Dados de consulta'!$H$2:$I$25,2,0))</f>
        <v>0</v>
      </c>
      <c r="AE340">
        <f>IF(E340="",0,VLOOKUP(E340,'Dados de consulta'!$H$2:$I$25,2,0))</f>
        <v>0</v>
      </c>
      <c r="AF340">
        <f>IF(F340="",0,VLOOKUP(F340,'Dados de consulta'!$H$2:$I$25,2,0))</f>
        <v>0</v>
      </c>
      <c r="AG340">
        <f>IF(G340="",0,VLOOKUP(G340,'Dados de consulta'!$H$2:$I$25,2,0))</f>
        <v>0</v>
      </c>
      <c r="AH340">
        <f>IF(H340="",0,VLOOKUP(H340,'Dados de consulta'!$H$2:$I$25,2,0))</f>
        <v>0</v>
      </c>
      <c r="AI340">
        <f>IF(I340="",0,VLOOKUP(I340,'Dados de consulta'!$H$2:$I$25,2,0))</f>
        <v>0</v>
      </c>
      <c r="AJ340">
        <f>IF(J340="",0,VLOOKUP(J340,'Dados de consulta'!$H$2:$I$25,2,0))</f>
        <v>0</v>
      </c>
      <c r="AK340">
        <f>IF(K340="",0,VLOOKUP(K340,'Dados de consulta'!$H$2:$I$25,2,0))</f>
        <v>0</v>
      </c>
      <c r="AL340">
        <f>IF(L340="",0,VLOOKUP(L340,'Dados de consulta'!$H$2:$I$25,2,0))</f>
        <v>0</v>
      </c>
      <c r="AM340">
        <f>IF(M340="",0,VLOOKUP(M340,'Dados de consulta'!$H$2:$I$25,2,0))</f>
        <v>0</v>
      </c>
      <c r="AN340">
        <f>IF(N340="",0,VLOOKUP(N340,'Dados de consulta'!$H$2:$I$25,2,0))</f>
        <v>0</v>
      </c>
      <c r="AO340">
        <f>IF(O340="",0,VLOOKUP(O340,'Dados de consulta'!$H$2:$I$25,2,0))</f>
        <v>0</v>
      </c>
      <c r="AP340">
        <f>IF(P340="",0,VLOOKUP(P340,'Dados de consulta'!$H$2:$I$25,2,0))</f>
        <v>0</v>
      </c>
      <c r="AQ340">
        <f>IF(Q340="",0,VLOOKUP(Q340,'Dados de consulta'!$H$2:$I$25,2,0))</f>
        <v>0</v>
      </c>
      <c r="AR340">
        <f>IF(R340="",0,VLOOKUP(R340,'Dados de consulta'!$H$2:$I$25,2,0))</f>
        <v>0</v>
      </c>
      <c r="AS340">
        <f>IF(S340="",0,VLOOKUP(S340,'Dados de consulta'!$H$2:$I$25,2,0))</f>
        <v>0</v>
      </c>
      <c r="AT340">
        <f>IF(T340="",0,VLOOKUP(T340,'Dados de consulta'!$H$2:$I$25,2,0))</f>
        <v>0</v>
      </c>
      <c r="AU340">
        <f>IF(U340="",0,VLOOKUP(U340,'Dados de consulta'!$H$2:$I$25,2,0))</f>
        <v>0</v>
      </c>
      <c r="AV340">
        <f>IF(V340="",0,VLOOKUP(V340,'Dados de consulta'!$H$2:$I$25,2,0))</f>
        <v>0</v>
      </c>
      <c r="AW340">
        <f t="shared" si="38"/>
        <v>0</v>
      </c>
      <c r="AX340">
        <f t="shared" si="39"/>
        <v>0</v>
      </c>
      <c r="AY340">
        <f t="shared" si="40"/>
        <v>0</v>
      </c>
    </row>
    <row r="341" spans="1:51" hidden="1" x14ac:dyDescent="0.2">
      <c r="A341" s="202">
        <v>42598</v>
      </c>
      <c r="B341" s="78" t="s">
        <v>284</v>
      </c>
      <c r="AA341" s="202">
        <v>42598</v>
      </c>
      <c r="AB341" s="78" t="s">
        <v>284</v>
      </c>
      <c r="AC341">
        <f>IF(C341="",0,VLOOKUP(C341,'Dados de consulta'!$H$2:$I$25,2,0))</f>
        <v>0</v>
      </c>
      <c r="AD341">
        <f>IF(D341="",0,VLOOKUP(D341,'Dados de consulta'!$H$2:$I$25,2,0))</f>
        <v>0</v>
      </c>
      <c r="AE341">
        <f>IF(E341="",0,VLOOKUP(E341,'Dados de consulta'!$H$2:$I$25,2,0))</f>
        <v>0</v>
      </c>
      <c r="AF341">
        <f>IF(F341="",0,VLOOKUP(F341,'Dados de consulta'!$H$2:$I$25,2,0))</f>
        <v>0</v>
      </c>
      <c r="AG341">
        <f>IF(G341="",0,VLOOKUP(G341,'Dados de consulta'!$H$2:$I$25,2,0))</f>
        <v>0</v>
      </c>
      <c r="AH341">
        <f>IF(H341="",0,VLOOKUP(H341,'Dados de consulta'!$H$2:$I$25,2,0))</f>
        <v>0</v>
      </c>
      <c r="AI341">
        <f>IF(I341="",0,VLOOKUP(I341,'Dados de consulta'!$H$2:$I$25,2,0))</f>
        <v>0</v>
      </c>
      <c r="AJ341">
        <f>IF(J341="",0,VLOOKUP(J341,'Dados de consulta'!$H$2:$I$25,2,0))</f>
        <v>0</v>
      </c>
      <c r="AK341">
        <f>IF(K341="",0,VLOOKUP(K341,'Dados de consulta'!$H$2:$I$25,2,0))</f>
        <v>0</v>
      </c>
      <c r="AL341">
        <f>IF(L341="",0,VLOOKUP(L341,'Dados de consulta'!$H$2:$I$25,2,0))</f>
        <v>0</v>
      </c>
      <c r="AM341">
        <f>IF(M341="",0,VLOOKUP(M341,'Dados de consulta'!$H$2:$I$25,2,0))</f>
        <v>0</v>
      </c>
      <c r="AN341">
        <f>IF(N341="",0,VLOOKUP(N341,'Dados de consulta'!$H$2:$I$25,2,0))</f>
        <v>0</v>
      </c>
      <c r="AO341">
        <f>IF(O341="",0,VLOOKUP(O341,'Dados de consulta'!$H$2:$I$25,2,0))</f>
        <v>0</v>
      </c>
      <c r="AP341">
        <f>IF(P341="",0,VLOOKUP(P341,'Dados de consulta'!$H$2:$I$25,2,0))</f>
        <v>0</v>
      </c>
      <c r="AQ341">
        <f>IF(Q341="",0,VLOOKUP(Q341,'Dados de consulta'!$H$2:$I$25,2,0))</f>
        <v>0</v>
      </c>
      <c r="AR341">
        <f>IF(R341="",0,VLOOKUP(R341,'Dados de consulta'!$H$2:$I$25,2,0))</f>
        <v>0</v>
      </c>
      <c r="AS341">
        <f>IF(S341="",0,VLOOKUP(S341,'Dados de consulta'!$H$2:$I$25,2,0))</f>
        <v>0</v>
      </c>
      <c r="AT341">
        <f>IF(T341="",0,VLOOKUP(T341,'Dados de consulta'!$H$2:$I$25,2,0))</f>
        <v>0</v>
      </c>
      <c r="AU341">
        <f>IF(U341="",0,VLOOKUP(U341,'Dados de consulta'!$H$2:$I$25,2,0))</f>
        <v>0</v>
      </c>
      <c r="AV341">
        <f>IF(V341="",0,VLOOKUP(V341,'Dados de consulta'!$H$2:$I$25,2,0))</f>
        <v>0</v>
      </c>
      <c r="AW341">
        <f t="shared" si="38"/>
        <v>0</v>
      </c>
      <c r="AX341">
        <f t="shared" si="39"/>
        <v>0</v>
      </c>
      <c r="AY341">
        <f t="shared" si="40"/>
        <v>0</v>
      </c>
    </row>
    <row r="342" spans="1:51" hidden="1" x14ac:dyDescent="0.2">
      <c r="A342" s="202">
        <v>42599</v>
      </c>
      <c r="B342" s="78" t="s">
        <v>285</v>
      </c>
      <c r="AA342" s="202">
        <v>42599</v>
      </c>
      <c r="AB342" s="78" t="s">
        <v>285</v>
      </c>
      <c r="AC342">
        <f>IF(C342="",0,VLOOKUP(C342,'Dados de consulta'!$H$2:$I$25,2,0))</f>
        <v>0</v>
      </c>
      <c r="AD342">
        <f>IF(D342="",0,VLOOKUP(D342,'Dados de consulta'!$H$2:$I$25,2,0))</f>
        <v>0</v>
      </c>
      <c r="AE342">
        <f>IF(E342="",0,VLOOKUP(E342,'Dados de consulta'!$H$2:$I$25,2,0))</f>
        <v>0</v>
      </c>
      <c r="AF342">
        <f>IF(F342="",0,VLOOKUP(F342,'Dados de consulta'!$H$2:$I$25,2,0))</f>
        <v>0</v>
      </c>
      <c r="AG342">
        <f>IF(G342="",0,VLOOKUP(G342,'Dados de consulta'!$H$2:$I$25,2,0))</f>
        <v>0</v>
      </c>
      <c r="AH342">
        <f>IF(H342="",0,VLOOKUP(H342,'Dados de consulta'!$H$2:$I$25,2,0))</f>
        <v>0</v>
      </c>
      <c r="AI342">
        <f>IF(I342="",0,VLOOKUP(I342,'Dados de consulta'!$H$2:$I$25,2,0))</f>
        <v>0</v>
      </c>
      <c r="AJ342">
        <f>IF(J342="",0,VLOOKUP(J342,'Dados de consulta'!$H$2:$I$25,2,0))</f>
        <v>0</v>
      </c>
      <c r="AK342">
        <f>IF(K342="",0,VLOOKUP(K342,'Dados de consulta'!$H$2:$I$25,2,0))</f>
        <v>0</v>
      </c>
      <c r="AL342">
        <f>IF(L342="",0,VLOOKUP(L342,'Dados de consulta'!$H$2:$I$25,2,0))</f>
        <v>0</v>
      </c>
      <c r="AM342">
        <f>IF(M342="",0,VLOOKUP(M342,'Dados de consulta'!$H$2:$I$25,2,0))</f>
        <v>0</v>
      </c>
      <c r="AN342">
        <f>IF(N342="",0,VLOOKUP(N342,'Dados de consulta'!$H$2:$I$25,2,0))</f>
        <v>0</v>
      </c>
      <c r="AO342">
        <f>IF(O342="",0,VLOOKUP(O342,'Dados de consulta'!$H$2:$I$25,2,0))</f>
        <v>0</v>
      </c>
      <c r="AP342">
        <f>IF(P342="",0,VLOOKUP(P342,'Dados de consulta'!$H$2:$I$25,2,0))</f>
        <v>0</v>
      </c>
      <c r="AQ342">
        <f>IF(Q342="",0,VLOOKUP(Q342,'Dados de consulta'!$H$2:$I$25,2,0))</f>
        <v>0</v>
      </c>
      <c r="AR342">
        <f>IF(R342="",0,VLOOKUP(R342,'Dados de consulta'!$H$2:$I$25,2,0))</f>
        <v>0</v>
      </c>
      <c r="AS342">
        <f>IF(S342="",0,VLOOKUP(S342,'Dados de consulta'!$H$2:$I$25,2,0))</f>
        <v>0</v>
      </c>
      <c r="AT342">
        <f>IF(T342="",0,VLOOKUP(T342,'Dados de consulta'!$H$2:$I$25,2,0))</f>
        <v>0</v>
      </c>
      <c r="AU342">
        <f>IF(U342="",0,VLOOKUP(U342,'Dados de consulta'!$H$2:$I$25,2,0))</f>
        <v>0</v>
      </c>
      <c r="AV342">
        <f>IF(V342="",0,VLOOKUP(V342,'Dados de consulta'!$H$2:$I$25,2,0))</f>
        <v>0</v>
      </c>
      <c r="AW342">
        <f t="shared" si="38"/>
        <v>0</v>
      </c>
      <c r="AX342">
        <f t="shared" si="39"/>
        <v>0</v>
      </c>
      <c r="AY342">
        <f t="shared" si="40"/>
        <v>0</v>
      </c>
    </row>
    <row r="343" spans="1:51" hidden="1" x14ac:dyDescent="0.2">
      <c r="A343" s="202">
        <v>42600</v>
      </c>
      <c r="B343" s="78" t="s">
        <v>286</v>
      </c>
      <c r="AA343" s="202">
        <v>42600</v>
      </c>
      <c r="AB343" s="78" t="s">
        <v>286</v>
      </c>
      <c r="AC343">
        <f>IF(C343="",0,VLOOKUP(C343,'Dados de consulta'!$H$2:$I$25,2,0))</f>
        <v>0</v>
      </c>
      <c r="AD343">
        <f>IF(D343="",0,VLOOKUP(D343,'Dados de consulta'!$H$2:$I$25,2,0))</f>
        <v>0</v>
      </c>
      <c r="AE343">
        <f>IF(E343="",0,VLOOKUP(E343,'Dados de consulta'!$H$2:$I$25,2,0))</f>
        <v>0</v>
      </c>
      <c r="AF343">
        <f>IF(F343="",0,VLOOKUP(F343,'Dados de consulta'!$H$2:$I$25,2,0))</f>
        <v>0</v>
      </c>
      <c r="AG343">
        <f>IF(G343="",0,VLOOKUP(G343,'Dados de consulta'!$H$2:$I$25,2,0))</f>
        <v>0</v>
      </c>
      <c r="AH343">
        <f>IF(H343="",0,VLOOKUP(H343,'Dados de consulta'!$H$2:$I$25,2,0))</f>
        <v>0</v>
      </c>
      <c r="AI343">
        <f>IF(I343="",0,VLOOKUP(I343,'Dados de consulta'!$H$2:$I$25,2,0))</f>
        <v>0</v>
      </c>
      <c r="AJ343">
        <f>IF(J343="",0,VLOOKUP(J343,'Dados de consulta'!$H$2:$I$25,2,0))</f>
        <v>0</v>
      </c>
      <c r="AK343">
        <f>IF(K343="",0,VLOOKUP(K343,'Dados de consulta'!$H$2:$I$25,2,0))</f>
        <v>0</v>
      </c>
      <c r="AL343">
        <f>IF(L343="",0,VLOOKUP(L343,'Dados de consulta'!$H$2:$I$25,2,0))</f>
        <v>0</v>
      </c>
      <c r="AM343">
        <f>IF(M343="",0,VLOOKUP(M343,'Dados de consulta'!$H$2:$I$25,2,0))</f>
        <v>0</v>
      </c>
      <c r="AN343">
        <f>IF(N343="",0,VLOOKUP(N343,'Dados de consulta'!$H$2:$I$25,2,0))</f>
        <v>0</v>
      </c>
      <c r="AO343">
        <f>IF(O343="",0,VLOOKUP(O343,'Dados de consulta'!$H$2:$I$25,2,0))</f>
        <v>0</v>
      </c>
      <c r="AP343">
        <f>IF(P343="",0,VLOOKUP(P343,'Dados de consulta'!$H$2:$I$25,2,0))</f>
        <v>0</v>
      </c>
      <c r="AQ343">
        <f>IF(Q343="",0,VLOOKUP(Q343,'Dados de consulta'!$H$2:$I$25,2,0))</f>
        <v>0</v>
      </c>
      <c r="AR343">
        <f>IF(R343="",0,VLOOKUP(R343,'Dados de consulta'!$H$2:$I$25,2,0))</f>
        <v>0</v>
      </c>
      <c r="AS343">
        <f>IF(S343="",0,VLOOKUP(S343,'Dados de consulta'!$H$2:$I$25,2,0))</f>
        <v>0</v>
      </c>
      <c r="AT343">
        <f>IF(T343="",0,VLOOKUP(T343,'Dados de consulta'!$H$2:$I$25,2,0))</f>
        <v>0</v>
      </c>
      <c r="AU343">
        <f>IF(U343="",0,VLOOKUP(U343,'Dados de consulta'!$H$2:$I$25,2,0))</f>
        <v>0</v>
      </c>
      <c r="AV343">
        <f>IF(V343="",0,VLOOKUP(V343,'Dados de consulta'!$H$2:$I$25,2,0))</f>
        <v>0</v>
      </c>
      <c r="AW343">
        <f t="shared" si="38"/>
        <v>0</v>
      </c>
      <c r="AX343">
        <f t="shared" si="39"/>
        <v>0</v>
      </c>
      <c r="AY343">
        <f t="shared" si="40"/>
        <v>0</v>
      </c>
    </row>
    <row r="344" spans="1:51" hidden="1" x14ac:dyDescent="0.2">
      <c r="A344" s="202">
        <v>42601</v>
      </c>
      <c r="B344" s="78" t="s">
        <v>287</v>
      </c>
      <c r="AA344" s="202">
        <v>42601</v>
      </c>
      <c r="AB344" s="78" t="s">
        <v>287</v>
      </c>
      <c r="AC344">
        <f>IF(C344="",0,VLOOKUP(C344,'Dados de consulta'!$H$2:$I$25,2,0))</f>
        <v>0</v>
      </c>
      <c r="AD344">
        <f>IF(D344="",0,VLOOKUP(D344,'Dados de consulta'!$H$2:$I$25,2,0))</f>
        <v>0</v>
      </c>
      <c r="AE344">
        <f>IF(E344="",0,VLOOKUP(E344,'Dados de consulta'!$H$2:$I$25,2,0))</f>
        <v>0</v>
      </c>
      <c r="AF344">
        <f>IF(F344="",0,VLOOKUP(F344,'Dados de consulta'!$H$2:$I$25,2,0))</f>
        <v>0</v>
      </c>
      <c r="AG344">
        <f>IF(G344="",0,VLOOKUP(G344,'Dados de consulta'!$H$2:$I$25,2,0))</f>
        <v>0</v>
      </c>
      <c r="AH344">
        <f>IF(H344="",0,VLOOKUP(H344,'Dados de consulta'!$H$2:$I$25,2,0))</f>
        <v>0</v>
      </c>
      <c r="AI344">
        <f>IF(I344="",0,VLOOKUP(I344,'Dados de consulta'!$H$2:$I$25,2,0))</f>
        <v>0</v>
      </c>
      <c r="AJ344">
        <f>IF(J344="",0,VLOOKUP(J344,'Dados de consulta'!$H$2:$I$25,2,0))</f>
        <v>0</v>
      </c>
      <c r="AK344">
        <f>IF(K344="",0,VLOOKUP(K344,'Dados de consulta'!$H$2:$I$25,2,0))</f>
        <v>0</v>
      </c>
      <c r="AL344">
        <f>IF(L344="",0,VLOOKUP(L344,'Dados de consulta'!$H$2:$I$25,2,0))</f>
        <v>0</v>
      </c>
      <c r="AM344">
        <f>IF(M344="",0,VLOOKUP(M344,'Dados de consulta'!$H$2:$I$25,2,0))</f>
        <v>0</v>
      </c>
      <c r="AN344">
        <f>IF(N344="",0,VLOOKUP(N344,'Dados de consulta'!$H$2:$I$25,2,0))</f>
        <v>0</v>
      </c>
      <c r="AO344">
        <f>IF(O344="",0,VLOOKUP(O344,'Dados de consulta'!$H$2:$I$25,2,0))</f>
        <v>0</v>
      </c>
      <c r="AP344">
        <f>IF(P344="",0,VLOOKUP(P344,'Dados de consulta'!$H$2:$I$25,2,0))</f>
        <v>0</v>
      </c>
      <c r="AQ344">
        <f>IF(Q344="",0,VLOOKUP(Q344,'Dados de consulta'!$H$2:$I$25,2,0))</f>
        <v>0</v>
      </c>
      <c r="AR344">
        <f>IF(R344="",0,VLOOKUP(R344,'Dados de consulta'!$H$2:$I$25,2,0))</f>
        <v>0</v>
      </c>
      <c r="AS344">
        <f>IF(S344="",0,VLOOKUP(S344,'Dados de consulta'!$H$2:$I$25,2,0))</f>
        <v>0</v>
      </c>
      <c r="AT344">
        <f>IF(T344="",0,VLOOKUP(T344,'Dados de consulta'!$H$2:$I$25,2,0))</f>
        <v>0</v>
      </c>
      <c r="AU344">
        <f>IF(U344="",0,VLOOKUP(U344,'Dados de consulta'!$H$2:$I$25,2,0))</f>
        <v>0</v>
      </c>
      <c r="AV344">
        <f>IF(V344="",0,VLOOKUP(V344,'Dados de consulta'!$H$2:$I$25,2,0))</f>
        <v>0</v>
      </c>
      <c r="AW344">
        <f t="shared" si="38"/>
        <v>0</v>
      </c>
      <c r="AX344">
        <f t="shared" si="39"/>
        <v>0</v>
      </c>
      <c r="AY344">
        <f t="shared" si="40"/>
        <v>0</v>
      </c>
    </row>
    <row r="345" spans="1:51" hidden="1" x14ac:dyDescent="0.2">
      <c r="A345" s="202">
        <v>42602</v>
      </c>
      <c r="B345" s="78" t="s">
        <v>281</v>
      </c>
      <c r="AA345" s="202">
        <v>42602</v>
      </c>
      <c r="AB345" s="78" t="s">
        <v>281</v>
      </c>
      <c r="AC345">
        <f>IF(C345="",0,VLOOKUP(C345,'Dados de consulta'!$H$2:$I$25,2,0))</f>
        <v>0</v>
      </c>
      <c r="AD345">
        <f>IF(D345="",0,VLOOKUP(D345,'Dados de consulta'!$H$2:$I$25,2,0))</f>
        <v>0</v>
      </c>
      <c r="AE345">
        <f>IF(E345="",0,VLOOKUP(E345,'Dados de consulta'!$H$2:$I$25,2,0))</f>
        <v>0</v>
      </c>
      <c r="AF345">
        <f>IF(F345="",0,VLOOKUP(F345,'Dados de consulta'!$H$2:$I$25,2,0))</f>
        <v>0</v>
      </c>
      <c r="AG345">
        <f>IF(G345="",0,VLOOKUP(G345,'Dados de consulta'!$H$2:$I$25,2,0))</f>
        <v>0</v>
      </c>
      <c r="AH345">
        <f>IF(H345="",0,VLOOKUP(H345,'Dados de consulta'!$H$2:$I$25,2,0))</f>
        <v>0</v>
      </c>
      <c r="AI345">
        <f>IF(I345="",0,VLOOKUP(I345,'Dados de consulta'!$H$2:$I$25,2,0))</f>
        <v>0</v>
      </c>
      <c r="AJ345">
        <f>IF(J345="",0,VLOOKUP(J345,'Dados de consulta'!$H$2:$I$25,2,0))</f>
        <v>0</v>
      </c>
      <c r="AK345">
        <f>IF(K345="",0,VLOOKUP(K345,'Dados de consulta'!$H$2:$I$25,2,0))</f>
        <v>0</v>
      </c>
      <c r="AL345">
        <f>IF(L345="",0,VLOOKUP(L345,'Dados de consulta'!$H$2:$I$25,2,0))</f>
        <v>0</v>
      </c>
      <c r="AM345">
        <f>IF(M345="",0,VLOOKUP(M345,'Dados de consulta'!$H$2:$I$25,2,0))</f>
        <v>0</v>
      </c>
      <c r="AN345">
        <f>IF(N345="",0,VLOOKUP(N345,'Dados de consulta'!$H$2:$I$25,2,0))</f>
        <v>0</v>
      </c>
      <c r="AO345">
        <f>IF(O345="",0,VLOOKUP(O345,'Dados de consulta'!$H$2:$I$25,2,0))</f>
        <v>0</v>
      </c>
      <c r="AP345">
        <f>IF(P345="",0,VLOOKUP(P345,'Dados de consulta'!$H$2:$I$25,2,0))</f>
        <v>0</v>
      </c>
      <c r="AQ345">
        <f>IF(Q345="",0,VLOOKUP(Q345,'Dados de consulta'!$H$2:$I$25,2,0))</f>
        <v>0</v>
      </c>
      <c r="AR345">
        <f>IF(R345="",0,VLOOKUP(R345,'Dados de consulta'!$H$2:$I$25,2,0))</f>
        <v>0</v>
      </c>
      <c r="AS345">
        <f>IF(S345="",0,VLOOKUP(S345,'Dados de consulta'!$H$2:$I$25,2,0))</f>
        <v>0</v>
      </c>
      <c r="AT345">
        <f>IF(T345="",0,VLOOKUP(T345,'Dados de consulta'!$H$2:$I$25,2,0))</f>
        <v>0</v>
      </c>
      <c r="AU345">
        <f>IF(U345="",0,VLOOKUP(U345,'Dados de consulta'!$H$2:$I$25,2,0))</f>
        <v>0</v>
      </c>
      <c r="AV345">
        <f>IF(V345="",0,VLOOKUP(V345,'Dados de consulta'!$H$2:$I$25,2,0))</f>
        <v>0</v>
      </c>
      <c r="AW345">
        <f t="shared" si="38"/>
        <v>0</v>
      </c>
      <c r="AX345">
        <f t="shared" si="39"/>
        <v>0</v>
      </c>
      <c r="AY345">
        <f t="shared" si="40"/>
        <v>0</v>
      </c>
    </row>
    <row r="346" spans="1:51" hidden="1" x14ac:dyDescent="0.2">
      <c r="A346" s="202">
        <v>42603</v>
      </c>
      <c r="B346" s="78" t="s">
        <v>282</v>
      </c>
      <c r="AA346" s="202">
        <v>42603</v>
      </c>
      <c r="AB346" s="78" t="s">
        <v>282</v>
      </c>
      <c r="AC346">
        <f>IF(C346="",0,VLOOKUP(C346,'Dados de consulta'!$H$2:$I$25,2,0))</f>
        <v>0</v>
      </c>
      <c r="AD346">
        <f>IF(D346="",0,VLOOKUP(D346,'Dados de consulta'!$H$2:$I$25,2,0))</f>
        <v>0</v>
      </c>
      <c r="AE346">
        <f>IF(E346="",0,VLOOKUP(E346,'Dados de consulta'!$H$2:$I$25,2,0))</f>
        <v>0</v>
      </c>
      <c r="AF346">
        <f>IF(F346="",0,VLOOKUP(F346,'Dados de consulta'!$H$2:$I$25,2,0))</f>
        <v>0</v>
      </c>
      <c r="AG346">
        <f>IF(G346="",0,VLOOKUP(G346,'Dados de consulta'!$H$2:$I$25,2,0))</f>
        <v>0</v>
      </c>
      <c r="AH346">
        <f>IF(H346="",0,VLOOKUP(H346,'Dados de consulta'!$H$2:$I$25,2,0))</f>
        <v>0</v>
      </c>
      <c r="AI346">
        <f>IF(I346="",0,VLOOKUP(I346,'Dados de consulta'!$H$2:$I$25,2,0))</f>
        <v>0</v>
      </c>
      <c r="AJ346">
        <f>IF(J346="",0,VLOOKUP(J346,'Dados de consulta'!$H$2:$I$25,2,0))</f>
        <v>0</v>
      </c>
      <c r="AK346">
        <f>IF(K346="",0,VLOOKUP(K346,'Dados de consulta'!$H$2:$I$25,2,0))</f>
        <v>0</v>
      </c>
      <c r="AL346">
        <f>IF(L346="",0,VLOOKUP(L346,'Dados de consulta'!$H$2:$I$25,2,0))</f>
        <v>0</v>
      </c>
      <c r="AM346">
        <f>IF(M346="",0,VLOOKUP(M346,'Dados de consulta'!$H$2:$I$25,2,0))</f>
        <v>0</v>
      </c>
      <c r="AN346">
        <f>IF(N346="",0,VLOOKUP(N346,'Dados de consulta'!$H$2:$I$25,2,0))</f>
        <v>0</v>
      </c>
      <c r="AO346">
        <f>IF(O346="",0,VLOOKUP(O346,'Dados de consulta'!$H$2:$I$25,2,0))</f>
        <v>0</v>
      </c>
      <c r="AP346">
        <f>IF(P346="",0,VLOOKUP(P346,'Dados de consulta'!$H$2:$I$25,2,0))</f>
        <v>0</v>
      </c>
      <c r="AQ346">
        <f>IF(Q346="",0,VLOOKUP(Q346,'Dados de consulta'!$H$2:$I$25,2,0))</f>
        <v>0</v>
      </c>
      <c r="AR346">
        <f>IF(R346="",0,VLOOKUP(R346,'Dados de consulta'!$H$2:$I$25,2,0))</f>
        <v>0</v>
      </c>
      <c r="AS346">
        <f>IF(S346="",0,VLOOKUP(S346,'Dados de consulta'!$H$2:$I$25,2,0))</f>
        <v>0</v>
      </c>
      <c r="AT346">
        <f>IF(T346="",0,VLOOKUP(T346,'Dados de consulta'!$H$2:$I$25,2,0))</f>
        <v>0</v>
      </c>
      <c r="AU346">
        <f>IF(U346="",0,VLOOKUP(U346,'Dados de consulta'!$H$2:$I$25,2,0))</f>
        <v>0</v>
      </c>
      <c r="AV346">
        <f>IF(V346="",0,VLOOKUP(V346,'Dados de consulta'!$H$2:$I$25,2,0))</f>
        <v>0</v>
      </c>
      <c r="AW346">
        <f t="shared" si="38"/>
        <v>0</v>
      </c>
      <c r="AX346">
        <f t="shared" si="39"/>
        <v>0</v>
      </c>
      <c r="AY346">
        <f t="shared" si="40"/>
        <v>0</v>
      </c>
    </row>
    <row r="347" spans="1:51" hidden="1" x14ac:dyDescent="0.2">
      <c r="A347" s="202">
        <v>42604</v>
      </c>
      <c r="B347" s="78" t="s">
        <v>283</v>
      </c>
      <c r="AA347" s="202">
        <v>42604</v>
      </c>
      <c r="AB347" s="78" t="s">
        <v>283</v>
      </c>
      <c r="AC347">
        <f>IF(C347="",0,VLOOKUP(C347,'Dados de consulta'!$H$2:$I$25,2,0))</f>
        <v>0</v>
      </c>
      <c r="AD347">
        <f>IF(D347="",0,VLOOKUP(D347,'Dados de consulta'!$H$2:$I$25,2,0))</f>
        <v>0</v>
      </c>
      <c r="AE347">
        <f>IF(E347="",0,VLOOKUP(E347,'Dados de consulta'!$H$2:$I$25,2,0))</f>
        <v>0</v>
      </c>
      <c r="AF347">
        <f>IF(F347="",0,VLOOKUP(F347,'Dados de consulta'!$H$2:$I$25,2,0))</f>
        <v>0</v>
      </c>
      <c r="AG347">
        <f>IF(G347="",0,VLOOKUP(G347,'Dados de consulta'!$H$2:$I$25,2,0))</f>
        <v>0</v>
      </c>
      <c r="AH347">
        <f>IF(H347="",0,VLOOKUP(H347,'Dados de consulta'!$H$2:$I$25,2,0))</f>
        <v>0</v>
      </c>
      <c r="AI347">
        <f>IF(I347="",0,VLOOKUP(I347,'Dados de consulta'!$H$2:$I$25,2,0))</f>
        <v>0</v>
      </c>
      <c r="AJ347">
        <f>IF(J347="",0,VLOOKUP(J347,'Dados de consulta'!$H$2:$I$25,2,0))</f>
        <v>0</v>
      </c>
      <c r="AK347">
        <f>IF(K347="",0,VLOOKUP(K347,'Dados de consulta'!$H$2:$I$25,2,0))</f>
        <v>0</v>
      </c>
      <c r="AL347">
        <f>IF(L347="",0,VLOOKUP(L347,'Dados de consulta'!$H$2:$I$25,2,0))</f>
        <v>0</v>
      </c>
      <c r="AM347">
        <f>IF(M347="",0,VLOOKUP(M347,'Dados de consulta'!$H$2:$I$25,2,0))</f>
        <v>0</v>
      </c>
      <c r="AN347">
        <f>IF(N347="",0,VLOOKUP(N347,'Dados de consulta'!$H$2:$I$25,2,0))</f>
        <v>0</v>
      </c>
      <c r="AO347">
        <f>IF(O347="",0,VLOOKUP(O347,'Dados de consulta'!$H$2:$I$25,2,0))</f>
        <v>0</v>
      </c>
      <c r="AP347">
        <f>IF(P347="",0,VLOOKUP(P347,'Dados de consulta'!$H$2:$I$25,2,0))</f>
        <v>0</v>
      </c>
      <c r="AQ347">
        <f>IF(Q347="",0,VLOOKUP(Q347,'Dados de consulta'!$H$2:$I$25,2,0))</f>
        <v>0</v>
      </c>
      <c r="AR347">
        <f>IF(R347="",0,VLOOKUP(R347,'Dados de consulta'!$H$2:$I$25,2,0))</f>
        <v>0</v>
      </c>
      <c r="AS347">
        <f>IF(S347="",0,VLOOKUP(S347,'Dados de consulta'!$H$2:$I$25,2,0))</f>
        <v>0</v>
      </c>
      <c r="AT347">
        <f>IF(T347="",0,VLOOKUP(T347,'Dados de consulta'!$H$2:$I$25,2,0))</f>
        <v>0</v>
      </c>
      <c r="AU347">
        <f>IF(U347="",0,VLOOKUP(U347,'Dados de consulta'!$H$2:$I$25,2,0))</f>
        <v>0</v>
      </c>
      <c r="AV347">
        <f>IF(V347="",0,VLOOKUP(V347,'Dados de consulta'!$H$2:$I$25,2,0))</f>
        <v>0</v>
      </c>
      <c r="AW347">
        <f t="shared" si="38"/>
        <v>0</v>
      </c>
      <c r="AX347">
        <f t="shared" si="39"/>
        <v>0</v>
      </c>
      <c r="AY347">
        <f t="shared" si="40"/>
        <v>0</v>
      </c>
    </row>
    <row r="348" spans="1:51" hidden="1" x14ac:dyDescent="0.2">
      <c r="A348" s="202">
        <v>42605</v>
      </c>
      <c r="B348" s="78" t="s">
        <v>284</v>
      </c>
      <c r="AA348" s="202">
        <v>42605</v>
      </c>
      <c r="AB348" s="78" t="s">
        <v>284</v>
      </c>
      <c r="AC348">
        <f>IF(C348="",0,VLOOKUP(C348,'Dados de consulta'!$H$2:$I$25,2,0))</f>
        <v>0</v>
      </c>
      <c r="AD348">
        <f>IF(D348="",0,VLOOKUP(D348,'Dados de consulta'!$H$2:$I$25,2,0))</f>
        <v>0</v>
      </c>
      <c r="AE348">
        <f>IF(E348="",0,VLOOKUP(E348,'Dados de consulta'!$H$2:$I$25,2,0))</f>
        <v>0</v>
      </c>
      <c r="AF348">
        <f>IF(F348="",0,VLOOKUP(F348,'Dados de consulta'!$H$2:$I$25,2,0))</f>
        <v>0</v>
      </c>
      <c r="AG348">
        <f>IF(G348="",0,VLOOKUP(G348,'Dados de consulta'!$H$2:$I$25,2,0))</f>
        <v>0</v>
      </c>
      <c r="AH348">
        <f>IF(H348="",0,VLOOKUP(H348,'Dados de consulta'!$H$2:$I$25,2,0))</f>
        <v>0</v>
      </c>
      <c r="AI348">
        <f>IF(I348="",0,VLOOKUP(I348,'Dados de consulta'!$H$2:$I$25,2,0))</f>
        <v>0</v>
      </c>
      <c r="AJ348">
        <f>IF(J348="",0,VLOOKUP(J348,'Dados de consulta'!$H$2:$I$25,2,0))</f>
        <v>0</v>
      </c>
      <c r="AK348">
        <f>IF(K348="",0,VLOOKUP(K348,'Dados de consulta'!$H$2:$I$25,2,0))</f>
        <v>0</v>
      </c>
      <c r="AL348">
        <f>IF(L348="",0,VLOOKUP(L348,'Dados de consulta'!$H$2:$I$25,2,0))</f>
        <v>0</v>
      </c>
      <c r="AM348">
        <f>IF(M348="",0,VLOOKUP(M348,'Dados de consulta'!$H$2:$I$25,2,0))</f>
        <v>0</v>
      </c>
      <c r="AN348">
        <f>IF(N348="",0,VLOOKUP(N348,'Dados de consulta'!$H$2:$I$25,2,0))</f>
        <v>0</v>
      </c>
      <c r="AO348">
        <f>IF(O348="",0,VLOOKUP(O348,'Dados de consulta'!$H$2:$I$25,2,0))</f>
        <v>0</v>
      </c>
      <c r="AP348">
        <f>IF(P348="",0,VLOOKUP(P348,'Dados de consulta'!$H$2:$I$25,2,0))</f>
        <v>0</v>
      </c>
      <c r="AQ348">
        <f>IF(Q348="",0,VLOOKUP(Q348,'Dados de consulta'!$H$2:$I$25,2,0))</f>
        <v>0</v>
      </c>
      <c r="AR348">
        <f>IF(R348="",0,VLOOKUP(R348,'Dados de consulta'!$H$2:$I$25,2,0))</f>
        <v>0</v>
      </c>
      <c r="AS348">
        <f>IF(S348="",0,VLOOKUP(S348,'Dados de consulta'!$H$2:$I$25,2,0))</f>
        <v>0</v>
      </c>
      <c r="AT348">
        <f>IF(T348="",0,VLOOKUP(T348,'Dados de consulta'!$H$2:$I$25,2,0))</f>
        <v>0</v>
      </c>
      <c r="AU348">
        <f>IF(U348="",0,VLOOKUP(U348,'Dados de consulta'!$H$2:$I$25,2,0))</f>
        <v>0</v>
      </c>
      <c r="AV348">
        <f>IF(V348="",0,VLOOKUP(V348,'Dados de consulta'!$H$2:$I$25,2,0))</f>
        <v>0</v>
      </c>
      <c r="AW348">
        <f t="shared" si="38"/>
        <v>0</v>
      </c>
      <c r="AX348">
        <f t="shared" si="39"/>
        <v>0</v>
      </c>
      <c r="AY348">
        <f t="shared" si="40"/>
        <v>0</v>
      </c>
    </row>
    <row r="349" spans="1:51" hidden="1" x14ac:dyDescent="0.2">
      <c r="A349" s="202">
        <v>42606</v>
      </c>
      <c r="B349" s="78" t="s">
        <v>285</v>
      </c>
      <c r="AA349" s="202">
        <v>42606</v>
      </c>
      <c r="AB349" s="78" t="s">
        <v>285</v>
      </c>
      <c r="AC349">
        <f>IF(C349="",0,VLOOKUP(C349,'Dados de consulta'!$H$2:$I$25,2,0))</f>
        <v>0</v>
      </c>
      <c r="AD349">
        <f>IF(D349="",0,VLOOKUP(D349,'Dados de consulta'!$H$2:$I$25,2,0))</f>
        <v>0</v>
      </c>
      <c r="AE349">
        <f>IF(E349="",0,VLOOKUP(E349,'Dados de consulta'!$H$2:$I$25,2,0))</f>
        <v>0</v>
      </c>
      <c r="AF349">
        <f>IF(F349="",0,VLOOKUP(F349,'Dados de consulta'!$H$2:$I$25,2,0))</f>
        <v>0</v>
      </c>
      <c r="AG349">
        <f>IF(G349="",0,VLOOKUP(G349,'Dados de consulta'!$H$2:$I$25,2,0))</f>
        <v>0</v>
      </c>
      <c r="AH349">
        <f>IF(H349="",0,VLOOKUP(H349,'Dados de consulta'!$H$2:$I$25,2,0))</f>
        <v>0</v>
      </c>
      <c r="AI349">
        <f>IF(I349="",0,VLOOKUP(I349,'Dados de consulta'!$H$2:$I$25,2,0))</f>
        <v>0</v>
      </c>
      <c r="AJ349">
        <f>IF(J349="",0,VLOOKUP(J349,'Dados de consulta'!$H$2:$I$25,2,0))</f>
        <v>0</v>
      </c>
      <c r="AK349">
        <f>IF(K349="",0,VLOOKUP(K349,'Dados de consulta'!$H$2:$I$25,2,0))</f>
        <v>0</v>
      </c>
      <c r="AL349">
        <f>IF(L349="",0,VLOOKUP(L349,'Dados de consulta'!$H$2:$I$25,2,0))</f>
        <v>0</v>
      </c>
      <c r="AM349">
        <f>IF(M349="",0,VLOOKUP(M349,'Dados de consulta'!$H$2:$I$25,2,0))</f>
        <v>0</v>
      </c>
      <c r="AN349">
        <f>IF(N349="",0,VLOOKUP(N349,'Dados de consulta'!$H$2:$I$25,2,0))</f>
        <v>0</v>
      </c>
      <c r="AO349">
        <f>IF(O349="",0,VLOOKUP(O349,'Dados de consulta'!$H$2:$I$25,2,0))</f>
        <v>0</v>
      </c>
      <c r="AP349">
        <f>IF(P349="",0,VLOOKUP(P349,'Dados de consulta'!$H$2:$I$25,2,0))</f>
        <v>0</v>
      </c>
      <c r="AQ349">
        <f>IF(Q349="",0,VLOOKUP(Q349,'Dados de consulta'!$H$2:$I$25,2,0))</f>
        <v>0</v>
      </c>
      <c r="AR349">
        <f>IF(R349="",0,VLOOKUP(R349,'Dados de consulta'!$H$2:$I$25,2,0))</f>
        <v>0</v>
      </c>
      <c r="AS349">
        <f>IF(S349="",0,VLOOKUP(S349,'Dados de consulta'!$H$2:$I$25,2,0))</f>
        <v>0</v>
      </c>
      <c r="AT349">
        <f>IF(T349="",0,VLOOKUP(T349,'Dados de consulta'!$H$2:$I$25,2,0))</f>
        <v>0</v>
      </c>
      <c r="AU349">
        <f>IF(U349="",0,VLOOKUP(U349,'Dados de consulta'!$H$2:$I$25,2,0))</f>
        <v>0</v>
      </c>
      <c r="AV349">
        <f>IF(V349="",0,VLOOKUP(V349,'Dados de consulta'!$H$2:$I$25,2,0))</f>
        <v>0</v>
      </c>
      <c r="AW349">
        <f t="shared" si="38"/>
        <v>0</v>
      </c>
      <c r="AX349">
        <f t="shared" si="39"/>
        <v>0</v>
      </c>
      <c r="AY349">
        <f t="shared" si="40"/>
        <v>0</v>
      </c>
    </row>
    <row r="350" spans="1:51" hidden="1" x14ac:dyDescent="0.2">
      <c r="A350" s="202">
        <v>42607</v>
      </c>
      <c r="B350" s="78" t="s">
        <v>286</v>
      </c>
      <c r="AA350" s="202">
        <v>42607</v>
      </c>
      <c r="AB350" s="78" t="s">
        <v>286</v>
      </c>
      <c r="AC350">
        <f>IF(C350="",0,VLOOKUP(C350,'Dados de consulta'!$H$2:$I$25,2,0))</f>
        <v>0</v>
      </c>
      <c r="AD350">
        <f>IF(D350="",0,VLOOKUP(D350,'Dados de consulta'!$H$2:$I$25,2,0))</f>
        <v>0</v>
      </c>
      <c r="AE350">
        <f>IF(E350="",0,VLOOKUP(E350,'Dados de consulta'!$H$2:$I$25,2,0))</f>
        <v>0</v>
      </c>
      <c r="AF350">
        <f>IF(F350="",0,VLOOKUP(F350,'Dados de consulta'!$H$2:$I$25,2,0))</f>
        <v>0</v>
      </c>
      <c r="AG350">
        <f>IF(G350="",0,VLOOKUP(G350,'Dados de consulta'!$H$2:$I$25,2,0))</f>
        <v>0</v>
      </c>
      <c r="AH350">
        <f>IF(H350="",0,VLOOKUP(H350,'Dados de consulta'!$H$2:$I$25,2,0))</f>
        <v>0</v>
      </c>
      <c r="AI350">
        <f>IF(I350="",0,VLOOKUP(I350,'Dados de consulta'!$H$2:$I$25,2,0))</f>
        <v>0</v>
      </c>
      <c r="AJ350">
        <f>IF(J350="",0,VLOOKUP(J350,'Dados de consulta'!$H$2:$I$25,2,0))</f>
        <v>0</v>
      </c>
      <c r="AK350">
        <f>IF(K350="",0,VLOOKUP(K350,'Dados de consulta'!$H$2:$I$25,2,0))</f>
        <v>0</v>
      </c>
      <c r="AL350">
        <f>IF(L350="",0,VLOOKUP(L350,'Dados de consulta'!$H$2:$I$25,2,0))</f>
        <v>0</v>
      </c>
      <c r="AM350">
        <f>IF(M350="",0,VLOOKUP(M350,'Dados de consulta'!$H$2:$I$25,2,0))</f>
        <v>0</v>
      </c>
      <c r="AN350">
        <f>IF(N350="",0,VLOOKUP(N350,'Dados de consulta'!$H$2:$I$25,2,0))</f>
        <v>0</v>
      </c>
      <c r="AO350">
        <f>IF(O350="",0,VLOOKUP(O350,'Dados de consulta'!$H$2:$I$25,2,0))</f>
        <v>0</v>
      </c>
      <c r="AP350">
        <f>IF(P350="",0,VLOOKUP(P350,'Dados de consulta'!$H$2:$I$25,2,0))</f>
        <v>0</v>
      </c>
      <c r="AQ350">
        <f>IF(Q350="",0,VLOOKUP(Q350,'Dados de consulta'!$H$2:$I$25,2,0))</f>
        <v>0</v>
      </c>
      <c r="AR350">
        <f>IF(R350="",0,VLOOKUP(R350,'Dados de consulta'!$H$2:$I$25,2,0))</f>
        <v>0</v>
      </c>
      <c r="AS350">
        <f>IF(S350="",0,VLOOKUP(S350,'Dados de consulta'!$H$2:$I$25,2,0))</f>
        <v>0</v>
      </c>
      <c r="AT350">
        <f>IF(T350="",0,VLOOKUP(T350,'Dados de consulta'!$H$2:$I$25,2,0))</f>
        <v>0</v>
      </c>
      <c r="AU350">
        <f>IF(U350="",0,VLOOKUP(U350,'Dados de consulta'!$H$2:$I$25,2,0))</f>
        <v>0</v>
      </c>
      <c r="AV350">
        <f>IF(V350="",0,VLOOKUP(V350,'Dados de consulta'!$H$2:$I$25,2,0))</f>
        <v>0</v>
      </c>
      <c r="AW350">
        <f t="shared" si="38"/>
        <v>0</v>
      </c>
      <c r="AX350">
        <f t="shared" si="39"/>
        <v>0</v>
      </c>
      <c r="AY350">
        <f t="shared" si="40"/>
        <v>0</v>
      </c>
    </row>
    <row r="351" spans="1:51" hidden="1" x14ac:dyDescent="0.2">
      <c r="A351" s="202">
        <v>42608</v>
      </c>
      <c r="B351" s="78" t="s">
        <v>287</v>
      </c>
      <c r="AA351" s="202">
        <v>42608</v>
      </c>
      <c r="AB351" s="78" t="s">
        <v>287</v>
      </c>
      <c r="AC351">
        <f>IF(C351="",0,VLOOKUP(C351,'Dados de consulta'!$H$2:$I$25,2,0))</f>
        <v>0</v>
      </c>
      <c r="AD351">
        <f>IF(D351="",0,VLOOKUP(D351,'Dados de consulta'!$H$2:$I$25,2,0))</f>
        <v>0</v>
      </c>
      <c r="AE351">
        <f>IF(E351="",0,VLOOKUP(E351,'Dados de consulta'!$H$2:$I$25,2,0))</f>
        <v>0</v>
      </c>
      <c r="AF351">
        <f>IF(F351="",0,VLOOKUP(F351,'Dados de consulta'!$H$2:$I$25,2,0))</f>
        <v>0</v>
      </c>
      <c r="AG351">
        <f>IF(G351="",0,VLOOKUP(G351,'Dados de consulta'!$H$2:$I$25,2,0))</f>
        <v>0</v>
      </c>
      <c r="AH351">
        <f>IF(H351="",0,VLOOKUP(H351,'Dados de consulta'!$H$2:$I$25,2,0))</f>
        <v>0</v>
      </c>
      <c r="AI351">
        <f>IF(I351="",0,VLOOKUP(I351,'Dados de consulta'!$H$2:$I$25,2,0))</f>
        <v>0</v>
      </c>
      <c r="AJ351">
        <f>IF(J351="",0,VLOOKUP(J351,'Dados de consulta'!$H$2:$I$25,2,0))</f>
        <v>0</v>
      </c>
      <c r="AK351">
        <f>IF(K351="",0,VLOOKUP(K351,'Dados de consulta'!$H$2:$I$25,2,0))</f>
        <v>0</v>
      </c>
      <c r="AL351">
        <f>IF(L351="",0,VLOOKUP(L351,'Dados de consulta'!$H$2:$I$25,2,0))</f>
        <v>0</v>
      </c>
      <c r="AM351">
        <f>IF(M351="",0,VLOOKUP(M351,'Dados de consulta'!$H$2:$I$25,2,0))</f>
        <v>0</v>
      </c>
      <c r="AN351">
        <f>IF(N351="",0,VLOOKUP(N351,'Dados de consulta'!$H$2:$I$25,2,0))</f>
        <v>0</v>
      </c>
      <c r="AO351">
        <f>IF(O351="",0,VLOOKUP(O351,'Dados de consulta'!$H$2:$I$25,2,0))</f>
        <v>0</v>
      </c>
      <c r="AP351">
        <f>IF(P351="",0,VLOOKUP(P351,'Dados de consulta'!$H$2:$I$25,2,0))</f>
        <v>0</v>
      </c>
      <c r="AQ351">
        <f>IF(Q351="",0,VLOOKUP(Q351,'Dados de consulta'!$H$2:$I$25,2,0))</f>
        <v>0</v>
      </c>
      <c r="AR351">
        <f>IF(R351="",0,VLOOKUP(R351,'Dados de consulta'!$H$2:$I$25,2,0))</f>
        <v>0</v>
      </c>
      <c r="AS351">
        <f>IF(S351="",0,VLOOKUP(S351,'Dados de consulta'!$H$2:$I$25,2,0))</f>
        <v>0</v>
      </c>
      <c r="AT351">
        <f>IF(T351="",0,VLOOKUP(T351,'Dados de consulta'!$H$2:$I$25,2,0))</f>
        <v>0</v>
      </c>
      <c r="AU351">
        <f>IF(U351="",0,VLOOKUP(U351,'Dados de consulta'!$H$2:$I$25,2,0))</f>
        <v>0</v>
      </c>
      <c r="AV351">
        <f>IF(V351="",0,VLOOKUP(V351,'Dados de consulta'!$H$2:$I$25,2,0))</f>
        <v>0</v>
      </c>
      <c r="AW351">
        <f t="shared" si="38"/>
        <v>0</v>
      </c>
      <c r="AX351">
        <f t="shared" si="39"/>
        <v>0</v>
      </c>
      <c r="AY351">
        <f t="shared" si="40"/>
        <v>0</v>
      </c>
    </row>
    <row r="352" spans="1:51" hidden="1" x14ac:dyDescent="0.2">
      <c r="A352" s="202">
        <v>42609</v>
      </c>
      <c r="B352" s="78" t="s">
        <v>281</v>
      </c>
      <c r="AA352" s="202">
        <v>42609</v>
      </c>
      <c r="AB352" s="78" t="s">
        <v>281</v>
      </c>
      <c r="AC352">
        <f>IF(C352="",0,VLOOKUP(C352,'Dados de consulta'!$H$2:$I$25,2,0))</f>
        <v>0</v>
      </c>
      <c r="AD352">
        <f>IF(D352="",0,VLOOKUP(D352,'Dados de consulta'!$H$2:$I$25,2,0))</f>
        <v>0</v>
      </c>
      <c r="AE352">
        <f>IF(E352="",0,VLOOKUP(E352,'Dados de consulta'!$H$2:$I$25,2,0))</f>
        <v>0</v>
      </c>
      <c r="AF352">
        <f>IF(F352="",0,VLOOKUP(F352,'Dados de consulta'!$H$2:$I$25,2,0))</f>
        <v>0</v>
      </c>
      <c r="AG352">
        <f>IF(G352="",0,VLOOKUP(G352,'Dados de consulta'!$H$2:$I$25,2,0))</f>
        <v>0</v>
      </c>
      <c r="AH352">
        <f>IF(H352="",0,VLOOKUP(H352,'Dados de consulta'!$H$2:$I$25,2,0))</f>
        <v>0</v>
      </c>
      <c r="AI352">
        <f>IF(I352="",0,VLOOKUP(I352,'Dados de consulta'!$H$2:$I$25,2,0))</f>
        <v>0</v>
      </c>
      <c r="AJ352">
        <f>IF(J352="",0,VLOOKUP(J352,'Dados de consulta'!$H$2:$I$25,2,0))</f>
        <v>0</v>
      </c>
      <c r="AK352">
        <f>IF(K352="",0,VLOOKUP(K352,'Dados de consulta'!$H$2:$I$25,2,0))</f>
        <v>0</v>
      </c>
      <c r="AL352">
        <f>IF(L352="",0,VLOOKUP(L352,'Dados de consulta'!$H$2:$I$25,2,0))</f>
        <v>0</v>
      </c>
      <c r="AM352">
        <f>IF(M352="",0,VLOOKUP(M352,'Dados de consulta'!$H$2:$I$25,2,0))</f>
        <v>0</v>
      </c>
      <c r="AN352">
        <f>IF(N352="",0,VLOOKUP(N352,'Dados de consulta'!$H$2:$I$25,2,0))</f>
        <v>0</v>
      </c>
      <c r="AO352">
        <f>IF(O352="",0,VLOOKUP(O352,'Dados de consulta'!$H$2:$I$25,2,0))</f>
        <v>0</v>
      </c>
      <c r="AP352">
        <f>IF(P352="",0,VLOOKUP(P352,'Dados de consulta'!$H$2:$I$25,2,0))</f>
        <v>0</v>
      </c>
      <c r="AQ352">
        <f>IF(Q352="",0,VLOOKUP(Q352,'Dados de consulta'!$H$2:$I$25,2,0))</f>
        <v>0</v>
      </c>
      <c r="AR352">
        <f>IF(R352="",0,VLOOKUP(R352,'Dados de consulta'!$H$2:$I$25,2,0))</f>
        <v>0</v>
      </c>
      <c r="AS352">
        <f>IF(S352="",0,VLOOKUP(S352,'Dados de consulta'!$H$2:$I$25,2,0))</f>
        <v>0</v>
      </c>
      <c r="AT352">
        <f>IF(T352="",0,VLOOKUP(T352,'Dados de consulta'!$H$2:$I$25,2,0))</f>
        <v>0</v>
      </c>
      <c r="AU352">
        <f>IF(U352="",0,VLOOKUP(U352,'Dados de consulta'!$H$2:$I$25,2,0))</f>
        <v>0</v>
      </c>
      <c r="AV352">
        <f>IF(V352="",0,VLOOKUP(V352,'Dados de consulta'!$H$2:$I$25,2,0))</f>
        <v>0</v>
      </c>
      <c r="AW352">
        <f t="shared" si="38"/>
        <v>0</v>
      </c>
      <c r="AX352">
        <f t="shared" si="39"/>
        <v>0</v>
      </c>
      <c r="AY352">
        <f t="shared" si="40"/>
        <v>0</v>
      </c>
    </row>
    <row r="353" spans="1:51" hidden="1" x14ac:dyDescent="0.2">
      <c r="A353" s="202">
        <v>42610</v>
      </c>
      <c r="B353" s="78" t="s">
        <v>282</v>
      </c>
      <c r="AA353" s="202">
        <v>42610</v>
      </c>
      <c r="AB353" s="78" t="s">
        <v>282</v>
      </c>
      <c r="AC353">
        <f>IF(C353="",0,VLOOKUP(C353,'Dados de consulta'!$H$2:$I$25,2,0))</f>
        <v>0</v>
      </c>
      <c r="AD353">
        <f>IF(D353="",0,VLOOKUP(D353,'Dados de consulta'!$H$2:$I$25,2,0))</f>
        <v>0</v>
      </c>
      <c r="AE353">
        <f>IF(E353="",0,VLOOKUP(E353,'Dados de consulta'!$H$2:$I$25,2,0))</f>
        <v>0</v>
      </c>
      <c r="AF353">
        <f>IF(F353="",0,VLOOKUP(F353,'Dados de consulta'!$H$2:$I$25,2,0))</f>
        <v>0</v>
      </c>
      <c r="AG353">
        <f>IF(G353="",0,VLOOKUP(G353,'Dados de consulta'!$H$2:$I$25,2,0))</f>
        <v>0</v>
      </c>
      <c r="AH353">
        <f>IF(H353="",0,VLOOKUP(H353,'Dados de consulta'!$H$2:$I$25,2,0))</f>
        <v>0</v>
      </c>
      <c r="AI353">
        <f>IF(I353="",0,VLOOKUP(I353,'Dados de consulta'!$H$2:$I$25,2,0))</f>
        <v>0</v>
      </c>
      <c r="AJ353">
        <f>IF(J353="",0,VLOOKUP(J353,'Dados de consulta'!$H$2:$I$25,2,0))</f>
        <v>0</v>
      </c>
      <c r="AK353">
        <f>IF(K353="",0,VLOOKUP(K353,'Dados de consulta'!$H$2:$I$25,2,0))</f>
        <v>0</v>
      </c>
      <c r="AL353">
        <f>IF(L353="",0,VLOOKUP(L353,'Dados de consulta'!$H$2:$I$25,2,0))</f>
        <v>0</v>
      </c>
      <c r="AM353">
        <f>IF(M353="",0,VLOOKUP(M353,'Dados de consulta'!$H$2:$I$25,2,0))</f>
        <v>0</v>
      </c>
      <c r="AN353">
        <f>IF(N353="",0,VLOOKUP(N353,'Dados de consulta'!$H$2:$I$25,2,0))</f>
        <v>0</v>
      </c>
      <c r="AO353">
        <f>IF(O353="",0,VLOOKUP(O353,'Dados de consulta'!$H$2:$I$25,2,0))</f>
        <v>0</v>
      </c>
      <c r="AP353">
        <f>IF(P353="",0,VLOOKUP(P353,'Dados de consulta'!$H$2:$I$25,2,0))</f>
        <v>0</v>
      </c>
      <c r="AQ353">
        <f>IF(Q353="",0,VLOOKUP(Q353,'Dados de consulta'!$H$2:$I$25,2,0))</f>
        <v>0</v>
      </c>
      <c r="AR353">
        <f>IF(R353="",0,VLOOKUP(R353,'Dados de consulta'!$H$2:$I$25,2,0))</f>
        <v>0</v>
      </c>
      <c r="AS353">
        <f>IF(S353="",0,VLOOKUP(S353,'Dados de consulta'!$H$2:$I$25,2,0))</f>
        <v>0</v>
      </c>
      <c r="AT353">
        <f>IF(T353="",0,VLOOKUP(T353,'Dados de consulta'!$H$2:$I$25,2,0))</f>
        <v>0</v>
      </c>
      <c r="AU353">
        <f>IF(U353="",0,VLOOKUP(U353,'Dados de consulta'!$H$2:$I$25,2,0))</f>
        <v>0</v>
      </c>
      <c r="AV353">
        <f>IF(V353="",0,VLOOKUP(V353,'Dados de consulta'!$H$2:$I$25,2,0))</f>
        <v>0</v>
      </c>
      <c r="AW353">
        <f t="shared" si="38"/>
        <v>0</v>
      </c>
      <c r="AX353">
        <f t="shared" si="39"/>
        <v>0</v>
      </c>
      <c r="AY353">
        <f t="shared" si="40"/>
        <v>0</v>
      </c>
    </row>
    <row r="354" spans="1:51" hidden="1" x14ac:dyDescent="0.2">
      <c r="A354" s="202">
        <v>42611</v>
      </c>
      <c r="B354" s="78" t="s">
        <v>283</v>
      </c>
      <c r="AA354" s="202">
        <v>42611</v>
      </c>
      <c r="AB354" s="78" t="s">
        <v>283</v>
      </c>
      <c r="AC354">
        <f>IF(C354="",0,VLOOKUP(C354,'Dados de consulta'!$H$2:$I$25,2,0))</f>
        <v>0</v>
      </c>
      <c r="AD354">
        <f>IF(D354="",0,VLOOKUP(D354,'Dados de consulta'!$H$2:$I$25,2,0))</f>
        <v>0</v>
      </c>
      <c r="AE354">
        <f>IF(E354="",0,VLOOKUP(E354,'Dados de consulta'!$H$2:$I$25,2,0))</f>
        <v>0</v>
      </c>
      <c r="AF354">
        <f>IF(F354="",0,VLOOKUP(F354,'Dados de consulta'!$H$2:$I$25,2,0))</f>
        <v>0</v>
      </c>
      <c r="AG354">
        <f>IF(G354="",0,VLOOKUP(G354,'Dados de consulta'!$H$2:$I$25,2,0))</f>
        <v>0</v>
      </c>
      <c r="AH354">
        <f>IF(H354="",0,VLOOKUP(H354,'Dados de consulta'!$H$2:$I$25,2,0))</f>
        <v>0</v>
      </c>
      <c r="AI354">
        <f>IF(I354="",0,VLOOKUP(I354,'Dados de consulta'!$H$2:$I$25,2,0))</f>
        <v>0</v>
      </c>
      <c r="AJ354">
        <f>IF(J354="",0,VLOOKUP(J354,'Dados de consulta'!$H$2:$I$25,2,0))</f>
        <v>0</v>
      </c>
      <c r="AK354">
        <f>IF(K354="",0,VLOOKUP(K354,'Dados de consulta'!$H$2:$I$25,2,0))</f>
        <v>0</v>
      </c>
      <c r="AL354">
        <f>IF(L354="",0,VLOOKUP(L354,'Dados de consulta'!$H$2:$I$25,2,0))</f>
        <v>0</v>
      </c>
      <c r="AM354">
        <f>IF(M354="",0,VLOOKUP(M354,'Dados de consulta'!$H$2:$I$25,2,0))</f>
        <v>0</v>
      </c>
      <c r="AN354">
        <f>IF(N354="",0,VLOOKUP(N354,'Dados de consulta'!$H$2:$I$25,2,0))</f>
        <v>0</v>
      </c>
      <c r="AO354">
        <f>IF(O354="",0,VLOOKUP(O354,'Dados de consulta'!$H$2:$I$25,2,0))</f>
        <v>0</v>
      </c>
      <c r="AP354">
        <f>IF(P354="",0,VLOOKUP(P354,'Dados de consulta'!$H$2:$I$25,2,0))</f>
        <v>0</v>
      </c>
      <c r="AQ354">
        <f>IF(Q354="",0,VLOOKUP(Q354,'Dados de consulta'!$H$2:$I$25,2,0))</f>
        <v>0</v>
      </c>
      <c r="AR354">
        <f>IF(R354="",0,VLOOKUP(R354,'Dados de consulta'!$H$2:$I$25,2,0))</f>
        <v>0</v>
      </c>
      <c r="AS354">
        <f>IF(S354="",0,VLOOKUP(S354,'Dados de consulta'!$H$2:$I$25,2,0))</f>
        <v>0</v>
      </c>
      <c r="AT354">
        <f>IF(T354="",0,VLOOKUP(T354,'Dados de consulta'!$H$2:$I$25,2,0))</f>
        <v>0</v>
      </c>
      <c r="AU354">
        <f>IF(U354="",0,VLOOKUP(U354,'Dados de consulta'!$H$2:$I$25,2,0))</f>
        <v>0</v>
      </c>
      <c r="AV354">
        <f>IF(V354="",0,VLOOKUP(V354,'Dados de consulta'!$H$2:$I$25,2,0))</f>
        <v>0</v>
      </c>
      <c r="AW354">
        <f t="shared" si="38"/>
        <v>0</v>
      </c>
      <c r="AX354">
        <f t="shared" si="39"/>
        <v>0</v>
      </c>
      <c r="AY354">
        <f t="shared" si="40"/>
        <v>0</v>
      </c>
    </row>
    <row r="355" spans="1:51" hidden="1" x14ac:dyDescent="0.2">
      <c r="A355" s="202">
        <v>42612</v>
      </c>
      <c r="B355" s="78" t="s">
        <v>284</v>
      </c>
      <c r="AA355" s="202">
        <v>42612</v>
      </c>
      <c r="AB355" s="78" t="s">
        <v>284</v>
      </c>
      <c r="AC355">
        <f>IF(C355="",0,VLOOKUP(C355,'Dados de consulta'!$H$2:$I$25,2,0))</f>
        <v>0</v>
      </c>
      <c r="AD355">
        <f>IF(D355="",0,VLOOKUP(D355,'Dados de consulta'!$H$2:$I$25,2,0))</f>
        <v>0</v>
      </c>
      <c r="AE355">
        <f>IF(E355="",0,VLOOKUP(E355,'Dados de consulta'!$H$2:$I$25,2,0))</f>
        <v>0</v>
      </c>
      <c r="AF355">
        <f>IF(F355="",0,VLOOKUP(F355,'Dados de consulta'!$H$2:$I$25,2,0))</f>
        <v>0</v>
      </c>
      <c r="AG355">
        <f>IF(G355="",0,VLOOKUP(G355,'Dados de consulta'!$H$2:$I$25,2,0))</f>
        <v>0</v>
      </c>
      <c r="AH355">
        <f>IF(H355="",0,VLOOKUP(H355,'Dados de consulta'!$H$2:$I$25,2,0))</f>
        <v>0</v>
      </c>
      <c r="AI355">
        <f>IF(I355="",0,VLOOKUP(I355,'Dados de consulta'!$H$2:$I$25,2,0))</f>
        <v>0</v>
      </c>
      <c r="AJ355">
        <f>IF(J355="",0,VLOOKUP(J355,'Dados de consulta'!$H$2:$I$25,2,0))</f>
        <v>0</v>
      </c>
      <c r="AK355">
        <f>IF(K355="",0,VLOOKUP(K355,'Dados de consulta'!$H$2:$I$25,2,0))</f>
        <v>0</v>
      </c>
      <c r="AL355">
        <f>IF(L355="",0,VLOOKUP(L355,'Dados de consulta'!$H$2:$I$25,2,0))</f>
        <v>0</v>
      </c>
      <c r="AM355">
        <f>IF(M355="",0,VLOOKUP(M355,'Dados de consulta'!$H$2:$I$25,2,0))</f>
        <v>0</v>
      </c>
      <c r="AN355">
        <f>IF(N355="",0,VLOOKUP(N355,'Dados de consulta'!$H$2:$I$25,2,0))</f>
        <v>0</v>
      </c>
      <c r="AO355">
        <f>IF(O355="",0,VLOOKUP(O355,'Dados de consulta'!$H$2:$I$25,2,0))</f>
        <v>0</v>
      </c>
      <c r="AP355">
        <f>IF(P355="",0,VLOOKUP(P355,'Dados de consulta'!$H$2:$I$25,2,0))</f>
        <v>0</v>
      </c>
      <c r="AQ355">
        <f>IF(Q355="",0,VLOOKUP(Q355,'Dados de consulta'!$H$2:$I$25,2,0))</f>
        <v>0</v>
      </c>
      <c r="AR355">
        <f>IF(R355="",0,VLOOKUP(R355,'Dados de consulta'!$H$2:$I$25,2,0))</f>
        <v>0</v>
      </c>
      <c r="AS355">
        <f>IF(S355="",0,VLOOKUP(S355,'Dados de consulta'!$H$2:$I$25,2,0))</f>
        <v>0</v>
      </c>
      <c r="AT355">
        <f>IF(T355="",0,VLOOKUP(T355,'Dados de consulta'!$H$2:$I$25,2,0))</f>
        <v>0</v>
      </c>
      <c r="AU355">
        <f>IF(U355="",0,VLOOKUP(U355,'Dados de consulta'!$H$2:$I$25,2,0))</f>
        <v>0</v>
      </c>
      <c r="AV355">
        <f>IF(V355="",0,VLOOKUP(V355,'Dados de consulta'!$H$2:$I$25,2,0))</f>
        <v>0</v>
      </c>
      <c r="AW355">
        <f t="shared" si="38"/>
        <v>0</v>
      </c>
      <c r="AX355">
        <f t="shared" si="39"/>
        <v>0</v>
      </c>
      <c r="AY355">
        <f t="shared" si="40"/>
        <v>0</v>
      </c>
    </row>
    <row r="356" spans="1:51" hidden="1" x14ac:dyDescent="0.2">
      <c r="A356" s="202">
        <v>42613</v>
      </c>
      <c r="B356" s="78" t="s">
        <v>285</v>
      </c>
      <c r="AA356" s="202">
        <v>42613</v>
      </c>
      <c r="AB356" s="78" t="s">
        <v>285</v>
      </c>
      <c r="AC356">
        <f>IF(C356="",0,VLOOKUP(C356,'Dados de consulta'!$H$2:$I$25,2,0))</f>
        <v>0</v>
      </c>
      <c r="AD356">
        <f>IF(D356="",0,VLOOKUP(D356,'Dados de consulta'!$H$2:$I$25,2,0))</f>
        <v>0</v>
      </c>
      <c r="AE356">
        <f>IF(E356="",0,VLOOKUP(E356,'Dados de consulta'!$H$2:$I$25,2,0))</f>
        <v>0</v>
      </c>
      <c r="AF356">
        <f>IF(F356="",0,VLOOKUP(F356,'Dados de consulta'!$H$2:$I$25,2,0))</f>
        <v>0</v>
      </c>
      <c r="AG356">
        <f>IF(G356="",0,VLOOKUP(G356,'Dados de consulta'!$H$2:$I$25,2,0))</f>
        <v>0</v>
      </c>
      <c r="AH356">
        <f>IF(H356="",0,VLOOKUP(H356,'Dados de consulta'!$H$2:$I$25,2,0))</f>
        <v>0</v>
      </c>
      <c r="AI356">
        <f>IF(I356="",0,VLOOKUP(I356,'Dados de consulta'!$H$2:$I$25,2,0))</f>
        <v>0</v>
      </c>
      <c r="AJ356">
        <f>IF(J356="",0,VLOOKUP(J356,'Dados de consulta'!$H$2:$I$25,2,0))</f>
        <v>0</v>
      </c>
      <c r="AK356">
        <f>IF(K356="",0,VLOOKUP(K356,'Dados de consulta'!$H$2:$I$25,2,0))</f>
        <v>0</v>
      </c>
      <c r="AL356">
        <f>IF(L356="",0,VLOOKUP(L356,'Dados de consulta'!$H$2:$I$25,2,0))</f>
        <v>0</v>
      </c>
      <c r="AM356">
        <f>IF(M356="",0,VLOOKUP(M356,'Dados de consulta'!$H$2:$I$25,2,0))</f>
        <v>0</v>
      </c>
      <c r="AN356">
        <f>IF(N356="",0,VLOOKUP(N356,'Dados de consulta'!$H$2:$I$25,2,0))</f>
        <v>0</v>
      </c>
      <c r="AO356">
        <f>IF(O356="",0,VLOOKUP(O356,'Dados de consulta'!$H$2:$I$25,2,0))</f>
        <v>0</v>
      </c>
      <c r="AP356">
        <f>IF(P356="",0,VLOOKUP(P356,'Dados de consulta'!$H$2:$I$25,2,0))</f>
        <v>0</v>
      </c>
      <c r="AQ356">
        <f>IF(Q356="",0,VLOOKUP(Q356,'Dados de consulta'!$H$2:$I$25,2,0))</f>
        <v>0</v>
      </c>
      <c r="AR356">
        <f>IF(R356="",0,VLOOKUP(R356,'Dados de consulta'!$H$2:$I$25,2,0))</f>
        <v>0</v>
      </c>
      <c r="AS356">
        <f>IF(S356="",0,VLOOKUP(S356,'Dados de consulta'!$H$2:$I$25,2,0))</f>
        <v>0</v>
      </c>
      <c r="AT356">
        <f>IF(T356="",0,VLOOKUP(T356,'Dados de consulta'!$H$2:$I$25,2,0))</f>
        <v>0</v>
      </c>
      <c r="AU356">
        <f>IF(U356="",0,VLOOKUP(U356,'Dados de consulta'!$H$2:$I$25,2,0))</f>
        <v>0</v>
      </c>
      <c r="AV356">
        <f>IF(V356="",0,VLOOKUP(V356,'Dados de consulta'!$H$2:$I$25,2,0))</f>
        <v>0</v>
      </c>
      <c r="AW356">
        <f t="shared" si="38"/>
        <v>0</v>
      </c>
      <c r="AX356">
        <f t="shared" si="39"/>
        <v>0</v>
      </c>
      <c r="AY356">
        <f t="shared" si="40"/>
        <v>0</v>
      </c>
    </row>
    <row r="357" spans="1:51" hidden="1" x14ac:dyDescent="0.2">
      <c r="A357" s="202">
        <v>42614</v>
      </c>
      <c r="B357" s="78" t="s">
        <v>286</v>
      </c>
      <c r="AA357" s="202">
        <v>42614</v>
      </c>
      <c r="AB357" s="78" t="s">
        <v>286</v>
      </c>
      <c r="AC357">
        <f>IF(C357="",0,VLOOKUP(C357,'Dados de consulta'!$H$2:$I$25,2,0))</f>
        <v>0</v>
      </c>
      <c r="AD357">
        <f>IF(D357="",0,VLOOKUP(D357,'Dados de consulta'!$H$2:$I$25,2,0))</f>
        <v>0</v>
      </c>
      <c r="AE357">
        <f>IF(E357="",0,VLOOKUP(E357,'Dados de consulta'!$H$2:$I$25,2,0))</f>
        <v>0</v>
      </c>
      <c r="AF357">
        <f>IF(F357="",0,VLOOKUP(F357,'Dados de consulta'!$H$2:$I$25,2,0))</f>
        <v>0</v>
      </c>
      <c r="AG357">
        <f>IF(G357="",0,VLOOKUP(G357,'Dados de consulta'!$H$2:$I$25,2,0))</f>
        <v>0</v>
      </c>
      <c r="AH357">
        <f>IF(H357="",0,VLOOKUP(H357,'Dados de consulta'!$H$2:$I$25,2,0))</f>
        <v>0</v>
      </c>
      <c r="AI357">
        <f>IF(I357="",0,VLOOKUP(I357,'Dados de consulta'!$H$2:$I$25,2,0))</f>
        <v>0</v>
      </c>
      <c r="AJ357">
        <f>IF(J357="",0,VLOOKUP(J357,'Dados de consulta'!$H$2:$I$25,2,0))</f>
        <v>0</v>
      </c>
      <c r="AK357">
        <f>IF(K357="",0,VLOOKUP(K357,'Dados de consulta'!$H$2:$I$25,2,0))</f>
        <v>0</v>
      </c>
      <c r="AL357">
        <f>IF(L357="",0,VLOOKUP(L357,'Dados de consulta'!$H$2:$I$25,2,0))</f>
        <v>0</v>
      </c>
      <c r="AM357">
        <f>IF(M357="",0,VLOOKUP(M357,'Dados de consulta'!$H$2:$I$25,2,0))</f>
        <v>0</v>
      </c>
      <c r="AN357">
        <f>IF(N357="",0,VLOOKUP(N357,'Dados de consulta'!$H$2:$I$25,2,0))</f>
        <v>0</v>
      </c>
      <c r="AO357">
        <f>IF(O357="",0,VLOOKUP(O357,'Dados de consulta'!$H$2:$I$25,2,0))</f>
        <v>0</v>
      </c>
      <c r="AP357">
        <f>IF(P357="",0,VLOOKUP(P357,'Dados de consulta'!$H$2:$I$25,2,0))</f>
        <v>0</v>
      </c>
      <c r="AQ357">
        <f>IF(Q357="",0,VLOOKUP(Q357,'Dados de consulta'!$H$2:$I$25,2,0))</f>
        <v>0</v>
      </c>
      <c r="AR357">
        <f>IF(R357="",0,VLOOKUP(R357,'Dados de consulta'!$H$2:$I$25,2,0))</f>
        <v>0</v>
      </c>
      <c r="AS357">
        <f>IF(S357="",0,VLOOKUP(S357,'Dados de consulta'!$H$2:$I$25,2,0))</f>
        <v>0</v>
      </c>
      <c r="AT357">
        <f>IF(T357="",0,VLOOKUP(T357,'Dados de consulta'!$H$2:$I$25,2,0))</f>
        <v>0</v>
      </c>
      <c r="AU357">
        <f>IF(U357="",0,VLOOKUP(U357,'Dados de consulta'!$H$2:$I$25,2,0))</f>
        <v>0</v>
      </c>
      <c r="AV357">
        <f>IF(V357="",0,VLOOKUP(V357,'Dados de consulta'!$H$2:$I$25,2,0))</f>
        <v>0</v>
      </c>
      <c r="AW357">
        <f t="shared" si="38"/>
        <v>0</v>
      </c>
      <c r="AX357">
        <f t="shared" si="39"/>
        <v>0</v>
      </c>
      <c r="AY357">
        <f t="shared" si="40"/>
        <v>0</v>
      </c>
    </row>
    <row r="358" spans="1:51" hidden="1" x14ac:dyDescent="0.2">
      <c r="A358" s="202">
        <v>42615</v>
      </c>
      <c r="B358" s="78" t="s">
        <v>287</v>
      </c>
      <c r="AA358" s="202">
        <v>42615</v>
      </c>
      <c r="AB358" s="78" t="s">
        <v>287</v>
      </c>
      <c r="AC358">
        <f>IF(C358="",0,VLOOKUP(C358,'Dados de consulta'!$H$2:$I$25,2,0))</f>
        <v>0</v>
      </c>
      <c r="AD358">
        <f>IF(D358="",0,VLOOKUP(D358,'Dados de consulta'!$H$2:$I$25,2,0))</f>
        <v>0</v>
      </c>
      <c r="AE358">
        <f>IF(E358="",0,VLOOKUP(E358,'Dados de consulta'!$H$2:$I$25,2,0))</f>
        <v>0</v>
      </c>
      <c r="AF358">
        <f>IF(F358="",0,VLOOKUP(F358,'Dados de consulta'!$H$2:$I$25,2,0))</f>
        <v>0</v>
      </c>
      <c r="AG358">
        <f>IF(G358="",0,VLOOKUP(G358,'Dados de consulta'!$H$2:$I$25,2,0))</f>
        <v>0</v>
      </c>
      <c r="AH358">
        <f>IF(H358="",0,VLOOKUP(H358,'Dados de consulta'!$H$2:$I$25,2,0))</f>
        <v>0</v>
      </c>
      <c r="AI358">
        <f>IF(I358="",0,VLOOKUP(I358,'Dados de consulta'!$H$2:$I$25,2,0))</f>
        <v>0</v>
      </c>
      <c r="AJ358">
        <f>IF(J358="",0,VLOOKUP(J358,'Dados de consulta'!$H$2:$I$25,2,0))</f>
        <v>0</v>
      </c>
      <c r="AK358">
        <f>IF(K358="",0,VLOOKUP(K358,'Dados de consulta'!$H$2:$I$25,2,0))</f>
        <v>0</v>
      </c>
      <c r="AL358">
        <f>IF(L358="",0,VLOOKUP(L358,'Dados de consulta'!$H$2:$I$25,2,0))</f>
        <v>0</v>
      </c>
      <c r="AM358">
        <f>IF(M358="",0,VLOOKUP(M358,'Dados de consulta'!$H$2:$I$25,2,0))</f>
        <v>0</v>
      </c>
      <c r="AN358">
        <f>IF(N358="",0,VLOOKUP(N358,'Dados de consulta'!$H$2:$I$25,2,0))</f>
        <v>0</v>
      </c>
      <c r="AO358">
        <f>IF(O358="",0,VLOOKUP(O358,'Dados de consulta'!$H$2:$I$25,2,0))</f>
        <v>0</v>
      </c>
      <c r="AP358">
        <f>IF(P358="",0,VLOOKUP(P358,'Dados de consulta'!$H$2:$I$25,2,0))</f>
        <v>0</v>
      </c>
      <c r="AQ358">
        <f>IF(Q358="",0,VLOOKUP(Q358,'Dados de consulta'!$H$2:$I$25,2,0))</f>
        <v>0</v>
      </c>
      <c r="AR358">
        <f>IF(R358="",0,VLOOKUP(R358,'Dados de consulta'!$H$2:$I$25,2,0))</f>
        <v>0</v>
      </c>
      <c r="AS358">
        <f>IF(S358="",0,VLOOKUP(S358,'Dados de consulta'!$H$2:$I$25,2,0))</f>
        <v>0</v>
      </c>
      <c r="AT358">
        <f>IF(T358="",0,VLOOKUP(T358,'Dados de consulta'!$H$2:$I$25,2,0))</f>
        <v>0</v>
      </c>
      <c r="AU358">
        <f>IF(U358="",0,VLOOKUP(U358,'Dados de consulta'!$H$2:$I$25,2,0))</f>
        <v>0</v>
      </c>
      <c r="AV358">
        <f>IF(V358="",0,VLOOKUP(V358,'Dados de consulta'!$H$2:$I$25,2,0))</f>
        <v>0</v>
      </c>
      <c r="AW358">
        <f t="shared" si="38"/>
        <v>0</v>
      </c>
      <c r="AX358">
        <f t="shared" si="39"/>
        <v>0</v>
      </c>
      <c r="AY358">
        <f t="shared" si="40"/>
        <v>0</v>
      </c>
    </row>
    <row r="359" spans="1:51" hidden="1" x14ac:dyDescent="0.2">
      <c r="A359" s="202">
        <v>42616</v>
      </c>
      <c r="B359" s="78" t="s">
        <v>281</v>
      </c>
      <c r="AA359" s="202">
        <v>42616</v>
      </c>
      <c r="AB359" s="78" t="s">
        <v>281</v>
      </c>
      <c r="AC359">
        <f>IF(C359="",0,VLOOKUP(C359,'Dados de consulta'!$H$2:$I$25,2,0))</f>
        <v>0</v>
      </c>
      <c r="AD359">
        <f>IF(D359="",0,VLOOKUP(D359,'Dados de consulta'!$H$2:$I$25,2,0))</f>
        <v>0</v>
      </c>
      <c r="AE359">
        <f>IF(E359="",0,VLOOKUP(E359,'Dados de consulta'!$H$2:$I$25,2,0))</f>
        <v>0</v>
      </c>
      <c r="AF359">
        <f>IF(F359="",0,VLOOKUP(F359,'Dados de consulta'!$H$2:$I$25,2,0))</f>
        <v>0</v>
      </c>
      <c r="AG359">
        <f>IF(G359="",0,VLOOKUP(G359,'Dados de consulta'!$H$2:$I$25,2,0))</f>
        <v>0</v>
      </c>
      <c r="AH359">
        <f>IF(H359="",0,VLOOKUP(H359,'Dados de consulta'!$H$2:$I$25,2,0))</f>
        <v>0</v>
      </c>
      <c r="AI359">
        <f>IF(I359="",0,VLOOKUP(I359,'Dados de consulta'!$H$2:$I$25,2,0))</f>
        <v>0</v>
      </c>
      <c r="AJ359">
        <f>IF(J359="",0,VLOOKUP(J359,'Dados de consulta'!$H$2:$I$25,2,0))</f>
        <v>0</v>
      </c>
      <c r="AK359">
        <f>IF(K359="",0,VLOOKUP(K359,'Dados de consulta'!$H$2:$I$25,2,0))</f>
        <v>0</v>
      </c>
      <c r="AL359">
        <f>IF(L359="",0,VLOOKUP(L359,'Dados de consulta'!$H$2:$I$25,2,0))</f>
        <v>0</v>
      </c>
      <c r="AM359">
        <f>IF(M359="",0,VLOOKUP(M359,'Dados de consulta'!$H$2:$I$25,2,0))</f>
        <v>0</v>
      </c>
      <c r="AN359">
        <f>IF(N359="",0,VLOOKUP(N359,'Dados de consulta'!$H$2:$I$25,2,0))</f>
        <v>0</v>
      </c>
      <c r="AO359">
        <f>IF(O359="",0,VLOOKUP(O359,'Dados de consulta'!$H$2:$I$25,2,0))</f>
        <v>0</v>
      </c>
      <c r="AP359">
        <f>IF(P359="",0,VLOOKUP(P359,'Dados de consulta'!$H$2:$I$25,2,0))</f>
        <v>0</v>
      </c>
      <c r="AQ359">
        <f>IF(Q359="",0,VLOOKUP(Q359,'Dados de consulta'!$H$2:$I$25,2,0))</f>
        <v>0</v>
      </c>
      <c r="AR359">
        <f>IF(R359="",0,VLOOKUP(R359,'Dados de consulta'!$H$2:$I$25,2,0))</f>
        <v>0</v>
      </c>
      <c r="AS359">
        <f>IF(S359="",0,VLOOKUP(S359,'Dados de consulta'!$H$2:$I$25,2,0))</f>
        <v>0</v>
      </c>
      <c r="AT359">
        <f>IF(T359="",0,VLOOKUP(T359,'Dados de consulta'!$H$2:$I$25,2,0))</f>
        <v>0</v>
      </c>
      <c r="AU359">
        <f>IF(U359="",0,VLOOKUP(U359,'Dados de consulta'!$H$2:$I$25,2,0))</f>
        <v>0</v>
      </c>
      <c r="AV359">
        <f>IF(V359="",0,VLOOKUP(V359,'Dados de consulta'!$H$2:$I$25,2,0))</f>
        <v>0</v>
      </c>
      <c r="AW359">
        <f t="shared" si="38"/>
        <v>0</v>
      </c>
      <c r="AX359">
        <f t="shared" si="39"/>
        <v>0</v>
      </c>
      <c r="AY359">
        <f t="shared" si="40"/>
        <v>0</v>
      </c>
    </row>
    <row r="360" spans="1:51" hidden="1" x14ac:dyDescent="0.2">
      <c r="A360" s="202">
        <v>42617</v>
      </c>
      <c r="B360" s="78" t="s">
        <v>282</v>
      </c>
      <c r="AA360" s="202">
        <v>42617</v>
      </c>
      <c r="AB360" s="78" t="s">
        <v>282</v>
      </c>
      <c r="AC360">
        <f>IF(C360="",0,VLOOKUP(C360,'Dados de consulta'!$H$2:$I$25,2,0))</f>
        <v>0</v>
      </c>
      <c r="AD360">
        <f>IF(D360="",0,VLOOKUP(D360,'Dados de consulta'!$H$2:$I$25,2,0))</f>
        <v>0</v>
      </c>
      <c r="AE360">
        <f>IF(E360="",0,VLOOKUP(E360,'Dados de consulta'!$H$2:$I$25,2,0))</f>
        <v>0</v>
      </c>
      <c r="AF360">
        <f>IF(F360="",0,VLOOKUP(F360,'Dados de consulta'!$H$2:$I$25,2,0))</f>
        <v>0</v>
      </c>
      <c r="AG360">
        <f>IF(G360="",0,VLOOKUP(G360,'Dados de consulta'!$H$2:$I$25,2,0))</f>
        <v>0</v>
      </c>
      <c r="AH360">
        <f>IF(H360="",0,VLOOKUP(H360,'Dados de consulta'!$H$2:$I$25,2,0))</f>
        <v>0</v>
      </c>
      <c r="AI360">
        <f>IF(I360="",0,VLOOKUP(I360,'Dados de consulta'!$H$2:$I$25,2,0))</f>
        <v>0</v>
      </c>
      <c r="AJ360">
        <f>IF(J360="",0,VLOOKUP(J360,'Dados de consulta'!$H$2:$I$25,2,0))</f>
        <v>0</v>
      </c>
      <c r="AK360">
        <f>IF(K360="",0,VLOOKUP(K360,'Dados de consulta'!$H$2:$I$25,2,0))</f>
        <v>0</v>
      </c>
      <c r="AL360">
        <f>IF(L360="",0,VLOOKUP(L360,'Dados de consulta'!$H$2:$I$25,2,0))</f>
        <v>0</v>
      </c>
      <c r="AM360">
        <f>IF(M360="",0,VLOOKUP(M360,'Dados de consulta'!$H$2:$I$25,2,0))</f>
        <v>0</v>
      </c>
      <c r="AN360">
        <f>IF(N360="",0,VLOOKUP(N360,'Dados de consulta'!$H$2:$I$25,2,0))</f>
        <v>0</v>
      </c>
      <c r="AO360">
        <f>IF(O360="",0,VLOOKUP(O360,'Dados de consulta'!$H$2:$I$25,2,0))</f>
        <v>0</v>
      </c>
      <c r="AP360">
        <f>IF(P360="",0,VLOOKUP(P360,'Dados de consulta'!$H$2:$I$25,2,0))</f>
        <v>0</v>
      </c>
      <c r="AQ360">
        <f>IF(Q360="",0,VLOOKUP(Q360,'Dados de consulta'!$H$2:$I$25,2,0))</f>
        <v>0</v>
      </c>
      <c r="AR360">
        <f>IF(R360="",0,VLOOKUP(R360,'Dados de consulta'!$H$2:$I$25,2,0))</f>
        <v>0</v>
      </c>
      <c r="AS360">
        <f>IF(S360="",0,VLOOKUP(S360,'Dados de consulta'!$H$2:$I$25,2,0))</f>
        <v>0</v>
      </c>
      <c r="AT360">
        <f>IF(T360="",0,VLOOKUP(T360,'Dados de consulta'!$H$2:$I$25,2,0))</f>
        <v>0</v>
      </c>
      <c r="AU360">
        <f>IF(U360="",0,VLOOKUP(U360,'Dados de consulta'!$H$2:$I$25,2,0))</f>
        <v>0</v>
      </c>
      <c r="AV360">
        <f>IF(V360="",0,VLOOKUP(V360,'Dados de consulta'!$H$2:$I$25,2,0))</f>
        <v>0</v>
      </c>
      <c r="AW360">
        <f t="shared" si="38"/>
        <v>0</v>
      </c>
      <c r="AX360">
        <f t="shared" si="39"/>
        <v>0</v>
      </c>
      <c r="AY360">
        <f t="shared" si="40"/>
        <v>0</v>
      </c>
    </row>
    <row r="361" spans="1:51" hidden="1" x14ac:dyDescent="0.2">
      <c r="A361" s="202">
        <v>42618</v>
      </c>
      <c r="B361" s="78" t="s">
        <v>283</v>
      </c>
      <c r="AA361" s="202">
        <v>42618</v>
      </c>
      <c r="AB361" s="78" t="s">
        <v>283</v>
      </c>
      <c r="AC361">
        <f>IF(C361="",0,VLOOKUP(C361,'Dados de consulta'!$H$2:$I$25,2,0))</f>
        <v>0</v>
      </c>
      <c r="AD361">
        <f>IF(D361="",0,VLOOKUP(D361,'Dados de consulta'!$H$2:$I$25,2,0))</f>
        <v>0</v>
      </c>
      <c r="AE361">
        <f>IF(E361="",0,VLOOKUP(E361,'Dados de consulta'!$H$2:$I$25,2,0))</f>
        <v>0</v>
      </c>
      <c r="AF361">
        <f>IF(F361="",0,VLOOKUP(F361,'Dados de consulta'!$H$2:$I$25,2,0))</f>
        <v>0</v>
      </c>
      <c r="AG361">
        <f>IF(G361="",0,VLOOKUP(G361,'Dados de consulta'!$H$2:$I$25,2,0))</f>
        <v>0</v>
      </c>
      <c r="AH361">
        <f>IF(H361="",0,VLOOKUP(H361,'Dados de consulta'!$H$2:$I$25,2,0))</f>
        <v>0</v>
      </c>
      <c r="AI361">
        <f>IF(I361="",0,VLOOKUP(I361,'Dados de consulta'!$H$2:$I$25,2,0))</f>
        <v>0</v>
      </c>
      <c r="AJ361">
        <f>IF(J361="",0,VLOOKUP(J361,'Dados de consulta'!$H$2:$I$25,2,0))</f>
        <v>0</v>
      </c>
      <c r="AK361">
        <f>IF(K361="",0,VLOOKUP(K361,'Dados de consulta'!$H$2:$I$25,2,0))</f>
        <v>0</v>
      </c>
      <c r="AL361">
        <f>IF(L361="",0,VLOOKUP(L361,'Dados de consulta'!$H$2:$I$25,2,0))</f>
        <v>0</v>
      </c>
      <c r="AM361">
        <f>IF(M361="",0,VLOOKUP(M361,'Dados de consulta'!$H$2:$I$25,2,0))</f>
        <v>0</v>
      </c>
      <c r="AN361">
        <f>IF(N361="",0,VLOOKUP(N361,'Dados de consulta'!$H$2:$I$25,2,0))</f>
        <v>0</v>
      </c>
      <c r="AO361">
        <f>IF(O361="",0,VLOOKUP(O361,'Dados de consulta'!$H$2:$I$25,2,0))</f>
        <v>0</v>
      </c>
      <c r="AP361">
        <f>IF(P361="",0,VLOOKUP(P361,'Dados de consulta'!$H$2:$I$25,2,0))</f>
        <v>0</v>
      </c>
      <c r="AQ361">
        <f>IF(Q361="",0,VLOOKUP(Q361,'Dados de consulta'!$H$2:$I$25,2,0))</f>
        <v>0</v>
      </c>
      <c r="AR361">
        <f>IF(R361="",0,VLOOKUP(R361,'Dados de consulta'!$H$2:$I$25,2,0))</f>
        <v>0</v>
      </c>
      <c r="AS361">
        <f>IF(S361="",0,VLOOKUP(S361,'Dados de consulta'!$H$2:$I$25,2,0))</f>
        <v>0</v>
      </c>
      <c r="AT361">
        <f>IF(T361="",0,VLOOKUP(T361,'Dados de consulta'!$H$2:$I$25,2,0))</f>
        <v>0</v>
      </c>
      <c r="AU361">
        <f>IF(U361="",0,VLOOKUP(U361,'Dados de consulta'!$H$2:$I$25,2,0))</f>
        <v>0</v>
      </c>
      <c r="AV361">
        <f>IF(V361="",0,VLOOKUP(V361,'Dados de consulta'!$H$2:$I$25,2,0))</f>
        <v>0</v>
      </c>
      <c r="AW361">
        <f t="shared" si="38"/>
        <v>0</v>
      </c>
      <c r="AX361">
        <f t="shared" si="39"/>
        <v>0</v>
      </c>
      <c r="AY361">
        <f t="shared" si="40"/>
        <v>0</v>
      </c>
    </row>
    <row r="362" spans="1:51" hidden="1" x14ac:dyDescent="0.2">
      <c r="A362" s="202">
        <v>42619</v>
      </c>
      <c r="B362" s="78" t="s">
        <v>284</v>
      </c>
      <c r="AA362" s="202">
        <v>42619</v>
      </c>
      <c r="AB362" s="78" t="s">
        <v>284</v>
      </c>
      <c r="AC362">
        <f>IF(C362="",0,VLOOKUP(C362,'Dados de consulta'!$H$2:$I$25,2,0))</f>
        <v>0</v>
      </c>
      <c r="AD362">
        <f>IF(D362="",0,VLOOKUP(D362,'Dados de consulta'!$H$2:$I$25,2,0))</f>
        <v>0</v>
      </c>
      <c r="AE362">
        <f>IF(E362="",0,VLOOKUP(E362,'Dados de consulta'!$H$2:$I$25,2,0))</f>
        <v>0</v>
      </c>
      <c r="AF362">
        <f>IF(F362="",0,VLOOKUP(F362,'Dados de consulta'!$H$2:$I$25,2,0))</f>
        <v>0</v>
      </c>
      <c r="AG362">
        <f>IF(G362="",0,VLOOKUP(G362,'Dados de consulta'!$H$2:$I$25,2,0))</f>
        <v>0</v>
      </c>
      <c r="AH362">
        <f>IF(H362="",0,VLOOKUP(H362,'Dados de consulta'!$H$2:$I$25,2,0))</f>
        <v>0</v>
      </c>
      <c r="AI362">
        <f>IF(I362="",0,VLOOKUP(I362,'Dados de consulta'!$H$2:$I$25,2,0))</f>
        <v>0</v>
      </c>
      <c r="AJ362">
        <f>IF(J362="",0,VLOOKUP(J362,'Dados de consulta'!$H$2:$I$25,2,0))</f>
        <v>0</v>
      </c>
      <c r="AK362">
        <f>IF(K362="",0,VLOOKUP(K362,'Dados de consulta'!$H$2:$I$25,2,0))</f>
        <v>0</v>
      </c>
      <c r="AL362">
        <f>IF(L362="",0,VLOOKUP(L362,'Dados de consulta'!$H$2:$I$25,2,0))</f>
        <v>0</v>
      </c>
      <c r="AM362">
        <f>IF(M362="",0,VLOOKUP(M362,'Dados de consulta'!$H$2:$I$25,2,0))</f>
        <v>0</v>
      </c>
      <c r="AN362">
        <f>IF(N362="",0,VLOOKUP(N362,'Dados de consulta'!$H$2:$I$25,2,0))</f>
        <v>0</v>
      </c>
      <c r="AO362">
        <f>IF(O362="",0,VLOOKUP(O362,'Dados de consulta'!$H$2:$I$25,2,0))</f>
        <v>0</v>
      </c>
      <c r="AP362">
        <f>IF(P362="",0,VLOOKUP(P362,'Dados de consulta'!$H$2:$I$25,2,0))</f>
        <v>0</v>
      </c>
      <c r="AQ362">
        <f>IF(Q362="",0,VLOOKUP(Q362,'Dados de consulta'!$H$2:$I$25,2,0))</f>
        <v>0</v>
      </c>
      <c r="AR362">
        <f>IF(R362="",0,VLOOKUP(R362,'Dados de consulta'!$H$2:$I$25,2,0))</f>
        <v>0</v>
      </c>
      <c r="AS362">
        <f>IF(S362="",0,VLOOKUP(S362,'Dados de consulta'!$H$2:$I$25,2,0))</f>
        <v>0</v>
      </c>
      <c r="AT362">
        <f>IF(T362="",0,VLOOKUP(T362,'Dados de consulta'!$H$2:$I$25,2,0))</f>
        <v>0</v>
      </c>
      <c r="AU362">
        <f>IF(U362="",0,VLOOKUP(U362,'Dados de consulta'!$H$2:$I$25,2,0))</f>
        <v>0</v>
      </c>
      <c r="AV362">
        <f>IF(V362="",0,VLOOKUP(V362,'Dados de consulta'!$H$2:$I$25,2,0))</f>
        <v>0</v>
      </c>
      <c r="AW362">
        <f t="shared" si="38"/>
        <v>0</v>
      </c>
      <c r="AX362">
        <f t="shared" si="39"/>
        <v>0</v>
      </c>
      <c r="AY362">
        <f t="shared" si="40"/>
        <v>0</v>
      </c>
    </row>
    <row r="363" spans="1:51" hidden="1" x14ac:dyDescent="0.2">
      <c r="A363" s="202">
        <v>42620</v>
      </c>
      <c r="B363" s="78" t="s">
        <v>285</v>
      </c>
      <c r="AA363" s="202">
        <v>42620</v>
      </c>
      <c r="AB363" s="78" t="s">
        <v>285</v>
      </c>
      <c r="AC363">
        <f>IF(C363="",0,VLOOKUP(C363,'Dados de consulta'!$H$2:$I$25,2,0))</f>
        <v>0</v>
      </c>
      <c r="AD363">
        <f>IF(D363="",0,VLOOKUP(D363,'Dados de consulta'!$H$2:$I$25,2,0))</f>
        <v>0</v>
      </c>
      <c r="AE363">
        <f>IF(E363="",0,VLOOKUP(E363,'Dados de consulta'!$H$2:$I$25,2,0))</f>
        <v>0</v>
      </c>
      <c r="AF363">
        <f>IF(F363="",0,VLOOKUP(F363,'Dados de consulta'!$H$2:$I$25,2,0))</f>
        <v>0</v>
      </c>
      <c r="AG363">
        <f>IF(G363="",0,VLOOKUP(G363,'Dados de consulta'!$H$2:$I$25,2,0))</f>
        <v>0</v>
      </c>
      <c r="AH363">
        <f>IF(H363="",0,VLOOKUP(H363,'Dados de consulta'!$H$2:$I$25,2,0))</f>
        <v>0</v>
      </c>
      <c r="AI363">
        <f>IF(I363="",0,VLOOKUP(I363,'Dados de consulta'!$H$2:$I$25,2,0))</f>
        <v>0</v>
      </c>
      <c r="AJ363">
        <f>IF(J363="",0,VLOOKUP(J363,'Dados de consulta'!$H$2:$I$25,2,0))</f>
        <v>0</v>
      </c>
      <c r="AK363">
        <f>IF(K363="",0,VLOOKUP(K363,'Dados de consulta'!$H$2:$I$25,2,0))</f>
        <v>0</v>
      </c>
      <c r="AL363">
        <f>IF(L363="",0,VLOOKUP(L363,'Dados de consulta'!$H$2:$I$25,2,0))</f>
        <v>0</v>
      </c>
      <c r="AM363">
        <f>IF(M363="",0,VLOOKUP(M363,'Dados de consulta'!$H$2:$I$25,2,0))</f>
        <v>0</v>
      </c>
      <c r="AN363">
        <f>IF(N363="",0,VLOOKUP(N363,'Dados de consulta'!$H$2:$I$25,2,0))</f>
        <v>0</v>
      </c>
      <c r="AO363">
        <f>IF(O363="",0,VLOOKUP(O363,'Dados de consulta'!$H$2:$I$25,2,0))</f>
        <v>0</v>
      </c>
      <c r="AP363">
        <f>IF(P363="",0,VLOOKUP(P363,'Dados de consulta'!$H$2:$I$25,2,0))</f>
        <v>0</v>
      </c>
      <c r="AQ363">
        <f>IF(Q363="",0,VLOOKUP(Q363,'Dados de consulta'!$H$2:$I$25,2,0))</f>
        <v>0</v>
      </c>
      <c r="AR363">
        <f>IF(R363="",0,VLOOKUP(R363,'Dados de consulta'!$H$2:$I$25,2,0))</f>
        <v>0</v>
      </c>
      <c r="AS363">
        <f>IF(S363="",0,VLOOKUP(S363,'Dados de consulta'!$H$2:$I$25,2,0))</f>
        <v>0</v>
      </c>
      <c r="AT363">
        <f>IF(T363="",0,VLOOKUP(T363,'Dados de consulta'!$H$2:$I$25,2,0))</f>
        <v>0</v>
      </c>
      <c r="AU363">
        <f>IF(U363="",0,VLOOKUP(U363,'Dados de consulta'!$H$2:$I$25,2,0))</f>
        <v>0</v>
      </c>
      <c r="AV363">
        <f>IF(V363="",0,VLOOKUP(V363,'Dados de consulta'!$H$2:$I$25,2,0))</f>
        <v>0</v>
      </c>
      <c r="AW363">
        <f t="shared" si="38"/>
        <v>0</v>
      </c>
      <c r="AX363">
        <f t="shared" si="39"/>
        <v>0</v>
      </c>
      <c r="AY363">
        <f t="shared" si="40"/>
        <v>0</v>
      </c>
    </row>
    <row r="364" spans="1:51" hidden="1" x14ac:dyDescent="0.2">
      <c r="A364" s="202">
        <v>42621</v>
      </c>
      <c r="B364" s="78" t="s">
        <v>286</v>
      </c>
      <c r="AA364" s="202">
        <v>42621</v>
      </c>
      <c r="AB364" s="78" t="s">
        <v>286</v>
      </c>
      <c r="AC364">
        <f>IF(C364="",0,VLOOKUP(C364,'Dados de consulta'!$H$2:$I$25,2,0))</f>
        <v>0</v>
      </c>
      <c r="AD364">
        <f>IF(D364="",0,VLOOKUP(D364,'Dados de consulta'!$H$2:$I$25,2,0))</f>
        <v>0</v>
      </c>
      <c r="AE364">
        <f>IF(E364="",0,VLOOKUP(E364,'Dados de consulta'!$H$2:$I$25,2,0))</f>
        <v>0</v>
      </c>
      <c r="AF364">
        <f>IF(F364="",0,VLOOKUP(F364,'Dados de consulta'!$H$2:$I$25,2,0))</f>
        <v>0</v>
      </c>
      <c r="AG364">
        <f>IF(G364="",0,VLOOKUP(G364,'Dados de consulta'!$H$2:$I$25,2,0))</f>
        <v>0</v>
      </c>
      <c r="AH364">
        <f>IF(H364="",0,VLOOKUP(H364,'Dados de consulta'!$H$2:$I$25,2,0))</f>
        <v>0</v>
      </c>
      <c r="AI364">
        <f>IF(I364="",0,VLOOKUP(I364,'Dados de consulta'!$H$2:$I$25,2,0))</f>
        <v>0</v>
      </c>
      <c r="AJ364">
        <f>IF(J364="",0,VLOOKUP(J364,'Dados de consulta'!$H$2:$I$25,2,0))</f>
        <v>0</v>
      </c>
      <c r="AK364">
        <f>IF(K364="",0,VLOOKUP(K364,'Dados de consulta'!$H$2:$I$25,2,0))</f>
        <v>0</v>
      </c>
      <c r="AL364">
        <f>IF(L364="",0,VLOOKUP(L364,'Dados de consulta'!$H$2:$I$25,2,0))</f>
        <v>0</v>
      </c>
      <c r="AM364">
        <f>IF(M364="",0,VLOOKUP(M364,'Dados de consulta'!$H$2:$I$25,2,0))</f>
        <v>0</v>
      </c>
      <c r="AN364">
        <f>IF(N364="",0,VLOOKUP(N364,'Dados de consulta'!$H$2:$I$25,2,0))</f>
        <v>0</v>
      </c>
      <c r="AO364">
        <f>IF(O364="",0,VLOOKUP(O364,'Dados de consulta'!$H$2:$I$25,2,0))</f>
        <v>0</v>
      </c>
      <c r="AP364">
        <f>IF(P364="",0,VLOOKUP(P364,'Dados de consulta'!$H$2:$I$25,2,0))</f>
        <v>0</v>
      </c>
      <c r="AQ364">
        <f>IF(Q364="",0,VLOOKUP(Q364,'Dados de consulta'!$H$2:$I$25,2,0))</f>
        <v>0</v>
      </c>
      <c r="AR364">
        <f>IF(R364="",0,VLOOKUP(R364,'Dados de consulta'!$H$2:$I$25,2,0))</f>
        <v>0</v>
      </c>
      <c r="AS364">
        <f>IF(S364="",0,VLOOKUP(S364,'Dados de consulta'!$H$2:$I$25,2,0))</f>
        <v>0</v>
      </c>
      <c r="AT364">
        <f>IF(T364="",0,VLOOKUP(T364,'Dados de consulta'!$H$2:$I$25,2,0))</f>
        <v>0</v>
      </c>
      <c r="AU364">
        <f>IF(U364="",0,VLOOKUP(U364,'Dados de consulta'!$H$2:$I$25,2,0))</f>
        <v>0</v>
      </c>
      <c r="AV364">
        <f>IF(V364="",0,VLOOKUP(V364,'Dados de consulta'!$H$2:$I$25,2,0))</f>
        <v>0</v>
      </c>
      <c r="AW364">
        <f t="shared" si="38"/>
        <v>0</v>
      </c>
      <c r="AX364">
        <f t="shared" si="39"/>
        <v>0</v>
      </c>
      <c r="AY364">
        <f t="shared" si="40"/>
        <v>0</v>
      </c>
    </row>
    <row r="365" spans="1:51" hidden="1" x14ac:dyDescent="0.2">
      <c r="A365" s="202">
        <v>42622</v>
      </c>
      <c r="B365" s="78" t="s">
        <v>287</v>
      </c>
      <c r="AA365" s="202">
        <v>42622</v>
      </c>
      <c r="AB365" s="78" t="s">
        <v>287</v>
      </c>
      <c r="AC365">
        <f>IF(C365="",0,VLOOKUP(C365,'Dados de consulta'!$H$2:$I$25,2,0))</f>
        <v>0</v>
      </c>
      <c r="AD365">
        <f>IF(D365="",0,VLOOKUP(D365,'Dados de consulta'!$H$2:$I$25,2,0))</f>
        <v>0</v>
      </c>
      <c r="AE365">
        <f>IF(E365="",0,VLOOKUP(E365,'Dados de consulta'!$H$2:$I$25,2,0))</f>
        <v>0</v>
      </c>
      <c r="AF365">
        <f>IF(F365="",0,VLOOKUP(F365,'Dados de consulta'!$H$2:$I$25,2,0))</f>
        <v>0</v>
      </c>
      <c r="AG365">
        <f>IF(G365="",0,VLOOKUP(G365,'Dados de consulta'!$H$2:$I$25,2,0))</f>
        <v>0</v>
      </c>
      <c r="AH365">
        <f>IF(H365="",0,VLOOKUP(H365,'Dados de consulta'!$H$2:$I$25,2,0))</f>
        <v>0</v>
      </c>
      <c r="AI365">
        <f>IF(I365="",0,VLOOKUP(I365,'Dados de consulta'!$H$2:$I$25,2,0))</f>
        <v>0</v>
      </c>
      <c r="AJ365">
        <f>IF(J365="",0,VLOOKUP(J365,'Dados de consulta'!$H$2:$I$25,2,0))</f>
        <v>0</v>
      </c>
      <c r="AK365">
        <f>IF(K365="",0,VLOOKUP(K365,'Dados de consulta'!$H$2:$I$25,2,0))</f>
        <v>0</v>
      </c>
      <c r="AL365">
        <f>IF(L365="",0,VLOOKUP(L365,'Dados de consulta'!$H$2:$I$25,2,0))</f>
        <v>0</v>
      </c>
      <c r="AM365">
        <f>IF(M365="",0,VLOOKUP(M365,'Dados de consulta'!$H$2:$I$25,2,0))</f>
        <v>0</v>
      </c>
      <c r="AN365">
        <f>IF(N365="",0,VLOOKUP(N365,'Dados de consulta'!$H$2:$I$25,2,0))</f>
        <v>0</v>
      </c>
      <c r="AO365">
        <f>IF(O365="",0,VLOOKUP(O365,'Dados de consulta'!$H$2:$I$25,2,0))</f>
        <v>0</v>
      </c>
      <c r="AP365">
        <f>IF(P365="",0,VLOOKUP(P365,'Dados de consulta'!$H$2:$I$25,2,0))</f>
        <v>0</v>
      </c>
      <c r="AQ365">
        <f>IF(Q365="",0,VLOOKUP(Q365,'Dados de consulta'!$H$2:$I$25,2,0))</f>
        <v>0</v>
      </c>
      <c r="AR365">
        <f>IF(R365="",0,VLOOKUP(R365,'Dados de consulta'!$H$2:$I$25,2,0))</f>
        <v>0</v>
      </c>
      <c r="AS365">
        <f>IF(S365="",0,VLOOKUP(S365,'Dados de consulta'!$H$2:$I$25,2,0))</f>
        <v>0</v>
      </c>
      <c r="AT365">
        <f>IF(T365="",0,VLOOKUP(T365,'Dados de consulta'!$H$2:$I$25,2,0))</f>
        <v>0</v>
      </c>
      <c r="AU365">
        <f>IF(U365="",0,VLOOKUP(U365,'Dados de consulta'!$H$2:$I$25,2,0))</f>
        <v>0</v>
      </c>
      <c r="AV365">
        <f>IF(V365="",0,VLOOKUP(V365,'Dados de consulta'!$H$2:$I$25,2,0))</f>
        <v>0</v>
      </c>
      <c r="AW365">
        <f t="shared" si="38"/>
        <v>0</v>
      </c>
      <c r="AX365">
        <f t="shared" si="39"/>
        <v>0</v>
      </c>
      <c r="AY365">
        <f t="shared" si="40"/>
        <v>0</v>
      </c>
    </row>
    <row r="366" spans="1:51" hidden="1" x14ac:dyDescent="0.2">
      <c r="A366" s="202">
        <v>42623</v>
      </c>
      <c r="B366" s="78" t="s">
        <v>281</v>
      </c>
      <c r="AA366" s="202">
        <v>42623</v>
      </c>
      <c r="AB366" s="78" t="s">
        <v>281</v>
      </c>
      <c r="AC366">
        <f>IF(C366="",0,VLOOKUP(C366,'Dados de consulta'!$H$2:$I$25,2,0))</f>
        <v>0</v>
      </c>
      <c r="AD366">
        <f>IF(D366="",0,VLOOKUP(D366,'Dados de consulta'!$H$2:$I$25,2,0))</f>
        <v>0</v>
      </c>
      <c r="AE366">
        <f>IF(E366="",0,VLOOKUP(E366,'Dados de consulta'!$H$2:$I$25,2,0))</f>
        <v>0</v>
      </c>
      <c r="AF366">
        <f>IF(F366="",0,VLOOKUP(F366,'Dados de consulta'!$H$2:$I$25,2,0))</f>
        <v>0</v>
      </c>
      <c r="AG366">
        <f>IF(G366="",0,VLOOKUP(G366,'Dados de consulta'!$H$2:$I$25,2,0))</f>
        <v>0</v>
      </c>
      <c r="AH366">
        <f>IF(H366="",0,VLOOKUP(H366,'Dados de consulta'!$H$2:$I$25,2,0))</f>
        <v>0</v>
      </c>
      <c r="AI366">
        <f>IF(I366="",0,VLOOKUP(I366,'Dados de consulta'!$H$2:$I$25,2,0))</f>
        <v>0</v>
      </c>
      <c r="AJ366">
        <f>IF(J366="",0,VLOOKUP(J366,'Dados de consulta'!$H$2:$I$25,2,0))</f>
        <v>0</v>
      </c>
      <c r="AK366">
        <f>IF(K366="",0,VLOOKUP(K366,'Dados de consulta'!$H$2:$I$25,2,0))</f>
        <v>0</v>
      </c>
      <c r="AL366">
        <f>IF(L366="",0,VLOOKUP(L366,'Dados de consulta'!$H$2:$I$25,2,0))</f>
        <v>0</v>
      </c>
      <c r="AM366">
        <f>IF(M366="",0,VLOOKUP(M366,'Dados de consulta'!$H$2:$I$25,2,0))</f>
        <v>0</v>
      </c>
      <c r="AN366">
        <f>IF(N366="",0,VLOOKUP(N366,'Dados de consulta'!$H$2:$I$25,2,0))</f>
        <v>0</v>
      </c>
      <c r="AO366">
        <f>IF(O366="",0,VLOOKUP(O366,'Dados de consulta'!$H$2:$I$25,2,0))</f>
        <v>0</v>
      </c>
      <c r="AP366">
        <f>IF(P366="",0,VLOOKUP(P366,'Dados de consulta'!$H$2:$I$25,2,0))</f>
        <v>0</v>
      </c>
      <c r="AQ366">
        <f>IF(Q366="",0,VLOOKUP(Q366,'Dados de consulta'!$H$2:$I$25,2,0))</f>
        <v>0</v>
      </c>
      <c r="AR366">
        <f>IF(R366="",0,VLOOKUP(R366,'Dados de consulta'!$H$2:$I$25,2,0))</f>
        <v>0</v>
      </c>
      <c r="AS366">
        <f>IF(S366="",0,VLOOKUP(S366,'Dados de consulta'!$H$2:$I$25,2,0))</f>
        <v>0</v>
      </c>
      <c r="AT366">
        <f>IF(T366="",0,VLOOKUP(T366,'Dados de consulta'!$H$2:$I$25,2,0))</f>
        <v>0</v>
      </c>
      <c r="AU366">
        <f>IF(U366="",0,VLOOKUP(U366,'Dados de consulta'!$H$2:$I$25,2,0))</f>
        <v>0</v>
      </c>
      <c r="AV366">
        <f>IF(V366="",0,VLOOKUP(V366,'Dados de consulta'!$H$2:$I$25,2,0))</f>
        <v>0</v>
      </c>
      <c r="AW366">
        <f t="shared" si="38"/>
        <v>0</v>
      </c>
      <c r="AX366">
        <f t="shared" si="39"/>
        <v>0</v>
      </c>
      <c r="AY366">
        <f t="shared" si="40"/>
        <v>0</v>
      </c>
    </row>
    <row r="367" spans="1:51" hidden="1" x14ac:dyDescent="0.2">
      <c r="A367" s="202">
        <v>42624</v>
      </c>
      <c r="B367" s="78" t="s">
        <v>282</v>
      </c>
      <c r="AA367" s="202">
        <v>42624</v>
      </c>
      <c r="AB367" s="78" t="s">
        <v>282</v>
      </c>
      <c r="AC367">
        <f>IF(C367="",0,VLOOKUP(C367,'Dados de consulta'!$H$2:$I$25,2,0))</f>
        <v>0</v>
      </c>
      <c r="AD367">
        <f>IF(D367="",0,VLOOKUP(D367,'Dados de consulta'!$H$2:$I$25,2,0))</f>
        <v>0</v>
      </c>
      <c r="AE367">
        <f>IF(E367="",0,VLOOKUP(E367,'Dados de consulta'!$H$2:$I$25,2,0))</f>
        <v>0</v>
      </c>
      <c r="AF367">
        <f>IF(F367="",0,VLOOKUP(F367,'Dados de consulta'!$H$2:$I$25,2,0))</f>
        <v>0</v>
      </c>
      <c r="AG367">
        <f>IF(G367="",0,VLOOKUP(G367,'Dados de consulta'!$H$2:$I$25,2,0))</f>
        <v>0</v>
      </c>
      <c r="AH367">
        <f>IF(H367="",0,VLOOKUP(H367,'Dados de consulta'!$H$2:$I$25,2,0))</f>
        <v>0</v>
      </c>
      <c r="AI367">
        <f>IF(I367="",0,VLOOKUP(I367,'Dados de consulta'!$H$2:$I$25,2,0))</f>
        <v>0</v>
      </c>
      <c r="AJ367">
        <f>IF(J367="",0,VLOOKUP(J367,'Dados de consulta'!$H$2:$I$25,2,0))</f>
        <v>0</v>
      </c>
      <c r="AK367">
        <f>IF(K367="",0,VLOOKUP(K367,'Dados de consulta'!$H$2:$I$25,2,0))</f>
        <v>0</v>
      </c>
      <c r="AL367">
        <f>IF(L367="",0,VLOOKUP(L367,'Dados de consulta'!$H$2:$I$25,2,0))</f>
        <v>0</v>
      </c>
      <c r="AM367">
        <f>IF(M367="",0,VLOOKUP(M367,'Dados de consulta'!$H$2:$I$25,2,0))</f>
        <v>0</v>
      </c>
      <c r="AN367">
        <f>IF(N367="",0,VLOOKUP(N367,'Dados de consulta'!$H$2:$I$25,2,0))</f>
        <v>0</v>
      </c>
      <c r="AO367">
        <f>IF(O367="",0,VLOOKUP(O367,'Dados de consulta'!$H$2:$I$25,2,0))</f>
        <v>0</v>
      </c>
      <c r="AP367">
        <f>IF(P367="",0,VLOOKUP(P367,'Dados de consulta'!$H$2:$I$25,2,0))</f>
        <v>0</v>
      </c>
      <c r="AQ367">
        <f>IF(Q367="",0,VLOOKUP(Q367,'Dados de consulta'!$H$2:$I$25,2,0))</f>
        <v>0</v>
      </c>
      <c r="AR367">
        <f>IF(R367="",0,VLOOKUP(R367,'Dados de consulta'!$H$2:$I$25,2,0))</f>
        <v>0</v>
      </c>
      <c r="AS367">
        <f>IF(S367="",0,VLOOKUP(S367,'Dados de consulta'!$H$2:$I$25,2,0))</f>
        <v>0</v>
      </c>
      <c r="AT367">
        <f>IF(T367="",0,VLOOKUP(T367,'Dados de consulta'!$H$2:$I$25,2,0))</f>
        <v>0</v>
      </c>
      <c r="AU367">
        <f>IF(U367="",0,VLOOKUP(U367,'Dados de consulta'!$H$2:$I$25,2,0))</f>
        <v>0</v>
      </c>
      <c r="AV367">
        <f>IF(V367="",0,VLOOKUP(V367,'Dados de consulta'!$H$2:$I$25,2,0))</f>
        <v>0</v>
      </c>
      <c r="AW367">
        <f t="shared" si="38"/>
        <v>0</v>
      </c>
      <c r="AX367">
        <f t="shared" si="39"/>
        <v>0</v>
      </c>
      <c r="AY367">
        <f t="shared" si="40"/>
        <v>0</v>
      </c>
    </row>
    <row r="368" spans="1:51" hidden="1" x14ac:dyDescent="0.2">
      <c r="A368" s="202">
        <v>42625</v>
      </c>
      <c r="B368" s="78" t="s">
        <v>283</v>
      </c>
      <c r="AA368" s="202">
        <v>42625</v>
      </c>
      <c r="AB368" s="78" t="s">
        <v>283</v>
      </c>
      <c r="AC368">
        <f>IF(C368="",0,VLOOKUP(C368,'Dados de consulta'!$H$2:$I$25,2,0))</f>
        <v>0</v>
      </c>
      <c r="AD368">
        <f>IF(D368="",0,VLOOKUP(D368,'Dados de consulta'!$H$2:$I$25,2,0))</f>
        <v>0</v>
      </c>
      <c r="AE368">
        <f>IF(E368="",0,VLOOKUP(E368,'Dados de consulta'!$H$2:$I$25,2,0))</f>
        <v>0</v>
      </c>
      <c r="AF368">
        <f>IF(F368="",0,VLOOKUP(F368,'Dados de consulta'!$H$2:$I$25,2,0))</f>
        <v>0</v>
      </c>
      <c r="AG368">
        <f>IF(G368="",0,VLOOKUP(G368,'Dados de consulta'!$H$2:$I$25,2,0))</f>
        <v>0</v>
      </c>
      <c r="AH368">
        <f>IF(H368="",0,VLOOKUP(H368,'Dados de consulta'!$H$2:$I$25,2,0))</f>
        <v>0</v>
      </c>
      <c r="AI368">
        <f>IF(I368="",0,VLOOKUP(I368,'Dados de consulta'!$H$2:$I$25,2,0))</f>
        <v>0</v>
      </c>
      <c r="AJ368">
        <f>IF(J368="",0,VLOOKUP(J368,'Dados de consulta'!$H$2:$I$25,2,0))</f>
        <v>0</v>
      </c>
      <c r="AK368">
        <f>IF(K368="",0,VLOOKUP(K368,'Dados de consulta'!$H$2:$I$25,2,0))</f>
        <v>0</v>
      </c>
      <c r="AL368">
        <f>IF(L368="",0,VLOOKUP(L368,'Dados de consulta'!$H$2:$I$25,2,0))</f>
        <v>0</v>
      </c>
      <c r="AM368">
        <f>IF(M368="",0,VLOOKUP(M368,'Dados de consulta'!$H$2:$I$25,2,0))</f>
        <v>0</v>
      </c>
      <c r="AN368">
        <f>IF(N368="",0,VLOOKUP(N368,'Dados de consulta'!$H$2:$I$25,2,0))</f>
        <v>0</v>
      </c>
      <c r="AO368">
        <f>IF(O368="",0,VLOOKUP(O368,'Dados de consulta'!$H$2:$I$25,2,0))</f>
        <v>0</v>
      </c>
      <c r="AP368">
        <f>IF(P368="",0,VLOOKUP(P368,'Dados de consulta'!$H$2:$I$25,2,0))</f>
        <v>0</v>
      </c>
      <c r="AQ368">
        <f>IF(Q368="",0,VLOOKUP(Q368,'Dados de consulta'!$H$2:$I$25,2,0))</f>
        <v>0</v>
      </c>
      <c r="AR368">
        <f>IF(R368="",0,VLOOKUP(R368,'Dados de consulta'!$H$2:$I$25,2,0))</f>
        <v>0</v>
      </c>
      <c r="AS368">
        <f>IF(S368="",0,VLOOKUP(S368,'Dados de consulta'!$H$2:$I$25,2,0))</f>
        <v>0</v>
      </c>
      <c r="AT368">
        <f>IF(T368="",0,VLOOKUP(T368,'Dados de consulta'!$H$2:$I$25,2,0))</f>
        <v>0</v>
      </c>
      <c r="AU368">
        <f>IF(U368="",0,VLOOKUP(U368,'Dados de consulta'!$H$2:$I$25,2,0))</f>
        <v>0</v>
      </c>
      <c r="AV368">
        <f>IF(V368="",0,VLOOKUP(V368,'Dados de consulta'!$H$2:$I$25,2,0))</f>
        <v>0</v>
      </c>
      <c r="AW368">
        <f t="shared" si="38"/>
        <v>0</v>
      </c>
      <c r="AX368">
        <f t="shared" si="39"/>
        <v>0</v>
      </c>
      <c r="AY368">
        <f t="shared" si="40"/>
        <v>0</v>
      </c>
    </row>
    <row r="369" spans="1:51" hidden="1" x14ac:dyDescent="0.2">
      <c r="A369" s="202">
        <v>42626</v>
      </c>
      <c r="B369" s="78" t="s">
        <v>284</v>
      </c>
      <c r="AA369" s="202">
        <v>42626</v>
      </c>
      <c r="AB369" s="78" t="s">
        <v>284</v>
      </c>
      <c r="AC369">
        <f>IF(C369="",0,VLOOKUP(C369,'Dados de consulta'!$H$2:$I$25,2,0))</f>
        <v>0</v>
      </c>
      <c r="AD369">
        <f>IF(D369="",0,VLOOKUP(D369,'Dados de consulta'!$H$2:$I$25,2,0))</f>
        <v>0</v>
      </c>
      <c r="AE369">
        <f>IF(E369="",0,VLOOKUP(E369,'Dados de consulta'!$H$2:$I$25,2,0))</f>
        <v>0</v>
      </c>
      <c r="AF369">
        <f>IF(F369="",0,VLOOKUP(F369,'Dados de consulta'!$H$2:$I$25,2,0))</f>
        <v>0</v>
      </c>
      <c r="AG369">
        <f>IF(G369="",0,VLOOKUP(G369,'Dados de consulta'!$H$2:$I$25,2,0))</f>
        <v>0</v>
      </c>
      <c r="AH369">
        <f>IF(H369="",0,VLOOKUP(H369,'Dados de consulta'!$H$2:$I$25,2,0))</f>
        <v>0</v>
      </c>
      <c r="AI369">
        <f>IF(I369="",0,VLOOKUP(I369,'Dados de consulta'!$H$2:$I$25,2,0))</f>
        <v>0</v>
      </c>
      <c r="AJ369">
        <f>IF(J369="",0,VLOOKUP(J369,'Dados de consulta'!$H$2:$I$25,2,0))</f>
        <v>0</v>
      </c>
      <c r="AK369">
        <f>IF(K369="",0,VLOOKUP(K369,'Dados de consulta'!$H$2:$I$25,2,0))</f>
        <v>0</v>
      </c>
      <c r="AL369">
        <f>IF(L369="",0,VLOOKUP(L369,'Dados de consulta'!$H$2:$I$25,2,0))</f>
        <v>0</v>
      </c>
      <c r="AM369">
        <f>IF(M369="",0,VLOOKUP(M369,'Dados de consulta'!$H$2:$I$25,2,0))</f>
        <v>0</v>
      </c>
      <c r="AN369">
        <f>IF(N369="",0,VLOOKUP(N369,'Dados de consulta'!$H$2:$I$25,2,0))</f>
        <v>0</v>
      </c>
      <c r="AO369">
        <f>IF(O369="",0,VLOOKUP(O369,'Dados de consulta'!$H$2:$I$25,2,0))</f>
        <v>0</v>
      </c>
      <c r="AP369">
        <f>IF(P369="",0,VLOOKUP(P369,'Dados de consulta'!$H$2:$I$25,2,0))</f>
        <v>0</v>
      </c>
      <c r="AQ369">
        <f>IF(Q369="",0,VLOOKUP(Q369,'Dados de consulta'!$H$2:$I$25,2,0))</f>
        <v>0</v>
      </c>
      <c r="AR369">
        <f>IF(R369="",0,VLOOKUP(R369,'Dados de consulta'!$H$2:$I$25,2,0))</f>
        <v>0</v>
      </c>
      <c r="AS369">
        <f>IF(S369="",0,VLOOKUP(S369,'Dados de consulta'!$H$2:$I$25,2,0))</f>
        <v>0</v>
      </c>
      <c r="AT369">
        <f>IF(T369="",0,VLOOKUP(T369,'Dados de consulta'!$H$2:$I$25,2,0))</f>
        <v>0</v>
      </c>
      <c r="AU369">
        <f>IF(U369="",0,VLOOKUP(U369,'Dados de consulta'!$H$2:$I$25,2,0))</f>
        <v>0</v>
      </c>
      <c r="AV369">
        <f>IF(V369="",0,VLOOKUP(V369,'Dados de consulta'!$H$2:$I$25,2,0))</f>
        <v>0</v>
      </c>
      <c r="AW369">
        <f t="shared" si="38"/>
        <v>0</v>
      </c>
      <c r="AX369">
        <f t="shared" si="39"/>
        <v>0</v>
      </c>
      <c r="AY369">
        <f t="shared" si="40"/>
        <v>0</v>
      </c>
    </row>
    <row r="370" spans="1:51" hidden="1" x14ac:dyDescent="0.2">
      <c r="A370" s="202">
        <v>42627</v>
      </c>
      <c r="B370" s="78" t="s">
        <v>285</v>
      </c>
      <c r="AA370" s="202">
        <v>42627</v>
      </c>
      <c r="AB370" s="78" t="s">
        <v>285</v>
      </c>
      <c r="AC370">
        <f>IF(C370="",0,VLOOKUP(C370,'Dados de consulta'!$H$2:$I$25,2,0))</f>
        <v>0</v>
      </c>
      <c r="AD370">
        <f>IF(D370="",0,VLOOKUP(D370,'Dados de consulta'!$H$2:$I$25,2,0))</f>
        <v>0</v>
      </c>
      <c r="AE370">
        <f>IF(E370="",0,VLOOKUP(E370,'Dados de consulta'!$H$2:$I$25,2,0))</f>
        <v>0</v>
      </c>
      <c r="AF370">
        <f>IF(F370="",0,VLOOKUP(F370,'Dados de consulta'!$H$2:$I$25,2,0))</f>
        <v>0</v>
      </c>
      <c r="AG370">
        <f>IF(G370="",0,VLOOKUP(G370,'Dados de consulta'!$H$2:$I$25,2,0))</f>
        <v>0</v>
      </c>
      <c r="AH370">
        <f>IF(H370="",0,VLOOKUP(H370,'Dados de consulta'!$H$2:$I$25,2,0))</f>
        <v>0</v>
      </c>
      <c r="AI370">
        <f>IF(I370="",0,VLOOKUP(I370,'Dados de consulta'!$H$2:$I$25,2,0))</f>
        <v>0</v>
      </c>
      <c r="AJ370">
        <f>IF(J370="",0,VLOOKUP(J370,'Dados de consulta'!$H$2:$I$25,2,0))</f>
        <v>0</v>
      </c>
      <c r="AK370">
        <f>IF(K370="",0,VLOOKUP(K370,'Dados de consulta'!$H$2:$I$25,2,0))</f>
        <v>0</v>
      </c>
      <c r="AL370">
        <f>IF(L370="",0,VLOOKUP(L370,'Dados de consulta'!$H$2:$I$25,2,0))</f>
        <v>0</v>
      </c>
      <c r="AM370">
        <f>IF(M370="",0,VLOOKUP(M370,'Dados de consulta'!$H$2:$I$25,2,0))</f>
        <v>0</v>
      </c>
      <c r="AN370">
        <f>IF(N370="",0,VLOOKUP(N370,'Dados de consulta'!$H$2:$I$25,2,0))</f>
        <v>0</v>
      </c>
      <c r="AO370">
        <f>IF(O370="",0,VLOOKUP(O370,'Dados de consulta'!$H$2:$I$25,2,0))</f>
        <v>0</v>
      </c>
      <c r="AP370">
        <f>IF(P370="",0,VLOOKUP(P370,'Dados de consulta'!$H$2:$I$25,2,0))</f>
        <v>0</v>
      </c>
      <c r="AQ370">
        <f>IF(Q370="",0,VLOOKUP(Q370,'Dados de consulta'!$H$2:$I$25,2,0))</f>
        <v>0</v>
      </c>
      <c r="AR370">
        <f>IF(R370="",0,VLOOKUP(R370,'Dados de consulta'!$H$2:$I$25,2,0))</f>
        <v>0</v>
      </c>
      <c r="AS370">
        <f>IF(S370="",0,VLOOKUP(S370,'Dados de consulta'!$H$2:$I$25,2,0))</f>
        <v>0</v>
      </c>
      <c r="AT370">
        <f>IF(T370="",0,VLOOKUP(T370,'Dados de consulta'!$H$2:$I$25,2,0))</f>
        <v>0</v>
      </c>
      <c r="AU370">
        <f>IF(U370="",0,VLOOKUP(U370,'Dados de consulta'!$H$2:$I$25,2,0))</f>
        <v>0</v>
      </c>
      <c r="AV370">
        <f>IF(V370="",0,VLOOKUP(V370,'Dados de consulta'!$H$2:$I$25,2,0))</f>
        <v>0</v>
      </c>
      <c r="AW370">
        <f t="shared" si="38"/>
        <v>0</v>
      </c>
      <c r="AX370">
        <f t="shared" si="39"/>
        <v>0</v>
      </c>
      <c r="AY370">
        <f t="shared" si="40"/>
        <v>0</v>
      </c>
    </row>
    <row r="371" spans="1:51" hidden="1" x14ac:dyDescent="0.2">
      <c r="A371" s="202">
        <v>42628</v>
      </c>
      <c r="B371" s="78" t="s">
        <v>286</v>
      </c>
      <c r="AA371" s="202">
        <v>42628</v>
      </c>
      <c r="AB371" s="78" t="s">
        <v>286</v>
      </c>
      <c r="AC371">
        <f>IF(C371="",0,VLOOKUP(C371,'Dados de consulta'!$H$2:$I$25,2,0))</f>
        <v>0</v>
      </c>
      <c r="AD371">
        <f>IF(D371="",0,VLOOKUP(D371,'Dados de consulta'!$H$2:$I$25,2,0))</f>
        <v>0</v>
      </c>
      <c r="AE371">
        <f>IF(E371="",0,VLOOKUP(E371,'Dados de consulta'!$H$2:$I$25,2,0))</f>
        <v>0</v>
      </c>
      <c r="AF371">
        <f>IF(F371="",0,VLOOKUP(F371,'Dados de consulta'!$H$2:$I$25,2,0))</f>
        <v>0</v>
      </c>
      <c r="AG371">
        <f>IF(G371="",0,VLOOKUP(G371,'Dados de consulta'!$H$2:$I$25,2,0))</f>
        <v>0</v>
      </c>
      <c r="AH371">
        <f>IF(H371="",0,VLOOKUP(H371,'Dados de consulta'!$H$2:$I$25,2,0))</f>
        <v>0</v>
      </c>
      <c r="AI371">
        <f>IF(I371="",0,VLOOKUP(I371,'Dados de consulta'!$H$2:$I$25,2,0))</f>
        <v>0</v>
      </c>
      <c r="AJ371">
        <f>IF(J371="",0,VLOOKUP(J371,'Dados de consulta'!$H$2:$I$25,2,0))</f>
        <v>0</v>
      </c>
      <c r="AK371">
        <f>IF(K371="",0,VLOOKUP(K371,'Dados de consulta'!$H$2:$I$25,2,0))</f>
        <v>0</v>
      </c>
      <c r="AL371">
        <f>IF(L371="",0,VLOOKUP(L371,'Dados de consulta'!$H$2:$I$25,2,0))</f>
        <v>0</v>
      </c>
      <c r="AM371">
        <f>IF(M371="",0,VLOOKUP(M371,'Dados de consulta'!$H$2:$I$25,2,0))</f>
        <v>0</v>
      </c>
      <c r="AN371">
        <f>IF(N371="",0,VLOOKUP(N371,'Dados de consulta'!$H$2:$I$25,2,0))</f>
        <v>0</v>
      </c>
      <c r="AO371">
        <f>IF(O371="",0,VLOOKUP(O371,'Dados de consulta'!$H$2:$I$25,2,0))</f>
        <v>0</v>
      </c>
      <c r="AP371">
        <f>IF(P371="",0,VLOOKUP(P371,'Dados de consulta'!$H$2:$I$25,2,0))</f>
        <v>0</v>
      </c>
      <c r="AQ371">
        <f>IF(Q371="",0,VLOOKUP(Q371,'Dados de consulta'!$H$2:$I$25,2,0))</f>
        <v>0</v>
      </c>
      <c r="AR371">
        <f>IF(R371="",0,VLOOKUP(R371,'Dados de consulta'!$H$2:$I$25,2,0))</f>
        <v>0</v>
      </c>
      <c r="AS371">
        <f>IF(S371="",0,VLOOKUP(S371,'Dados de consulta'!$H$2:$I$25,2,0))</f>
        <v>0</v>
      </c>
      <c r="AT371">
        <f>IF(T371="",0,VLOOKUP(T371,'Dados de consulta'!$H$2:$I$25,2,0))</f>
        <v>0</v>
      </c>
      <c r="AU371">
        <f>IF(U371="",0,VLOOKUP(U371,'Dados de consulta'!$H$2:$I$25,2,0))</f>
        <v>0</v>
      </c>
      <c r="AV371">
        <f>IF(V371="",0,VLOOKUP(V371,'Dados de consulta'!$H$2:$I$25,2,0))</f>
        <v>0</v>
      </c>
      <c r="AW371">
        <f t="shared" si="38"/>
        <v>0</v>
      </c>
      <c r="AX371">
        <f t="shared" si="39"/>
        <v>0</v>
      </c>
      <c r="AY371">
        <f t="shared" si="40"/>
        <v>0</v>
      </c>
    </row>
    <row r="372" spans="1:51" hidden="1" x14ac:dyDescent="0.2">
      <c r="A372" s="202">
        <v>42629</v>
      </c>
      <c r="B372" s="78" t="s">
        <v>287</v>
      </c>
      <c r="AA372" s="202">
        <v>42629</v>
      </c>
      <c r="AB372" s="78" t="s">
        <v>287</v>
      </c>
      <c r="AC372">
        <f>IF(C372="",0,VLOOKUP(C372,'Dados de consulta'!$H$2:$I$25,2,0))</f>
        <v>0</v>
      </c>
      <c r="AD372">
        <f>IF(D372="",0,VLOOKUP(D372,'Dados de consulta'!$H$2:$I$25,2,0))</f>
        <v>0</v>
      </c>
      <c r="AE372">
        <f>IF(E372="",0,VLOOKUP(E372,'Dados de consulta'!$H$2:$I$25,2,0))</f>
        <v>0</v>
      </c>
      <c r="AF372">
        <f>IF(F372="",0,VLOOKUP(F372,'Dados de consulta'!$H$2:$I$25,2,0))</f>
        <v>0</v>
      </c>
      <c r="AG372">
        <f>IF(G372="",0,VLOOKUP(G372,'Dados de consulta'!$H$2:$I$25,2,0))</f>
        <v>0</v>
      </c>
      <c r="AH372">
        <f>IF(H372="",0,VLOOKUP(H372,'Dados de consulta'!$H$2:$I$25,2,0))</f>
        <v>0</v>
      </c>
      <c r="AI372">
        <f>IF(I372="",0,VLOOKUP(I372,'Dados de consulta'!$H$2:$I$25,2,0))</f>
        <v>0</v>
      </c>
      <c r="AJ372">
        <f>IF(J372="",0,VLOOKUP(J372,'Dados de consulta'!$H$2:$I$25,2,0))</f>
        <v>0</v>
      </c>
      <c r="AK372">
        <f>IF(K372="",0,VLOOKUP(K372,'Dados de consulta'!$H$2:$I$25,2,0))</f>
        <v>0</v>
      </c>
      <c r="AL372">
        <f>IF(L372="",0,VLOOKUP(L372,'Dados de consulta'!$H$2:$I$25,2,0))</f>
        <v>0</v>
      </c>
      <c r="AM372">
        <f>IF(M372="",0,VLOOKUP(M372,'Dados de consulta'!$H$2:$I$25,2,0))</f>
        <v>0</v>
      </c>
      <c r="AN372">
        <f>IF(N372="",0,VLOOKUP(N372,'Dados de consulta'!$H$2:$I$25,2,0))</f>
        <v>0</v>
      </c>
      <c r="AO372">
        <f>IF(O372="",0,VLOOKUP(O372,'Dados de consulta'!$H$2:$I$25,2,0))</f>
        <v>0</v>
      </c>
      <c r="AP372">
        <f>IF(P372="",0,VLOOKUP(P372,'Dados de consulta'!$H$2:$I$25,2,0))</f>
        <v>0</v>
      </c>
      <c r="AQ372">
        <f>IF(Q372="",0,VLOOKUP(Q372,'Dados de consulta'!$H$2:$I$25,2,0))</f>
        <v>0</v>
      </c>
      <c r="AR372">
        <f>IF(R372="",0,VLOOKUP(R372,'Dados de consulta'!$H$2:$I$25,2,0))</f>
        <v>0</v>
      </c>
      <c r="AS372">
        <f>IF(S372="",0,VLOOKUP(S372,'Dados de consulta'!$H$2:$I$25,2,0))</f>
        <v>0</v>
      </c>
      <c r="AT372">
        <f>IF(T372="",0,VLOOKUP(T372,'Dados de consulta'!$H$2:$I$25,2,0))</f>
        <v>0</v>
      </c>
      <c r="AU372">
        <f>IF(U372="",0,VLOOKUP(U372,'Dados de consulta'!$H$2:$I$25,2,0))</f>
        <v>0</v>
      </c>
      <c r="AV372">
        <f>IF(V372="",0,VLOOKUP(V372,'Dados de consulta'!$H$2:$I$25,2,0))</f>
        <v>0</v>
      </c>
      <c r="AW372">
        <f t="shared" si="38"/>
        <v>0</v>
      </c>
      <c r="AX372">
        <f t="shared" si="39"/>
        <v>0</v>
      </c>
      <c r="AY372">
        <f t="shared" si="40"/>
        <v>0</v>
      </c>
    </row>
    <row r="373" spans="1:51" hidden="1" x14ac:dyDescent="0.2">
      <c r="A373" s="202">
        <v>42630</v>
      </c>
      <c r="B373" s="78" t="s">
        <v>281</v>
      </c>
      <c r="AA373" s="202">
        <v>42630</v>
      </c>
      <c r="AB373" s="78" t="s">
        <v>281</v>
      </c>
      <c r="AC373">
        <f>IF(C373="",0,VLOOKUP(C373,'Dados de consulta'!$H$2:$I$25,2,0))</f>
        <v>0</v>
      </c>
      <c r="AD373">
        <f>IF(D373="",0,VLOOKUP(D373,'Dados de consulta'!$H$2:$I$25,2,0))</f>
        <v>0</v>
      </c>
      <c r="AE373">
        <f>IF(E373="",0,VLOOKUP(E373,'Dados de consulta'!$H$2:$I$25,2,0))</f>
        <v>0</v>
      </c>
      <c r="AF373">
        <f>IF(F373="",0,VLOOKUP(F373,'Dados de consulta'!$H$2:$I$25,2,0))</f>
        <v>0</v>
      </c>
      <c r="AG373">
        <f>IF(G373="",0,VLOOKUP(G373,'Dados de consulta'!$H$2:$I$25,2,0))</f>
        <v>0</v>
      </c>
      <c r="AH373">
        <f>IF(H373="",0,VLOOKUP(H373,'Dados de consulta'!$H$2:$I$25,2,0))</f>
        <v>0</v>
      </c>
      <c r="AI373">
        <f>IF(I373="",0,VLOOKUP(I373,'Dados de consulta'!$H$2:$I$25,2,0))</f>
        <v>0</v>
      </c>
      <c r="AJ373">
        <f>IF(J373="",0,VLOOKUP(J373,'Dados de consulta'!$H$2:$I$25,2,0))</f>
        <v>0</v>
      </c>
      <c r="AK373">
        <f>IF(K373="",0,VLOOKUP(K373,'Dados de consulta'!$H$2:$I$25,2,0))</f>
        <v>0</v>
      </c>
      <c r="AL373">
        <f>IF(L373="",0,VLOOKUP(L373,'Dados de consulta'!$H$2:$I$25,2,0))</f>
        <v>0</v>
      </c>
      <c r="AM373">
        <f>IF(M373="",0,VLOOKUP(M373,'Dados de consulta'!$H$2:$I$25,2,0))</f>
        <v>0</v>
      </c>
      <c r="AN373">
        <f>IF(N373="",0,VLOOKUP(N373,'Dados de consulta'!$H$2:$I$25,2,0))</f>
        <v>0</v>
      </c>
      <c r="AO373">
        <f>IF(O373="",0,VLOOKUP(O373,'Dados de consulta'!$H$2:$I$25,2,0))</f>
        <v>0</v>
      </c>
      <c r="AP373">
        <f>IF(P373="",0,VLOOKUP(P373,'Dados de consulta'!$H$2:$I$25,2,0))</f>
        <v>0</v>
      </c>
      <c r="AQ373">
        <f>IF(Q373="",0,VLOOKUP(Q373,'Dados de consulta'!$H$2:$I$25,2,0))</f>
        <v>0</v>
      </c>
      <c r="AR373">
        <f>IF(R373="",0,VLOOKUP(R373,'Dados de consulta'!$H$2:$I$25,2,0))</f>
        <v>0</v>
      </c>
      <c r="AS373">
        <f>IF(S373="",0,VLOOKUP(S373,'Dados de consulta'!$H$2:$I$25,2,0))</f>
        <v>0</v>
      </c>
      <c r="AT373">
        <f>IF(T373="",0,VLOOKUP(T373,'Dados de consulta'!$H$2:$I$25,2,0))</f>
        <v>0</v>
      </c>
      <c r="AU373">
        <f>IF(U373="",0,VLOOKUP(U373,'Dados de consulta'!$H$2:$I$25,2,0))</f>
        <v>0</v>
      </c>
      <c r="AV373">
        <f>IF(V373="",0,VLOOKUP(V373,'Dados de consulta'!$H$2:$I$25,2,0))</f>
        <v>0</v>
      </c>
      <c r="AW373">
        <f t="shared" si="38"/>
        <v>0</v>
      </c>
      <c r="AX373">
        <f t="shared" si="39"/>
        <v>0</v>
      </c>
      <c r="AY373">
        <f t="shared" si="40"/>
        <v>0</v>
      </c>
    </row>
    <row r="374" spans="1:51" hidden="1" x14ac:dyDescent="0.2">
      <c r="A374" s="202">
        <v>42631</v>
      </c>
      <c r="B374" s="78" t="s">
        <v>282</v>
      </c>
      <c r="AA374" s="202">
        <v>42631</v>
      </c>
      <c r="AB374" s="78" t="s">
        <v>282</v>
      </c>
      <c r="AC374">
        <f>IF(C374="",0,VLOOKUP(C374,'Dados de consulta'!$H$2:$I$25,2,0))</f>
        <v>0</v>
      </c>
      <c r="AD374">
        <f>IF(D374="",0,VLOOKUP(D374,'Dados de consulta'!$H$2:$I$25,2,0))</f>
        <v>0</v>
      </c>
      <c r="AE374">
        <f>IF(E374="",0,VLOOKUP(E374,'Dados de consulta'!$H$2:$I$25,2,0))</f>
        <v>0</v>
      </c>
      <c r="AF374">
        <f>IF(F374="",0,VLOOKUP(F374,'Dados de consulta'!$H$2:$I$25,2,0))</f>
        <v>0</v>
      </c>
      <c r="AG374">
        <f>IF(G374="",0,VLOOKUP(G374,'Dados de consulta'!$H$2:$I$25,2,0))</f>
        <v>0</v>
      </c>
      <c r="AH374">
        <f>IF(H374="",0,VLOOKUP(H374,'Dados de consulta'!$H$2:$I$25,2,0))</f>
        <v>0</v>
      </c>
      <c r="AI374">
        <f>IF(I374="",0,VLOOKUP(I374,'Dados de consulta'!$H$2:$I$25,2,0))</f>
        <v>0</v>
      </c>
      <c r="AJ374">
        <f>IF(J374="",0,VLOOKUP(J374,'Dados de consulta'!$H$2:$I$25,2,0))</f>
        <v>0</v>
      </c>
      <c r="AK374">
        <f>IF(K374="",0,VLOOKUP(K374,'Dados de consulta'!$H$2:$I$25,2,0))</f>
        <v>0</v>
      </c>
      <c r="AL374">
        <f>IF(L374="",0,VLOOKUP(L374,'Dados de consulta'!$H$2:$I$25,2,0))</f>
        <v>0</v>
      </c>
      <c r="AM374">
        <f>IF(M374="",0,VLOOKUP(M374,'Dados de consulta'!$H$2:$I$25,2,0))</f>
        <v>0</v>
      </c>
      <c r="AN374">
        <f>IF(N374="",0,VLOOKUP(N374,'Dados de consulta'!$H$2:$I$25,2,0))</f>
        <v>0</v>
      </c>
      <c r="AO374">
        <f>IF(O374="",0,VLOOKUP(O374,'Dados de consulta'!$H$2:$I$25,2,0))</f>
        <v>0</v>
      </c>
      <c r="AP374">
        <f>IF(P374="",0,VLOOKUP(P374,'Dados de consulta'!$H$2:$I$25,2,0))</f>
        <v>0</v>
      </c>
      <c r="AQ374">
        <f>IF(Q374="",0,VLOOKUP(Q374,'Dados de consulta'!$H$2:$I$25,2,0))</f>
        <v>0</v>
      </c>
      <c r="AR374">
        <f>IF(R374="",0,VLOOKUP(R374,'Dados de consulta'!$H$2:$I$25,2,0))</f>
        <v>0</v>
      </c>
      <c r="AS374">
        <f>IF(S374="",0,VLOOKUP(S374,'Dados de consulta'!$H$2:$I$25,2,0))</f>
        <v>0</v>
      </c>
      <c r="AT374">
        <f>IF(T374="",0,VLOOKUP(T374,'Dados de consulta'!$H$2:$I$25,2,0))</f>
        <v>0</v>
      </c>
      <c r="AU374">
        <f>IF(U374="",0,VLOOKUP(U374,'Dados de consulta'!$H$2:$I$25,2,0))</f>
        <v>0</v>
      </c>
      <c r="AV374">
        <f>IF(V374="",0,VLOOKUP(V374,'Dados de consulta'!$H$2:$I$25,2,0))</f>
        <v>0</v>
      </c>
      <c r="AW374">
        <f t="shared" si="38"/>
        <v>0</v>
      </c>
      <c r="AX374">
        <f t="shared" si="39"/>
        <v>0</v>
      </c>
      <c r="AY374">
        <f t="shared" si="40"/>
        <v>0</v>
      </c>
    </row>
    <row r="375" spans="1:51" hidden="1" x14ac:dyDescent="0.2">
      <c r="A375" s="202">
        <v>42632</v>
      </c>
      <c r="B375" s="78" t="s">
        <v>283</v>
      </c>
      <c r="AA375" s="202">
        <v>42632</v>
      </c>
      <c r="AB375" s="78" t="s">
        <v>283</v>
      </c>
      <c r="AC375">
        <f>IF(C375="",0,VLOOKUP(C375,'Dados de consulta'!$H$2:$I$25,2,0))</f>
        <v>0</v>
      </c>
      <c r="AD375">
        <f>IF(D375="",0,VLOOKUP(D375,'Dados de consulta'!$H$2:$I$25,2,0))</f>
        <v>0</v>
      </c>
      <c r="AE375">
        <f>IF(E375="",0,VLOOKUP(E375,'Dados de consulta'!$H$2:$I$25,2,0))</f>
        <v>0</v>
      </c>
      <c r="AF375">
        <f>IF(F375="",0,VLOOKUP(F375,'Dados de consulta'!$H$2:$I$25,2,0))</f>
        <v>0</v>
      </c>
      <c r="AG375">
        <f>IF(G375="",0,VLOOKUP(G375,'Dados de consulta'!$H$2:$I$25,2,0))</f>
        <v>0</v>
      </c>
      <c r="AH375">
        <f>IF(H375="",0,VLOOKUP(H375,'Dados de consulta'!$H$2:$I$25,2,0))</f>
        <v>0</v>
      </c>
      <c r="AI375">
        <f>IF(I375="",0,VLOOKUP(I375,'Dados de consulta'!$H$2:$I$25,2,0))</f>
        <v>0</v>
      </c>
      <c r="AJ375">
        <f>IF(J375="",0,VLOOKUP(J375,'Dados de consulta'!$H$2:$I$25,2,0))</f>
        <v>0</v>
      </c>
      <c r="AK375">
        <f>IF(K375="",0,VLOOKUP(K375,'Dados de consulta'!$H$2:$I$25,2,0))</f>
        <v>0</v>
      </c>
      <c r="AL375">
        <f>IF(L375="",0,VLOOKUP(L375,'Dados de consulta'!$H$2:$I$25,2,0))</f>
        <v>0</v>
      </c>
      <c r="AM375">
        <f>IF(M375="",0,VLOOKUP(M375,'Dados de consulta'!$H$2:$I$25,2,0))</f>
        <v>0</v>
      </c>
      <c r="AN375">
        <f>IF(N375="",0,VLOOKUP(N375,'Dados de consulta'!$H$2:$I$25,2,0))</f>
        <v>0</v>
      </c>
      <c r="AO375">
        <f>IF(O375="",0,VLOOKUP(O375,'Dados de consulta'!$H$2:$I$25,2,0))</f>
        <v>0</v>
      </c>
      <c r="AP375">
        <f>IF(P375="",0,VLOOKUP(P375,'Dados de consulta'!$H$2:$I$25,2,0))</f>
        <v>0</v>
      </c>
      <c r="AQ375">
        <f>IF(Q375="",0,VLOOKUP(Q375,'Dados de consulta'!$H$2:$I$25,2,0))</f>
        <v>0</v>
      </c>
      <c r="AR375">
        <f>IF(R375="",0,VLOOKUP(R375,'Dados de consulta'!$H$2:$I$25,2,0))</f>
        <v>0</v>
      </c>
      <c r="AS375">
        <f>IF(S375="",0,VLOOKUP(S375,'Dados de consulta'!$H$2:$I$25,2,0))</f>
        <v>0</v>
      </c>
      <c r="AT375">
        <f>IF(T375="",0,VLOOKUP(T375,'Dados de consulta'!$H$2:$I$25,2,0))</f>
        <v>0</v>
      </c>
      <c r="AU375">
        <f>IF(U375="",0,VLOOKUP(U375,'Dados de consulta'!$H$2:$I$25,2,0))</f>
        <v>0</v>
      </c>
      <c r="AV375">
        <f>IF(V375="",0,VLOOKUP(V375,'Dados de consulta'!$H$2:$I$25,2,0))</f>
        <v>0</v>
      </c>
      <c r="AW375">
        <f t="shared" si="38"/>
        <v>0</v>
      </c>
      <c r="AX375">
        <f t="shared" si="39"/>
        <v>0</v>
      </c>
      <c r="AY375">
        <f t="shared" si="40"/>
        <v>0</v>
      </c>
    </row>
    <row r="376" spans="1:51" hidden="1" x14ac:dyDescent="0.2">
      <c r="A376" s="202">
        <v>42633</v>
      </c>
      <c r="B376" s="78" t="s">
        <v>284</v>
      </c>
      <c r="AA376" s="202">
        <v>42633</v>
      </c>
      <c r="AB376" s="78" t="s">
        <v>284</v>
      </c>
      <c r="AC376">
        <f>IF(C376="",0,VLOOKUP(C376,'Dados de consulta'!$H$2:$I$25,2,0))</f>
        <v>0</v>
      </c>
      <c r="AD376">
        <f>IF(D376="",0,VLOOKUP(D376,'Dados de consulta'!$H$2:$I$25,2,0))</f>
        <v>0</v>
      </c>
      <c r="AE376">
        <f>IF(E376="",0,VLOOKUP(E376,'Dados de consulta'!$H$2:$I$25,2,0))</f>
        <v>0</v>
      </c>
      <c r="AF376">
        <f>IF(F376="",0,VLOOKUP(F376,'Dados de consulta'!$H$2:$I$25,2,0))</f>
        <v>0</v>
      </c>
      <c r="AG376">
        <f>IF(G376="",0,VLOOKUP(G376,'Dados de consulta'!$H$2:$I$25,2,0))</f>
        <v>0</v>
      </c>
      <c r="AH376">
        <f>IF(H376="",0,VLOOKUP(H376,'Dados de consulta'!$H$2:$I$25,2,0))</f>
        <v>0</v>
      </c>
      <c r="AI376">
        <f>IF(I376="",0,VLOOKUP(I376,'Dados de consulta'!$H$2:$I$25,2,0))</f>
        <v>0</v>
      </c>
      <c r="AJ376">
        <f>IF(J376="",0,VLOOKUP(J376,'Dados de consulta'!$H$2:$I$25,2,0))</f>
        <v>0</v>
      </c>
      <c r="AK376">
        <f>IF(K376="",0,VLOOKUP(K376,'Dados de consulta'!$H$2:$I$25,2,0))</f>
        <v>0</v>
      </c>
      <c r="AL376">
        <f>IF(L376="",0,VLOOKUP(L376,'Dados de consulta'!$H$2:$I$25,2,0))</f>
        <v>0</v>
      </c>
      <c r="AM376">
        <f>IF(M376="",0,VLOOKUP(M376,'Dados de consulta'!$H$2:$I$25,2,0))</f>
        <v>0</v>
      </c>
      <c r="AN376">
        <f>IF(N376="",0,VLOOKUP(N376,'Dados de consulta'!$H$2:$I$25,2,0))</f>
        <v>0</v>
      </c>
      <c r="AO376">
        <f>IF(O376="",0,VLOOKUP(O376,'Dados de consulta'!$H$2:$I$25,2,0))</f>
        <v>0</v>
      </c>
      <c r="AP376">
        <f>IF(P376="",0,VLOOKUP(P376,'Dados de consulta'!$H$2:$I$25,2,0))</f>
        <v>0</v>
      </c>
      <c r="AQ376">
        <f>IF(Q376="",0,VLOOKUP(Q376,'Dados de consulta'!$H$2:$I$25,2,0))</f>
        <v>0</v>
      </c>
      <c r="AR376">
        <f>IF(R376="",0,VLOOKUP(R376,'Dados de consulta'!$H$2:$I$25,2,0))</f>
        <v>0</v>
      </c>
      <c r="AS376">
        <f>IF(S376="",0,VLOOKUP(S376,'Dados de consulta'!$H$2:$I$25,2,0))</f>
        <v>0</v>
      </c>
      <c r="AT376">
        <f>IF(T376="",0,VLOOKUP(T376,'Dados de consulta'!$H$2:$I$25,2,0))</f>
        <v>0</v>
      </c>
      <c r="AU376">
        <f>IF(U376="",0,VLOOKUP(U376,'Dados de consulta'!$H$2:$I$25,2,0))</f>
        <v>0</v>
      </c>
      <c r="AV376">
        <f>IF(V376="",0,VLOOKUP(V376,'Dados de consulta'!$H$2:$I$25,2,0))</f>
        <v>0</v>
      </c>
      <c r="AW376">
        <f t="shared" si="38"/>
        <v>0</v>
      </c>
      <c r="AX376">
        <f t="shared" si="39"/>
        <v>0</v>
      </c>
      <c r="AY376">
        <f t="shared" si="40"/>
        <v>0</v>
      </c>
    </row>
    <row r="377" spans="1:51" hidden="1" x14ac:dyDescent="0.2">
      <c r="A377" s="202">
        <v>42634</v>
      </c>
      <c r="B377" s="78" t="s">
        <v>285</v>
      </c>
      <c r="AA377" s="202">
        <v>42634</v>
      </c>
      <c r="AB377" s="78" t="s">
        <v>285</v>
      </c>
      <c r="AC377">
        <f>IF(C377="",0,VLOOKUP(C377,'Dados de consulta'!$H$2:$I$25,2,0))</f>
        <v>0</v>
      </c>
      <c r="AD377">
        <f>IF(D377="",0,VLOOKUP(D377,'Dados de consulta'!$H$2:$I$25,2,0))</f>
        <v>0</v>
      </c>
      <c r="AE377">
        <f>IF(E377="",0,VLOOKUP(E377,'Dados de consulta'!$H$2:$I$25,2,0))</f>
        <v>0</v>
      </c>
      <c r="AF377">
        <f>IF(F377="",0,VLOOKUP(F377,'Dados de consulta'!$H$2:$I$25,2,0))</f>
        <v>0</v>
      </c>
      <c r="AG377">
        <f>IF(G377="",0,VLOOKUP(G377,'Dados de consulta'!$H$2:$I$25,2,0))</f>
        <v>0</v>
      </c>
      <c r="AH377">
        <f>IF(H377="",0,VLOOKUP(H377,'Dados de consulta'!$H$2:$I$25,2,0))</f>
        <v>0</v>
      </c>
      <c r="AI377">
        <f>IF(I377="",0,VLOOKUP(I377,'Dados de consulta'!$H$2:$I$25,2,0))</f>
        <v>0</v>
      </c>
      <c r="AJ377">
        <f>IF(J377="",0,VLOOKUP(J377,'Dados de consulta'!$H$2:$I$25,2,0))</f>
        <v>0</v>
      </c>
      <c r="AK377">
        <f>IF(K377="",0,VLOOKUP(K377,'Dados de consulta'!$H$2:$I$25,2,0))</f>
        <v>0</v>
      </c>
      <c r="AL377">
        <f>IF(L377="",0,VLOOKUP(L377,'Dados de consulta'!$H$2:$I$25,2,0))</f>
        <v>0</v>
      </c>
      <c r="AM377">
        <f>IF(M377="",0,VLOOKUP(M377,'Dados de consulta'!$H$2:$I$25,2,0))</f>
        <v>0</v>
      </c>
      <c r="AN377">
        <f>IF(N377="",0,VLOOKUP(N377,'Dados de consulta'!$H$2:$I$25,2,0))</f>
        <v>0</v>
      </c>
      <c r="AO377">
        <f>IF(O377="",0,VLOOKUP(O377,'Dados de consulta'!$H$2:$I$25,2,0))</f>
        <v>0</v>
      </c>
      <c r="AP377">
        <f>IF(P377="",0,VLOOKUP(P377,'Dados de consulta'!$H$2:$I$25,2,0))</f>
        <v>0</v>
      </c>
      <c r="AQ377">
        <f>IF(Q377="",0,VLOOKUP(Q377,'Dados de consulta'!$H$2:$I$25,2,0))</f>
        <v>0</v>
      </c>
      <c r="AR377">
        <f>IF(R377="",0,VLOOKUP(R377,'Dados de consulta'!$H$2:$I$25,2,0))</f>
        <v>0</v>
      </c>
      <c r="AS377">
        <f>IF(S377="",0,VLOOKUP(S377,'Dados de consulta'!$H$2:$I$25,2,0))</f>
        <v>0</v>
      </c>
      <c r="AT377">
        <f>IF(T377="",0,VLOOKUP(T377,'Dados de consulta'!$H$2:$I$25,2,0))</f>
        <v>0</v>
      </c>
      <c r="AU377">
        <f>IF(U377="",0,VLOOKUP(U377,'Dados de consulta'!$H$2:$I$25,2,0))</f>
        <v>0</v>
      </c>
      <c r="AV377">
        <f>IF(V377="",0,VLOOKUP(V377,'Dados de consulta'!$H$2:$I$25,2,0))</f>
        <v>0</v>
      </c>
      <c r="AW377">
        <f t="shared" si="38"/>
        <v>0</v>
      </c>
      <c r="AX377">
        <f t="shared" si="39"/>
        <v>0</v>
      </c>
      <c r="AY377">
        <f t="shared" si="40"/>
        <v>0</v>
      </c>
    </row>
    <row r="378" spans="1:51" hidden="1" x14ac:dyDescent="0.2">
      <c r="A378" s="202">
        <v>42635</v>
      </c>
      <c r="B378" s="78" t="s">
        <v>286</v>
      </c>
      <c r="AA378" s="202">
        <v>42635</v>
      </c>
      <c r="AB378" s="78" t="s">
        <v>286</v>
      </c>
      <c r="AC378">
        <f>IF(C378="",0,VLOOKUP(C378,'Dados de consulta'!$H$2:$I$25,2,0))</f>
        <v>0</v>
      </c>
      <c r="AD378">
        <f>IF(D378="",0,VLOOKUP(D378,'Dados de consulta'!$H$2:$I$25,2,0))</f>
        <v>0</v>
      </c>
      <c r="AE378">
        <f>IF(E378="",0,VLOOKUP(E378,'Dados de consulta'!$H$2:$I$25,2,0))</f>
        <v>0</v>
      </c>
      <c r="AF378">
        <f>IF(F378="",0,VLOOKUP(F378,'Dados de consulta'!$H$2:$I$25,2,0))</f>
        <v>0</v>
      </c>
      <c r="AG378">
        <f>IF(G378="",0,VLOOKUP(G378,'Dados de consulta'!$H$2:$I$25,2,0))</f>
        <v>0</v>
      </c>
      <c r="AH378">
        <f>IF(H378="",0,VLOOKUP(H378,'Dados de consulta'!$H$2:$I$25,2,0))</f>
        <v>0</v>
      </c>
      <c r="AI378">
        <f>IF(I378="",0,VLOOKUP(I378,'Dados de consulta'!$H$2:$I$25,2,0))</f>
        <v>0</v>
      </c>
      <c r="AJ378">
        <f>IF(J378="",0,VLOOKUP(J378,'Dados de consulta'!$H$2:$I$25,2,0))</f>
        <v>0</v>
      </c>
      <c r="AK378">
        <f>IF(K378="",0,VLOOKUP(K378,'Dados de consulta'!$H$2:$I$25,2,0))</f>
        <v>0</v>
      </c>
      <c r="AL378">
        <f>IF(L378="",0,VLOOKUP(L378,'Dados de consulta'!$H$2:$I$25,2,0))</f>
        <v>0</v>
      </c>
      <c r="AM378">
        <f>IF(M378="",0,VLOOKUP(M378,'Dados de consulta'!$H$2:$I$25,2,0))</f>
        <v>0</v>
      </c>
      <c r="AN378">
        <f>IF(N378="",0,VLOOKUP(N378,'Dados de consulta'!$H$2:$I$25,2,0))</f>
        <v>0</v>
      </c>
      <c r="AO378">
        <f>IF(O378="",0,VLOOKUP(O378,'Dados de consulta'!$H$2:$I$25,2,0))</f>
        <v>0</v>
      </c>
      <c r="AP378">
        <f>IF(P378="",0,VLOOKUP(P378,'Dados de consulta'!$H$2:$I$25,2,0))</f>
        <v>0</v>
      </c>
      <c r="AQ378">
        <f>IF(Q378="",0,VLOOKUP(Q378,'Dados de consulta'!$H$2:$I$25,2,0))</f>
        <v>0</v>
      </c>
      <c r="AR378">
        <f>IF(R378="",0,VLOOKUP(R378,'Dados de consulta'!$H$2:$I$25,2,0))</f>
        <v>0</v>
      </c>
      <c r="AS378">
        <f>IF(S378="",0,VLOOKUP(S378,'Dados de consulta'!$H$2:$I$25,2,0))</f>
        <v>0</v>
      </c>
      <c r="AT378">
        <f>IF(T378="",0,VLOOKUP(T378,'Dados de consulta'!$H$2:$I$25,2,0))</f>
        <v>0</v>
      </c>
      <c r="AU378">
        <f>IF(U378="",0,VLOOKUP(U378,'Dados de consulta'!$H$2:$I$25,2,0))</f>
        <v>0</v>
      </c>
      <c r="AV378">
        <f>IF(V378="",0,VLOOKUP(V378,'Dados de consulta'!$H$2:$I$25,2,0))</f>
        <v>0</v>
      </c>
      <c r="AW378">
        <f t="shared" si="38"/>
        <v>0</v>
      </c>
      <c r="AX378">
        <f t="shared" si="39"/>
        <v>0</v>
      </c>
      <c r="AY378">
        <f t="shared" si="40"/>
        <v>0</v>
      </c>
    </row>
    <row r="379" spans="1:51" hidden="1" x14ac:dyDescent="0.2">
      <c r="A379" s="202">
        <v>42636</v>
      </c>
      <c r="B379" s="78" t="s">
        <v>287</v>
      </c>
      <c r="AA379" s="202">
        <v>42636</v>
      </c>
      <c r="AB379" s="78" t="s">
        <v>287</v>
      </c>
      <c r="AC379">
        <f>IF(C379="",0,VLOOKUP(C379,'Dados de consulta'!$H$2:$I$25,2,0))</f>
        <v>0</v>
      </c>
      <c r="AD379">
        <f>IF(D379="",0,VLOOKUP(D379,'Dados de consulta'!$H$2:$I$25,2,0))</f>
        <v>0</v>
      </c>
      <c r="AE379">
        <f>IF(E379="",0,VLOOKUP(E379,'Dados de consulta'!$H$2:$I$25,2,0))</f>
        <v>0</v>
      </c>
      <c r="AF379">
        <f>IF(F379="",0,VLOOKUP(F379,'Dados de consulta'!$H$2:$I$25,2,0))</f>
        <v>0</v>
      </c>
      <c r="AG379">
        <f>IF(G379="",0,VLOOKUP(G379,'Dados de consulta'!$H$2:$I$25,2,0))</f>
        <v>0</v>
      </c>
      <c r="AH379">
        <f>IF(H379="",0,VLOOKUP(H379,'Dados de consulta'!$H$2:$I$25,2,0))</f>
        <v>0</v>
      </c>
      <c r="AI379">
        <f>IF(I379="",0,VLOOKUP(I379,'Dados de consulta'!$H$2:$I$25,2,0))</f>
        <v>0</v>
      </c>
      <c r="AJ379">
        <f>IF(J379="",0,VLOOKUP(J379,'Dados de consulta'!$H$2:$I$25,2,0))</f>
        <v>0</v>
      </c>
      <c r="AK379">
        <f>IF(K379="",0,VLOOKUP(K379,'Dados de consulta'!$H$2:$I$25,2,0))</f>
        <v>0</v>
      </c>
      <c r="AL379">
        <f>IF(L379="",0,VLOOKUP(L379,'Dados de consulta'!$H$2:$I$25,2,0))</f>
        <v>0</v>
      </c>
      <c r="AM379">
        <f>IF(M379="",0,VLOOKUP(M379,'Dados de consulta'!$H$2:$I$25,2,0))</f>
        <v>0</v>
      </c>
      <c r="AN379">
        <f>IF(N379="",0,VLOOKUP(N379,'Dados de consulta'!$H$2:$I$25,2,0))</f>
        <v>0</v>
      </c>
      <c r="AO379">
        <f>IF(O379="",0,VLOOKUP(O379,'Dados de consulta'!$H$2:$I$25,2,0))</f>
        <v>0</v>
      </c>
      <c r="AP379">
        <f>IF(P379="",0,VLOOKUP(P379,'Dados de consulta'!$H$2:$I$25,2,0))</f>
        <v>0</v>
      </c>
      <c r="AQ379">
        <f>IF(Q379="",0,VLOOKUP(Q379,'Dados de consulta'!$H$2:$I$25,2,0))</f>
        <v>0</v>
      </c>
      <c r="AR379">
        <f>IF(R379="",0,VLOOKUP(R379,'Dados de consulta'!$H$2:$I$25,2,0))</f>
        <v>0</v>
      </c>
      <c r="AS379">
        <f>IF(S379="",0,VLOOKUP(S379,'Dados de consulta'!$H$2:$I$25,2,0))</f>
        <v>0</v>
      </c>
      <c r="AT379">
        <f>IF(T379="",0,VLOOKUP(T379,'Dados de consulta'!$H$2:$I$25,2,0))</f>
        <v>0</v>
      </c>
      <c r="AU379">
        <f>IF(U379="",0,VLOOKUP(U379,'Dados de consulta'!$H$2:$I$25,2,0))</f>
        <v>0</v>
      </c>
      <c r="AV379">
        <f>IF(V379="",0,VLOOKUP(V379,'Dados de consulta'!$H$2:$I$25,2,0))</f>
        <v>0</v>
      </c>
      <c r="AW379">
        <f t="shared" si="38"/>
        <v>0</v>
      </c>
      <c r="AX379">
        <f t="shared" si="39"/>
        <v>0</v>
      </c>
      <c r="AY379">
        <f t="shared" si="40"/>
        <v>0</v>
      </c>
    </row>
    <row r="380" spans="1:51" hidden="1" x14ac:dyDescent="0.2">
      <c r="A380" s="202">
        <v>42637</v>
      </c>
      <c r="B380" s="78" t="s">
        <v>281</v>
      </c>
      <c r="AA380" s="202">
        <v>42637</v>
      </c>
      <c r="AB380" s="78" t="s">
        <v>281</v>
      </c>
      <c r="AC380">
        <f>IF(C380="",0,VLOOKUP(C380,'Dados de consulta'!$H$2:$I$25,2,0))</f>
        <v>0</v>
      </c>
      <c r="AD380">
        <f>IF(D380="",0,VLOOKUP(D380,'Dados de consulta'!$H$2:$I$25,2,0))</f>
        <v>0</v>
      </c>
      <c r="AE380">
        <f>IF(E380="",0,VLOOKUP(E380,'Dados de consulta'!$H$2:$I$25,2,0))</f>
        <v>0</v>
      </c>
      <c r="AF380">
        <f>IF(F380="",0,VLOOKUP(F380,'Dados de consulta'!$H$2:$I$25,2,0))</f>
        <v>0</v>
      </c>
      <c r="AG380">
        <f>IF(G380="",0,VLOOKUP(G380,'Dados de consulta'!$H$2:$I$25,2,0))</f>
        <v>0</v>
      </c>
      <c r="AH380">
        <f>IF(H380="",0,VLOOKUP(H380,'Dados de consulta'!$H$2:$I$25,2,0))</f>
        <v>0</v>
      </c>
      <c r="AI380">
        <f>IF(I380="",0,VLOOKUP(I380,'Dados de consulta'!$H$2:$I$25,2,0))</f>
        <v>0</v>
      </c>
      <c r="AJ380">
        <f>IF(J380="",0,VLOOKUP(J380,'Dados de consulta'!$H$2:$I$25,2,0))</f>
        <v>0</v>
      </c>
      <c r="AK380">
        <f>IF(K380="",0,VLOOKUP(K380,'Dados de consulta'!$H$2:$I$25,2,0))</f>
        <v>0</v>
      </c>
      <c r="AL380">
        <f>IF(L380="",0,VLOOKUP(L380,'Dados de consulta'!$H$2:$I$25,2,0))</f>
        <v>0</v>
      </c>
      <c r="AM380">
        <f>IF(M380="",0,VLOOKUP(M380,'Dados de consulta'!$H$2:$I$25,2,0))</f>
        <v>0</v>
      </c>
      <c r="AN380">
        <f>IF(N380="",0,VLOOKUP(N380,'Dados de consulta'!$H$2:$I$25,2,0))</f>
        <v>0</v>
      </c>
      <c r="AO380">
        <f>IF(O380="",0,VLOOKUP(O380,'Dados de consulta'!$H$2:$I$25,2,0))</f>
        <v>0</v>
      </c>
      <c r="AP380">
        <f>IF(P380="",0,VLOOKUP(P380,'Dados de consulta'!$H$2:$I$25,2,0))</f>
        <v>0</v>
      </c>
      <c r="AQ380">
        <f>IF(Q380="",0,VLOOKUP(Q380,'Dados de consulta'!$H$2:$I$25,2,0))</f>
        <v>0</v>
      </c>
      <c r="AR380">
        <f>IF(R380="",0,VLOOKUP(R380,'Dados de consulta'!$H$2:$I$25,2,0))</f>
        <v>0</v>
      </c>
      <c r="AS380">
        <f>IF(S380="",0,VLOOKUP(S380,'Dados de consulta'!$H$2:$I$25,2,0))</f>
        <v>0</v>
      </c>
      <c r="AT380">
        <f>IF(T380="",0,VLOOKUP(T380,'Dados de consulta'!$H$2:$I$25,2,0))</f>
        <v>0</v>
      </c>
      <c r="AU380">
        <f>IF(U380="",0,VLOOKUP(U380,'Dados de consulta'!$H$2:$I$25,2,0))</f>
        <v>0</v>
      </c>
      <c r="AV380">
        <f>IF(V380="",0,VLOOKUP(V380,'Dados de consulta'!$H$2:$I$25,2,0))</f>
        <v>0</v>
      </c>
      <c r="AW380">
        <f t="shared" si="38"/>
        <v>0</v>
      </c>
      <c r="AX380">
        <f t="shared" si="39"/>
        <v>0</v>
      </c>
      <c r="AY380">
        <f t="shared" si="40"/>
        <v>0</v>
      </c>
    </row>
    <row r="381" spans="1:51" hidden="1" x14ac:dyDescent="0.2">
      <c r="A381" s="202">
        <v>42638</v>
      </c>
      <c r="B381" s="78" t="s">
        <v>282</v>
      </c>
      <c r="AA381" s="202">
        <v>42638</v>
      </c>
      <c r="AB381" s="78" t="s">
        <v>282</v>
      </c>
      <c r="AC381">
        <f>IF(C381="",0,VLOOKUP(C381,'Dados de consulta'!$H$2:$I$25,2,0))</f>
        <v>0</v>
      </c>
      <c r="AD381">
        <f>IF(D381="",0,VLOOKUP(D381,'Dados de consulta'!$H$2:$I$25,2,0))</f>
        <v>0</v>
      </c>
      <c r="AE381">
        <f>IF(E381="",0,VLOOKUP(E381,'Dados de consulta'!$H$2:$I$25,2,0))</f>
        <v>0</v>
      </c>
      <c r="AF381">
        <f>IF(F381="",0,VLOOKUP(F381,'Dados de consulta'!$H$2:$I$25,2,0))</f>
        <v>0</v>
      </c>
      <c r="AG381">
        <f>IF(G381="",0,VLOOKUP(G381,'Dados de consulta'!$H$2:$I$25,2,0))</f>
        <v>0</v>
      </c>
      <c r="AH381">
        <f>IF(H381="",0,VLOOKUP(H381,'Dados de consulta'!$H$2:$I$25,2,0))</f>
        <v>0</v>
      </c>
      <c r="AI381">
        <f>IF(I381="",0,VLOOKUP(I381,'Dados de consulta'!$H$2:$I$25,2,0))</f>
        <v>0</v>
      </c>
      <c r="AJ381">
        <f>IF(J381="",0,VLOOKUP(J381,'Dados de consulta'!$H$2:$I$25,2,0))</f>
        <v>0</v>
      </c>
      <c r="AK381">
        <f>IF(K381="",0,VLOOKUP(K381,'Dados de consulta'!$H$2:$I$25,2,0))</f>
        <v>0</v>
      </c>
      <c r="AL381">
        <f>IF(L381="",0,VLOOKUP(L381,'Dados de consulta'!$H$2:$I$25,2,0))</f>
        <v>0</v>
      </c>
      <c r="AM381">
        <f>IF(M381="",0,VLOOKUP(M381,'Dados de consulta'!$H$2:$I$25,2,0))</f>
        <v>0</v>
      </c>
      <c r="AN381">
        <f>IF(N381="",0,VLOOKUP(N381,'Dados de consulta'!$H$2:$I$25,2,0))</f>
        <v>0</v>
      </c>
      <c r="AO381">
        <f>IF(O381="",0,VLOOKUP(O381,'Dados de consulta'!$H$2:$I$25,2,0))</f>
        <v>0</v>
      </c>
      <c r="AP381">
        <f>IF(P381="",0,VLOOKUP(P381,'Dados de consulta'!$H$2:$I$25,2,0))</f>
        <v>0</v>
      </c>
      <c r="AQ381">
        <f>IF(Q381="",0,VLOOKUP(Q381,'Dados de consulta'!$H$2:$I$25,2,0))</f>
        <v>0</v>
      </c>
      <c r="AR381">
        <f>IF(R381="",0,VLOOKUP(R381,'Dados de consulta'!$H$2:$I$25,2,0))</f>
        <v>0</v>
      </c>
      <c r="AS381">
        <f>IF(S381="",0,VLOOKUP(S381,'Dados de consulta'!$H$2:$I$25,2,0))</f>
        <v>0</v>
      </c>
      <c r="AT381">
        <f>IF(T381="",0,VLOOKUP(T381,'Dados de consulta'!$H$2:$I$25,2,0))</f>
        <v>0</v>
      </c>
      <c r="AU381">
        <f>IF(U381="",0,VLOOKUP(U381,'Dados de consulta'!$H$2:$I$25,2,0))</f>
        <v>0</v>
      </c>
      <c r="AV381">
        <f>IF(V381="",0,VLOOKUP(V381,'Dados de consulta'!$H$2:$I$25,2,0))</f>
        <v>0</v>
      </c>
      <c r="AW381">
        <f t="shared" si="38"/>
        <v>0</v>
      </c>
      <c r="AX381">
        <f t="shared" si="39"/>
        <v>0</v>
      </c>
      <c r="AY381">
        <f t="shared" si="40"/>
        <v>0</v>
      </c>
    </row>
    <row r="382" spans="1:51" hidden="1" x14ac:dyDescent="0.2">
      <c r="A382" s="202">
        <v>42639</v>
      </c>
      <c r="B382" s="78" t="s">
        <v>283</v>
      </c>
      <c r="AA382" s="202">
        <v>42639</v>
      </c>
      <c r="AB382" s="78" t="s">
        <v>283</v>
      </c>
      <c r="AC382">
        <f>IF(C382="",0,VLOOKUP(C382,'Dados de consulta'!$H$2:$I$25,2,0))</f>
        <v>0</v>
      </c>
      <c r="AD382">
        <f>IF(D382="",0,VLOOKUP(D382,'Dados de consulta'!$H$2:$I$25,2,0))</f>
        <v>0</v>
      </c>
      <c r="AE382">
        <f>IF(E382="",0,VLOOKUP(E382,'Dados de consulta'!$H$2:$I$25,2,0))</f>
        <v>0</v>
      </c>
      <c r="AF382">
        <f>IF(F382="",0,VLOOKUP(F382,'Dados de consulta'!$H$2:$I$25,2,0))</f>
        <v>0</v>
      </c>
      <c r="AG382">
        <f>IF(G382="",0,VLOOKUP(G382,'Dados de consulta'!$H$2:$I$25,2,0))</f>
        <v>0</v>
      </c>
      <c r="AH382">
        <f>IF(H382="",0,VLOOKUP(H382,'Dados de consulta'!$H$2:$I$25,2,0))</f>
        <v>0</v>
      </c>
      <c r="AI382">
        <f>IF(I382="",0,VLOOKUP(I382,'Dados de consulta'!$H$2:$I$25,2,0))</f>
        <v>0</v>
      </c>
      <c r="AJ382">
        <f>IF(J382="",0,VLOOKUP(J382,'Dados de consulta'!$H$2:$I$25,2,0))</f>
        <v>0</v>
      </c>
      <c r="AK382">
        <f>IF(K382="",0,VLOOKUP(K382,'Dados de consulta'!$H$2:$I$25,2,0))</f>
        <v>0</v>
      </c>
      <c r="AL382">
        <f>IF(L382="",0,VLOOKUP(L382,'Dados de consulta'!$H$2:$I$25,2,0))</f>
        <v>0</v>
      </c>
      <c r="AM382">
        <f>IF(M382="",0,VLOOKUP(M382,'Dados de consulta'!$H$2:$I$25,2,0))</f>
        <v>0</v>
      </c>
      <c r="AN382">
        <f>IF(N382="",0,VLOOKUP(N382,'Dados de consulta'!$H$2:$I$25,2,0))</f>
        <v>0</v>
      </c>
      <c r="AO382">
        <f>IF(O382="",0,VLOOKUP(O382,'Dados de consulta'!$H$2:$I$25,2,0))</f>
        <v>0</v>
      </c>
      <c r="AP382">
        <f>IF(P382="",0,VLOOKUP(P382,'Dados de consulta'!$H$2:$I$25,2,0))</f>
        <v>0</v>
      </c>
      <c r="AQ382">
        <f>IF(Q382="",0,VLOOKUP(Q382,'Dados de consulta'!$H$2:$I$25,2,0))</f>
        <v>0</v>
      </c>
      <c r="AR382">
        <f>IF(R382="",0,VLOOKUP(R382,'Dados de consulta'!$H$2:$I$25,2,0))</f>
        <v>0</v>
      </c>
      <c r="AS382">
        <f>IF(S382="",0,VLOOKUP(S382,'Dados de consulta'!$H$2:$I$25,2,0))</f>
        <v>0</v>
      </c>
      <c r="AT382">
        <f>IF(T382="",0,VLOOKUP(T382,'Dados de consulta'!$H$2:$I$25,2,0))</f>
        <v>0</v>
      </c>
      <c r="AU382">
        <f>IF(U382="",0,VLOOKUP(U382,'Dados de consulta'!$H$2:$I$25,2,0))</f>
        <v>0</v>
      </c>
      <c r="AV382">
        <f>IF(V382="",0,VLOOKUP(V382,'Dados de consulta'!$H$2:$I$25,2,0))</f>
        <v>0</v>
      </c>
      <c r="AW382">
        <f t="shared" si="38"/>
        <v>0</v>
      </c>
      <c r="AX382">
        <f t="shared" si="39"/>
        <v>0</v>
      </c>
      <c r="AY382">
        <f t="shared" si="40"/>
        <v>0</v>
      </c>
    </row>
    <row r="383" spans="1:51" hidden="1" x14ac:dyDescent="0.2">
      <c r="A383" s="202">
        <v>42640</v>
      </c>
      <c r="B383" s="78" t="s">
        <v>284</v>
      </c>
      <c r="AA383" s="202">
        <v>42640</v>
      </c>
      <c r="AB383" s="78" t="s">
        <v>284</v>
      </c>
      <c r="AC383">
        <f>IF(C383="",0,VLOOKUP(C383,'Dados de consulta'!$H$2:$I$25,2,0))</f>
        <v>0</v>
      </c>
      <c r="AD383">
        <f>IF(D383="",0,VLOOKUP(D383,'Dados de consulta'!$H$2:$I$25,2,0))</f>
        <v>0</v>
      </c>
      <c r="AE383">
        <f>IF(E383="",0,VLOOKUP(E383,'Dados de consulta'!$H$2:$I$25,2,0))</f>
        <v>0</v>
      </c>
      <c r="AF383">
        <f>IF(F383="",0,VLOOKUP(F383,'Dados de consulta'!$H$2:$I$25,2,0))</f>
        <v>0</v>
      </c>
      <c r="AG383">
        <f>IF(G383="",0,VLOOKUP(G383,'Dados de consulta'!$H$2:$I$25,2,0))</f>
        <v>0</v>
      </c>
      <c r="AH383">
        <f>IF(H383="",0,VLOOKUP(H383,'Dados de consulta'!$H$2:$I$25,2,0))</f>
        <v>0</v>
      </c>
      <c r="AI383">
        <f>IF(I383="",0,VLOOKUP(I383,'Dados de consulta'!$H$2:$I$25,2,0))</f>
        <v>0</v>
      </c>
      <c r="AJ383">
        <f>IF(J383="",0,VLOOKUP(J383,'Dados de consulta'!$H$2:$I$25,2,0))</f>
        <v>0</v>
      </c>
      <c r="AK383">
        <f>IF(K383="",0,VLOOKUP(K383,'Dados de consulta'!$H$2:$I$25,2,0))</f>
        <v>0</v>
      </c>
      <c r="AL383">
        <f>IF(L383="",0,VLOOKUP(L383,'Dados de consulta'!$H$2:$I$25,2,0))</f>
        <v>0</v>
      </c>
      <c r="AM383">
        <f>IF(M383="",0,VLOOKUP(M383,'Dados de consulta'!$H$2:$I$25,2,0))</f>
        <v>0</v>
      </c>
      <c r="AN383">
        <f>IF(N383="",0,VLOOKUP(N383,'Dados de consulta'!$H$2:$I$25,2,0))</f>
        <v>0</v>
      </c>
      <c r="AO383">
        <f>IF(O383="",0,VLOOKUP(O383,'Dados de consulta'!$H$2:$I$25,2,0))</f>
        <v>0</v>
      </c>
      <c r="AP383">
        <f>IF(P383="",0,VLOOKUP(P383,'Dados de consulta'!$H$2:$I$25,2,0))</f>
        <v>0</v>
      </c>
      <c r="AQ383">
        <f>IF(Q383="",0,VLOOKUP(Q383,'Dados de consulta'!$H$2:$I$25,2,0))</f>
        <v>0</v>
      </c>
      <c r="AR383">
        <f>IF(R383="",0,VLOOKUP(R383,'Dados de consulta'!$H$2:$I$25,2,0))</f>
        <v>0</v>
      </c>
      <c r="AS383">
        <f>IF(S383="",0,VLOOKUP(S383,'Dados de consulta'!$H$2:$I$25,2,0))</f>
        <v>0</v>
      </c>
      <c r="AT383">
        <f>IF(T383="",0,VLOOKUP(T383,'Dados de consulta'!$H$2:$I$25,2,0))</f>
        <v>0</v>
      </c>
      <c r="AU383">
        <f>IF(U383="",0,VLOOKUP(U383,'Dados de consulta'!$H$2:$I$25,2,0))</f>
        <v>0</v>
      </c>
      <c r="AV383">
        <f>IF(V383="",0,VLOOKUP(V383,'Dados de consulta'!$H$2:$I$25,2,0))</f>
        <v>0</v>
      </c>
      <c r="AW383">
        <f t="shared" si="38"/>
        <v>0</v>
      </c>
      <c r="AX383">
        <f t="shared" si="39"/>
        <v>0</v>
      </c>
      <c r="AY383">
        <f t="shared" si="40"/>
        <v>0</v>
      </c>
    </row>
    <row r="384" spans="1:51" hidden="1" x14ac:dyDescent="0.2">
      <c r="A384" s="202">
        <v>42641</v>
      </c>
      <c r="B384" s="78" t="s">
        <v>285</v>
      </c>
      <c r="AA384" s="202">
        <v>42641</v>
      </c>
      <c r="AB384" s="78" t="s">
        <v>285</v>
      </c>
      <c r="AC384">
        <f>IF(C384="",0,VLOOKUP(C384,'Dados de consulta'!$H$2:$I$25,2,0))</f>
        <v>0</v>
      </c>
      <c r="AD384">
        <f>IF(D384="",0,VLOOKUP(D384,'Dados de consulta'!$H$2:$I$25,2,0))</f>
        <v>0</v>
      </c>
      <c r="AE384">
        <f>IF(E384="",0,VLOOKUP(E384,'Dados de consulta'!$H$2:$I$25,2,0))</f>
        <v>0</v>
      </c>
      <c r="AF384">
        <f>IF(F384="",0,VLOOKUP(F384,'Dados de consulta'!$H$2:$I$25,2,0))</f>
        <v>0</v>
      </c>
      <c r="AG384">
        <f>IF(G384="",0,VLOOKUP(G384,'Dados de consulta'!$H$2:$I$25,2,0))</f>
        <v>0</v>
      </c>
      <c r="AH384">
        <f>IF(H384="",0,VLOOKUP(H384,'Dados de consulta'!$H$2:$I$25,2,0))</f>
        <v>0</v>
      </c>
      <c r="AI384">
        <f>IF(I384="",0,VLOOKUP(I384,'Dados de consulta'!$H$2:$I$25,2,0))</f>
        <v>0</v>
      </c>
      <c r="AJ384">
        <f>IF(J384="",0,VLOOKUP(J384,'Dados de consulta'!$H$2:$I$25,2,0))</f>
        <v>0</v>
      </c>
      <c r="AK384">
        <f>IF(K384="",0,VLOOKUP(K384,'Dados de consulta'!$H$2:$I$25,2,0))</f>
        <v>0</v>
      </c>
      <c r="AL384">
        <f>IF(L384="",0,VLOOKUP(L384,'Dados de consulta'!$H$2:$I$25,2,0))</f>
        <v>0</v>
      </c>
      <c r="AM384">
        <f>IF(M384="",0,VLOOKUP(M384,'Dados de consulta'!$H$2:$I$25,2,0))</f>
        <v>0</v>
      </c>
      <c r="AN384">
        <f>IF(N384="",0,VLOOKUP(N384,'Dados de consulta'!$H$2:$I$25,2,0))</f>
        <v>0</v>
      </c>
      <c r="AO384">
        <f>IF(O384="",0,VLOOKUP(O384,'Dados de consulta'!$H$2:$I$25,2,0))</f>
        <v>0</v>
      </c>
      <c r="AP384">
        <f>IF(P384="",0,VLOOKUP(P384,'Dados de consulta'!$H$2:$I$25,2,0))</f>
        <v>0</v>
      </c>
      <c r="AQ384">
        <f>IF(Q384="",0,VLOOKUP(Q384,'Dados de consulta'!$H$2:$I$25,2,0))</f>
        <v>0</v>
      </c>
      <c r="AR384">
        <f>IF(R384="",0,VLOOKUP(R384,'Dados de consulta'!$H$2:$I$25,2,0))</f>
        <v>0</v>
      </c>
      <c r="AS384">
        <f>IF(S384="",0,VLOOKUP(S384,'Dados de consulta'!$H$2:$I$25,2,0))</f>
        <v>0</v>
      </c>
      <c r="AT384">
        <f>IF(T384="",0,VLOOKUP(T384,'Dados de consulta'!$H$2:$I$25,2,0))</f>
        <v>0</v>
      </c>
      <c r="AU384">
        <f>IF(U384="",0,VLOOKUP(U384,'Dados de consulta'!$H$2:$I$25,2,0))</f>
        <v>0</v>
      </c>
      <c r="AV384">
        <f>IF(V384="",0,VLOOKUP(V384,'Dados de consulta'!$H$2:$I$25,2,0))</f>
        <v>0</v>
      </c>
      <c r="AW384">
        <f t="shared" si="38"/>
        <v>0</v>
      </c>
      <c r="AX384">
        <f t="shared" si="39"/>
        <v>0</v>
      </c>
      <c r="AY384">
        <f t="shared" si="40"/>
        <v>0</v>
      </c>
    </row>
    <row r="385" spans="1:51" hidden="1" x14ac:dyDescent="0.2">
      <c r="A385" s="202">
        <v>42642</v>
      </c>
      <c r="B385" s="78" t="s">
        <v>286</v>
      </c>
      <c r="AA385" s="202">
        <v>42642</v>
      </c>
      <c r="AB385" s="78" t="s">
        <v>286</v>
      </c>
      <c r="AC385">
        <f>IF(C385="",0,VLOOKUP(C385,'Dados de consulta'!$H$2:$I$25,2,0))</f>
        <v>0</v>
      </c>
      <c r="AD385">
        <f>IF(D385="",0,VLOOKUP(D385,'Dados de consulta'!$H$2:$I$25,2,0))</f>
        <v>0</v>
      </c>
      <c r="AE385">
        <f>IF(E385="",0,VLOOKUP(E385,'Dados de consulta'!$H$2:$I$25,2,0))</f>
        <v>0</v>
      </c>
      <c r="AF385">
        <f>IF(F385="",0,VLOOKUP(F385,'Dados de consulta'!$H$2:$I$25,2,0))</f>
        <v>0</v>
      </c>
      <c r="AG385">
        <f>IF(G385="",0,VLOOKUP(G385,'Dados de consulta'!$H$2:$I$25,2,0))</f>
        <v>0</v>
      </c>
      <c r="AH385">
        <f>IF(H385="",0,VLOOKUP(H385,'Dados de consulta'!$H$2:$I$25,2,0))</f>
        <v>0</v>
      </c>
      <c r="AI385">
        <f>IF(I385="",0,VLOOKUP(I385,'Dados de consulta'!$H$2:$I$25,2,0))</f>
        <v>0</v>
      </c>
      <c r="AJ385">
        <f>IF(J385="",0,VLOOKUP(J385,'Dados de consulta'!$H$2:$I$25,2,0))</f>
        <v>0</v>
      </c>
      <c r="AK385">
        <f>IF(K385="",0,VLOOKUP(K385,'Dados de consulta'!$H$2:$I$25,2,0))</f>
        <v>0</v>
      </c>
      <c r="AL385">
        <f>IF(L385="",0,VLOOKUP(L385,'Dados de consulta'!$H$2:$I$25,2,0))</f>
        <v>0</v>
      </c>
      <c r="AM385">
        <f>IF(M385="",0,VLOOKUP(M385,'Dados de consulta'!$H$2:$I$25,2,0))</f>
        <v>0</v>
      </c>
      <c r="AN385">
        <f>IF(N385="",0,VLOOKUP(N385,'Dados de consulta'!$H$2:$I$25,2,0))</f>
        <v>0</v>
      </c>
      <c r="AO385">
        <f>IF(O385="",0,VLOOKUP(O385,'Dados de consulta'!$H$2:$I$25,2,0))</f>
        <v>0</v>
      </c>
      <c r="AP385">
        <f>IF(P385="",0,VLOOKUP(P385,'Dados de consulta'!$H$2:$I$25,2,0))</f>
        <v>0</v>
      </c>
      <c r="AQ385">
        <f>IF(Q385="",0,VLOOKUP(Q385,'Dados de consulta'!$H$2:$I$25,2,0))</f>
        <v>0</v>
      </c>
      <c r="AR385">
        <f>IF(R385="",0,VLOOKUP(R385,'Dados de consulta'!$H$2:$I$25,2,0))</f>
        <v>0</v>
      </c>
      <c r="AS385">
        <f>IF(S385="",0,VLOOKUP(S385,'Dados de consulta'!$H$2:$I$25,2,0))</f>
        <v>0</v>
      </c>
      <c r="AT385">
        <f>IF(T385="",0,VLOOKUP(T385,'Dados de consulta'!$H$2:$I$25,2,0))</f>
        <v>0</v>
      </c>
      <c r="AU385">
        <f>IF(U385="",0,VLOOKUP(U385,'Dados de consulta'!$H$2:$I$25,2,0))</f>
        <v>0</v>
      </c>
      <c r="AV385">
        <f>IF(V385="",0,VLOOKUP(V385,'Dados de consulta'!$H$2:$I$25,2,0))</f>
        <v>0</v>
      </c>
      <c r="AW385">
        <f t="shared" si="38"/>
        <v>0</v>
      </c>
      <c r="AX385">
        <f t="shared" si="39"/>
        <v>0</v>
      </c>
      <c r="AY385">
        <f t="shared" si="40"/>
        <v>0</v>
      </c>
    </row>
    <row r="386" spans="1:51" hidden="1" x14ac:dyDescent="0.2">
      <c r="A386" s="202">
        <v>42643</v>
      </c>
      <c r="B386" s="78" t="s">
        <v>287</v>
      </c>
      <c r="AA386" s="202">
        <v>42643</v>
      </c>
      <c r="AB386" s="78" t="s">
        <v>287</v>
      </c>
      <c r="AC386">
        <f>IF(C386="",0,VLOOKUP(C386,'Dados de consulta'!$H$2:$I$25,2,0))</f>
        <v>0</v>
      </c>
      <c r="AD386">
        <f>IF(D386="",0,VLOOKUP(D386,'Dados de consulta'!$H$2:$I$25,2,0))</f>
        <v>0</v>
      </c>
      <c r="AE386">
        <f>IF(E386="",0,VLOOKUP(E386,'Dados de consulta'!$H$2:$I$25,2,0))</f>
        <v>0</v>
      </c>
      <c r="AF386">
        <f>IF(F386="",0,VLOOKUP(F386,'Dados de consulta'!$H$2:$I$25,2,0))</f>
        <v>0</v>
      </c>
      <c r="AG386">
        <f>IF(G386="",0,VLOOKUP(G386,'Dados de consulta'!$H$2:$I$25,2,0))</f>
        <v>0</v>
      </c>
      <c r="AH386">
        <f>IF(H386="",0,VLOOKUP(H386,'Dados de consulta'!$H$2:$I$25,2,0))</f>
        <v>0</v>
      </c>
      <c r="AI386">
        <f>IF(I386="",0,VLOOKUP(I386,'Dados de consulta'!$H$2:$I$25,2,0))</f>
        <v>0</v>
      </c>
      <c r="AJ386">
        <f>IF(J386="",0,VLOOKUP(J386,'Dados de consulta'!$H$2:$I$25,2,0))</f>
        <v>0</v>
      </c>
      <c r="AK386">
        <f>IF(K386="",0,VLOOKUP(K386,'Dados de consulta'!$H$2:$I$25,2,0))</f>
        <v>0</v>
      </c>
      <c r="AL386">
        <f>IF(L386="",0,VLOOKUP(L386,'Dados de consulta'!$H$2:$I$25,2,0))</f>
        <v>0</v>
      </c>
      <c r="AM386">
        <f>IF(M386="",0,VLOOKUP(M386,'Dados de consulta'!$H$2:$I$25,2,0))</f>
        <v>0</v>
      </c>
      <c r="AN386">
        <f>IF(N386="",0,VLOOKUP(N386,'Dados de consulta'!$H$2:$I$25,2,0))</f>
        <v>0</v>
      </c>
      <c r="AO386">
        <f>IF(O386="",0,VLOOKUP(O386,'Dados de consulta'!$H$2:$I$25,2,0))</f>
        <v>0</v>
      </c>
      <c r="AP386">
        <f>IF(P386="",0,VLOOKUP(P386,'Dados de consulta'!$H$2:$I$25,2,0))</f>
        <v>0</v>
      </c>
      <c r="AQ386">
        <f>IF(Q386="",0,VLOOKUP(Q386,'Dados de consulta'!$H$2:$I$25,2,0))</f>
        <v>0</v>
      </c>
      <c r="AR386">
        <f>IF(R386="",0,VLOOKUP(R386,'Dados de consulta'!$H$2:$I$25,2,0))</f>
        <v>0</v>
      </c>
      <c r="AS386">
        <f>IF(S386="",0,VLOOKUP(S386,'Dados de consulta'!$H$2:$I$25,2,0))</f>
        <v>0</v>
      </c>
      <c r="AT386">
        <f>IF(T386="",0,VLOOKUP(T386,'Dados de consulta'!$H$2:$I$25,2,0))</f>
        <v>0</v>
      </c>
      <c r="AU386">
        <f>IF(U386="",0,VLOOKUP(U386,'Dados de consulta'!$H$2:$I$25,2,0))</f>
        <v>0</v>
      </c>
      <c r="AV386">
        <f>IF(V386="",0,VLOOKUP(V386,'Dados de consulta'!$H$2:$I$25,2,0))</f>
        <v>0</v>
      </c>
      <c r="AW386">
        <f t="shared" si="38"/>
        <v>0</v>
      </c>
      <c r="AX386">
        <f t="shared" si="39"/>
        <v>0</v>
      </c>
      <c r="AY386">
        <f t="shared" si="40"/>
        <v>0</v>
      </c>
    </row>
    <row r="387" spans="1:51" hidden="1" x14ac:dyDescent="0.2">
      <c r="A387" s="202">
        <v>42644</v>
      </c>
      <c r="B387" s="78" t="s">
        <v>281</v>
      </c>
      <c r="AA387" s="202">
        <v>42644</v>
      </c>
      <c r="AB387" s="78" t="s">
        <v>281</v>
      </c>
      <c r="AC387">
        <f>IF(C387="",0,VLOOKUP(C387,'Dados de consulta'!$H$2:$I$25,2,0))</f>
        <v>0</v>
      </c>
      <c r="AD387">
        <f>IF(D387="",0,VLOOKUP(D387,'Dados de consulta'!$H$2:$I$25,2,0))</f>
        <v>0</v>
      </c>
      <c r="AE387">
        <f>IF(E387="",0,VLOOKUP(E387,'Dados de consulta'!$H$2:$I$25,2,0))</f>
        <v>0</v>
      </c>
      <c r="AF387">
        <f>IF(F387="",0,VLOOKUP(F387,'Dados de consulta'!$H$2:$I$25,2,0))</f>
        <v>0</v>
      </c>
      <c r="AG387">
        <f>IF(G387="",0,VLOOKUP(G387,'Dados de consulta'!$H$2:$I$25,2,0))</f>
        <v>0</v>
      </c>
      <c r="AH387">
        <f>IF(H387="",0,VLOOKUP(H387,'Dados de consulta'!$H$2:$I$25,2,0))</f>
        <v>0</v>
      </c>
      <c r="AI387">
        <f>IF(I387="",0,VLOOKUP(I387,'Dados de consulta'!$H$2:$I$25,2,0))</f>
        <v>0</v>
      </c>
      <c r="AJ387">
        <f>IF(J387="",0,VLOOKUP(J387,'Dados de consulta'!$H$2:$I$25,2,0))</f>
        <v>0</v>
      </c>
      <c r="AK387">
        <f>IF(K387="",0,VLOOKUP(K387,'Dados de consulta'!$H$2:$I$25,2,0))</f>
        <v>0</v>
      </c>
      <c r="AL387">
        <f>IF(L387="",0,VLOOKUP(L387,'Dados de consulta'!$H$2:$I$25,2,0))</f>
        <v>0</v>
      </c>
      <c r="AM387">
        <f>IF(M387="",0,VLOOKUP(M387,'Dados de consulta'!$H$2:$I$25,2,0))</f>
        <v>0</v>
      </c>
      <c r="AN387">
        <f>IF(N387="",0,VLOOKUP(N387,'Dados de consulta'!$H$2:$I$25,2,0))</f>
        <v>0</v>
      </c>
      <c r="AO387">
        <f>IF(O387="",0,VLOOKUP(O387,'Dados de consulta'!$H$2:$I$25,2,0))</f>
        <v>0</v>
      </c>
      <c r="AP387">
        <f>IF(P387="",0,VLOOKUP(P387,'Dados de consulta'!$H$2:$I$25,2,0))</f>
        <v>0</v>
      </c>
      <c r="AQ387">
        <f>IF(Q387="",0,VLOOKUP(Q387,'Dados de consulta'!$H$2:$I$25,2,0))</f>
        <v>0</v>
      </c>
      <c r="AR387">
        <f>IF(R387="",0,VLOOKUP(R387,'Dados de consulta'!$H$2:$I$25,2,0))</f>
        <v>0</v>
      </c>
      <c r="AS387">
        <f>IF(S387="",0,VLOOKUP(S387,'Dados de consulta'!$H$2:$I$25,2,0))</f>
        <v>0</v>
      </c>
      <c r="AT387">
        <f>IF(T387="",0,VLOOKUP(T387,'Dados de consulta'!$H$2:$I$25,2,0))</f>
        <v>0</v>
      </c>
      <c r="AU387">
        <f>IF(U387="",0,VLOOKUP(U387,'Dados de consulta'!$H$2:$I$25,2,0))</f>
        <v>0</v>
      </c>
      <c r="AV387">
        <f>IF(V387="",0,VLOOKUP(V387,'Dados de consulta'!$H$2:$I$25,2,0))</f>
        <v>0</v>
      </c>
      <c r="AW387">
        <f t="shared" si="38"/>
        <v>0</v>
      </c>
      <c r="AX387">
        <f t="shared" si="39"/>
        <v>0</v>
      </c>
      <c r="AY387">
        <f t="shared" si="40"/>
        <v>0</v>
      </c>
    </row>
    <row r="388" spans="1:51" hidden="1" x14ac:dyDescent="0.2">
      <c r="A388" s="202">
        <v>42645</v>
      </c>
      <c r="B388" s="78" t="s">
        <v>282</v>
      </c>
      <c r="AA388" s="202">
        <v>42645</v>
      </c>
      <c r="AB388" s="78" t="s">
        <v>282</v>
      </c>
      <c r="AC388">
        <f>IF(C388="",0,VLOOKUP(C388,'Dados de consulta'!$H$2:$I$25,2,0))</f>
        <v>0</v>
      </c>
      <c r="AD388">
        <f>IF(D388="",0,VLOOKUP(D388,'Dados de consulta'!$H$2:$I$25,2,0))</f>
        <v>0</v>
      </c>
      <c r="AE388">
        <f>IF(E388="",0,VLOOKUP(E388,'Dados de consulta'!$H$2:$I$25,2,0))</f>
        <v>0</v>
      </c>
      <c r="AF388">
        <f>IF(F388="",0,VLOOKUP(F388,'Dados de consulta'!$H$2:$I$25,2,0))</f>
        <v>0</v>
      </c>
      <c r="AG388">
        <f>IF(G388="",0,VLOOKUP(G388,'Dados de consulta'!$H$2:$I$25,2,0))</f>
        <v>0</v>
      </c>
      <c r="AH388">
        <f>IF(H388="",0,VLOOKUP(H388,'Dados de consulta'!$H$2:$I$25,2,0))</f>
        <v>0</v>
      </c>
      <c r="AI388">
        <f>IF(I388="",0,VLOOKUP(I388,'Dados de consulta'!$H$2:$I$25,2,0))</f>
        <v>0</v>
      </c>
      <c r="AJ388">
        <f>IF(J388="",0,VLOOKUP(J388,'Dados de consulta'!$H$2:$I$25,2,0))</f>
        <v>0</v>
      </c>
      <c r="AK388">
        <f>IF(K388="",0,VLOOKUP(K388,'Dados de consulta'!$H$2:$I$25,2,0))</f>
        <v>0</v>
      </c>
      <c r="AL388">
        <f>IF(L388="",0,VLOOKUP(L388,'Dados de consulta'!$H$2:$I$25,2,0))</f>
        <v>0</v>
      </c>
      <c r="AM388">
        <f>IF(M388="",0,VLOOKUP(M388,'Dados de consulta'!$H$2:$I$25,2,0))</f>
        <v>0</v>
      </c>
      <c r="AN388">
        <f>IF(N388="",0,VLOOKUP(N388,'Dados de consulta'!$H$2:$I$25,2,0))</f>
        <v>0</v>
      </c>
      <c r="AO388">
        <f>IF(O388="",0,VLOOKUP(O388,'Dados de consulta'!$H$2:$I$25,2,0))</f>
        <v>0</v>
      </c>
      <c r="AP388">
        <f>IF(P388="",0,VLOOKUP(P388,'Dados de consulta'!$H$2:$I$25,2,0))</f>
        <v>0</v>
      </c>
      <c r="AQ388">
        <f>IF(Q388="",0,VLOOKUP(Q388,'Dados de consulta'!$H$2:$I$25,2,0))</f>
        <v>0</v>
      </c>
      <c r="AR388">
        <f>IF(R388="",0,VLOOKUP(R388,'Dados de consulta'!$H$2:$I$25,2,0))</f>
        <v>0</v>
      </c>
      <c r="AS388">
        <f>IF(S388="",0,VLOOKUP(S388,'Dados de consulta'!$H$2:$I$25,2,0))</f>
        <v>0</v>
      </c>
      <c r="AT388">
        <f>IF(T388="",0,VLOOKUP(T388,'Dados de consulta'!$H$2:$I$25,2,0))</f>
        <v>0</v>
      </c>
      <c r="AU388">
        <f>IF(U388="",0,VLOOKUP(U388,'Dados de consulta'!$H$2:$I$25,2,0))</f>
        <v>0</v>
      </c>
      <c r="AV388">
        <f>IF(V388="",0,VLOOKUP(V388,'Dados de consulta'!$H$2:$I$25,2,0))</f>
        <v>0</v>
      </c>
      <c r="AW388">
        <f t="shared" si="38"/>
        <v>0</v>
      </c>
      <c r="AX388">
        <f t="shared" si="39"/>
        <v>0</v>
      </c>
      <c r="AY388">
        <f t="shared" si="40"/>
        <v>0</v>
      </c>
    </row>
    <row r="389" spans="1:51" hidden="1" x14ac:dyDescent="0.2">
      <c r="A389" s="202">
        <v>42646</v>
      </c>
      <c r="B389" s="78" t="s">
        <v>283</v>
      </c>
      <c r="AA389" s="202">
        <v>42646</v>
      </c>
      <c r="AB389" s="78" t="s">
        <v>283</v>
      </c>
      <c r="AC389">
        <f>IF(C389="",0,VLOOKUP(C389,'Dados de consulta'!$H$2:$I$25,2,0))</f>
        <v>0</v>
      </c>
      <c r="AD389">
        <f>IF(D389="",0,VLOOKUP(D389,'Dados de consulta'!$H$2:$I$25,2,0))</f>
        <v>0</v>
      </c>
      <c r="AE389">
        <f>IF(E389="",0,VLOOKUP(E389,'Dados de consulta'!$H$2:$I$25,2,0))</f>
        <v>0</v>
      </c>
      <c r="AF389">
        <f>IF(F389="",0,VLOOKUP(F389,'Dados de consulta'!$H$2:$I$25,2,0))</f>
        <v>0</v>
      </c>
      <c r="AG389">
        <f>IF(G389="",0,VLOOKUP(G389,'Dados de consulta'!$H$2:$I$25,2,0))</f>
        <v>0</v>
      </c>
      <c r="AH389">
        <f>IF(H389="",0,VLOOKUP(H389,'Dados de consulta'!$H$2:$I$25,2,0))</f>
        <v>0</v>
      </c>
      <c r="AI389">
        <f>IF(I389="",0,VLOOKUP(I389,'Dados de consulta'!$H$2:$I$25,2,0))</f>
        <v>0</v>
      </c>
      <c r="AJ389">
        <f>IF(J389="",0,VLOOKUP(J389,'Dados de consulta'!$H$2:$I$25,2,0))</f>
        <v>0</v>
      </c>
      <c r="AK389">
        <f>IF(K389="",0,VLOOKUP(K389,'Dados de consulta'!$H$2:$I$25,2,0))</f>
        <v>0</v>
      </c>
      <c r="AL389">
        <f>IF(L389="",0,VLOOKUP(L389,'Dados de consulta'!$H$2:$I$25,2,0))</f>
        <v>0</v>
      </c>
      <c r="AM389">
        <f>IF(M389="",0,VLOOKUP(M389,'Dados de consulta'!$H$2:$I$25,2,0))</f>
        <v>0</v>
      </c>
      <c r="AN389">
        <f>IF(N389="",0,VLOOKUP(N389,'Dados de consulta'!$H$2:$I$25,2,0))</f>
        <v>0</v>
      </c>
      <c r="AO389">
        <f>IF(O389="",0,VLOOKUP(O389,'Dados de consulta'!$H$2:$I$25,2,0))</f>
        <v>0</v>
      </c>
      <c r="AP389">
        <f>IF(P389="",0,VLOOKUP(P389,'Dados de consulta'!$H$2:$I$25,2,0))</f>
        <v>0</v>
      </c>
      <c r="AQ389">
        <f>IF(Q389="",0,VLOOKUP(Q389,'Dados de consulta'!$H$2:$I$25,2,0))</f>
        <v>0</v>
      </c>
      <c r="AR389">
        <f>IF(R389="",0,VLOOKUP(R389,'Dados de consulta'!$H$2:$I$25,2,0))</f>
        <v>0</v>
      </c>
      <c r="AS389">
        <f>IF(S389="",0,VLOOKUP(S389,'Dados de consulta'!$H$2:$I$25,2,0))</f>
        <v>0</v>
      </c>
      <c r="AT389">
        <f>IF(T389="",0,VLOOKUP(T389,'Dados de consulta'!$H$2:$I$25,2,0))</f>
        <v>0</v>
      </c>
      <c r="AU389">
        <f>IF(U389="",0,VLOOKUP(U389,'Dados de consulta'!$H$2:$I$25,2,0))</f>
        <v>0</v>
      </c>
      <c r="AV389">
        <f>IF(V389="",0,VLOOKUP(V389,'Dados de consulta'!$H$2:$I$25,2,0))</f>
        <v>0</v>
      </c>
      <c r="AW389">
        <f t="shared" si="38"/>
        <v>0</v>
      </c>
      <c r="AX389">
        <f t="shared" si="39"/>
        <v>0</v>
      </c>
      <c r="AY389">
        <f t="shared" si="40"/>
        <v>0</v>
      </c>
    </row>
    <row r="390" spans="1:51" hidden="1" x14ac:dyDescent="0.2">
      <c r="A390" s="202">
        <v>42647</v>
      </c>
      <c r="B390" s="78" t="s">
        <v>284</v>
      </c>
      <c r="AA390" s="202">
        <v>42647</v>
      </c>
      <c r="AB390" s="78" t="s">
        <v>284</v>
      </c>
      <c r="AC390">
        <f>IF(C390="",0,VLOOKUP(C390,'Dados de consulta'!$H$2:$I$25,2,0))</f>
        <v>0</v>
      </c>
      <c r="AD390">
        <f>IF(D390="",0,VLOOKUP(D390,'Dados de consulta'!$H$2:$I$25,2,0))</f>
        <v>0</v>
      </c>
      <c r="AE390">
        <f>IF(E390="",0,VLOOKUP(E390,'Dados de consulta'!$H$2:$I$25,2,0))</f>
        <v>0</v>
      </c>
      <c r="AF390">
        <f>IF(F390="",0,VLOOKUP(F390,'Dados de consulta'!$H$2:$I$25,2,0))</f>
        <v>0</v>
      </c>
      <c r="AG390">
        <f>IF(G390="",0,VLOOKUP(G390,'Dados de consulta'!$H$2:$I$25,2,0))</f>
        <v>0</v>
      </c>
      <c r="AH390">
        <f>IF(H390="",0,VLOOKUP(H390,'Dados de consulta'!$H$2:$I$25,2,0))</f>
        <v>0</v>
      </c>
      <c r="AI390">
        <f>IF(I390="",0,VLOOKUP(I390,'Dados de consulta'!$H$2:$I$25,2,0))</f>
        <v>0</v>
      </c>
      <c r="AJ390">
        <f>IF(J390="",0,VLOOKUP(J390,'Dados de consulta'!$H$2:$I$25,2,0))</f>
        <v>0</v>
      </c>
      <c r="AK390">
        <f>IF(K390="",0,VLOOKUP(K390,'Dados de consulta'!$H$2:$I$25,2,0))</f>
        <v>0</v>
      </c>
      <c r="AL390">
        <f>IF(L390="",0,VLOOKUP(L390,'Dados de consulta'!$H$2:$I$25,2,0))</f>
        <v>0</v>
      </c>
      <c r="AM390">
        <f>IF(M390="",0,VLOOKUP(M390,'Dados de consulta'!$H$2:$I$25,2,0))</f>
        <v>0</v>
      </c>
      <c r="AN390">
        <f>IF(N390="",0,VLOOKUP(N390,'Dados de consulta'!$H$2:$I$25,2,0))</f>
        <v>0</v>
      </c>
      <c r="AO390">
        <f>IF(O390="",0,VLOOKUP(O390,'Dados de consulta'!$H$2:$I$25,2,0))</f>
        <v>0</v>
      </c>
      <c r="AP390">
        <f>IF(P390="",0,VLOOKUP(P390,'Dados de consulta'!$H$2:$I$25,2,0))</f>
        <v>0</v>
      </c>
      <c r="AQ390">
        <f>IF(Q390="",0,VLOOKUP(Q390,'Dados de consulta'!$H$2:$I$25,2,0))</f>
        <v>0</v>
      </c>
      <c r="AR390">
        <f>IF(R390="",0,VLOOKUP(R390,'Dados de consulta'!$H$2:$I$25,2,0))</f>
        <v>0</v>
      </c>
      <c r="AS390">
        <f>IF(S390="",0,VLOOKUP(S390,'Dados de consulta'!$H$2:$I$25,2,0))</f>
        <v>0</v>
      </c>
      <c r="AT390">
        <f>IF(T390="",0,VLOOKUP(T390,'Dados de consulta'!$H$2:$I$25,2,0))</f>
        <v>0</v>
      </c>
      <c r="AU390">
        <f>IF(U390="",0,VLOOKUP(U390,'Dados de consulta'!$H$2:$I$25,2,0))</f>
        <v>0</v>
      </c>
      <c r="AV390">
        <f>IF(V390="",0,VLOOKUP(V390,'Dados de consulta'!$H$2:$I$25,2,0))</f>
        <v>0</v>
      </c>
      <c r="AW390">
        <f t="shared" si="38"/>
        <v>0</v>
      </c>
      <c r="AX390">
        <f t="shared" si="39"/>
        <v>0</v>
      </c>
      <c r="AY390">
        <f t="shared" si="40"/>
        <v>0</v>
      </c>
    </row>
    <row r="391" spans="1:51" hidden="1" x14ac:dyDescent="0.2">
      <c r="A391" s="202">
        <v>42648</v>
      </c>
      <c r="B391" s="78" t="s">
        <v>285</v>
      </c>
      <c r="AA391" s="202">
        <v>42648</v>
      </c>
      <c r="AB391" s="78" t="s">
        <v>285</v>
      </c>
      <c r="AC391">
        <f>IF(C391="",0,VLOOKUP(C391,'Dados de consulta'!$H$2:$I$25,2,0))</f>
        <v>0</v>
      </c>
      <c r="AD391">
        <f>IF(D391="",0,VLOOKUP(D391,'Dados de consulta'!$H$2:$I$25,2,0))</f>
        <v>0</v>
      </c>
      <c r="AE391">
        <f>IF(E391="",0,VLOOKUP(E391,'Dados de consulta'!$H$2:$I$25,2,0))</f>
        <v>0</v>
      </c>
      <c r="AF391">
        <f>IF(F391="",0,VLOOKUP(F391,'Dados de consulta'!$H$2:$I$25,2,0))</f>
        <v>0</v>
      </c>
      <c r="AG391">
        <f>IF(G391="",0,VLOOKUP(G391,'Dados de consulta'!$H$2:$I$25,2,0))</f>
        <v>0</v>
      </c>
      <c r="AH391">
        <f>IF(H391="",0,VLOOKUP(H391,'Dados de consulta'!$H$2:$I$25,2,0))</f>
        <v>0</v>
      </c>
      <c r="AI391">
        <f>IF(I391="",0,VLOOKUP(I391,'Dados de consulta'!$H$2:$I$25,2,0))</f>
        <v>0</v>
      </c>
      <c r="AJ391">
        <f>IF(J391="",0,VLOOKUP(J391,'Dados de consulta'!$H$2:$I$25,2,0))</f>
        <v>0</v>
      </c>
      <c r="AK391">
        <f>IF(K391="",0,VLOOKUP(K391,'Dados de consulta'!$H$2:$I$25,2,0))</f>
        <v>0</v>
      </c>
      <c r="AL391">
        <f>IF(L391="",0,VLOOKUP(L391,'Dados de consulta'!$H$2:$I$25,2,0))</f>
        <v>0</v>
      </c>
      <c r="AM391">
        <f>IF(M391="",0,VLOOKUP(M391,'Dados de consulta'!$H$2:$I$25,2,0))</f>
        <v>0</v>
      </c>
      <c r="AN391">
        <f>IF(N391="",0,VLOOKUP(N391,'Dados de consulta'!$H$2:$I$25,2,0))</f>
        <v>0</v>
      </c>
      <c r="AO391">
        <f>IF(O391="",0,VLOOKUP(O391,'Dados de consulta'!$H$2:$I$25,2,0))</f>
        <v>0</v>
      </c>
      <c r="AP391">
        <f>IF(P391="",0,VLOOKUP(P391,'Dados de consulta'!$H$2:$I$25,2,0))</f>
        <v>0</v>
      </c>
      <c r="AQ391">
        <f>IF(Q391="",0,VLOOKUP(Q391,'Dados de consulta'!$H$2:$I$25,2,0))</f>
        <v>0</v>
      </c>
      <c r="AR391">
        <f>IF(R391="",0,VLOOKUP(R391,'Dados de consulta'!$H$2:$I$25,2,0))</f>
        <v>0</v>
      </c>
      <c r="AS391">
        <f>IF(S391="",0,VLOOKUP(S391,'Dados de consulta'!$H$2:$I$25,2,0))</f>
        <v>0</v>
      </c>
      <c r="AT391">
        <f>IF(T391="",0,VLOOKUP(T391,'Dados de consulta'!$H$2:$I$25,2,0))</f>
        <v>0</v>
      </c>
      <c r="AU391">
        <f>IF(U391="",0,VLOOKUP(U391,'Dados de consulta'!$H$2:$I$25,2,0))</f>
        <v>0</v>
      </c>
      <c r="AV391">
        <f>IF(V391="",0,VLOOKUP(V391,'Dados de consulta'!$H$2:$I$25,2,0))</f>
        <v>0</v>
      </c>
      <c r="AW391">
        <f t="shared" si="38"/>
        <v>0</v>
      </c>
      <c r="AX391">
        <f t="shared" si="39"/>
        <v>0</v>
      </c>
      <c r="AY391">
        <f t="shared" si="40"/>
        <v>0</v>
      </c>
    </row>
    <row r="392" spans="1:51" hidden="1" x14ac:dyDescent="0.2">
      <c r="A392" s="202">
        <v>42649</v>
      </c>
      <c r="B392" s="78" t="s">
        <v>286</v>
      </c>
      <c r="AA392" s="202">
        <v>42649</v>
      </c>
      <c r="AB392" s="78" t="s">
        <v>286</v>
      </c>
      <c r="AC392">
        <f>IF(C392="",0,VLOOKUP(C392,'Dados de consulta'!$H$2:$I$25,2,0))</f>
        <v>0</v>
      </c>
      <c r="AD392">
        <f>IF(D392="",0,VLOOKUP(D392,'Dados de consulta'!$H$2:$I$25,2,0))</f>
        <v>0</v>
      </c>
      <c r="AE392">
        <f>IF(E392="",0,VLOOKUP(E392,'Dados de consulta'!$H$2:$I$25,2,0))</f>
        <v>0</v>
      </c>
      <c r="AF392">
        <f>IF(F392="",0,VLOOKUP(F392,'Dados de consulta'!$H$2:$I$25,2,0))</f>
        <v>0</v>
      </c>
      <c r="AG392">
        <f>IF(G392="",0,VLOOKUP(G392,'Dados de consulta'!$H$2:$I$25,2,0))</f>
        <v>0</v>
      </c>
      <c r="AH392">
        <f>IF(H392="",0,VLOOKUP(H392,'Dados de consulta'!$H$2:$I$25,2,0))</f>
        <v>0</v>
      </c>
      <c r="AI392">
        <f>IF(I392="",0,VLOOKUP(I392,'Dados de consulta'!$H$2:$I$25,2,0))</f>
        <v>0</v>
      </c>
      <c r="AJ392">
        <f>IF(J392="",0,VLOOKUP(J392,'Dados de consulta'!$H$2:$I$25,2,0))</f>
        <v>0</v>
      </c>
      <c r="AK392">
        <f>IF(K392="",0,VLOOKUP(K392,'Dados de consulta'!$H$2:$I$25,2,0))</f>
        <v>0</v>
      </c>
      <c r="AL392">
        <f>IF(L392="",0,VLOOKUP(L392,'Dados de consulta'!$H$2:$I$25,2,0))</f>
        <v>0</v>
      </c>
      <c r="AM392">
        <f>IF(M392="",0,VLOOKUP(M392,'Dados de consulta'!$H$2:$I$25,2,0))</f>
        <v>0</v>
      </c>
      <c r="AN392">
        <f>IF(N392="",0,VLOOKUP(N392,'Dados de consulta'!$H$2:$I$25,2,0))</f>
        <v>0</v>
      </c>
      <c r="AO392">
        <f>IF(O392="",0,VLOOKUP(O392,'Dados de consulta'!$H$2:$I$25,2,0))</f>
        <v>0</v>
      </c>
      <c r="AP392">
        <f>IF(P392="",0,VLOOKUP(P392,'Dados de consulta'!$H$2:$I$25,2,0))</f>
        <v>0</v>
      </c>
      <c r="AQ392">
        <f>IF(Q392="",0,VLOOKUP(Q392,'Dados de consulta'!$H$2:$I$25,2,0))</f>
        <v>0</v>
      </c>
      <c r="AR392">
        <f>IF(R392="",0,VLOOKUP(R392,'Dados de consulta'!$H$2:$I$25,2,0))</f>
        <v>0</v>
      </c>
      <c r="AS392">
        <f>IF(S392="",0,VLOOKUP(S392,'Dados de consulta'!$H$2:$I$25,2,0))</f>
        <v>0</v>
      </c>
      <c r="AT392">
        <f>IF(T392="",0,VLOOKUP(T392,'Dados de consulta'!$H$2:$I$25,2,0))</f>
        <v>0</v>
      </c>
      <c r="AU392">
        <f>IF(U392="",0,VLOOKUP(U392,'Dados de consulta'!$H$2:$I$25,2,0))</f>
        <v>0</v>
      </c>
      <c r="AV392">
        <f>IF(V392="",0,VLOOKUP(V392,'Dados de consulta'!$H$2:$I$25,2,0))</f>
        <v>0</v>
      </c>
      <c r="AW392">
        <f t="shared" si="38"/>
        <v>0</v>
      </c>
      <c r="AX392">
        <f t="shared" si="39"/>
        <v>0</v>
      </c>
      <c r="AY392">
        <f t="shared" si="40"/>
        <v>0</v>
      </c>
    </row>
    <row r="393" spans="1:51" hidden="1" x14ac:dyDescent="0.2">
      <c r="A393" s="202">
        <v>42650</v>
      </c>
      <c r="B393" s="78" t="s">
        <v>287</v>
      </c>
      <c r="AA393" s="202">
        <v>42650</v>
      </c>
      <c r="AB393" s="78" t="s">
        <v>287</v>
      </c>
      <c r="AC393">
        <f>IF(C393="",0,VLOOKUP(C393,'Dados de consulta'!$H$2:$I$25,2,0))</f>
        <v>0</v>
      </c>
      <c r="AD393">
        <f>IF(D393="",0,VLOOKUP(D393,'Dados de consulta'!$H$2:$I$25,2,0))</f>
        <v>0</v>
      </c>
      <c r="AE393">
        <f>IF(E393="",0,VLOOKUP(E393,'Dados de consulta'!$H$2:$I$25,2,0))</f>
        <v>0</v>
      </c>
      <c r="AF393">
        <f>IF(F393="",0,VLOOKUP(F393,'Dados de consulta'!$H$2:$I$25,2,0))</f>
        <v>0</v>
      </c>
      <c r="AG393">
        <f>IF(G393="",0,VLOOKUP(G393,'Dados de consulta'!$H$2:$I$25,2,0))</f>
        <v>0</v>
      </c>
      <c r="AH393">
        <f>IF(H393="",0,VLOOKUP(H393,'Dados de consulta'!$H$2:$I$25,2,0))</f>
        <v>0</v>
      </c>
      <c r="AI393">
        <f>IF(I393="",0,VLOOKUP(I393,'Dados de consulta'!$H$2:$I$25,2,0))</f>
        <v>0</v>
      </c>
      <c r="AJ393">
        <f>IF(J393="",0,VLOOKUP(J393,'Dados de consulta'!$H$2:$I$25,2,0))</f>
        <v>0</v>
      </c>
      <c r="AK393">
        <f>IF(K393="",0,VLOOKUP(K393,'Dados de consulta'!$H$2:$I$25,2,0))</f>
        <v>0</v>
      </c>
      <c r="AL393">
        <f>IF(L393="",0,VLOOKUP(L393,'Dados de consulta'!$H$2:$I$25,2,0))</f>
        <v>0</v>
      </c>
      <c r="AM393">
        <f>IF(M393="",0,VLOOKUP(M393,'Dados de consulta'!$H$2:$I$25,2,0))</f>
        <v>0</v>
      </c>
      <c r="AN393">
        <f>IF(N393="",0,VLOOKUP(N393,'Dados de consulta'!$H$2:$I$25,2,0))</f>
        <v>0</v>
      </c>
      <c r="AO393">
        <f>IF(O393="",0,VLOOKUP(O393,'Dados de consulta'!$H$2:$I$25,2,0))</f>
        <v>0</v>
      </c>
      <c r="AP393">
        <f>IF(P393="",0,VLOOKUP(P393,'Dados de consulta'!$H$2:$I$25,2,0))</f>
        <v>0</v>
      </c>
      <c r="AQ393">
        <f>IF(Q393="",0,VLOOKUP(Q393,'Dados de consulta'!$H$2:$I$25,2,0))</f>
        <v>0</v>
      </c>
      <c r="AR393">
        <f>IF(R393="",0,VLOOKUP(R393,'Dados de consulta'!$H$2:$I$25,2,0))</f>
        <v>0</v>
      </c>
      <c r="AS393">
        <f>IF(S393="",0,VLOOKUP(S393,'Dados de consulta'!$H$2:$I$25,2,0))</f>
        <v>0</v>
      </c>
      <c r="AT393">
        <f>IF(T393="",0,VLOOKUP(T393,'Dados de consulta'!$H$2:$I$25,2,0))</f>
        <v>0</v>
      </c>
      <c r="AU393">
        <f>IF(U393="",0,VLOOKUP(U393,'Dados de consulta'!$H$2:$I$25,2,0))</f>
        <v>0</v>
      </c>
      <c r="AV393">
        <f>IF(V393="",0,VLOOKUP(V393,'Dados de consulta'!$H$2:$I$25,2,0))</f>
        <v>0</v>
      </c>
      <c r="AW393">
        <f t="shared" si="38"/>
        <v>0</v>
      </c>
      <c r="AX393">
        <f t="shared" si="39"/>
        <v>0</v>
      </c>
      <c r="AY393">
        <f t="shared" si="40"/>
        <v>0</v>
      </c>
    </row>
    <row r="394" spans="1:51" hidden="1" x14ac:dyDescent="0.2">
      <c r="A394" s="202">
        <v>42651</v>
      </c>
      <c r="B394" s="78" t="s">
        <v>281</v>
      </c>
      <c r="AA394" s="202">
        <v>42651</v>
      </c>
      <c r="AB394" s="78" t="s">
        <v>281</v>
      </c>
      <c r="AC394">
        <f>IF(C394="",0,VLOOKUP(C394,'Dados de consulta'!$H$2:$I$25,2,0))</f>
        <v>0</v>
      </c>
      <c r="AD394">
        <f>IF(D394="",0,VLOOKUP(D394,'Dados de consulta'!$H$2:$I$25,2,0))</f>
        <v>0</v>
      </c>
      <c r="AE394">
        <f>IF(E394="",0,VLOOKUP(E394,'Dados de consulta'!$H$2:$I$25,2,0))</f>
        <v>0</v>
      </c>
      <c r="AF394">
        <f>IF(F394="",0,VLOOKUP(F394,'Dados de consulta'!$H$2:$I$25,2,0))</f>
        <v>0</v>
      </c>
      <c r="AG394">
        <f>IF(G394="",0,VLOOKUP(G394,'Dados de consulta'!$H$2:$I$25,2,0))</f>
        <v>0</v>
      </c>
      <c r="AH394">
        <f>IF(H394="",0,VLOOKUP(H394,'Dados de consulta'!$H$2:$I$25,2,0))</f>
        <v>0</v>
      </c>
      <c r="AI394">
        <f>IF(I394="",0,VLOOKUP(I394,'Dados de consulta'!$H$2:$I$25,2,0))</f>
        <v>0</v>
      </c>
      <c r="AJ394">
        <f>IF(J394="",0,VLOOKUP(J394,'Dados de consulta'!$H$2:$I$25,2,0))</f>
        <v>0</v>
      </c>
      <c r="AK394">
        <f>IF(K394="",0,VLOOKUP(K394,'Dados de consulta'!$H$2:$I$25,2,0))</f>
        <v>0</v>
      </c>
      <c r="AL394">
        <f>IF(L394="",0,VLOOKUP(L394,'Dados de consulta'!$H$2:$I$25,2,0))</f>
        <v>0</v>
      </c>
      <c r="AM394">
        <f>IF(M394="",0,VLOOKUP(M394,'Dados de consulta'!$H$2:$I$25,2,0))</f>
        <v>0</v>
      </c>
      <c r="AN394">
        <f>IF(N394="",0,VLOOKUP(N394,'Dados de consulta'!$H$2:$I$25,2,0))</f>
        <v>0</v>
      </c>
      <c r="AO394">
        <f>IF(O394="",0,VLOOKUP(O394,'Dados de consulta'!$H$2:$I$25,2,0))</f>
        <v>0</v>
      </c>
      <c r="AP394">
        <f>IF(P394="",0,VLOOKUP(P394,'Dados de consulta'!$H$2:$I$25,2,0))</f>
        <v>0</v>
      </c>
      <c r="AQ394">
        <f>IF(Q394="",0,VLOOKUP(Q394,'Dados de consulta'!$H$2:$I$25,2,0))</f>
        <v>0</v>
      </c>
      <c r="AR394">
        <f>IF(R394="",0,VLOOKUP(R394,'Dados de consulta'!$H$2:$I$25,2,0))</f>
        <v>0</v>
      </c>
      <c r="AS394">
        <f>IF(S394="",0,VLOOKUP(S394,'Dados de consulta'!$H$2:$I$25,2,0))</f>
        <v>0</v>
      </c>
      <c r="AT394">
        <f>IF(T394="",0,VLOOKUP(T394,'Dados de consulta'!$H$2:$I$25,2,0))</f>
        <v>0</v>
      </c>
      <c r="AU394">
        <f>IF(U394="",0,VLOOKUP(U394,'Dados de consulta'!$H$2:$I$25,2,0))</f>
        <v>0</v>
      </c>
      <c r="AV394">
        <f>IF(V394="",0,VLOOKUP(V394,'Dados de consulta'!$H$2:$I$25,2,0))</f>
        <v>0</v>
      </c>
      <c r="AW394">
        <f t="shared" si="38"/>
        <v>0</v>
      </c>
      <c r="AX394">
        <f t="shared" si="39"/>
        <v>0</v>
      </c>
      <c r="AY394">
        <f t="shared" si="40"/>
        <v>0</v>
      </c>
    </row>
    <row r="395" spans="1:51" hidden="1" x14ac:dyDescent="0.2">
      <c r="A395" s="202">
        <v>42652</v>
      </c>
      <c r="B395" s="78" t="s">
        <v>282</v>
      </c>
      <c r="AA395" s="202">
        <v>42652</v>
      </c>
      <c r="AB395" s="78" t="s">
        <v>282</v>
      </c>
      <c r="AC395">
        <f>IF(C395="",0,VLOOKUP(C395,'Dados de consulta'!$H$2:$I$25,2,0))</f>
        <v>0</v>
      </c>
      <c r="AD395">
        <f>IF(D395="",0,VLOOKUP(D395,'Dados de consulta'!$H$2:$I$25,2,0))</f>
        <v>0</v>
      </c>
      <c r="AE395">
        <f>IF(E395="",0,VLOOKUP(E395,'Dados de consulta'!$H$2:$I$25,2,0))</f>
        <v>0</v>
      </c>
      <c r="AF395">
        <f>IF(F395="",0,VLOOKUP(F395,'Dados de consulta'!$H$2:$I$25,2,0))</f>
        <v>0</v>
      </c>
      <c r="AG395">
        <f>IF(G395="",0,VLOOKUP(G395,'Dados de consulta'!$H$2:$I$25,2,0))</f>
        <v>0</v>
      </c>
      <c r="AH395">
        <f>IF(H395="",0,VLOOKUP(H395,'Dados de consulta'!$H$2:$I$25,2,0))</f>
        <v>0</v>
      </c>
      <c r="AI395">
        <f>IF(I395="",0,VLOOKUP(I395,'Dados de consulta'!$H$2:$I$25,2,0))</f>
        <v>0</v>
      </c>
      <c r="AJ395">
        <f>IF(J395="",0,VLOOKUP(J395,'Dados de consulta'!$H$2:$I$25,2,0))</f>
        <v>0</v>
      </c>
      <c r="AK395">
        <f>IF(K395="",0,VLOOKUP(K395,'Dados de consulta'!$H$2:$I$25,2,0))</f>
        <v>0</v>
      </c>
      <c r="AL395">
        <f>IF(L395="",0,VLOOKUP(L395,'Dados de consulta'!$H$2:$I$25,2,0))</f>
        <v>0</v>
      </c>
      <c r="AM395">
        <f>IF(M395="",0,VLOOKUP(M395,'Dados de consulta'!$H$2:$I$25,2,0))</f>
        <v>0</v>
      </c>
      <c r="AN395">
        <f>IF(N395="",0,VLOOKUP(N395,'Dados de consulta'!$H$2:$I$25,2,0))</f>
        <v>0</v>
      </c>
      <c r="AO395">
        <f>IF(O395="",0,VLOOKUP(O395,'Dados de consulta'!$H$2:$I$25,2,0))</f>
        <v>0</v>
      </c>
      <c r="AP395">
        <f>IF(P395="",0,VLOOKUP(P395,'Dados de consulta'!$H$2:$I$25,2,0))</f>
        <v>0</v>
      </c>
      <c r="AQ395">
        <f>IF(Q395="",0,VLOOKUP(Q395,'Dados de consulta'!$H$2:$I$25,2,0))</f>
        <v>0</v>
      </c>
      <c r="AR395">
        <f>IF(R395="",0,VLOOKUP(R395,'Dados de consulta'!$H$2:$I$25,2,0))</f>
        <v>0</v>
      </c>
      <c r="AS395">
        <f>IF(S395="",0,VLOOKUP(S395,'Dados de consulta'!$H$2:$I$25,2,0))</f>
        <v>0</v>
      </c>
      <c r="AT395">
        <f>IF(T395="",0,VLOOKUP(T395,'Dados de consulta'!$H$2:$I$25,2,0))</f>
        <v>0</v>
      </c>
      <c r="AU395">
        <f>IF(U395="",0,VLOOKUP(U395,'Dados de consulta'!$H$2:$I$25,2,0))</f>
        <v>0</v>
      </c>
      <c r="AV395">
        <f>IF(V395="",0,VLOOKUP(V395,'Dados de consulta'!$H$2:$I$25,2,0))</f>
        <v>0</v>
      </c>
      <c r="AW395">
        <f t="shared" si="38"/>
        <v>0</v>
      </c>
      <c r="AX395">
        <f t="shared" si="39"/>
        <v>0</v>
      </c>
      <c r="AY395">
        <f t="shared" si="40"/>
        <v>0</v>
      </c>
    </row>
    <row r="396" spans="1:51" hidden="1" x14ac:dyDescent="0.2">
      <c r="A396" s="202">
        <v>42653</v>
      </c>
      <c r="B396" s="78" t="s">
        <v>283</v>
      </c>
      <c r="AA396" s="202">
        <v>42653</v>
      </c>
      <c r="AB396" s="78" t="s">
        <v>283</v>
      </c>
      <c r="AC396">
        <f>IF(C396="",0,VLOOKUP(C396,'Dados de consulta'!$H$2:$I$25,2,0))</f>
        <v>0</v>
      </c>
      <c r="AD396">
        <f>IF(D396="",0,VLOOKUP(D396,'Dados de consulta'!$H$2:$I$25,2,0))</f>
        <v>0</v>
      </c>
      <c r="AE396">
        <f>IF(E396="",0,VLOOKUP(E396,'Dados de consulta'!$H$2:$I$25,2,0))</f>
        <v>0</v>
      </c>
      <c r="AF396">
        <f>IF(F396="",0,VLOOKUP(F396,'Dados de consulta'!$H$2:$I$25,2,0))</f>
        <v>0</v>
      </c>
      <c r="AG396">
        <f>IF(G396="",0,VLOOKUP(G396,'Dados de consulta'!$H$2:$I$25,2,0))</f>
        <v>0</v>
      </c>
      <c r="AH396">
        <f>IF(H396="",0,VLOOKUP(H396,'Dados de consulta'!$H$2:$I$25,2,0))</f>
        <v>0</v>
      </c>
      <c r="AI396">
        <f>IF(I396="",0,VLOOKUP(I396,'Dados de consulta'!$H$2:$I$25,2,0))</f>
        <v>0</v>
      </c>
      <c r="AJ396">
        <f>IF(J396="",0,VLOOKUP(J396,'Dados de consulta'!$H$2:$I$25,2,0))</f>
        <v>0</v>
      </c>
      <c r="AK396">
        <f>IF(K396="",0,VLOOKUP(K396,'Dados de consulta'!$H$2:$I$25,2,0))</f>
        <v>0</v>
      </c>
      <c r="AL396">
        <f>IF(L396="",0,VLOOKUP(L396,'Dados de consulta'!$H$2:$I$25,2,0))</f>
        <v>0</v>
      </c>
      <c r="AM396">
        <f>IF(M396="",0,VLOOKUP(M396,'Dados de consulta'!$H$2:$I$25,2,0))</f>
        <v>0</v>
      </c>
      <c r="AN396">
        <f>IF(N396="",0,VLOOKUP(N396,'Dados de consulta'!$H$2:$I$25,2,0))</f>
        <v>0</v>
      </c>
      <c r="AO396">
        <f>IF(O396="",0,VLOOKUP(O396,'Dados de consulta'!$H$2:$I$25,2,0))</f>
        <v>0</v>
      </c>
      <c r="AP396">
        <f>IF(P396="",0,VLOOKUP(P396,'Dados de consulta'!$H$2:$I$25,2,0))</f>
        <v>0</v>
      </c>
      <c r="AQ396">
        <f>IF(Q396="",0,VLOOKUP(Q396,'Dados de consulta'!$H$2:$I$25,2,0))</f>
        <v>0</v>
      </c>
      <c r="AR396">
        <f>IF(R396="",0,VLOOKUP(R396,'Dados de consulta'!$H$2:$I$25,2,0))</f>
        <v>0</v>
      </c>
      <c r="AS396">
        <f>IF(S396="",0,VLOOKUP(S396,'Dados de consulta'!$H$2:$I$25,2,0))</f>
        <v>0</v>
      </c>
      <c r="AT396">
        <f>IF(T396="",0,VLOOKUP(T396,'Dados de consulta'!$H$2:$I$25,2,0))</f>
        <v>0</v>
      </c>
      <c r="AU396">
        <f>IF(U396="",0,VLOOKUP(U396,'Dados de consulta'!$H$2:$I$25,2,0))</f>
        <v>0</v>
      </c>
      <c r="AV396">
        <f>IF(V396="",0,VLOOKUP(V396,'Dados de consulta'!$H$2:$I$25,2,0))</f>
        <v>0</v>
      </c>
      <c r="AW396">
        <f t="shared" si="38"/>
        <v>0</v>
      </c>
      <c r="AX396">
        <f t="shared" si="39"/>
        <v>0</v>
      </c>
      <c r="AY396">
        <f t="shared" si="40"/>
        <v>0</v>
      </c>
    </row>
    <row r="397" spans="1:51" hidden="1" x14ac:dyDescent="0.2">
      <c r="A397" s="202">
        <v>42654</v>
      </c>
      <c r="B397" s="78" t="s">
        <v>284</v>
      </c>
      <c r="AA397" s="202">
        <v>42654</v>
      </c>
      <c r="AB397" s="78" t="s">
        <v>284</v>
      </c>
      <c r="AC397">
        <f>IF(C397="",0,VLOOKUP(C397,'Dados de consulta'!$H$2:$I$25,2,0))</f>
        <v>0</v>
      </c>
      <c r="AD397">
        <f>IF(D397="",0,VLOOKUP(D397,'Dados de consulta'!$H$2:$I$25,2,0))</f>
        <v>0</v>
      </c>
      <c r="AE397">
        <f>IF(E397="",0,VLOOKUP(E397,'Dados de consulta'!$H$2:$I$25,2,0))</f>
        <v>0</v>
      </c>
      <c r="AF397">
        <f>IF(F397="",0,VLOOKUP(F397,'Dados de consulta'!$H$2:$I$25,2,0))</f>
        <v>0</v>
      </c>
      <c r="AG397">
        <f>IF(G397="",0,VLOOKUP(G397,'Dados de consulta'!$H$2:$I$25,2,0))</f>
        <v>0</v>
      </c>
      <c r="AH397">
        <f>IF(H397="",0,VLOOKUP(H397,'Dados de consulta'!$H$2:$I$25,2,0))</f>
        <v>0</v>
      </c>
      <c r="AI397">
        <f>IF(I397="",0,VLOOKUP(I397,'Dados de consulta'!$H$2:$I$25,2,0))</f>
        <v>0</v>
      </c>
      <c r="AJ397">
        <f>IF(J397="",0,VLOOKUP(J397,'Dados de consulta'!$H$2:$I$25,2,0))</f>
        <v>0</v>
      </c>
      <c r="AK397">
        <f>IF(K397="",0,VLOOKUP(K397,'Dados de consulta'!$H$2:$I$25,2,0))</f>
        <v>0</v>
      </c>
      <c r="AL397">
        <f>IF(L397="",0,VLOOKUP(L397,'Dados de consulta'!$H$2:$I$25,2,0))</f>
        <v>0</v>
      </c>
      <c r="AM397">
        <f>IF(M397="",0,VLOOKUP(M397,'Dados de consulta'!$H$2:$I$25,2,0))</f>
        <v>0</v>
      </c>
      <c r="AN397">
        <f>IF(N397="",0,VLOOKUP(N397,'Dados de consulta'!$H$2:$I$25,2,0))</f>
        <v>0</v>
      </c>
      <c r="AO397">
        <f>IF(O397="",0,VLOOKUP(O397,'Dados de consulta'!$H$2:$I$25,2,0))</f>
        <v>0</v>
      </c>
      <c r="AP397">
        <f>IF(P397="",0,VLOOKUP(P397,'Dados de consulta'!$H$2:$I$25,2,0))</f>
        <v>0</v>
      </c>
      <c r="AQ397">
        <f>IF(Q397="",0,VLOOKUP(Q397,'Dados de consulta'!$H$2:$I$25,2,0))</f>
        <v>0</v>
      </c>
      <c r="AR397">
        <f>IF(R397="",0,VLOOKUP(R397,'Dados de consulta'!$H$2:$I$25,2,0))</f>
        <v>0</v>
      </c>
      <c r="AS397">
        <f>IF(S397="",0,VLOOKUP(S397,'Dados de consulta'!$H$2:$I$25,2,0))</f>
        <v>0</v>
      </c>
      <c r="AT397">
        <f>IF(T397="",0,VLOOKUP(T397,'Dados de consulta'!$H$2:$I$25,2,0))</f>
        <v>0</v>
      </c>
      <c r="AU397">
        <f>IF(U397="",0,VLOOKUP(U397,'Dados de consulta'!$H$2:$I$25,2,0))</f>
        <v>0</v>
      </c>
      <c r="AV397">
        <f>IF(V397="",0,VLOOKUP(V397,'Dados de consulta'!$H$2:$I$25,2,0))</f>
        <v>0</v>
      </c>
      <c r="AW397">
        <f t="shared" si="38"/>
        <v>0</v>
      </c>
      <c r="AX397">
        <f t="shared" si="39"/>
        <v>0</v>
      </c>
      <c r="AY397">
        <f t="shared" si="40"/>
        <v>0</v>
      </c>
    </row>
    <row r="398" spans="1:51" hidden="1" x14ac:dyDescent="0.2">
      <c r="A398" s="202">
        <v>42655</v>
      </c>
      <c r="B398" s="78" t="s">
        <v>285</v>
      </c>
      <c r="AA398" s="202">
        <v>42655</v>
      </c>
      <c r="AB398" s="78" t="s">
        <v>285</v>
      </c>
      <c r="AC398">
        <f>IF(C398="",0,VLOOKUP(C398,'Dados de consulta'!$H$2:$I$25,2,0))</f>
        <v>0</v>
      </c>
      <c r="AD398">
        <f>IF(D398="",0,VLOOKUP(D398,'Dados de consulta'!$H$2:$I$25,2,0))</f>
        <v>0</v>
      </c>
      <c r="AE398">
        <f>IF(E398="",0,VLOOKUP(E398,'Dados de consulta'!$H$2:$I$25,2,0))</f>
        <v>0</v>
      </c>
      <c r="AF398">
        <f>IF(F398="",0,VLOOKUP(F398,'Dados de consulta'!$H$2:$I$25,2,0))</f>
        <v>0</v>
      </c>
      <c r="AG398">
        <f>IF(G398="",0,VLOOKUP(G398,'Dados de consulta'!$H$2:$I$25,2,0))</f>
        <v>0</v>
      </c>
      <c r="AH398">
        <f>IF(H398="",0,VLOOKUP(H398,'Dados de consulta'!$H$2:$I$25,2,0))</f>
        <v>0</v>
      </c>
      <c r="AI398">
        <f>IF(I398="",0,VLOOKUP(I398,'Dados de consulta'!$H$2:$I$25,2,0))</f>
        <v>0</v>
      </c>
      <c r="AJ398">
        <f>IF(J398="",0,VLOOKUP(J398,'Dados de consulta'!$H$2:$I$25,2,0))</f>
        <v>0</v>
      </c>
      <c r="AK398">
        <f>IF(K398="",0,VLOOKUP(K398,'Dados de consulta'!$H$2:$I$25,2,0))</f>
        <v>0</v>
      </c>
      <c r="AL398">
        <f>IF(L398="",0,VLOOKUP(L398,'Dados de consulta'!$H$2:$I$25,2,0))</f>
        <v>0</v>
      </c>
      <c r="AM398">
        <f>IF(M398="",0,VLOOKUP(M398,'Dados de consulta'!$H$2:$I$25,2,0))</f>
        <v>0</v>
      </c>
      <c r="AN398">
        <f>IF(N398="",0,VLOOKUP(N398,'Dados de consulta'!$H$2:$I$25,2,0))</f>
        <v>0</v>
      </c>
      <c r="AO398">
        <f>IF(O398="",0,VLOOKUP(O398,'Dados de consulta'!$H$2:$I$25,2,0))</f>
        <v>0</v>
      </c>
      <c r="AP398">
        <f>IF(P398="",0,VLOOKUP(P398,'Dados de consulta'!$H$2:$I$25,2,0))</f>
        <v>0</v>
      </c>
      <c r="AQ398">
        <f>IF(Q398="",0,VLOOKUP(Q398,'Dados de consulta'!$H$2:$I$25,2,0))</f>
        <v>0</v>
      </c>
      <c r="AR398">
        <f>IF(R398="",0,VLOOKUP(R398,'Dados de consulta'!$H$2:$I$25,2,0))</f>
        <v>0</v>
      </c>
      <c r="AS398">
        <f>IF(S398="",0,VLOOKUP(S398,'Dados de consulta'!$H$2:$I$25,2,0))</f>
        <v>0</v>
      </c>
      <c r="AT398">
        <f>IF(T398="",0,VLOOKUP(T398,'Dados de consulta'!$H$2:$I$25,2,0))</f>
        <v>0</v>
      </c>
      <c r="AU398">
        <f>IF(U398="",0,VLOOKUP(U398,'Dados de consulta'!$H$2:$I$25,2,0))</f>
        <v>0</v>
      </c>
      <c r="AV398">
        <f>IF(V398="",0,VLOOKUP(V398,'Dados de consulta'!$H$2:$I$25,2,0))</f>
        <v>0</v>
      </c>
      <c r="AW398">
        <f t="shared" si="38"/>
        <v>0</v>
      </c>
      <c r="AX398">
        <f t="shared" si="39"/>
        <v>0</v>
      </c>
      <c r="AY398">
        <f t="shared" si="40"/>
        <v>0</v>
      </c>
    </row>
    <row r="399" spans="1:51" hidden="1" x14ac:dyDescent="0.2">
      <c r="A399" s="202">
        <v>42656</v>
      </c>
      <c r="B399" s="78" t="s">
        <v>286</v>
      </c>
      <c r="AA399" s="202">
        <v>42656</v>
      </c>
      <c r="AB399" s="78" t="s">
        <v>286</v>
      </c>
      <c r="AC399">
        <f>IF(C399="",0,VLOOKUP(C399,'Dados de consulta'!$H$2:$I$25,2,0))</f>
        <v>0</v>
      </c>
      <c r="AD399">
        <f>IF(D399="",0,VLOOKUP(D399,'Dados de consulta'!$H$2:$I$25,2,0))</f>
        <v>0</v>
      </c>
      <c r="AE399">
        <f>IF(E399="",0,VLOOKUP(E399,'Dados de consulta'!$H$2:$I$25,2,0))</f>
        <v>0</v>
      </c>
      <c r="AF399">
        <f>IF(F399="",0,VLOOKUP(F399,'Dados de consulta'!$H$2:$I$25,2,0))</f>
        <v>0</v>
      </c>
      <c r="AG399">
        <f>IF(G399="",0,VLOOKUP(G399,'Dados de consulta'!$H$2:$I$25,2,0))</f>
        <v>0</v>
      </c>
      <c r="AH399">
        <f>IF(H399="",0,VLOOKUP(H399,'Dados de consulta'!$H$2:$I$25,2,0))</f>
        <v>0</v>
      </c>
      <c r="AI399">
        <f>IF(I399="",0,VLOOKUP(I399,'Dados de consulta'!$H$2:$I$25,2,0))</f>
        <v>0</v>
      </c>
      <c r="AJ399">
        <f>IF(J399="",0,VLOOKUP(J399,'Dados de consulta'!$H$2:$I$25,2,0))</f>
        <v>0</v>
      </c>
      <c r="AK399">
        <f>IF(K399="",0,VLOOKUP(K399,'Dados de consulta'!$H$2:$I$25,2,0))</f>
        <v>0</v>
      </c>
      <c r="AL399">
        <f>IF(L399="",0,VLOOKUP(L399,'Dados de consulta'!$H$2:$I$25,2,0))</f>
        <v>0</v>
      </c>
      <c r="AM399">
        <f>IF(M399="",0,VLOOKUP(M399,'Dados de consulta'!$H$2:$I$25,2,0))</f>
        <v>0</v>
      </c>
      <c r="AN399">
        <f>IF(N399="",0,VLOOKUP(N399,'Dados de consulta'!$H$2:$I$25,2,0))</f>
        <v>0</v>
      </c>
      <c r="AO399">
        <f>IF(O399="",0,VLOOKUP(O399,'Dados de consulta'!$H$2:$I$25,2,0))</f>
        <v>0</v>
      </c>
      <c r="AP399">
        <f>IF(P399="",0,VLOOKUP(P399,'Dados de consulta'!$H$2:$I$25,2,0))</f>
        <v>0</v>
      </c>
      <c r="AQ399">
        <f>IF(Q399="",0,VLOOKUP(Q399,'Dados de consulta'!$H$2:$I$25,2,0))</f>
        <v>0</v>
      </c>
      <c r="AR399">
        <f>IF(R399="",0,VLOOKUP(R399,'Dados de consulta'!$H$2:$I$25,2,0))</f>
        <v>0</v>
      </c>
      <c r="AS399">
        <f>IF(S399="",0,VLOOKUP(S399,'Dados de consulta'!$H$2:$I$25,2,0))</f>
        <v>0</v>
      </c>
      <c r="AT399">
        <f>IF(T399="",0,VLOOKUP(T399,'Dados de consulta'!$H$2:$I$25,2,0))</f>
        <v>0</v>
      </c>
      <c r="AU399">
        <f>IF(U399="",0,VLOOKUP(U399,'Dados de consulta'!$H$2:$I$25,2,0))</f>
        <v>0</v>
      </c>
      <c r="AV399">
        <f>IF(V399="",0,VLOOKUP(V399,'Dados de consulta'!$H$2:$I$25,2,0))</f>
        <v>0</v>
      </c>
      <c r="AW399">
        <f t="shared" si="38"/>
        <v>0</v>
      </c>
      <c r="AX399">
        <f t="shared" si="39"/>
        <v>0</v>
      </c>
      <c r="AY399">
        <f t="shared" si="40"/>
        <v>0</v>
      </c>
    </row>
    <row r="400" spans="1:51" hidden="1" x14ac:dyDescent="0.2">
      <c r="A400" s="202">
        <v>42657</v>
      </c>
      <c r="B400" s="78" t="s">
        <v>287</v>
      </c>
      <c r="AA400" s="202">
        <v>42657</v>
      </c>
      <c r="AB400" s="78" t="s">
        <v>287</v>
      </c>
      <c r="AC400">
        <f>IF(C400="",0,VLOOKUP(C400,'Dados de consulta'!$H$2:$I$25,2,0))</f>
        <v>0</v>
      </c>
      <c r="AD400">
        <f>IF(D400="",0,VLOOKUP(D400,'Dados de consulta'!$H$2:$I$25,2,0))</f>
        <v>0</v>
      </c>
      <c r="AE400">
        <f>IF(E400="",0,VLOOKUP(E400,'Dados de consulta'!$H$2:$I$25,2,0))</f>
        <v>0</v>
      </c>
      <c r="AF400">
        <f>IF(F400="",0,VLOOKUP(F400,'Dados de consulta'!$H$2:$I$25,2,0))</f>
        <v>0</v>
      </c>
      <c r="AG400">
        <f>IF(G400="",0,VLOOKUP(G400,'Dados de consulta'!$H$2:$I$25,2,0))</f>
        <v>0</v>
      </c>
      <c r="AH400">
        <f>IF(H400="",0,VLOOKUP(H400,'Dados de consulta'!$H$2:$I$25,2,0))</f>
        <v>0</v>
      </c>
      <c r="AI400">
        <f>IF(I400="",0,VLOOKUP(I400,'Dados de consulta'!$H$2:$I$25,2,0))</f>
        <v>0</v>
      </c>
      <c r="AJ400">
        <f>IF(J400="",0,VLOOKUP(J400,'Dados de consulta'!$H$2:$I$25,2,0))</f>
        <v>0</v>
      </c>
      <c r="AK400">
        <f>IF(K400="",0,VLOOKUP(K400,'Dados de consulta'!$H$2:$I$25,2,0))</f>
        <v>0</v>
      </c>
      <c r="AL400">
        <f>IF(L400="",0,VLOOKUP(L400,'Dados de consulta'!$H$2:$I$25,2,0))</f>
        <v>0</v>
      </c>
      <c r="AM400">
        <f>IF(M400="",0,VLOOKUP(M400,'Dados de consulta'!$H$2:$I$25,2,0))</f>
        <v>0</v>
      </c>
      <c r="AN400">
        <f>IF(N400="",0,VLOOKUP(N400,'Dados de consulta'!$H$2:$I$25,2,0))</f>
        <v>0</v>
      </c>
      <c r="AO400">
        <f>IF(O400="",0,VLOOKUP(O400,'Dados de consulta'!$H$2:$I$25,2,0))</f>
        <v>0</v>
      </c>
      <c r="AP400">
        <f>IF(P400="",0,VLOOKUP(P400,'Dados de consulta'!$H$2:$I$25,2,0))</f>
        <v>0</v>
      </c>
      <c r="AQ400">
        <f>IF(Q400="",0,VLOOKUP(Q400,'Dados de consulta'!$H$2:$I$25,2,0))</f>
        <v>0</v>
      </c>
      <c r="AR400">
        <f>IF(R400="",0,VLOOKUP(R400,'Dados de consulta'!$H$2:$I$25,2,0))</f>
        <v>0</v>
      </c>
      <c r="AS400">
        <f>IF(S400="",0,VLOOKUP(S400,'Dados de consulta'!$H$2:$I$25,2,0))</f>
        <v>0</v>
      </c>
      <c r="AT400">
        <f>IF(T400="",0,VLOOKUP(T400,'Dados de consulta'!$H$2:$I$25,2,0))</f>
        <v>0</v>
      </c>
      <c r="AU400">
        <f>IF(U400="",0,VLOOKUP(U400,'Dados de consulta'!$H$2:$I$25,2,0))</f>
        <v>0</v>
      </c>
      <c r="AV400">
        <f>IF(V400="",0,VLOOKUP(V400,'Dados de consulta'!$H$2:$I$25,2,0))</f>
        <v>0</v>
      </c>
      <c r="AW400">
        <f t="shared" si="38"/>
        <v>0</v>
      </c>
      <c r="AX400">
        <f t="shared" si="39"/>
        <v>0</v>
      </c>
      <c r="AY400">
        <f t="shared" si="40"/>
        <v>0</v>
      </c>
    </row>
    <row r="401" spans="1:51" hidden="1" x14ac:dyDescent="0.2">
      <c r="A401" s="202">
        <v>42658</v>
      </c>
      <c r="B401" s="78" t="s">
        <v>281</v>
      </c>
      <c r="AA401" s="202">
        <v>42658</v>
      </c>
      <c r="AB401" s="78" t="s">
        <v>281</v>
      </c>
      <c r="AC401">
        <f>IF(C401="",0,VLOOKUP(C401,'Dados de consulta'!$H$2:$I$25,2,0))</f>
        <v>0</v>
      </c>
      <c r="AD401">
        <f>IF(D401="",0,VLOOKUP(D401,'Dados de consulta'!$H$2:$I$25,2,0))</f>
        <v>0</v>
      </c>
      <c r="AE401">
        <f>IF(E401="",0,VLOOKUP(E401,'Dados de consulta'!$H$2:$I$25,2,0))</f>
        <v>0</v>
      </c>
      <c r="AF401">
        <f>IF(F401="",0,VLOOKUP(F401,'Dados de consulta'!$H$2:$I$25,2,0))</f>
        <v>0</v>
      </c>
      <c r="AG401">
        <f>IF(G401="",0,VLOOKUP(G401,'Dados de consulta'!$H$2:$I$25,2,0))</f>
        <v>0</v>
      </c>
      <c r="AH401">
        <f>IF(H401="",0,VLOOKUP(H401,'Dados de consulta'!$H$2:$I$25,2,0))</f>
        <v>0</v>
      </c>
      <c r="AI401">
        <f>IF(I401="",0,VLOOKUP(I401,'Dados de consulta'!$H$2:$I$25,2,0))</f>
        <v>0</v>
      </c>
      <c r="AJ401">
        <f>IF(J401="",0,VLOOKUP(J401,'Dados de consulta'!$H$2:$I$25,2,0))</f>
        <v>0</v>
      </c>
      <c r="AK401">
        <f>IF(K401="",0,VLOOKUP(K401,'Dados de consulta'!$H$2:$I$25,2,0))</f>
        <v>0</v>
      </c>
      <c r="AL401">
        <f>IF(L401="",0,VLOOKUP(L401,'Dados de consulta'!$H$2:$I$25,2,0))</f>
        <v>0</v>
      </c>
      <c r="AM401">
        <f>IF(M401="",0,VLOOKUP(M401,'Dados de consulta'!$H$2:$I$25,2,0))</f>
        <v>0</v>
      </c>
      <c r="AN401">
        <f>IF(N401="",0,VLOOKUP(N401,'Dados de consulta'!$H$2:$I$25,2,0))</f>
        <v>0</v>
      </c>
      <c r="AO401">
        <f>IF(O401="",0,VLOOKUP(O401,'Dados de consulta'!$H$2:$I$25,2,0))</f>
        <v>0</v>
      </c>
      <c r="AP401">
        <f>IF(P401="",0,VLOOKUP(P401,'Dados de consulta'!$H$2:$I$25,2,0))</f>
        <v>0</v>
      </c>
      <c r="AQ401">
        <f>IF(Q401="",0,VLOOKUP(Q401,'Dados de consulta'!$H$2:$I$25,2,0))</f>
        <v>0</v>
      </c>
      <c r="AR401">
        <f>IF(R401="",0,VLOOKUP(R401,'Dados de consulta'!$H$2:$I$25,2,0))</f>
        <v>0</v>
      </c>
      <c r="AS401">
        <f>IF(S401="",0,VLOOKUP(S401,'Dados de consulta'!$H$2:$I$25,2,0))</f>
        <v>0</v>
      </c>
      <c r="AT401">
        <f>IF(T401="",0,VLOOKUP(T401,'Dados de consulta'!$H$2:$I$25,2,0))</f>
        <v>0</v>
      </c>
      <c r="AU401">
        <f>IF(U401="",0,VLOOKUP(U401,'Dados de consulta'!$H$2:$I$25,2,0))</f>
        <v>0</v>
      </c>
      <c r="AV401">
        <f>IF(V401="",0,VLOOKUP(V401,'Dados de consulta'!$H$2:$I$25,2,0))</f>
        <v>0</v>
      </c>
      <c r="AW401">
        <f t="shared" ref="AW401:AW464" si="41">SUMIF(AC401:AV401,"&lt;"&amp;9,AC401:AV401)</f>
        <v>0</v>
      </c>
      <c r="AX401">
        <f t="shared" ref="AX401:AX464" si="42">SUMIFS(AC401:AV401,AC401:AV401,"&gt;"&amp;8,AC401:AV401,"&lt;"&amp;19)-COUNTIFS(AC401:AV401,"&gt;"&amp;8,AC401:AV401,"&lt;"&amp;19)*10</f>
        <v>0</v>
      </c>
      <c r="AY401">
        <f t="shared" ref="AY401:AY464" si="43">SUMIFS(AC401:AV401,AC401:AV401,"&gt;"&amp;20,AC401:AV401,"&lt;"&amp;29)-COUNTIFS(AC401:AV401,"&gt;"&amp;20,AC401:AV401,"&lt;"&amp;29)*20</f>
        <v>0</v>
      </c>
    </row>
    <row r="402" spans="1:51" hidden="1" x14ac:dyDescent="0.2">
      <c r="A402" s="202">
        <v>42659</v>
      </c>
      <c r="B402" s="78" t="s">
        <v>282</v>
      </c>
      <c r="AA402" s="202">
        <v>42659</v>
      </c>
      <c r="AB402" s="78" t="s">
        <v>282</v>
      </c>
      <c r="AC402">
        <f>IF(C402="",0,VLOOKUP(C402,'Dados de consulta'!$H$2:$I$25,2,0))</f>
        <v>0</v>
      </c>
      <c r="AD402">
        <f>IF(D402="",0,VLOOKUP(D402,'Dados de consulta'!$H$2:$I$25,2,0))</f>
        <v>0</v>
      </c>
      <c r="AE402">
        <f>IF(E402="",0,VLOOKUP(E402,'Dados de consulta'!$H$2:$I$25,2,0))</f>
        <v>0</v>
      </c>
      <c r="AF402">
        <f>IF(F402="",0,VLOOKUP(F402,'Dados de consulta'!$H$2:$I$25,2,0))</f>
        <v>0</v>
      </c>
      <c r="AG402">
        <f>IF(G402="",0,VLOOKUP(G402,'Dados de consulta'!$H$2:$I$25,2,0))</f>
        <v>0</v>
      </c>
      <c r="AH402">
        <f>IF(H402="",0,VLOOKUP(H402,'Dados de consulta'!$H$2:$I$25,2,0))</f>
        <v>0</v>
      </c>
      <c r="AI402">
        <f>IF(I402="",0,VLOOKUP(I402,'Dados de consulta'!$H$2:$I$25,2,0))</f>
        <v>0</v>
      </c>
      <c r="AJ402">
        <f>IF(J402="",0,VLOOKUP(J402,'Dados de consulta'!$H$2:$I$25,2,0))</f>
        <v>0</v>
      </c>
      <c r="AK402">
        <f>IF(K402="",0,VLOOKUP(K402,'Dados de consulta'!$H$2:$I$25,2,0))</f>
        <v>0</v>
      </c>
      <c r="AL402">
        <f>IF(L402="",0,VLOOKUP(L402,'Dados de consulta'!$H$2:$I$25,2,0))</f>
        <v>0</v>
      </c>
      <c r="AM402">
        <f>IF(M402="",0,VLOOKUP(M402,'Dados de consulta'!$H$2:$I$25,2,0))</f>
        <v>0</v>
      </c>
      <c r="AN402">
        <f>IF(N402="",0,VLOOKUP(N402,'Dados de consulta'!$H$2:$I$25,2,0))</f>
        <v>0</v>
      </c>
      <c r="AO402">
        <f>IF(O402="",0,VLOOKUP(O402,'Dados de consulta'!$H$2:$I$25,2,0))</f>
        <v>0</v>
      </c>
      <c r="AP402">
        <f>IF(P402="",0,VLOOKUP(P402,'Dados de consulta'!$H$2:$I$25,2,0))</f>
        <v>0</v>
      </c>
      <c r="AQ402">
        <f>IF(Q402="",0,VLOOKUP(Q402,'Dados de consulta'!$H$2:$I$25,2,0))</f>
        <v>0</v>
      </c>
      <c r="AR402">
        <f>IF(R402="",0,VLOOKUP(R402,'Dados de consulta'!$H$2:$I$25,2,0))</f>
        <v>0</v>
      </c>
      <c r="AS402">
        <f>IF(S402="",0,VLOOKUP(S402,'Dados de consulta'!$H$2:$I$25,2,0))</f>
        <v>0</v>
      </c>
      <c r="AT402">
        <f>IF(T402="",0,VLOOKUP(T402,'Dados de consulta'!$H$2:$I$25,2,0))</f>
        <v>0</v>
      </c>
      <c r="AU402">
        <f>IF(U402="",0,VLOOKUP(U402,'Dados de consulta'!$H$2:$I$25,2,0))</f>
        <v>0</v>
      </c>
      <c r="AV402">
        <f>IF(V402="",0,VLOOKUP(V402,'Dados de consulta'!$H$2:$I$25,2,0))</f>
        <v>0</v>
      </c>
      <c r="AW402">
        <f t="shared" si="41"/>
        <v>0</v>
      </c>
      <c r="AX402">
        <f t="shared" si="42"/>
        <v>0</v>
      </c>
      <c r="AY402">
        <f t="shared" si="43"/>
        <v>0</v>
      </c>
    </row>
    <row r="403" spans="1:51" hidden="1" x14ac:dyDescent="0.2">
      <c r="A403" s="202">
        <v>42660</v>
      </c>
      <c r="B403" s="78" t="s">
        <v>283</v>
      </c>
      <c r="AA403" s="202">
        <v>42660</v>
      </c>
      <c r="AB403" s="78" t="s">
        <v>283</v>
      </c>
      <c r="AC403">
        <f>IF(C403="",0,VLOOKUP(C403,'Dados de consulta'!$H$2:$I$25,2,0))</f>
        <v>0</v>
      </c>
      <c r="AD403">
        <f>IF(D403="",0,VLOOKUP(D403,'Dados de consulta'!$H$2:$I$25,2,0))</f>
        <v>0</v>
      </c>
      <c r="AE403">
        <f>IF(E403="",0,VLOOKUP(E403,'Dados de consulta'!$H$2:$I$25,2,0))</f>
        <v>0</v>
      </c>
      <c r="AF403">
        <f>IF(F403="",0,VLOOKUP(F403,'Dados de consulta'!$H$2:$I$25,2,0))</f>
        <v>0</v>
      </c>
      <c r="AG403">
        <f>IF(G403="",0,VLOOKUP(G403,'Dados de consulta'!$H$2:$I$25,2,0))</f>
        <v>0</v>
      </c>
      <c r="AH403">
        <f>IF(H403="",0,VLOOKUP(H403,'Dados de consulta'!$H$2:$I$25,2,0))</f>
        <v>0</v>
      </c>
      <c r="AI403">
        <f>IF(I403="",0,VLOOKUP(I403,'Dados de consulta'!$H$2:$I$25,2,0))</f>
        <v>0</v>
      </c>
      <c r="AJ403">
        <f>IF(J403="",0,VLOOKUP(J403,'Dados de consulta'!$H$2:$I$25,2,0))</f>
        <v>0</v>
      </c>
      <c r="AK403">
        <f>IF(K403="",0,VLOOKUP(K403,'Dados de consulta'!$H$2:$I$25,2,0))</f>
        <v>0</v>
      </c>
      <c r="AL403">
        <f>IF(L403="",0,VLOOKUP(L403,'Dados de consulta'!$H$2:$I$25,2,0))</f>
        <v>0</v>
      </c>
      <c r="AM403">
        <f>IF(M403="",0,VLOOKUP(M403,'Dados de consulta'!$H$2:$I$25,2,0))</f>
        <v>0</v>
      </c>
      <c r="AN403">
        <f>IF(N403="",0,VLOOKUP(N403,'Dados de consulta'!$H$2:$I$25,2,0))</f>
        <v>0</v>
      </c>
      <c r="AO403">
        <f>IF(O403="",0,VLOOKUP(O403,'Dados de consulta'!$H$2:$I$25,2,0))</f>
        <v>0</v>
      </c>
      <c r="AP403">
        <f>IF(P403="",0,VLOOKUP(P403,'Dados de consulta'!$H$2:$I$25,2,0))</f>
        <v>0</v>
      </c>
      <c r="AQ403">
        <f>IF(Q403="",0,VLOOKUP(Q403,'Dados de consulta'!$H$2:$I$25,2,0))</f>
        <v>0</v>
      </c>
      <c r="AR403">
        <f>IF(R403="",0,VLOOKUP(R403,'Dados de consulta'!$H$2:$I$25,2,0))</f>
        <v>0</v>
      </c>
      <c r="AS403">
        <f>IF(S403="",0,VLOOKUP(S403,'Dados de consulta'!$H$2:$I$25,2,0))</f>
        <v>0</v>
      </c>
      <c r="AT403">
        <f>IF(T403="",0,VLOOKUP(T403,'Dados de consulta'!$H$2:$I$25,2,0))</f>
        <v>0</v>
      </c>
      <c r="AU403">
        <f>IF(U403="",0,VLOOKUP(U403,'Dados de consulta'!$H$2:$I$25,2,0))</f>
        <v>0</v>
      </c>
      <c r="AV403">
        <f>IF(V403="",0,VLOOKUP(V403,'Dados de consulta'!$H$2:$I$25,2,0))</f>
        <v>0</v>
      </c>
      <c r="AW403">
        <f t="shared" si="41"/>
        <v>0</v>
      </c>
      <c r="AX403">
        <f t="shared" si="42"/>
        <v>0</v>
      </c>
      <c r="AY403">
        <f t="shared" si="43"/>
        <v>0</v>
      </c>
    </row>
    <row r="404" spans="1:51" hidden="1" x14ac:dyDescent="0.2">
      <c r="A404" s="202">
        <v>42661</v>
      </c>
      <c r="B404" s="78" t="s">
        <v>284</v>
      </c>
      <c r="AA404" s="202">
        <v>42661</v>
      </c>
      <c r="AB404" s="78" t="s">
        <v>284</v>
      </c>
      <c r="AC404">
        <f>IF(C404="",0,VLOOKUP(C404,'Dados de consulta'!$H$2:$I$25,2,0))</f>
        <v>0</v>
      </c>
      <c r="AD404">
        <f>IF(D404="",0,VLOOKUP(D404,'Dados de consulta'!$H$2:$I$25,2,0))</f>
        <v>0</v>
      </c>
      <c r="AE404">
        <f>IF(E404="",0,VLOOKUP(E404,'Dados de consulta'!$H$2:$I$25,2,0))</f>
        <v>0</v>
      </c>
      <c r="AF404">
        <f>IF(F404="",0,VLOOKUP(F404,'Dados de consulta'!$H$2:$I$25,2,0))</f>
        <v>0</v>
      </c>
      <c r="AG404">
        <f>IF(G404="",0,VLOOKUP(G404,'Dados de consulta'!$H$2:$I$25,2,0))</f>
        <v>0</v>
      </c>
      <c r="AH404">
        <f>IF(H404="",0,VLOOKUP(H404,'Dados de consulta'!$H$2:$I$25,2,0))</f>
        <v>0</v>
      </c>
      <c r="AI404">
        <f>IF(I404="",0,VLOOKUP(I404,'Dados de consulta'!$H$2:$I$25,2,0))</f>
        <v>0</v>
      </c>
      <c r="AJ404">
        <f>IF(J404="",0,VLOOKUP(J404,'Dados de consulta'!$H$2:$I$25,2,0))</f>
        <v>0</v>
      </c>
      <c r="AK404">
        <f>IF(K404="",0,VLOOKUP(K404,'Dados de consulta'!$H$2:$I$25,2,0))</f>
        <v>0</v>
      </c>
      <c r="AL404">
        <f>IF(L404="",0,VLOOKUP(L404,'Dados de consulta'!$H$2:$I$25,2,0))</f>
        <v>0</v>
      </c>
      <c r="AM404">
        <f>IF(M404="",0,VLOOKUP(M404,'Dados de consulta'!$H$2:$I$25,2,0))</f>
        <v>0</v>
      </c>
      <c r="AN404">
        <f>IF(N404="",0,VLOOKUP(N404,'Dados de consulta'!$H$2:$I$25,2,0))</f>
        <v>0</v>
      </c>
      <c r="AO404">
        <f>IF(O404="",0,VLOOKUP(O404,'Dados de consulta'!$H$2:$I$25,2,0))</f>
        <v>0</v>
      </c>
      <c r="AP404">
        <f>IF(P404="",0,VLOOKUP(P404,'Dados de consulta'!$H$2:$I$25,2,0))</f>
        <v>0</v>
      </c>
      <c r="AQ404">
        <f>IF(Q404="",0,VLOOKUP(Q404,'Dados de consulta'!$H$2:$I$25,2,0))</f>
        <v>0</v>
      </c>
      <c r="AR404">
        <f>IF(R404="",0,VLOOKUP(R404,'Dados de consulta'!$H$2:$I$25,2,0))</f>
        <v>0</v>
      </c>
      <c r="AS404">
        <f>IF(S404="",0,VLOOKUP(S404,'Dados de consulta'!$H$2:$I$25,2,0))</f>
        <v>0</v>
      </c>
      <c r="AT404">
        <f>IF(T404="",0,VLOOKUP(T404,'Dados de consulta'!$H$2:$I$25,2,0))</f>
        <v>0</v>
      </c>
      <c r="AU404">
        <f>IF(U404="",0,VLOOKUP(U404,'Dados de consulta'!$H$2:$I$25,2,0))</f>
        <v>0</v>
      </c>
      <c r="AV404">
        <f>IF(V404="",0,VLOOKUP(V404,'Dados de consulta'!$H$2:$I$25,2,0))</f>
        <v>0</v>
      </c>
      <c r="AW404">
        <f t="shared" si="41"/>
        <v>0</v>
      </c>
      <c r="AX404">
        <f t="shared" si="42"/>
        <v>0</v>
      </c>
      <c r="AY404">
        <f t="shared" si="43"/>
        <v>0</v>
      </c>
    </row>
    <row r="405" spans="1:51" hidden="1" x14ac:dyDescent="0.2">
      <c r="A405" s="202">
        <v>42662</v>
      </c>
      <c r="B405" s="78" t="s">
        <v>285</v>
      </c>
      <c r="AA405" s="202">
        <v>42662</v>
      </c>
      <c r="AB405" s="78" t="s">
        <v>285</v>
      </c>
      <c r="AC405">
        <f>IF(C405="",0,VLOOKUP(C405,'Dados de consulta'!$H$2:$I$25,2,0))</f>
        <v>0</v>
      </c>
      <c r="AD405">
        <f>IF(D405="",0,VLOOKUP(D405,'Dados de consulta'!$H$2:$I$25,2,0))</f>
        <v>0</v>
      </c>
      <c r="AE405">
        <f>IF(E405="",0,VLOOKUP(E405,'Dados de consulta'!$H$2:$I$25,2,0))</f>
        <v>0</v>
      </c>
      <c r="AF405">
        <f>IF(F405="",0,VLOOKUP(F405,'Dados de consulta'!$H$2:$I$25,2,0))</f>
        <v>0</v>
      </c>
      <c r="AG405">
        <f>IF(G405="",0,VLOOKUP(G405,'Dados de consulta'!$H$2:$I$25,2,0))</f>
        <v>0</v>
      </c>
      <c r="AH405">
        <f>IF(H405="",0,VLOOKUP(H405,'Dados de consulta'!$H$2:$I$25,2,0))</f>
        <v>0</v>
      </c>
      <c r="AI405">
        <f>IF(I405="",0,VLOOKUP(I405,'Dados de consulta'!$H$2:$I$25,2,0))</f>
        <v>0</v>
      </c>
      <c r="AJ405">
        <f>IF(J405="",0,VLOOKUP(J405,'Dados de consulta'!$H$2:$I$25,2,0))</f>
        <v>0</v>
      </c>
      <c r="AK405">
        <f>IF(K405="",0,VLOOKUP(K405,'Dados de consulta'!$H$2:$I$25,2,0))</f>
        <v>0</v>
      </c>
      <c r="AL405">
        <f>IF(L405="",0,VLOOKUP(L405,'Dados de consulta'!$H$2:$I$25,2,0))</f>
        <v>0</v>
      </c>
      <c r="AM405">
        <f>IF(M405="",0,VLOOKUP(M405,'Dados de consulta'!$H$2:$I$25,2,0))</f>
        <v>0</v>
      </c>
      <c r="AN405">
        <f>IF(N405="",0,VLOOKUP(N405,'Dados de consulta'!$H$2:$I$25,2,0))</f>
        <v>0</v>
      </c>
      <c r="AO405">
        <f>IF(O405="",0,VLOOKUP(O405,'Dados de consulta'!$H$2:$I$25,2,0))</f>
        <v>0</v>
      </c>
      <c r="AP405">
        <f>IF(P405="",0,VLOOKUP(P405,'Dados de consulta'!$H$2:$I$25,2,0))</f>
        <v>0</v>
      </c>
      <c r="AQ405">
        <f>IF(Q405="",0,VLOOKUP(Q405,'Dados de consulta'!$H$2:$I$25,2,0))</f>
        <v>0</v>
      </c>
      <c r="AR405">
        <f>IF(R405="",0,VLOOKUP(R405,'Dados de consulta'!$H$2:$I$25,2,0))</f>
        <v>0</v>
      </c>
      <c r="AS405">
        <f>IF(S405="",0,VLOOKUP(S405,'Dados de consulta'!$H$2:$I$25,2,0))</f>
        <v>0</v>
      </c>
      <c r="AT405">
        <f>IF(T405="",0,VLOOKUP(T405,'Dados de consulta'!$H$2:$I$25,2,0))</f>
        <v>0</v>
      </c>
      <c r="AU405">
        <f>IF(U405="",0,VLOOKUP(U405,'Dados de consulta'!$H$2:$I$25,2,0))</f>
        <v>0</v>
      </c>
      <c r="AV405">
        <f>IF(V405="",0,VLOOKUP(V405,'Dados de consulta'!$H$2:$I$25,2,0))</f>
        <v>0</v>
      </c>
      <c r="AW405">
        <f t="shared" si="41"/>
        <v>0</v>
      </c>
      <c r="AX405">
        <f t="shared" si="42"/>
        <v>0</v>
      </c>
      <c r="AY405">
        <f t="shared" si="43"/>
        <v>0</v>
      </c>
    </row>
    <row r="406" spans="1:51" hidden="1" x14ac:dyDescent="0.2">
      <c r="A406" s="202">
        <v>42663</v>
      </c>
      <c r="B406" s="78" t="s">
        <v>286</v>
      </c>
      <c r="AA406" s="202">
        <v>42663</v>
      </c>
      <c r="AB406" s="78" t="s">
        <v>286</v>
      </c>
      <c r="AC406">
        <f>IF(C406="",0,VLOOKUP(C406,'Dados de consulta'!$H$2:$I$25,2,0))</f>
        <v>0</v>
      </c>
      <c r="AD406">
        <f>IF(D406="",0,VLOOKUP(D406,'Dados de consulta'!$H$2:$I$25,2,0))</f>
        <v>0</v>
      </c>
      <c r="AE406">
        <f>IF(E406="",0,VLOOKUP(E406,'Dados de consulta'!$H$2:$I$25,2,0))</f>
        <v>0</v>
      </c>
      <c r="AF406">
        <f>IF(F406="",0,VLOOKUP(F406,'Dados de consulta'!$H$2:$I$25,2,0))</f>
        <v>0</v>
      </c>
      <c r="AG406">
        <f>IF(G406="",0,VLOOKUP(G406,'Dados de consulta'!$H$2:$I$25,2,0))</f>
        <v>0</v>
      </c>
      <c r="AH406">
        <f>IF(H406="",0,VLOOKUP(H406,'Dados de consulta'!$H$2:$I$25,2,0))</f>
        <v>0</v>
      </c>
      <c r="AI406">
        <f>IF(I406="",0,VLOOKUP(I406,'Dados de consulta'!$H$2:$I$25,2,0))</f>
        <v>0</v>
      </c>
      <c r="AJ406">
        <f>IF(J406="",0,VLOOKUP(J406,'Dados de consulta'!$H$2:$I$25,2,0))</f>
        <v>0</v>
      </c>
      <c r="AK406">
        <f>IF(K406="",0,VLOOKUP(K406,'Dados de consulta'!$H$2:$I$25,2,0))</f>
        <v>0</v>
      </c>
      <c r="AL406">
        <f>IF(L406="",0,VLOOKUP(L406,'Dados de consulta'!$H$2:$I$25,2,0))</f>
        <v>0</v>
      </c>
      <c r="AM406">
        <f>IF(M406="",0,VLOOKUP(M406,'Dados de consulta'!$H$2:$I$25,2,0))</f>
        <v>0</v>
      </c>
      <c r="AN406">
        <f>IF(N406="",0,VLOOKUP(N406,'Dados de consulta'!$H$2:$I$25,2,0))</f>
        <v>0</v>
      </c>
      <c r="AO406">
        <f>IF(O406="",0,VLOOKUP(O406,'Dados de consulta'!$H$2:$I$25,2,0))</f>
        <v>0</v>
      </c>
      <c r="AP406">
        <f>IF(P406="",0,VLOOKUP(P406,'Dados de consulta'!$H$2:$I$25,2,0))</f>
        <v>0</v>
      </c>
      <c r="AQ406">
        <f>IF(Q406="",0,VLOOKUP(Q406,'Dados de consulta'!$H$2:$I$25,2,0))</f>
        <v>0</v>
      </c>
      <c r="AR406">
        <f>IF(R406="",0,VLOOKUP(R406,'Dados de consulta'!$H$2:$I$25,2,0))</f>
        <v>0</v>
      </c>
      <c r="AS406">
        <f>IF(S406="",0,VLOOKUP(S406,'Dados de consulta'!$H$2:$I$25,2,0))</f>
        <v>0</v>
      </c>
      <c r="AT406">
        <f>IF(T406="",0,VLOOKUP(T406,'Dados de consulta'!$H$2:$I$25,2,0))</f>
        <v>0</v>
      </c>
      <c r="AU406">
        <f>IF(U406="",0,VLOOKUP(U406,'Dados de consulta'!$H$2:$I$25,2,0))</f>
        <v>0</v>
      </c>
      <c r="AV406">
        <f>IF(V406="",0,VLOOKUP(V406,'Dados de consulta'!$H$2:$I$25,2,0))</f>
        <v>0</v>
      </c>
      <c r="AW406">
        <f t="shared" si="41"/>
        <v>0</v>
      </c>
      <c r="AX406">
        <f t="shared" si="42"/>
        <v>0</v>
      </c>
      <c r="AY406">
        <f t="shared" si="43"/>
        <v>0</v>
      </c>
    </row>
    <row r="407" spans="1:51" hidden="1" x14ac:dyDescent="0.2">
      <c r="A407" s="202">
        <v>42664</v>
      </c>
      <c r="B407" s="78" t="s">
        <v>287</v>
      </c>
      <c r="AA407" s="202">
        <v>42664</v>
      </c>
      <c r="AB407" s="78" t="s">
        <v>287</v>
      </c>
      <c r="AC407">
        <f>IF(C407="",0,VLOOKUP(C407,'Dados de consulta'!$H$2:$I$25,2,0))</f>
        <v>0</v>
      </c>
      <c r="AD407">
        <f>IF(D407="",0,VLOOKUP(D407,'Dados de consulta'!$H$2:$I$25,2,0))</f>
        <v>0</v>
      </c>
      <c r="AE407">
        <f>IF(E407="",0,VLOOKUP(E407,'Dados de consulta'!$H$2:$I$25,2,0))</f>
        <v>0</v>
      </c>
      <c r="AF407">
        <f>IF(F407="",0,VLOOKUP(F407,'Dados de consulta'!$H$2:$I$25,2,0))</f>
        <v>0</v>
      </c>
      <c r="AG407">
        <f>IF(G407="",0,VLOOKUP(G407,'Dados de consulta'!$H$2:$I$25,2,0))</f>
        <v>0</v>
      </c>
      <c r="AH407">
        <f>IF(H407="",0,VLOOKUP(H407,'Dados de consulta'!$H$2:$I$25,2,0))</f>
        <v>0</v>
      </c>
      <c r="AI407">
        <f>IF(I407="",0,VLOOKUP(I407,'Dados de consulta'!$H$2:$I$25,2,0))</f>
        <v>0</v>
      </c>
      <c r="AJ407">
        <f>IF(J407="",0,VLOOKUP(J407,'Dados de consulta'!$H$2:$I$25,2,0))</f>
        <v>0</v>
      </c>
      <c r="AK407">
        <f>IF(K407="",0,VLOOKUP(K407,'Dados de consulta'!$H$2:$I$25,2,0))</f>
        <v>0</v>
      </c>
      <c r="AL407">
        <f>IF(L407="",0,VLOOKUP(L407,'Dados de consulta'!$H$2:$I$25,2,0))</f>
        <v>0</v>
      </c>
      <c r="AM407">
        <f>IF(M407="",0,VLOOKUP(M407,'Dados de consulta'!$H$2:$I$25,2,0))</f>
        <v>0</v>
      </c>
      <c r="AN407">
        <f>IF(N407="",0,VLOOKUP(N407,'Dados de consulta'!$H$2:$I$25,2,0))</f>
        <v>0</v>
      </c>
      <c r="AO407">
        <f>IF(O407="",0,VLOOKUP(O407,'Dados de consulta'!$H$2:$I$25,2,0))</f>
        <v>0</v>
      </c>
      <c r="AP407">
        <f>IF(P407="",0,VLOOKUP(P407,'Dados de consulta'!$H$2:$I$25,2,0))</f>
        <v>0</v>
      </c>
      <c r="AQ407">
        <f>IF(Q407="",0,VLOOKUP(Q407,'Dados de consulta'!$H$2:$I$25,2,0))</f>
        <v>0</v>
      </c>
      <c r="AR407">
        <f>IF(R407="",0,VLOOKUP(R407,'Dados de consulta'!$H$2:$I$25,2,0))</f>
        <v>0</v>
      </c>
      <c r="AS407">
        <f>IF(S407="",0,VLOOKUP(S407,'Dados de consulta'!$H$2:$I$25,2,0))</f>
        <v>0</v>
      </c>
      <c r="AT407">
        <f>IF(T407="",0,VLOOKUP(T407,'Dados de consulta'!$H$2:$I$25,2,0))</f>
        <v>0</v>
      </c>
      <c r="AU407">
        <f>IF(U407="",0,VLOOKUP(U407,'Dados de consulta'!$H$2:$I$25,2,0))</f>
        <v>0</v>
      </c>
      <c r="AV407">
        <f>IF(V407="",0,VLOOKUP(V407,'Dados de consulta'!$H$2:$I$25,2,0))</f>
        <v>0</v>
      </c>
      <c r="AW407">
        <f t="shared" si="41"/>
        <v>0</v>
      </c>
      <c r="AX407">
        <f t="shared" si="42"/>
        <v>0</v>
      </c>
      <c r="AY407">
        <f t="shared" si="43"/>
        <v>0</v>
      </c>
    </row>
    <row r="408" spans="1:51" hidden="1" x14ac:dyDescent="0.2">
      <c r="A408" s="202">
        <v>42665</v>
      </c>
      <c r="B408" s="78" t="s">
        <v>281</v>
      </c>
      <c r="AA408" s="202">
        <v>42665</v>
      </c>
      <c r="AB408" s="78" t="s">
        <v>281</v>
      </c>
      <c r="AC408">
        <f>IF(C408="",0,VLOOKUP(C408,'Dados de consulta'!$H$2:$I$25,2,0))</f>
        <v>0</v>
      </c>
      <c r="AD408">
        <f>IF(D408="",0,VLOOKUP(D408,'Dados de consulta'!$H$2:$I$25,2,0))</f>
        <v>0</v>
      </c>
      <c r="AE408">
        <f>IF(E408="",0,VLOOKUP(E408,'Dados de consulta'!$H$2:$I$25,2,0))</f>
        <v>0</v>
      </c>
      <c r="AF408">
        <f>IF(F408="",0,VLOOKUP(F408,'Dados de consulta'!$H$2:$I$25,2,0))</f>
        <v>0</v>
      </c>
      <c r="AG408">
        <f>IF(G408="",0,VLOOKUP(G408,'Dados de consulta'!$H$2:$I$25,2,0))</f>
        <v>0</v>
      </c>
      <c r="AH408">
        <f>IF(H408="",0,VLOOKUP(H408,'Dados de consulta'!$H$2:$I$25,2,0))</f>
        <v>0</v>
      </c>
      <c r="AI408">
        <f>IF(I408="",0,VLOOKUP(I408,'Dados de consulta'!$H$2:$I$25,2,0))</f>
        <v>0</v>
      </c>
      <c r="AJ408">
        <f>IF(J408="",0,VLOOKUP(J408,'Dados de consulta'!$H$2:$I$25,2,0))</f>
        <v>0</v>
      </c>
      <c r="AK408">
        <f>IF(K408="",0,VLOOKUP(K408,'Dados de consulta'!$H$2:$I$25,2,0))</f>
        <v>0</v>
      </c>
      <c r="AL408">
        <f>IF(L408="",0,VLOOKUP(L408,'Dados de consulta'!$H$2:$I$25,2,0))</f>
        <v>0</v>
      </c>
      <c r="AM408">
        <f>IF(M408="",0,VLOOKUP(M408,'Dados de consulta'!$H$2:$I$25,2,0))</f>
        <v>0</v>
      </c>
      <c r="AN408">
        <f>IF(N408="",0,VLOOKUP(N408,'Dados de consulta'!$H$2:$I$25,2,0))</f>
        <v>0</v>
      </c>
      <c r="AO408">
        <f>IF(O408="",0,VLOOKUP(O408,'Dados de consulta'!$H$2:$I$25,2,0))</f>
        <v>0</v>
      </c>
      <c r="AP408">
        <f>IF(P408="",0,VLOOKUP(P408,'Dados de consulta'!$H$2:$I$25,2,0))</f>
        <v>0</v>
      </c>
      <c r="AQ408">
        <f>IF(Q408="",0,VLOOKUP(Q408,'Dados de consulta'!$H$2:$I$25,2,0))</f>
        <v>0</v>
      </c>
      <c r="AR408">
        <f>IF(R408="",0,VLOOKUP(R408,'Dados de consulta'!$H$2:$I$25,2,0))</f>
        <v>0</v>
      </c>
      <c r="AS408">
        <f>IF(S408="",0,VLOOKUP(S408,'Dados de consulta'!$H$2:$I$25,2,0))</f>
        <v>0</v>
      </c>
      <c r="AT408">
        <f>IF(T408="",0,VLOOKUP(T408,'Dados de consulta'!$H$2:$I$25,2,0))</f>
        <v>0</v>
      </c>
      <c r="AU408">
        <f>IF(U408="",0,VLOOKUP(U408,'Dados de consulta'!$H$2:$I$25,2,0))</f>
        <v>0</v>
      </c>
      <c r="AV408">
        <f>IF(V408="",0,VLOOKUP(V408,'Dados de consulta'!$H$2:$I$25,2,0))</f>
        <v>0</v>
      </c>
      <c r="AW408">
        <f t="shared" si="41"/>
        <v>0</v>
      </c>
      <c r="AX408">
        <f t="shared" si="42"/>
        <v>0</v>
      </c>
      <c r="AY408">
        <f t="shared" si="43"/>
        <v>0</v>
      </c>
    </row>
    <row r="409" spans="1:51" hidden="1" x14ac:dyDescent="0.2">
      <c r="A409" s="202">
        <v>42666</v>
      </c>
      <c r="B409" s="78" t="s">
        <v>282</v>
      </c>
      <c r="AA409" s="202">
        <v>42666</v>
      </c>
      <c r="AB409" s="78" t="s">
        <v>282</v>
      </c>
      <c r="AC409">
        <f>IF(C409="",0,VLOOKUP(C409,'Dados de consulta'!$H$2:$I$25,2,0))</f>
        <v>0</v>
      </c>
      <c r="AD409">
        <f>IF(D409="",0,VLOOKUP(D409,'Dados de consulta'!$H$2:$I$25,2,0))</f>
        <v>0</v>
      </c>
      <c r="AE409">
        <f>IF(E409="",0,VLOOKUP(E409,'Dados de consulta'!$H$2:$I$25,2,0))</f>
        <v>0</v>
      </c>
      <c r="AF409">
        <f>IF(F409="",0,VLOOKUP(F409,'Dados de consulta'!$H$2:$I$25,2,0))</f>
        <v>0</v>
      </c>
      <c r="AG409">
        <f>IF(G409="",0,VLOOKUP(G409,'Dados de consulta'!$H$2:$I$25,2,0))</f>
        <v>0</v>
      </c>
      <c r="AH409">
        <f>IF(H409="",0,VLOOKUP(H409,'Dados de consulta'!$H$2:$I$25,2,0))</f>
        <v>0</v>
      </c>
      <c r="AI409">
        <f>IF(I409="",0,VLOOKUP(I409,'Dados de consulta'!$H$2:$I$25,2,0))</f>
        <v>0</v>
      </c>
      <c r="AJ409">
        <f>IF(J409="",0,VLOOKUP(J409,'Dados de consulta'!$H$2:$I$25,2,0))</f>
        <v>0</v>
      </c>
      <c r="AK409">
        <f>IF(K409="",0,VLOOKUP(K409,'Dados de consulta'!$H$2:$I$25,2,0))</f>
        <v>0</v>
      </c>
      <c r="AL409">
        <f>IF(L409="",0,VLOOKUP(L409,'Dados de consulta'!$H$2:$I$25,2,0))</f>
        <v>0</v>
      </c>
      <c r="AM409">
        <f>IF(M409="",0,VLOOKUP(M409,'Dados de consulta'!$H$2:$I$25,2,0))</f>
        <v>0</v>
      </c>
      <c r="AN409">
        <f>IF(N409="",0,VLOOKUP(N409,'Dados de consulta'!$H$2:$I$25,2,0))</f>
        <v>0</v>
      </c>
      <c r="AO409">
        <f>IF(O409="",0,VLOOKUP(O409,'Dados de consulta'!$H$2:$I$25,2,0))</f>
        <v>0</v>
      </c>
      <c r="AP409">
        <f>IF(P409="",0,VLOOKUP(P409,'Dados de consulta'!$H$2:$I$25,2,0))</f>
        <v>0</v>
      </c>
      <c r="AQ409">
        <f>IF(Q409="",0,VLOOKUP(Q409,'Dados de consulta'!$H$2:$I$25,2,0))</f>
        <v>0</v>
      </c>
      <c r="AR409">
        <f>IF(R409="",0,VLOOKUP(R409,'Dados de consulta'!$H$2:$I$25,2,0))</f>
        <v>0</v>
      </c>
      <c r="AS409">
        <f>IF(S409="",0,VLOOKUP(S409,'Dados de consulta'!$H$2:$I$25,2,0))</f>
        <v>0</v>
      </c>
      <c r="AT409">
        <f>IF(T409="",0,VLOOKUP(T409,'Dados de consulta'!$H$2:$I$25,2,0))</f>
        <v>0</v>
      </c>
      <c r="AU409">
        <f>IF(U409="",0,VLOOKUP(U409,'Dados de consulta'!$H$2:$I$25,2,0))</f>
        <v>0</v>
      </c>
      <c r="AV409">
        <f>IF(V409="",0,VLOOKUP(V409,'Dados de consulta'!$H$2:$I$25,2,0))</f>
        <v>0</v>
      </c>
      <c r="AW409">
        <f t="shared" si="41"/>
        <v>0</v>
      </c>
      <c r="AX409">
        <f t="shared" si="42"/>
        <v>0</v>
      </c>
      <c r="AY409">
        <f t="shared" si="43"/>
        <v>0</v>
      </c>
    </row>
    <row r="410" spans="1:51" hidden="1" x14ac:dyDescent="0.2">
      <c r="A410" s="202">
        <v>42667</v>
      </c>
      <c r="B410" s="78" t="s">
        <v>283</v>
      </c>
      <c r="AA410" s="202">
        <v>42667</v>
      </c>
      <c r="AB410" s="78" t="s">
        <v>283</v>
      </c>
      <c r="AC410">
        <f>IF(C410="",0,VLOOKUP(C410,'Dados de consulta'!$H$2:$I$25,2,0))</f>
        <v>0</v>
      </c>
      <c r="AD410">
        <f>IF(D410="",0,VLOOKUP(D410,'Dados de consulta'!$H$2:$I$25,2,0))</f>
        <v>0</v>
      </c>
      <c r="AE410">
        <f>IF(E410="",0,VLOOKUP(E410,'Dados de consulta'!$H$2:$I$25,2,0))</f>
        <v>0</v>
      </c>
      <c r="AF410">
        <f>IF(F410="",0,VLOOKUP(F410,'Dados de consulta'!$H$2:$I$25,2,0))</f>
        <v>0</v>
      </c>
      <c r="AG410">
        <f>IF(G410="",0,VLOOKUP(G410,'Dados de consulta'!$H$2:$I$25,2,0))</f>
        <v>0</v>
      </c>
      <c r="AH410">
        <f>IF(H410="",0,VLOOKUP(H410,'Dados de consulta'!$H$2:$I$25,2,0))</f>
        <v>0</v>
      </c>
      <c r="AI410">
        <f>IF(I410="",0,VLOOKUP(I410,'Dados de consulta'!$H$2:$I$25,2,0))</f>
        <v>0</v>
      </c>
      <c r="AJ410">
        <f>IF(J410="",0,VLOOKUP(J410,'Dados de consulta'!$H$2:$I$25,2,0))</f>
        <v>0</v>
      </c>
      <c r="AK410">
        <f>IF(K410="",0,VLOOKUP(K410,'Dados de consulta'!$H$2:$I$25,2,0))</f>
        <v>0</v>
      </c>
      <c r="AL410">
        <f>IF(L410="",0,VLOOKUP(L410,'Dados de consulta'!$H$2:$I$25,2,0))</f>
        <v>0</v>
      </c>
      <c r="AM410">
        <f>IF(M410="",0,VLOOKUP(M410,'Dados de consulta'!$H$2:$I$25,2,0))</f>
        <v>0</v>
      </c>
      <c r="AN410">
        <f>IF(N410="",0,VLOOKUP(N410,'Dados de consulta'!$H$2:$I$25,2,0))</f>
        <v>0</v>
      </c>
      <c r="AO410">
        <f>IF(O410="",0,VLOOKUP(O410,'Dados de consulta'!$H$2:$I$25,2,0))</f>
        <v>0</v>
      </c>
      <c r="AP410">
        <f>IF(P410="",0,VLOOKUP(P410,'Dados de consulta'!$H$2:$I$25,2,0))</f>
        <v>0</v>
      </c>
      <c r="AQ410">
        <f>IF(Q410="",0,VLOOKUP(Q410,'Dados de consulta'!$H$2:$I$25,2,0))</f>
        <v>0</v>
      </c>
      <c r="AR410">
        <f>IF(R410="",0,VLOOKUP(R410,'Dados de consulta'!$H$2:$I$25,2,0))</f>
        <v>0</v>
      </c>
      <c r="AS410">
        <f>IF(S410="",0,VLOOKUP(S410,'Dados de consulta'!$H$2:$I$25,2,0))</f>
        <v>0</v>
      </c>
      <c r="AT410">
        <f>IF(T410="",0,VLOOKUP(T410,'Dados de consulta'!$H$2:$I$25,2,0))</f>
        <v>0</v>
      </c>
      <c r="AU410">
        <f>IF(U410="",0,VLOOKUP(U410,'Dados de consulta'!$H$2:$I$25,2,0))</f>
        <v>0</v>
      </c>
      <c r="AV410">
        <f>IF(V410="",0,VLOOKUP(V410,'Dados de consulta'!$H$2:$I$25,2,0))</f>
        <v>0</v>
      </c>
      <c r="AW410">
        <f t="shared" si="41"/>
        <v>0</v>
      </c>
      <c r="AX410">
        <f t="shared" si="42"/>
        <v>0</v>
      </c>
      <c r="AY410">
        <f t="shared" si="43"/>
        <v>0</v>
      </c>
    </row>
    <row r="411" spans="1:51" hidden="1" x14ac:dyDescent="0.2">
      <c r="A411" s="202">
        <v>42668</v>
      </c>
      <c r="B411" s="78" t="s">
        <v>284</v>
      </c>
      <c r="AA411" s="202">
        <v>42668</v>
      </c>
      <c r="AB411" s="78" t="s">
        <v>284</v>
      </c>
      <c r="AC411">
        <f>IF(C411="",0,VLOOKUP(C411,'Dados de consulta'!$H$2:$I$25,2,0))</f>
        <v>0</v>
      </c>
      <c r="AD411">
        <f>IF(D411="",0,VLOOKUP(D411,'Dados de consulta'!$H$2:$I$25,2,0))</f>
        <v>0</v>
      </c>
      <c r="AE411">
        <f>IF(E411="",0,VLOOKUP(E411,'Dados de consulta'!$H$2:$I$25,2,0))</f>
        <v>0</v>
      </c>
      <c r="AF411">
        <f>IF(F411="",0,VLOOKUP(F411,'Dados de consulta'!$H$2:$I$25,2,0))</f>
        <v>0</v>
      </c>
      <c r="AG411">
        <f>IF(G411="",0,VLOOKUP(G411,'Dados de consulta'!$H$2:$I$25,2,0))</f>
        <v>0</v>
      </c>
      <c r="AH411">
        <f>IF(H411="",0,VLOOKUP(H411,'Dados de consulta'!$H$2:$I$25,2,0))</f>
        <v>0</v>
      </c>
      <c r="AI411">
        <f>IF(I411="",0,VLOOKUP(I411,'Dados de consulta'!$H$2:$I$25,2,0))</f>
        <v>0</v>
      </c>
      <c r="AJ411">
        <f>IF(J411="",0,VLOOKUP(J411,'Dados de consulta'!$H$2:$I$25,2,0))</f>
        <v>0</v>
      </c>
      <c r="AK411">
        <f>IF(K411="",0,VLOOKUP(K411,'Dados de consulta'!$H$2:$I$25,2,0))</f>
        <v>0</v>
      </c>
      <c r="AL411">
        <f>IF(L411="",0,VLOOKUP(L411,'Dados de consulta'!$H$2:$I$25,2,0))</f>
        <v>0</v>
      </c>
      <c r="AM411">
        <f>IF(M411="",0,VLOOKUP(M411,'Dados de consulta'!$H$2:$I$25,2,0))</f>
        <v>0</v>
      </c>
      <c r="AN411">
        <f>IF(N411="",0,VLOOKUP(N411,'Dados de consulta'!$H$2:$I$25,2,0))</f>
        <v>0</v>
      </c>
      <c r="AO411">
        <f>IF(O411="",0,VLOOKUP(O411,'Dados de consulta'!$H$2:$I$25,2,0))</f>
        <v>0</v>
      </c>
      <c r="AP411">
        <f>IF(P411="",0,VLOOKUP(P411,'Dados de consulta'!$H$2:$I$25,2,0))</f>
        <v>0</v>
      </c>
      <c r="AQ411">
        <f>IF(Q411="",0,VLOOKUP(Q411,'Dados de consulta'!$H$2:$I$25,2,0))</f>
        <v>0</v>
      </c>
      <c r="AR411">
        <f>IF(R411="",0,VLOOKUP(R411,'Dados de consulta'!$H$2:$I$25,2,0))</f>
        <v>0</v>
      </c>
      <c r="AS411">
        <f>IF(S411="",0,VLOOKUP(S411,'Dados de consulta'!$H$2:$I$25,2,0))</f>
        <v>0</v>
      </c>
      <c r="AT411">
        <f>IF(T411="",0,VLOOKUP(T411,'Dados de consulta'!$H$2:$I$25,2,0))</f>
        <v>0</v>
      </c>
      <c r="AU411">
        <f>IF(U411="",0,VLOOKUP(U411,'Dados de consulta'!$H$2:$I$25,2,0))</f>
        <v>0</v>
      </c>
      <c r="AV411">
        <f>IF(V411="",0,VLOOKUP(V411,'Dados de consulta'!$H$2:$I$25,2,0))</f>
        <v>0</v>
      </c>
      <c r="AW411">
        <f t="shared" si="41"/>
        <v>0</v>
      </c>
      <c r="AX411">
        <f t="shared" si="42"/>
        <v>0</v>
      </c>
      <c r="AY411">
        <f t="shared" si="43"/>
        <v>0</v>
      </c>
    </row>
    <row r="412" spans="1:51" hidden="1" x14ac:dyDescent="0.2">
      <c r="A412" s="202">
        <v>42669</v>
      </c>
      <c r="B412" s="78" t="s">
        <v>285</v>
      </c>
      <c r="AA412" s="202">
        <v>42669</v>
      </c>
      <c r="AB412" s="78" t="s">
        <v>285</v>
      </c>
      <c r="AC412">
        <f>IF(C412="",0,VLOOKUP(C412,'Dados de consulta'!$H$2:$I$25,2,0))</f>
        <v>0</v>
      </c>
      <c r="AD412">
        <f>IF(D412="",0,VLOOKUP(D412,'Dados de consulta'!$H$2:$I$25,2,0))</f>
        <v>0</v>
      </c>
      <c r="AE412">
        <f>IF(E412="",0,VLOOKUP(E412,'Dados de consulta'!$H$2:$I$25,2,0))</f>
        <v>0</v>
      </c>
      <c r="AF412">
        <f>IF(F412="",0,VLOOKUP(F412,'Dados de consulta'!$H$2:$I$25,2,0))</f>
        <v>0</v>
      </c>
      <c r="AG412">
        <f>IF(G412="",0,VLOOKUP(G412,'Dados de consulta'!$H$2:$I$25,2,0))</f>
        <v>0</v>
      </c>
      <c r="AH412">
        <f>IF(H412="",0,VLOOKUP(H412,'Dados de consulta'!$H$2:$I$25,2,0))</f>
        <v>0</v>
      </c>
      <c r="AI412">
        <f>IF(I412="",0,VLOOKUP(I412,'Dados de consulta'!$H$2:$I$25,2,0))</f>
        <v>0</v>
      </c>
      <c r="AJ412">
        <f>IF(J412="",0,VLOOKUP(J412,'Dados de consulta'!$H$2:$I$25,2,0))</f>
        <v>0</v>
      </c>
      <c r="AK412">
        <f>IF(K412="",0,VLOOKUP(K412,'Dados de consulta'!$H$2:$I$25,2,0))</f>
        <v>0</v>
      </c>
      <c r="AL412">
        <f>IF(L412="",0,VLOOKUP(L412,'Dados de consulta'!$H$2:$I$25,2,0))</f>
        <v>0</v>
      </c>
      <c r="AM412">
        <f>IF(M412="",0,VLOOKUP(M412,'Dados de consulta'!$H$2:$I$25,2,0))</f>
        <v>0</v>
      </c>
      <c r="AN412">
        <f>IF(N412="",0,VLOOKUP(N412,'Dados de consulta'!$H$2:$I$25,2,0))</f>
        <v>0</v>
      </c>
      <c r="AO412">
        <f>IF(O412="",0,VLOOKUP(O412,'Dados de consulta'!$H$2:$I$25,2,0))</f>
        <v>0</v>
      </c>
      <c r="AP412">
        <f>IF(P412="",0,VLOOKUP(P412,'Dados de consulta'!$H$2:$I$25,2,0))</f>
        <v>0</v>
      </c>
      <c r="AQ412">
        <f>IF(Q412="",0,VLOOKUP(Q412,'Dados de consulta'!$H$2:$I$25,2,0))</f>
        <v>0</v>
      </c>
      <c r="AR412">
        <f>IF(R412="",0,VLOOKUP(R412,'Dados de consulta'!$H$2:$I$25,2,0))</f>
        <v>0</v>
      </c>
      <c r="AS412">
        <f>IF(S412="",0,VLOOKUP(S412,'Dados de consulta'!$H$2:$I$25,2,0))</f>
        <v>0</v>
      </c>
      <c r="AT412">
        <f>IF(T412="",0,VLOOKUP(T412,'Dados de consulta'!$H$2:$I$25,2,0))</f>
        <v>0</v>
      </c>
      <c r="AU412">
        <f>IF(U412="",0,VLOOKUP(U412,'Dados de consulta'!$H$2:$I$25,2,0))</f>
        <v>0</v>
      </c>
      <c r="AV412">
        <f>IF(V412="",0,VLOOKUP(V412,'Dados de consulta'!$H$2:$I$25,2,0))</f>
        <v>0</v>
      </c>
      <c r="AW412">
        <f t="shared" si="41"/>
        <v>0</v>
      </c>
      <c r="AX412">
        <f t="shared" si="42"/>
        <v>0</v>
      </c>
      <c r="AY412">
        <f t="shared" si="43"/>
        <v>0</v>
      </c>
    </row>
    <row r="413" spans="1:51" hidden="1" x14ac:dyDescent="0.2">
      <c r="A413" s="202">
        <v>42670</v>
      </c>
      <c r="B413" s="78" t="s">
        <v>286</v>
      </c>
      <c r="AA413" s="202">
        <v>42670</v>
      </c>
      <c r="AB413" s="78" t="s">
        <v>286</v>
      </c>
      <c r="AC413">
        <f>IF(C413="",0,VLOOKUP(C413,'Dados de consulta'!$H$2:$I$25,2,0))</f>
        <v>0</v>
      </c>
      <c r="AD413">
        <f>IF(D413="",0,VLOOKUP(D413,'Dados de consulta'!$H$2:$I$25,2,0))</f>
        <v>0</v>
      </c>
      <c r="AE413">
        <f>IF(E413="",0,VLOOKUP(E413,'Dados de consulta'!$H$2:$I$25,2,0))</f>
        <v>0</v>
      </c>
      <c r="AF413">
        <f>IF(F413="",0,VLOOKUP(F413,'Dados de consulta'!$H$2:$I$25,2,0))</f>
        <v>0</v>
      </c>
      <c r="AG413">
        <f>IF(G413="",0,VLOOKUP(G413,'Dados de consulta'!$H$2:$I$25,2,0))</f>
        <v>0</v>
      </c>
      <c r="AH413">
        <f>IF(H413="",0,VLOOKUP(H413,'Dados de consulta'!$H$2:$I$25,2,0))</f>
        <v>0</v>
      </c>
      <c r="AI413">
        <f>IF(I413="",0,VLOOKUP(I413,'Dados de consulta'!$H$2:$I$25,2,0))</f>
        <v>0</v>
      </c>
      <c r="AJ413">
        <f>IF(J413="",0,VLOOKUP(J413,'Dados de consulta'!$H$2:$I$25,2,0))</f>
        <v>0</v>
      </c>
      <c r="AK413">
        <f>IF(K413="",0,VLOOKUP(K413,'Dados de consulta'!$H$2:$I$25,2,0))</f>
        <v>0</v>
      </c>
      <c r="AL413">
        <f>IF(L413="",0,VLOOKUP(L413,'Dados de consulta'!$H$2:$I$25,2,0))</f>
        <v>0</v>
      </c>
      <c r="AM413">
        <f>IF(M413="",0,VLOOKUP(M413,'Dados de consulta'!$H$2:$I$25,2,0))</f>
        <v>0</v>
      </c>
      <c r="AN413">
        <f>IF(N413="",0,VLOOKUP(N413,'Dados de consulta'!$H$2:$I$25,2,0))</f>
        <v>0</v>
      </c>
      <c r="AO413">
        <f>IF(O413="",0,VLOOKUP(O413,'Dados de consulta'!$H$2:$I$25,2,0))</f>
        <v>0</v>
      </c>
      <c r="AP413">
        <f>IF(P413="",0,VLOOKUP(P413,'Dados de consulta'!$H$2:$I$25,2,0))</f>
        <v>0</v>
      </c>
      <c r="AQ413">
        <f>IF(Q413="",0,VLOOKUP(Q413,'Dados de consulta'!$H$2:$I$25,2,0))</f>
        <v>0</v>
      </c>
      <c r="AR413">
        <f>IF(R413="",0,VLOOKUP(R413,'Dados de consulta'!$H$2:$I$25,2,0))</f>
        <v>0</v>
      </c>
      <c r="AS413">
        <f>IF(S413="",0,VLOOKUP(S413,'Dados de consulta'!$H$2:$I$25,2,0))</f>
        <v>0</v>
      </c>
      <c r="AT413">
        <f>IF(T413="",0,VLOOKUP(T413,'Dados de consulta'!$H$2:$I$25,2,0))</f>
        <v>0</v>
      </c>
      <c r="AU413">
        <f>IF(U413="",0,VLOOKUP(U413,'Dados de consulta'!$H$2:$I$25,2,0))</f>
        <v>0</v>
      </c>
      <c r="AV413">
        <f>IF(V413="",0,VLOOKUP(V413,'Dados de consulta'!$H$2:$I$25,2,0))</f>
        <v>0</v>
      </c>
      <c r="AW413">
        <f t="shared" si="41"/>
        <v>0</v>
      </c>
      <c r="AX413">
        <f t="shared" si="42"/>
        <v>0</v>
      </c>
      <c r="AY413">
        <f t="shared" si="43"/>
        <v>0</v>
      </c>
    </row>
    <row r="414" spans="1:51" hidden="1" x14ac:dyDescent="0.2">
      <c r="A414" s="202">
        <v>42671</v>
      </c>
      <c r="B414" s="78" t="s">
        <v>287</v>
      </c>
      <c r="AA414" s="202">
        <v>42671</v>
      </c>
      <c r="AB414" s="78" t="s">
        <v>287</v>
      </c>
      <c r="AC414">
        <f>IF(C414="",0,VLOOKUP(C414,'Dados de consulta'!$H$2:$I$25,2,0))</f>
        <v>0</v>
      </c>
      <c r="AD414">
        <f>IF(D414="",0,VLOOKUP(D414,'Dados de consulta'!$H$2:$I$25,2,0))</f>
        <v>0</v>
      </c>
      <c r="AE414">
        <f>IF(E414="",0,VLOOKUP(E414,'Dados de consulta'!$H$2:$I$25,2,0))</f>
        <v>0</v>
      </c>
      <c r="AF414">
        <f>IF(F414="",0,VLOOKUP(F414,'Dados de consulta'!$H$2:$I$25,2,0))</f>
        <v>0</v>
      </c>
      <c r="AG414">
        <f>IF(G414="",0,VLOOKUP(G414,'Dados de consulta'!$H$2:$I$25,2,0))</f>
        <v>0</v>
      </c>
      <c r="AH414">
        <f>IF(H414="",0,VLOOKUP(H414,'Dados de consulta'!$H$2:$I$25,2,0))</f>
        <v>0</v>
      </c>
      <c r="AI414">
        <f>IF(I414="",0,VLOOKUP(I414,'Dados de consulta'!$H$2:$I$25,2,0))</f>
        <v>0</v>
      </c>
      <c r="AJ414">
        <f>IF(J414="",0,VLOOKUP(J414,'Dados de consulta'!$H$2:$I$25,2,0))</f>
        <v>0</v>
      </c>
      <c r="AK414">
        <f>IF(K414="",0,VLOOKUP(K414,'Dados de consulta'!$H$2:$I$25,2,0))</f>
        <v>0</v>
      </c>
      <c r="AL414">
        <f>IF(L414="",0,VLOOKUP(L414,'Dados de consulta'!$H$2:$I$25,2,0))</f>
        <v>0</v>
      </c>
      <c r="AM414">
        <f>IF(M414="",0,VLOOKUP(M414,'Dados de consulta'!$H$2:$I$25,2,0))</f>
        <v>0</v>
      </c>
      <c r="AN414">
        <f>IF(N414="",0,VLOOKUP(N414,'Dados de consulta'!$H$2:$I$25,2,0))</f>
        <v>0</v>
      </c>
      <c r="AO414">
        <f>IF(O414="",0,VLOOKUP(O414,'Dados de consulta'!$H$2:$I$25,2,0))</f>
        <v>0</v>
      </c>
      <c r="AP414">
        <f>IF(P414="",0,VLOOKUP(P414,'Dados de consulta'!$H$2:$I$25,2,0))</f>
        <v>0</v>
      </c>
      <c r="AQ414">
        <f>IF(Q414="",0,VLOOKUP(Q414,'Dados de consulta'!$H$2:$I$25,2,0))</f>
        <v>0</v>
      </c>
      <c r="AR414">
        <f>IF(R414="",0,VLOOKUP(R414,'Dados de consulta'!$H$2:$I$25,2,0))</f>
        <v>0</v>
      </c>
      <c r="AS414">
        <f>IF(S414="",0,VLOOKUP(S414,'Dados de consulta'!$H$2:$I$25,2,0))</f>
        <v>0</v>
      </c>
      <c r="AT414">
        <f>IF(T414="",0,VLOOKUP(T414,'Dados de consulta'!$H$2:$I$25,2,0))</f>
        <v>0</v>
      </c>
      <c r="AU414">
        <f>IF(U414="",0,VLOOKUP(U414,'Dados de consulta'!$H$2:$I$25,2,0))</f>
        <v>0</v>
      </c>
      <c r="AV414">
        <f>IF(V414="",0,VLOOKUP(V414,'Dados de consulta'!$H$2:$I$25,2,0))</f>
        <v>0</v>
      </c>
      <c r="AW414">
        <f t="shared" si="41"/>
        <v>0</v>
      </c>
      <c r="AX414">
        <f t="shared" si="42"/>
        <v>0</v>
      </c>
      <c r="AY414">
        <f t="shared" si="43"/>
        <v>0</v>
      </c>
    </row>
    <row r="415" spans="1:51" hidden="1" x14ac:dyDescent="0.2">
      <c r="A415" s="202">
        <v>42672</v>
      </c>
      <c r="B415" s="78" t="s">
        <v>281</v>
      </c>
      <c r="AA415" s="202">
        <v>42672</v>
      </c>
      <c r="AB415" s="78" t="s">
        <v>281</v>
      </c>
      <c r="AC415">
        <f>IF(C415="",0,VLOOKUP(C415,'Dados de consulta'!$H$2:$I$25,2,0))</f>
        <v>0</v>
      </c>
      <c r="AD415">
        <f>IF(D415="",0,VLOOKUP(D415,'Dados de consulta'!$H$2:$I$25,2,0))</f>
        <v>0</v>
      </c>
      <c r="AE415">
        <f>IF(E415="",0,VLOOKUP(E415,'Dados de consulta'!$H$2:$I$25,2,0))</f>
        <v>0</v>
      </c>
      <c r="AF415">
        <f>IF(F415="",0,VLOOKUP(F415,'Dados de consulta'!$H$2:$I$25,2,0))</f>
        <v>0</v>
      </c>
      <c r="AG415">
        <f>IF(G415="",0,VLOOKUP(G415,'Dados de consulta'!$H$2:$I$25,2,0))</f>
        <v>0</v>
      </c>
      <c r="AH415">
        <f>IF(H415="",0,VLOOKUP(H415,'Dados de consulta'!$H$2:$I$25,2,0))</f>
        <v>0</v>
      </c>
      <c r="AI415">
        <f>IF(I415="",0,VLOOKUP(I415,'Dados de consulta'!$H$2:$I$25,2,0))</f>
        <v>0</v>
      </c>
      <c r="AJ415">
        <f>IF(J415="",0,VLOOKUP(J415,'Dados de consulta'!$H$2:$I$25,2,0))</f>
        <v>0</v>
      </c>
      <c r="AK415">
        <f>IF(K415="",0,VLOOKUP(K415,'Dados de consulta'!$H$2:$I$25,2,0))</f>
        <v>0</v>
      </c>
      <c r="AL415">
        <f>IF(L415="",0,VLOOKUP(L415,'Dados de consulta'!$H$2:$I$25,2,0))</f>
        <v>0</v>
      </c>
      <c r="AM415">
        <f>IF(M415="",0,VLOOKUP(M415,'Dados de consulta'!$H$2:$I$25,2,0))</f>
        <v>0</v>
      </c>
      <c r="AN415">
        <f>IF(N415="",0,VLOOKUP(N415,'Dados de consulta'!$H$2:$I$25,2,0))</f>
        <v>0</v>
      </c>
      <c r="AO415">
        <f>IF(O415="",0,VLOOKUP(O415,'Dados de consulta'!$H$2:$I$25,2,0))</f>
        <v>0</v>
      </c>
      <c r="AP415">
        <f>IF(P415="",0,VLOOKUP(P415,'Dados de consulta'!$H$2:$I$25,2,0))</f>
        <v>0</v>
      </c>
      <c r="AQ415">
        <f>IF(Q415="",0,VLOOKUP(Q415,'Dados de consulta'!$H$2:$I$25,2,0))</f>
        <v>0</v>
      </c>
      <c r="AR415">
        <f>IF(R415="",0,VLOOKUP(R415,'Dados de consulta'!$H$2:$I$25,2,0))</f>
        <v>0</v>
      </c>
      <c r="AS415">
        <f>IF(S415="",0,VLOOKUP(S415,'Dados de consulta'!$H$2:$I$25,2,0))</f>
        <v>0</v>
      </c>
      <c r="AT415">
        <f>IF(T415="",0,VLOOKUP(T415,'Dados de consulta'!$H$2:$I$25,2,0))</f>
        <v>0</v>
      </c>
      <c r="AU415">
        <f>IF(U415="",0,VLOOKUP(U415,'Dados de consulta'!$H$2:$I$25,2,0))</f>
        <v>0</v>
      </c>
      <c r="AV415">
        <f>IF(V415="",0,VLOOKUP(V415,'Dados de consulta'!$H$2:$I$25,2,0))</f>
        <v>0</v>
      </c>
      <c r="AW415">
        <f t="shared" si="41"/>
        <v>0</v>
      </c>
      <c r="AX415">
        <f t="shared" si="42"/>
        <v>0</v>
      </c>
      <c r="AY415">
        <f t="shared" si="43"/>
        <v>0</v>
      </c>
    </row>
    <row r="416" spans="1:51" hidden="1" x14ac:dyDescent="0.2">
      <c r="A416" s="202">
        <v>42673</v>
      </c>
      <c r="B416" s="78" t="s">
        <v>282</v>
      </c>
      <c r="AA416" s="202">
        <v>42673</v>
      </c>
      <c r="AB416" s="78" t="s">
        <v>282</v>
      </c>
      <c r="AC416">
        <f>IF(C416="",0,VLOOKUP(C416,'Dados de consulta'!$H$2:$I$25,2,0))</f>
        <v>0</v>
      </c>
      <c r="AD416">
        <f>IF(D416="",0,VLOOKUP(D416,'Dados de consulta'!$H$2:$I$25,2,0))</f>
        <v>0</v>
      </c>
      <c r="AE416">
        <f>IF(E416="",0,VLOOKUP(E416,'Dados de consulta'!$H$2:$I$25,2,0))</f>
        <v>0</v>
      </c>
      <c r="AF416">
        <f>IF(F416="",0,VLOOKUP(F416,'Dados de consulta'!$H$2:$I$25,2,0))</f>
        <v>0</v>
      </c>
      <c r="AG416">
        <f>IF(G416="",0,VLOOKUP(G416,'Dados de consulta'!$H$2:$I$25,2,0))</f>
        <v>0</v>
      </c>
      <c r="AH416">
        <f>IF(H416="",0,VLOOKUP(H416,'Dados de consulta'!$H$2:$I$25,2,0))</f>
        <v>0</v>
      </c>
      <c r="AI416">
        <f>IF(I416="",0,VLOOKUP(I416,'Dados de consulta'!$H$2:$I$25,2,0))</f>
        <v>0</v>
      </c>
      <c r="AJ416">
        <f>IF(J416="",0,VLOOKUP(J416,'Dados de consulta'!$H$2:$I$25,2,0))</f>
        <v>0</v>
      </c>
      <c r="AK416">
        <f>IF(K416="",0,VLOOKUP(K416,'Dados de consulta'!$H$2:$I$25,2,0))</f>
        <v>0</v>
      </c>
      <c r="AL416">
        <f>IF(L416="",0,VLOOKUP(L416,'Dados de consulta'!$H$2:$I$25,2,0))</f>
        <v>0</v>
      </c>
      <c r="AM416">
        <f>IF(M416="",0,VLOOKUP(M416,'Dados de consulta'!$H$2:$I$25,2,0))</f>
        <v>0</v>
      </c>
      <c r="AN416">
        <f>IF(N416="",0,VLOOKUP(N416,'Dados de consulta'!$H$2:$I$25,2,0))</f>
        <v>0</v>
      </c>
      <c r="AO416">
        <f>IF(O416="",0,VLOOKUP(O416,'Dados de consulta'!$H$2:$I$25,2,0))</f>
        <v>0</v>
      </c>
      <c r="AP416">
        <f>IF(P416="",0,VLOOKUP(P416,'Dados de consulta'!$H$2:$I$25,2,0))</f>
        <v>0</v>
      </c>
      <c r="AQ416">
        <f>IF(Q416="",0,VLOOKUP(Q416,'Dados de consulta'!$H$2:$I$25,2,0))</f>
        <v>0</v>
      </c>
      <c r="AR416">
        <f>IF(R416="",0,VLOOKUP(R416,'Dados de consulta'!$H$2:$I$25,2,0))</f>
        <v>0</v>
      </c>
      <c r="AS416">
        <f>IF(S416="",0,VLOOKUP(S416,'Dados de consulta'!$H$2:$I$25,2,0))</f>
        <v>0</v>
      </c>
      <c r="AT416">
        <f>IF(T416="",0,VLOOKUP(T416,'Dados de consulta'!$H$2:$I$25,2,0))</f>
        <v>0</v>
      </c>
      <c r="AU416">
        <f>IF(U416="",0,VLOOKUP(U416,'Dados de consulta'!$H$2:$I$25,2,0))</f>
        <v>0</v>
      </c>
      <c r="AV416">
        <f>IF(V416="",0,VLOOKUP(V416,'Dados de consulta'!$H$2:$I$25,2,0))</f>
        <v>0</v>
      </c>
      <c r="AW416">
        <f t="shared" si="41"/>
        <v>0</v>
      </c>
      <c r="AX416">
        <f t="shared" si="42"/>
        <v>0</v>
      </c>
      <c r="AY416">
        <f t="shared" si="43"/>
        <v>0</v>
      </c>
    </row>
    <row r="417" spans="1:51" hidden="1" x14ac:dyDescent="0.2">
      <c r="A417" s="202">
        <v>42674</v>
      </c>
      <c r="B417" s="78" t="s">
        <v>283</v>
      </c>
      <c r="AA417" s="202">
        <v>42674</v>
      </c>
      <c r="AB417" s="78" t="s">
        <v>283</v>
      </c>
      <c r="AC417">
        <f>IF(C417="",0,VLOOKUP(C417,'Dados de consulta'!$H$2:$I$25,2,0))</f>
        <v>0</v>
      </c>
      <c r="AD417">
        <f>IF(D417="",0,VLOOKUP(D417,'Dados de consulta'!$H$2:$I$25,2,0))</f>
        <v>0</v>
      </c>
      <c r="AE417">
        <f>IF(E417="",0,VLOOKUP(E417,'Dados de consulta'!$H$2:$I$25,2,0))</f>
        <v>0</v>
      </c>
      <c r="AF417">
        <f>IF(F417="",0,VLOOKUP(F417,'Dados de consulta'!$H$2:$I$25,2,0))</f>
        <v>0</v>
      </c>
      <c r="AG417">
        <f>IF(G417="",0,VLOOKUP(G417,'Dados de consulta'!$H$2:$I$25,2,0))</f>
        <v>0</v>
      </c>
      <c r="AH417">
        <f>IF(H417="",0,VLOOKUP(H417,'Dados de consulta'!$H$2:$I$25,2,0))</f>
        <v>0</v>
      </c>
      <c r="AI417">
        <f>IF(I417="",0,VLOOKUP(I417,'Dados de consulta'!$H$2:$I$25,2,0))</f>
        <v>0</v>
      </c>
      <c r="AJ417">
        <f>IF(J417="",0,VLOOKUP(J417,'Dados de consulta'!$H$2:$I$25,2,0))</f>
        <v>0</v>
      </c>
      <c r="AK417">
        <f>IF(K417="",0,VLOOKUP(K417,'Dados de consulta'!$H$2:$I$25,2,0))</f>
        <v>0</v>
      </c>
      <c r="AL417">
        <f>IF(L417="",0,VLOOKUP(L417,'Dados de consulta'!$H$2:$I$25,2,0))</f>
        <v>0</v>
      </c>
      <c r="AM417">
        <f>IF(M417="",0,VLOOKUP(M417,'Dados de consulta'!$H$2:$I$25,2,0))</f>
        <v>0</v>
      </c>
      <c r="AN417">
        <f>IF(N417="",0,VLOOKUP(N417,'Dados de consulta'!$H$2:$I$25,2,0))</f>
        <v>0</v>
      </c>
      <c r="AO417">
        <f>IF(O417="",0,VLOOKUP(O417,'Dados de consulta'!$H$2:$I$25,2,0))</f>
        <v>0</v>
      </c>
      <c r="AP417">
        <f>IF(P417="",0,VLOOKUP(P417,'Dados de consulta'!$H$2:$I$25,2,0))</f>
        <v>0</v>
      </c>
      <c r="AQ417">
        <f>IF(Q417="",0,VLOOKUP(Q417,'Dados de consulta'!$H$2:$I$25,2,0))</f>
        <v>0</v>
      </c>
      <c r="AR417">
        <f>IF(R417="",0,VLOOKUP(R417,'Dados de consulta'!$H$2:$I$25,2,0))</f>
        <v>0</v>
      </c>
      <c r="AS417">
        <f>IF(S417="",0,VLOOKUP(S417,'Dados de consulta'!$H$2:$I$25,2,0))</f>
        <v>0</v>
      </c>
      <c r="AT417">
        <f>IF(T417="",0,VLOOKUP(T417,'Dados de consulta'!$H$2:$I$25,2,0))</f>
        <v>0</v>
      </c>
      <c r="AU417">
        <f>IF(U417="",0,VLOOKUP(U417,'Dados de consulta'!$H$2:$I$25,2,0))</f>
        <v>0</v>
      </c>
      <c r="AV417">
        <f>IF(V417="",0,VLOOKUP(V417,'Dados de consulta'!$H$2:$I$25,2,0))</f>
        <v>0</v>
      </c>
      <c r="AW417">
        <f t="shared" si="41"/>
        <v>0</v>
      </c>
      <c r="AX417">
        <f t="shared" si="42"/>
        <v>0</v>
      </c>
      <c r="AY417">
        <f t="shared" si="43"/>
        <v>0</v>
      </c>
    </row>
    <row r="418" spans="1:51" hidden="1" x14ac:dyDescent="0.2">
      <c r="A418" s="202">
        <v>42675</v>
      </c>
      <c r="B418" s="78" t="s">
        <v>284</v>
      </c>
      <c r="AA418" s="202">
        <v>42675</v>
      </c>
      <c r="AB418" s="78" t="s">
        <v>284</v>
      </c>
      <c r="AC418">
        <f>IF(C418="",0,VLOOKUP(C418,'Dados de consulta'!$H$2:$I$25,2,0))</f>
        <v>0</v>
      </c>
      <c r="AD418">
        <f>IF(D418="",0,VLOOKUP(D418,'Dados de consulta'!$H$2:$I$25,2,0))</f>
        <v>0</v>
      </c>
      <c r="AE418">
        <f>IF(E418="",0,VLOOKUP(E418,'Dados de consulta'!$H$2:$I$25,2,0))</f>
        <v>0</v>
      </c>
      <c r="AF418">
        <f>IF(F418="",0,VLOOKUP(F418,'Dados de consulta'!$H$2:$I$25,2,0))</f>
        <v>0</v>
      </c>
      <c r="AG418">
        <f>IF(G418="",0,VLOOKUP(G418,'Dados de consulta'!$H$2:$I$25,2,0))</f>
        <v>0</v>
      </c>
      <c r="AH418">
        <f>IF(H418="",0,VLOOKUP(H418,'Dados de consulta'!$H$2:$I$25,2,0))</f>
        <v>0</v>
      </c>
      <c r="AI418">
        <f>IF(I418="",0,VLOOKUP(I418,'Dados de consulta'!$H$2:$I$25,2,0))</f>
        <v>0</v>
      </c>
      <c r="AJ418">
        <f>IF(J418="",0,VLOOKUP(J418,'Dados de consulta'!$H$2:$I$25,2,0))</f>
        <v>0</v>
      </c>
      <c r="AK418">
        <f>IF(K418="",0,VLOOKUP(K418,'Dados de consulta'!$H$2:$I$25,2,0))</f>
        <v>0</v>
      </c>
      <c r="AL418">
        <f>IF(L418="",0,VLOOKUP(L418,'Dados de consulta'!$H$2:$I$25,2,0))</f>
        <v>0</v>
      </c>
      <c r="AM418">
        <f>IF(M418="",0,VLOOKUP(M418,'Dados de consulta'!$H$2:$I$25,2,0))</f>
        <v>0</v>
      </c>
      <c r="AN418">
        <f>IF(N418="",0,VLOOKUP(N418,'Dados de consulta'!$H$2:$I$25,2,0))</f>
        <v>0</v>
      </c>
      <c r="AO418">
        <f>IF(O418="",0,VLOOKUP(O418,'Dados de consulta'!$H$2:$I$25,2,0))</f>
        <v>0</v>
      </c>
      <c r="AP418">
        <f>IF(P418="",0,VLOOKUP(P418,'Dados de consulta'!$H$2:$I$25,2,0))</f>
        <v>0</v>
      </c>
      <c r="AQ418">
        <f>IF(Q418="",0,VLOOKUP(Q418,'Dados de consulta'!$H$2:$I$25,2,0))</f>
        <v>0</v>
      </c>
      <c r="AR418">
        <f>IF(R418="",0,VLOOKUP(R418,'Dados de consulta'!$H$2:$I$25,2,0))</f>
        <v>0</v>
      </c>
      <c r="AS418">
        <f>IF(S418="",0,VLOOKUP(S418,'Dados de consulta'!$H$2:$I$25,2,0))</f>
        <v>0</v>
      </c>
      <c r="AT418">
        <f>IF(T418="",0,VLOOKUP(T418,'Dados de consulta'!$H$2:$I$25,2,0))</f>
        <v>0</v>
      </c>
      <c r="AU418">
        <f>IF(U418="",0,VLOOKUP(U418,'Dados de consulta'!$H$2:$I$25,2,0))</f>
        <v>0</v>
      </c>
      <c r="AV418">
        <f>IF(V418="",0,VLOOKUP(V418,'Dados de consulta'!$H$2:$I$25,2,0))</f>
        <v>0</v>
      </c>
      <c r="AW418">
        <f t="shared" si="41"/>
        <v>0</v>
      </c>
      <c r="AX418">
        <f t="shared" si="42"/>
        <v>0</v>
      </c>
      <c r="AY418">
        <f t="shared" si="43"/>
        <v>0</v>
      </c>
    </row>
    <row r="419" spans="1:51" hidden="1" x14ac:dyDescent="0.2">
      <c r="A419" s="202">
        <v>42676</v>
      </c>
      <c r="B419" s="78" t="s">
        <v>285</v>
      </c>
      <c r="AA419" s="202">
        <v>42676</v>
      </c>
      <c r="AB419" s="78" t="s">
        <v>285</v>
      </c>
      <c r="AC419">
        <f>IF(C419="",0,VLOOKUP(C419,'Dados de consulta'!$H$2:$I$25,2,0))</f>
        <v>0</v>
      </c>
      <c r="AD419">
        <f>IF(D419="",0,VLOOKUP(D419,'Dados de consulta'!$H$2:$I$25,2,0))</f>
        <v>0</v>
      </c>
      <c r="AE419">
        <f>IF(E419="",0,VLOOKUP(E419,'Dados de consulta'!$H$2:$I$25,2,0))</f>
        <v>0</v>
      </c>
      <c r="AF419">
        <f>IF(F419="",0,VLOOKUP(F419,'Dados de consulta'!$H$2:$I$25,2,0))</f>
        <v>0</v>
      </c>
      <c r="AG419">
        <f>IF(G419="",0,VLOOKUP(G419,'Dados de consulta'!$H$2:$I$25,2,0))</f>
        <v>0</v>
      </c>
      <c r="AH419">
        <f>IF(H419="",0,VLOOKUP(H419,'Dados de consulta'!$H$2:$I$25,2,0))</f>
        <v>0</v>
      </c>
      <c r="AI419">
        <f>IF(I419="",0,VLOOKUP(I419,'Dados de consulta'!$H$2:$I$25,2,0))</f>
        <v>0</v>
      </c>
      <c r="AJ419">
        <f>IF(J419="",0,VLOOKUP(J419,'Dados de consulta'!$H$2:$I$25,2,0))</f>
        <v>0</v>
      </c>
      <c r="AK419">
        <f>IF(K419="",0,VLOOKUP(K419,'Dados de consulta'!$H$2:$I$25,2,0))</f>
        <v>0</v>
      </c>
      <c r="AL419">
        <f>IF(L419="",0,VLOOKUP(L419,'Dados de consulta'!$H$2:$I$25,2,0))</f>
        <v>0</v>
      </c>
      <c r="AM419">
        <f>IF(M419="",0,VLOOKUP(M419,'Dados de consulta'!$H$2:$I$25,2,0))</f>
        <v>0</v>
      </c>
      <c r="AN419">
        <f>IF(N419="",0,VLOOKUP(N419,'Dados de consulta'!$H$2:$I$25,2,0))</f>
        <v>0</v>
      </c>
      <c r="AO419">
        <f>IF(O419="",0,VLOOKUP(O419,'Dados de consulta'!$H$2:$I$25,2,0))</f>
        <v>0</v>
      </c>
      <c r="AP419">
        <f>IF(P419="",0,VLOOKUP(P419,'Dados de consulta'!$H$2:$I$25,2,0))</f>
        <v>0</v>
      </c>
      <c r="AQ419">
        <f>IF(Q419="",0,VLOOKUP(Q419,'Dados de consulta'!$H$2:$I$25,2,0))</f>
        <v>0</v>
      </c>
      <c r="AR419">
        <f>IF(R419="",0,VLOOKUP(R419,'Dados de consulta'!$H$2:$I$25,2,0))</f>
        <v>0</v>
      </c>
      <c r="AS419">
        <f>IF(S419="",0,VLOOKUP(S419,'Dados de consulta'!$H$2:$I$25,2,0))</f>
        <v>0</v>
      </c>
      <c r="AT419">
        <f>IF(T419="",0,VLOOKUP(T419,'Dados de consulta'!$H$2:$I$25,2,0))</f>
        <v>0</v>
      </c>
      <c r="AU419">
        <f>IF(U419="",0,VLOOKUP(U419,'Dados de consulta'!$H$2:$I$25,2,0))</f>
        <v>0</v>
      </c>
      <c r="AV419">
        <f>IF(V419="",0,VLOOKUP(V419,'Dados de consulta'!$H$2:$I$25,2,0))</f>
        <v>0</v>
      </c>
      <c r="AW419">
        <f t="shared" si="41"/>
        <v>0</v>
      </c>
      <c r="AX419">
        <f t="shared" si="42"/>
        <v>0</v>
      </c>
      <c r="AY419">
        <f t="shared" si="43"/>
        <v>0</v>
      </c>
    </row>
    <row r="420" spans="1:51" hidden="1" x14ac:dyDescent="0.2">
      <c r="A420" s="202">
        <v>42677</v>
      </c>
      <c r="B420" s="78" t="s">
        <v>286</v>
      </c>
      <c r="AA420" s="202">
        <v>42677</v>
      </c>
      <c r="AB420" s="78" t="s">
        <v>286</v>
      </c>
      <c r="AC420">
        <f>IF(C420="",0,VLOOKUP(C420,'Dados de consulta'!$H$2:$I$25,2,0))</f>
        <v>0</v>
      </c>
      <c r="AD420">
        <f>IF(D420="",0,VLOOKUP(D420,'Dados de consulta'!$H$2:$I$25,2,0))</f>
        <v>0</v>
      </c>
      <c r="AE420">
        <f>IF(E420="",0,VLOOKUP(E420,'Dados de consulta'!$H$2:$I$25,2,0))</f>
        <v>0</v>
      </c>
      <c r="AF420">
        <f>IF(F420="",0,VLOOKUP(F420,'Dados de consulta'!$H$2:$I$25,2,0))</f>
        <v>0</v>
      </c>
      <c r="AG420">
        <f>IF(G420="",0,VLOOKUP(G420,'Dados de consulta'!$H$2:$I$25,2,0))</f>
        <v>0</v>
      </c>
      <c r="AH420">
        <f>IF(H420="",0,VLOOKUP(H420,'Dados de consulta'!$H$2:$I$25,2,0))</f>
        <v>0</v>
      </c>
      <c r="AI420">
        <f>IF(I420="",0,VLOOKUP(I420,'Dados de consulta'!$H$2:$I$25,2,0))</f>
        <v>0</v>
      </c>
      <c r="AJ420">
        <f>IF(J420="",0,VLOOKUP(J420,'Dados de consulta'!$H$2:$I$25,2,0))</f>
        <v>0</v>
      </c>
      <c r="AK420">
        <f>IF(K420="",0,VLOOKUP(K420,'Dados de consulta'!$H$2:$I$25,2,0))</f>
        <v>0</v>
      </c>
      <c r="AL420">
        <f>IF(L420="",0,VLOOKUP(L420,'Dados de consulta'!$H$2:$I$25,2,0))</f>
        <v>0</v>
      </c>
      <c r="AM420">
        <f>IF(M420="",0,VLOOKUP(M420,'Dados de consulta'!$H$2:$I$25,2,0))</f>
        <v>0</v>
      </c>
      <c r="AN420">
        <f>IF(N420="",0,VLOOKUP(N420,'Dados de consulta'!$H$2:$I$25,2,0))</f>
        <v>0</v>
      </c>
      <c r="AO420">
        <f>IF(O420="",0,VLOOKUP(O420,'Dados de consulta'!$H$2:$I$25,2,0))</f>
        <v>0</v>
      </c>
      <c r="AP420">
        <f>IF(P420="",0,VLOOKUP(P420,'Dados de consulta'!$H$2:$I$25,2,0))</f>
        <v>0</v>
      </c>
      <c r="AQ420">
        <f>IF(Q420="",0,VLOOKUP(Q420,'Dados de consulta'!$H$2:$I$25,2,0))</f>
        <v>0</v>
      </c>
      <c r="AR420">
        <f>IF(R420="",0,VLOOKUP(R420,'Dados de consulta'!$H$2:$I$25,2,0))</f>
        <v>0</v>
      </c>
      <c r="AS420">
        <f>IF(S420="",0,VLOOKUP(S420,'Dados de consulta'!$H$2:$I$25,2,0))</f>
        <v>0</v>
      </c>
      <c r="AT420">
        <f>IF(T420="",0,VLOOKUP(T420,'Dados de consulta'!$H$2:$I$25,2,0))</f>
        <v>0</v>
      </c>
      <c r="AU420">
        <f>IF(U420="",0,VLOOKUP(U420,'Dados de consulta'!$H$2:$I$25,2,0))</f>
        <v>0</v>
      </c>
      <c r="AV420">
        <f>IF(V420="",0,VLOOKUP(V420,'Dados de consulta'!$H$2:$I$25,2,0))</f>
        <v>0</v>
      </c>
      <c r="AW420">
        <f t="shared" si="41"/>
        <v>0</v>
      </c>
      <c r="AX420">
        <f t="shared" si="42"/>
        <v>0</v>
      </c>
      <c r="AY420">
        <f t="shared" si="43"/>
        <v>0</v>
      </c>
    </row>
    <row r="421" spans="1:51" hidden="1" x14ac:dyDescent="0.2">
      <c r="A421" s="202">
        <v>42678</v>
      </c>
      <c r="B421" s="78" t="s">
        <v>287</v>
      </c>
      <c r="AA421" s="202">
        <v>42678</v>
      </c>
      <c r="AB421" s="78" t="s">
        <v>287</v>
      </c>
      <c r="AC421">
        <f>IF(C421="",0,VLOOKUP(C421,'Dados de consulta'!$H$2:$I$25,2,0))</f>
        <v>0</v>
      </c>
      <c r="AD421">
        <f>IF(D421="",0,VLOOKUP(D421,'Dados de consulta'!$H$2:$I$25,2,0))</f>
        <v>0</v>
      </c>
      <c r="AE421">
        <f>IF(E421="",0,VLOOKUP(E421,'Dados de consulta'!$H$2:$I$25,2,0))</f>
        <v>0</v>
      </c>
      <c r="AF421">
        <f>IF(F421="",0,VLOOKUP(F421,'Dados de consulta'!$H$2:$I$25,2,0))</f>
        <v>0</v>
      </c>
      <c r="AG421">
        <f>IF(G421="",0,VLOOKUP(G421,'Dados de consulta'!$H$2:$I$25,2,0))</f>
        <v>0</v>
      </c>
      <c r="AH421">
        <f>IF(H421="",0,VLOOKUP(H421,'Dados de consulta'!$H$2:$I$25,2,0))</f>
        <v>0</v>
      </c>
      <c r="AI421">
        <f>IF(I421="",0,VLOOKUP(I421,'Dados de consulta'!$H$2:$I$25,2,0))</f>
        <v>0</v>
      </c>
      <c r="AJ421">
        <f>IF(J421="",0,VLOOKUP(J421,'Dados de consulta'!$H$2:$I$25,2,0))</f>
        <v>0</v>
      </c>
      <c r="AK421">
        <f>IF(K421="",0,VLOOKUP(K421,'Dados de consulta'!$H$2:$I$25,2,0))</f>
        <v>0</v>
      </c>
      <c r="AL421">
        <f>IF(L421="",0,VLOOKUP(L421,'Dados de consulta'!$H$2:$I$25,2,0))</f>
        <v>0</v>
      </c>
      <c r="AM421">
        <f>IF(M421="",0,VLOOKUP(M421,'Dados de consulta'!$H$2:$I$25,2,0))</f>
        <v>0</v>
      </c>
      <c r="AN421">
        <f>IF(N421="",0,VLOOKUP(N421,'Dados de consulta'!$H$2:$I$25,2,0))</f>
        <v>0</v>
      </c>
      <c r="AO421">
        <f>IF(O421="",0,VLOOKUP(O421,'Dados de consulta'!$H$2:$I$25,2,0))</f>
        <v>0</v>
      </c>
      <c r="AP421">
        <f>IF(P421="",0,VLOOKUP(P421,'Dados de consulta'!$H$2:$I$25,2,0))</f>
        <v>0</v>
      </c>
      <c r="AQ421">
        <f>IF(Q421="",0,VLOOKUP(Q421,'Dados de consulta'!$H$2:$I$25,2,0))</f>
        <v>0</v>
      </c>
      <c r="AR421">
        <f>IF(R421="",0,VLOOKUP(R421,'Dados de consulta'!$H$2:$I$25,2,0))</f>
        <v>0</v>
      </c>
      <c r="AS421">
        <f>IF(S421="",0,VLOOKUP(S421,'Dados de consulta'!$H$2:$I$25,2,0))</f>
        <v>0</v>
      </c>
      <c r="AT421">
        <f>IF(T421="",0,VLOOKUP(T421,'Dados de consulta'!$H$2:$I$25,2,0))</f>
        <v>0</v>
      </c>
      <c r="AU421">
        <f>IF(U421="",0,VLOOKUP(U421,'Dados de consulta'!$H$2:$I$25,2,0))</f>
        <v>0</v>
      </c>
      <c r="AV421">
        <f>IF(V421="",0,VLOOKUP(V421,'Dados de consulta'!$H$2:$I$25,2,0))</f>
        <v>0</v>
      </c>
      <c r="AW421">
        <f t="shared" si="41"/>
        <v>0</v>
      </c>
      <c r="AX421">
        <f t="shared" si="42"/>
        <v>0</v>
      </c>
      <c r="AY421">
        <f t="shared" si="43"/>
        <v>0</v>
      </c>
    </row>
    <row r="422" spans="1:51" hidden="1" x14ac:dyDescent="0.2">
      <c r="A422" s="202">
        <v>42679</v>
      </c>
      <c r="B422" s="78" t="s">
        <v>281</v>
      </c>
      <c r="AA422" s="202">
        <v>42679</v>
      </c>
      <c r="AB422" s="78" t="s">
        <v>281</v>
      </c>
      <c r="AC422">
        <f>IF(C422="",0,VLOOKUP(C422,'Dados de consulta'!$H$2:$I$25,2,0))</f>
        <v>0</v>
      </c>
      <c r="AD422">
        <f>IF(D422="",0,VLOOKUP(D422,'Dados de consulta'!$H$2:$I$25,2,0))</f>
        <v>0</v>
      </c>
      <c r="AE422">
        <f>IF(E422="",0,VLOOKUP(E422,'Dados de consulta'!$H$2:$I$25,2,0))</f>
        <v>0</v>
      </c>
      <c r="AF422">
        <f>IF(F422="",0,VLOOKUP(F422,'Dados de consulta'!$H$2:$I$25,2,0))</f>
        <v>0</v>
      </c>
      <c r="AG422">
        <f>IF(G422="",0,VLOOKUP(G422,'Dados de consulta'!$H$2:$I$25,2,0))</f>
        <v>0</v>
      </c>
      <c r="AH422">
        <f>IF(H422="",0,VLOOKUP(H422,'Dados de consulta'!$H$2:$I$25,2,0))</f>
        <v>0</v>
      </c>
      <c r="AI422">
        <f>IF(I422="",0,VLOOKUP(I422,'Dados de consulta'!$H$2:$I$25,2,0))</f>
        <v>0</v>
      </c>
      <c r="AJ422">
        <f>IF(J422="",0,VLOOKUP(J422,'Dados de consulta'!$H$2:$I$25,2,0))</f>
        <v>0</v>
      </c>
      <c r="AK422">
        <f>IF(K422="",0,VLOOKUP(K422,'Dados de consulta'!$H$2:$I$25,2,0))</f>
        <v>0</v>
      </c>
      <c r="AL422">
        <f>IF(L422="",0,VLOOKUP(L422,'Dados de consulta'!$H$2:$I$25,2,0))</f>
        <v>0</v>
      </c>
      <c r="AM422">
        <f>IF(M422="",0,VLOOKUP(M422,'Dados de consulta'!$H$2:$I$25,2,0))</f>
        <v>0</v>
      </c>
      <c r="AN422">
        <f>IF(N422="",0,VLOOKUP(N422,'Dados de consulta'!$H$2:$I$25,2,0))</f>
        <v>0</v>
      </c>
      <c r="AO422">
        <f>IF(O422="",0,VLOOKUP(O422,'Dados de consulta'!$H$2:$I$25,2,0))</f>
        <v>0</v>
      </c>
      <c r="AP422">
        <f>IF(P422="",0,VLOOKUP(P422,'Dados de consulta'!$H$2:$I$25,2,0))</f>
        <v>0</v>
      </c>
      <c r="AQ422">
        <f>IF(Q422="",0,VLOOKUP(Q422,'Dados de consulta'!$H$2:$I$25,2,0))</f>
        <v>0</v>
      </c>
      <c r="AR422">
        <f>IF(R422="",0,VLOOKUP(R422,'Dados de consulta'!$H$2:$I$25,2,0))</f>
        <v>0</v>
      </c>
      <c r="AS422">
        <f>IF(S422="",0,VLOOKUP(S422,'Dados de consulta'!$H$2:$I$25,2,0))</f>
        <v>0</v>
      </c>
      <c r="AT422">
        <f>IF(T422="",0,VLOOKUP(T422,'Dados de consulta'!$H$2:$I$25,2,0))</f>
        <v>0</v>
      </c>
      <c r="AU422">
        <f>IF(U422="",0,VLOOKUP(U422,'Dados de consulta'!$H$2:$I$25,2,0))</f>
        <v>0</v>
      </c>
      <c r="AV422">
        <f>IF(V422="",0,VLOOKUP(V422,'Dados de consulta'!$H$2:$I$25,2,0))</f>
        <v>0</v>
      </c>
      <c r="AW422">
        <f t="shared" si="41"/>
        <v>0</v>
      </c>
      <c r="AX422">
        <f t="shared" si="42"/>
        <v>0</v>
      </c>
      <c r="AY422">
        <f t="shared" si="43"/>
        <v>0</v>
      </c>
    </row>
    <row r="423" spans="1:51" hidden="1" x14ac:dyDescent="0.2">
      <c r="A423" s="202">
        <v>42680</v>
      </c>
      <c r="B423" s="78" t="s">
        <v>282</v>
      </c>
      <c r="AA423" s="202">
        <v>42680</v>
      </c>
      <c r="AB423" s="78" t="s">
        <v>282</v>
      </c>
      <c r="AC423">
        <f>IF(C423="",0,VLOOKUP(C423,'Dados de consulta'!$H$2:$I$25,2,0))</f>
        <v>0</v>
      </c>
      <c r="AD423">
        <f>IF(D423="",0,VLOOKUP(D423,'Dados de consulta'!$H$2:$I$25,2,0))</f>
        <v>0</v>
      </c>
      <c r="AE423">
        <f>IF(E423="",0,VLOOKUP(E423,'Dados de consulta'!$H$2:$I$25,2,0))</f>
        <v>0</v>
      </c>
      <c r="AF423">
        <f>IF(F423="",0,VLOOKUP(F423,'Dados de consulta'!$H$2:$I$25,2,0))</f>
        <v>0</v>
      </c>
      <c r="AG423">
        <f>IF(G423="",0,VLOOKUP(G423,'Dados de consulta'!$H$2:$I$25,2,0))</f>
        <v>0</v>
      </c>
      <c r="AH423">
        <f>IF(H423="",0,VLOOKUP(H423,'Dados de consulta'!$H$2:$I$25,2,0))</f>
        <v>0</v>
      </c>
      <c r="AI423">
        <f>IF(I423="",0,VLOOKUP(I423,'Dados de consulta'!$H$2:$I$25,2,0))</f>
        <v>0</v>
      </c>
      <c r="AJ423">
        <f>IF(J423="",0,VLOOKUP(J423,'Dados de consulta'!$H$2:$I$25,2,0))</f>
        <v>0</v>
      </c>
      <c r="AK423">
        <f>IF(K423="",0,VLOOKUP(K423,'Dados de consulta'!$H$2:$I$25,2,0))</f>
        <v>0</v>
      </c>
      <c r="AL423">
        <f>IF(L423="",0,VLOOKUP(L423,'Dados de consulta'!$H$2:$I$25,2,0))</f>
        <v>0</v>
      </c>
      <c r="AM423">
        <f>IF(M423="",0,VLOOKUP(M423,'Dados de consulta'!$H$2:$I$25,2,0))</f>
        <v>0</v>
      </c>
      <c r="AN423">
        <f>IF(N423="",0,VLOOKUP(N423,'Dados de consulta'!$H$2:$I$25,2,0))</f>
        <v>0</v>
      </c>
      <c r="AO423">
        <f>IF(O423="",0,VLOOKUP(O423,'Dados de consulta'!$H$2:$I$25,2,0))</f>
        <v>0</v>
      </c>
      <c r="AP423">
        <f>IF(P423="",0,VLOOKUP(P423,'Dados de consulta'!$H$2:$I$25,2,0))</f>
        <v>0</v>
      </c>
      <c r="AQ423">
        <f>IF(Q423="",0,VLOOKUP(Q423,'Dados de consulta'!$H$2:$I$25,2,0))</f>
        <v>0</v>
      </c>
      <c r="AR423">
        <f>IF(R423="",0,VLOOKUP(R423,'Dados de consulta'!$H$2:$I$25,2,0))</f>
        <v>0</v>
      </c>
      <c r="AS423">
        <f>IF(S423="",0,VLOOKUP(S423,'Dados de consulta'!$H$2:$I$25,2,0))</f>
        <v>0</v>
      </c>
      <c r="AT423">
        <f>IF(T423="",0,VLOOKUP(T423,'Dados de consulta'!$H$2:$I$25,2,0))</f>
        <v>0</v>
      </c>
      <c r="AU423">
        <f>IF(U423="",0,VLOOKUP(U423,'Dados de consulta'!$H$2:$I$25,2,0))</f>
        <v>0</v>
      </c>
      <c r="AV423">
        <f>IF(V423="",0,VLOOKUP(V423,'Dados de consulta'!$H$2:$I$25,2,0))</f>
        <v>0</v>
      </c>
      <c r="AW423">
        <f t="shared" si="41"/>
        <v>0</v>
      </c>
      <c r="AX423">
        <f t="shared" si="42"/>
        <v>0</v>
      </c>
      <c r="AY423">
        <f t="shared" si="43"/>
        <v>0</v>
      </c>
    </row>
    <row r="424" spans="1:51" hidden="1" x14ac:dyDescent="0.2">
      <c r="A424" s="202">
        <v>42681</v>
      </c>
      <c r="B424" s="78" t="s">
        <v>283</v>
      </c>
      <c r="AA424" s="202">
        <v>42681</v>
      </c>
      <c r="AB424" s="78" t="s">
        <v>283</v>
      </c>
      <c r="AC424">
        <f>IF(C424="",0,VLOOKUP(C424,'Dados de consulta'!$H$2:$I$25,2,0))</f>
        <v>0</v>
      </c>
      <c r="AD424">
        <f>IF(D424="",0,VLOOKUP(D424,'Dados de consulta'!$H$2:$I$25,2,0))</f>
        <v>0</v>
      </c>
      <c r="AE424">
        <f>IF(E424="",0,VLOOKUP(E424,'Dados de consulta'!$H$2:$I$25,2,0))</f>
        <v>0</v>
      </c>
      <c r="AF424">
        <f>IF(F424="",0,VLOOKUP(F424,'Dados de consulta'!$H$2:$I$25,2,0))</f>
        <v>0</v>
      </c>
      <c r="AG424">
        <f>IF(G424="",0,VLOOKUP(G424,'Dados de consulta'!$H$2:$I$25,2,0))</f>
        <v>0</v>
      </c>
      <c r="AH424">
        <f>IF(H424="",0,VLOOKUP(H424,'Dados de consulta'!$H$2:$I$25,2,0))</f>
        <v>0</v>
      </c>
      <c r="AI424">
        <f>IF(I424="",0,VLOOKUP(I424,'Dados de consulta'!$H$2:$I$25,2,0))</f>
        <v>0</v>
      </c>
      <c r="AJ424">
        <f>IF(J424="",0,VLOOKUP(J424,'Dados de consulta'!$H$2:$I$25,2,0))</f>
        <v>0</v>
      </c>
      <c r="AK424">
        <f>IF(K424="",0,VLOOKUP(K424,'Dados de consulta'!$H$2:$I$25,2,0))</f>
        <v>0</v>
      </c>
      <c r="AL424">
        <f>IF(L424="",0,VLOOKUP(L424,'Dados de consulta'!$H$2:$I$25,2,0))</f>
        <v>0</v>
      </c>
      <c r="AM424">
        <f>IF(M424="",0,VLOOKUP(M424,'Dados de consulta'!$H$2:$I$25,2,0))</f>
        <v>0</v>
      </c>
      <c r="AN424">
        <f>IF(N424="",0,VLOOKUP(N424,'Dados de consulta'!$H$2:$I$25,2,0))</f>
        <v>0</v>
      </c>
      <c r="AO424">
        <f>IF(O424="",0,VLOOKUP(O424,'Dados de consulta'!$H$2:$I$25,2,0))</f>
        <v>0</v>
      </c>
      <c r="AP424">
        <f>IF(P424="",0,VLOOKUP(P424,'Dados de consulta'!$H$2:$I$25,2,0))</f>
        <v>0</v>
      </c>
      <c r="AQ424">
        <f>IF(Q424="",0,VLOOKUP(Q424,'Dados de consulta'!$H$2:$I$25,2,0))</f>
        <v>0</v>
      </c>
      <c r="AR424">
        <f>IF(R424="",0,VLOOKUP(R424,'Dados de consulta'!$H$2:$I$25,2,0))</f>
        <v>0</v>
      </c>
      <c r="AS424">
        <f>IF(S424="",0,VLOOKUP(S424,'Dados de consulta'!$H$2:$I$25,2,0))</f>
        <v>0</v>
      </c>
      <c r="AT424">
        <f>IF(T424="",0,VLOOKUP(T424,'Dados de consulta'!$H$2:$I$25,2,0))</f>
        <v>0</v>
      </c>
      <c r="AU424">
        <f>IF(U424="",0,VLOOKUP(U424,'Dados de consulta'!$H$2:$I$25,2,0))</f>
        <v>0</v>
      </c>
      <c r="AV424">
        <f>IF(V424="",0,VLOOKUP(V424,'Dados de consulta'!$H$2:$I$25,2,0))</f>
        <v>0</v>
      </c>
      <c r="AW424">
        <f t="shared" si="41"/>
        <v>0</v>
      </c>
      <c r="AX424">
        <f t="shared" si="42"/>
        <v>0</v>
      </c>
      <c r="AY424">
        <f t="shared" si="43"/>
        <v>0</v>
      </c>
    </row>
    <row r="425" spans="1:51" hidden="1" x14ac:dyDescent="0.2">
      <c r="A425" s="202">
        <v>42682</v>
      </c>
      <c r="B425" s="78" t="s">
        <v>284</v>
      </c>
      <c r="AA425" s="202">
        <v>42682</v>
      </c>
      <c r="AB425" s="78" t="s">
        <v>284</v>
      </c>
      <c r="AC425">
        <f>IF(C425="",0,VLOOKUP(C425,'Dados de consulta'!$H$2:$I$25,2,0))</f>
        <v>0</v>
      </c>
      <c r="AD425">
        <f>IF(D425="",0,VLOOKUP(D425,'Dados de consulta'!$H$2:$I$25,2,0))</f>
        <v>0</v>
      </c>
      <c r="AE425">
        <f>IF(E425="",0,VLOOKUP(E425,'Dados de consulta'!$H$2:$I$25,2,0))</f>
        <v>0</v>
      </c>
      <c r="AF425">
        <f>IF(F425="",0,VLOOKUP(F425,'Dados de consulta'!$H$2:$I$25,2,0))</f>
        <v>0</v>
      </c>
      <c r="AG425">
        <f>IF(G425="",0,VLOOKUP(G425,'Dados de consulta'!$H$2:$I$25,2,0))</f>
        <v>0</v>
      </c>
      <c r="AH425">
        <f>IF(H425="",0,VLOOKUP(H425,'Dados de consulta'!$H$2:$I$25,2,0))</f>
        <v>0</v>
      </c>
      <c r="AI425">
        <f>IF(I425="",0,VLOOKUP(I425,'Dados de consulta'!$H$2:$I$25,2,0))</f>
        <v>0</v>
      </c>
      <c r="AJ425">
        <f>IF(J425="",0,VLOOKUP(J425,'Dados de consulta'!$H$2:$I$25,2,0))</f>
        <v>0</v>
      </c>
      <c r="AK425">
        <f>IF(K425="",0,VLOOKUP(K425,'Dados de consulta'!$H$2:$I$25,2,0))</f>
        <v>0</v>
      </c>
      <c r="AL425">
        <f>IF(L425="",0,VLOOKUP(L425,'Dados de consulta'!$H$2:$I$25,2,0))</f>
        <v>0</v>
      </c>
      <c r="AM425">
        <f>IF(M425="",0,VLOOKUP(M425,'Dados de consulta'!$H$2:$I$25,2,0))</f>
        <v>0</v>
      </c>
      <c r="AN425">
        <f>IF(N425="",0,VLOOKUP(N425,'Dados de consulta'!$H$2:$I$25,2,0))</f>
        <v>0</v>
      </c>
      <c r="AO425">
        <f>IF(O425="",0,VLOOKUP(O425,'Dados de consulta'!$H$2:$I$25,2,0))</f>
        <v>0</v>
      </c>
      <c r="AP425">
        <f>IF(P425="",0,VLOOKUP(P425,'Dados de consulta'!$H$2:$I$25,2,0))</f>
        <v>0</v>
      </c>
      <c r="AQ425">
        <f>IF(Q425="",0,VLOOKUP(Q425,'Dados de consulta'!$H$2:$I$25,2,0))</f>
        <v>0</v>
      </c>
      <c r="AR425">
        <f>IF(R425="",0,VLOOKUP(R425,'Dados de consulta'!$H$2:$I$25,2,0))</f>
        <v>0</v>
      </c>
      <c r="AS425">
        <f>IF(S425="",0,VLOOKUP(S425,'Dados de consulta'!$H$2:$I$25,2,0))</f>
        <v>0</v>
      </c>
      <c r="AT425">
        <f>IF(T425="",0,VLOOKUP(T425,'Dados de consulta'!$H$2:$I$25,2,0))</f>
        <v>0</v>
      </c>
      <c r="AU425">
        <f>IF(U425="",0,VLOOKUP(U425,'Dados de consulta'!$H$2:$I$25,2,0))</f>
        <v>0</v>
      </c>
      <c r="AV425">
        <f>IF(V425="",0,VLOOKUP(V425,'Dados de consulta'!$H$2:$I$25,2,0))</f>
        <v>0</v>
      </c>
      <c r="AW425">
        <f t="shared" si="41"/>
        <v>0</v>
      </c>
      <c r="AX425">
        <f t="shared" si="42"/>
        <v>0</v>
      </c>
      <c r="AY425">
        <f t="shared" si="43"/>
        <v>0</v>
      </c>
    </row>
    <row r="426" spans="1:51" hidden="1" x14ac:dyDescent="0.2">
      <c r="A426" s="202">
        <v>42683</v>
      </c>
      <c r="B426" s="78" t="s">
        <v>285</v>
      </c>
      <c r="AA426" s="202">
        <v>42683</v>
      </c>
      <c r="AB426" s="78" t="s">
        <v>285</v>
      </c>
      <c r="AC426">
        <f>IF(C426="",0,VLOOKUP(C426,'Dados de consulta'!$H$2:$I$25,2,0))</f>
        <v>0</v>
      </c>
      <c r="AD426">
        <f>IF(D426="",0,VLOOKUP(D426,'Dados de consulta'!$H$2:$I$25,2,0))</f>
        <v>0</v>
      </c>
      <c r="AE426">
        <f>IF(E426="",0,VLOOKUP(E426,'Dados de consulta'!$H$2:$I$25,2,0))</f>
        <v>0</v>
      </c>
      <c r="AF426">
        <f>IF(F426="",0,VLOOKUP(F426,'Dados de consulta'!$H$2:$I$25,2,0))</f>
        <v>0</v>
      </c>
      <c r="AG426">
        <f>IF(G426="",0,VLOOKUP(G426,'Dados de consulta'!$H$2:$I$25,2,0))</f>
        <v>0</v>
      </c>
      <c r="AH426">
        <f>IF(H426="",0,VLOOKUP(H426,'Dados de consulta'!$H$2:$I$25,2,0))</f>
        <v>0</v>
      </c>
      <c r="AI426">
        <f>IF(I426="",0,VLOOKUP(I426,'Dados de consulta'!$H$2:$I$25,2,0))</f>
        <v>0</v>
      </c>
      <c r="AJ426">
        <f>IF(J426="",0,VLOOKUP(J426,'Dados de consulta'!$H$2:$I$25,2,0))</f>
        <v>0</v>
      </c>
      <c r="AK426">
        <f>IF(K426="",0,VLOOKUP(K426,'Dados de consulta'!$H$2:$I$25,2,0))</f>
        <v>0</v>
      </c>
      <c r="AL426">
        <f>IF(L426="",0,VLOOKUP(L426,'Dados de consulta'!$H$2:$I$25,2,0))</f>
        <v>0</v>
      </c>
      <c r="AM426">
        <f>IF(M426="",0,VLOOKUP(M426,'Dados de consulta'!$H$2:$I$25,2,0))</f>
        <v>0</v>
      </c>
      <c r="AN426">
        <f>IF(N426="",0,VLOOKUP(N426,'Dados de consulta'!$H$2:$I$25,2,0))</f>
        <v>0</v>
      </c>
      <c r="AO426">
        <f>IF(O426="",0,VLOOKUP(O426,'Dados de consulta'!$H$2:$I$25,2,0))</f>
        <v>0</v>
      </c>
      <c r="AP426">
        <f>IF(P426="",0,VLOOKUP(P426,'Dados de consulta'!$H$2:$I$25,2,0))</f>
        <v>0</v>
      </c>
      <c r="AQ426">
        <f>IF(Q426="",0,VLOOKUP(Q426,'Dados de consulta'!$H$2:$I$25,2,0))</f>
        <v>0</v>
      </c>
      <c r="AR426">
        <f>IF(R426="",0,VLOOKUP(R426,'Dados de consulta'!$H$2:$I$25,2,0))</f>
        <v>0</v>
      </c>
      <c r="AS426">
        <f>IF(S426="",0,VLOOKUP(S426,'Dados de consulta'!$H$2:$I$25,2,0))</f>
        <v>0</v>
      </c>
      <c r="AT426">
        <f>IF(T426="",0,VLOOKUP(T426,'Dados de consulta'!$H$2:$I$25,2,0))</f>
        <v>0</v>
      </c>
      <c r="AU426">
        <f>IF(U426="",0,VLOOKUP(U426,'Dados de consulta'!$H$2:$I$25,2,0))</f>
        <v>0</v>
      </c>
      <c r="AV426">
        <f>IF(V426="",0,VLOOKUP(V426,'Dados de consulta'!$H$2:$I$25,2,0))</f>
        <v>0</v>
      </c>
      <c r="AW426">
        <f t="shared" si="41"/>
        <v>0</v>
      </c>
      <c r="AX426">
        <f t="shared" si="42"/>
        <v>0</v>
      </c>
      <c r="AY426">
        <f t="shared" si="43"/>
        <v>0</v>
      </c>
    </row>
    <row r="427" spans="1:51" hidden="1" x14ac:dyDescent="0.2">
      <c r="A427" s="202">
        <v>42684</v>
      </c>
      <c r="B427" s="78" t="s">
        <v>286</v>
      </c>
      <c r="AA427" s="202">
        <v>42684</v>
      </c>
      <c r="AB427" s="78" t="s">
        <v>286</v>
      </c>
      <c r="AC427">
        <f>IF(C427="",0,VLOOKUP(C427,'Dados de consulta'!$H$2:$I$25,2,0))</f>
        <v>0</v>
      </c>
      <c r="AD427">
        <f>IF(D427="",0,VLOOKUP(D427,'Dados de consulta'!$H$2:$I$25,2,0))</f>
        <v>0</v>
      </c>
      <c r="AE427">
        <f>IF(E427="",0,VLOOKUP(E427,'Dados de consulta'!$H$2:$I$25,2,0))</f>
        <v>0</v>
      </c>
      <c r="AF427">
        <f>IF(F427="",0,VLOOKUP(F427,'Dados de consulta'!$H$2:$I$25,2,0))</f>
        <v>0</v>
      </c>
      <c r="AG427">
        <f>IF(G427="",0,VLOOKUP(G427,'Dados de consulta'!$H$2:$I$25,2,0))</f>
        <v>0</v>
      </c>
      <c r="AH427">
        <f>IF(H427="",0,VLOOKUP(H427,'Dados de consulta'!$H$2:$I$25,2,0))</f>
        <v>0</v>
      </c>
      <c r="AI427">
        <f>IF(I427="",0,VLOOKUP(I427,'Dados de consulta'!$H$2:$I$25,2,0))</f>
        <v>0</v>
      </c>
      <c r="AJ427">
        <f>IF(J427="",0,VLOOKUP(J427,'Dados de consulta'!$H$2:$I$25,2,0))</f>
        <v>0</v>
      </c>
      <c r="AK427">
        <f>IF(K427="",0,VLOOKUP(K427,'Dados de consulta'!$H$2:$I$25,2,0))</f>
        <v>0</v>
      </c>
      <c r="AL427">
        <f>IF(L427="",0,VLOOKUP(L427,'Dados de consulta'!$H$2:$I$25,2,0))</f>
        <v>0</v>
      </c>
      <c r="AM427">
        <f>IF(M427="",0,VLOOKUP(M427,'Dados de consulta'!$H$2:$I$25,2,0))</f>
        <v>0</v>
      </c>
      <c r="AN427">
        <f>IF(N427="",0,VLOOKUP(N427,'Dados de consulta'!$H$2:$I$25,2,0))</f>
        <v>0</v>
      </c>
      <c r="AO427">
        <f>IF(O427="",0,VLOOKUP(O427,'Dados de consulta'!$H$2:$I$25,2,0))</f>
        <v>0</v>
      </c>
      <c r="AP427">
        <f>IF(P427="",0,VLOOKUP(P427,'Dados de consulta'!$H$2:$I$25,2,0))</f>
        <v>0</v>
      </c>
      <c r="AQ427">
        <f>IF(Q427="",0,VLOOKUP(Q427,'Dados de consulta'!$H$2:$I$25,2,0))</f>
        <v>0</v>
      </c>
      <c r="AR427">
        <f>IF(R427="",0,VLOOKUP(R427,'Dados de consulta'!$H$2:$I$25,2,0))</f>
        <v>0</v>
      </c>
      <c r="AS427">
        <f>IF(S427="",0,VLOOKUP(S427,'Dados de consulta'!$H$2:$I$25,2,0))</f>
        <v>0</v>
      </c>
      <c r="AT427">
        <f>IF(T427="",0,VLOOKUP(T427,'Dados de consulta'!$H$2:$I$25,2,0))</f>
        <v>0</v>
      </c>
      <c r="AU427">
        <f>IF(U427="",0,VLOOKUP(U427,'Dados de consulta'!$H$2:$I$25,2,0))</f>
        <v>0</v>
      </c>
      <c r="AV427">
        <f>IF(V427="",0,VLOOKUP(V427,'Dados de consulta'!$H$2:$I$25,2,0))</f>
        <v>0</v>
      </c>
      <c r="AW427">
        <f t="shared" si="41"/>
        <v>0</v>
      </c>
      <c r="AX427">
        <f t="shared" si="42"/>
        <v>0</v>
      </c>
      <c r="AY427">
        <f t="shared" si="43"/>
        <v>0</v>
      </c>
    </row>
    <row r="428" spans="1:51" hidden="1" x14ac:dyDescent="0.2">
      <c r="A428" s="202">
        <v>42685</v>
      </c>
      <c r="B428" s="78" t="s">
        <v>287</v>
      </c>
      <c r="AA428" s="202">
        <v>42685</v>
      </c>
      <c r="AB428" s="78" t="s">
        <v>287</v>
      </c>
      <c r="AC428">
        <f>IF(C428="",0,VLOOKUP(C428,'Dados de consulta'!$H$2:$I$25,2,0))</f>
        <v>0</v>
      </c>
      <c r="AD428">
        <f>IF(D428="",0,VLOOKUP(D428,'Dados de consulta'!$H$2:$I$25,2,0))</f>
        <v>0</v>
      </c>
      <c r="AE428">
        <f>IF(E428="",0,VLOOKUP(E428,'Dados de consulta'!$H$2:$I$25,2,0))</f>
        <v>0</v>
      </c>
      <c r="AF428">
        <f>IF(F428="",0,VLOOKUP(F428,'Dados de consulta'!$H$2:$I$25,2,0))</f>
        <v>0</v>
      </c>
      <c r="AG428">
        <f>IF(G428="",0,VLOOKUP(G428,'Dados de consulta'!$H$2:$I$25,2,0))</f>
        <v>0</v>
      </c>
      <c r="AH428">
        <f>IF(H428="",0,VLOOKUP(H428,'Dados de consulta'!$H$2:$I$25,2,0))</f>
        <v>0</v>
      </c>
      <c r="AI428">
        <f>IF(I428="",0,VLOOKUP(I428,'Dados de consulta'!$H$2:$I$25,2,0))</f>
        <v>0</v>
      </c>
      <c r="AJ428">
        <f>IF(J428="",0,VLOOKUP(J428,'Dados de consulta'!$H$2:$I$25,2,0))</f>
        <v>0</v>
      </c>
      <c r="AK428">
        <f>IF(K428="",0,VLOOKUP(K428,'Dados de consulta'!$H$2:$I$25,2,0))</f>
        <v>0</v>
      </c>
      <c r="AL428">
        <f>IF(L428="",0,VLOOKUP(L428,'Dados de consulta'!$H$2:$I$25,2,0))</f>
        <v>0</v>
      </c>
      <c r="AM428">
        <f>IF(M428="",0,VLOOKUP(M428,'Dados de consulta'!$H$2:$I$25,2,0))</f>
        <v>0</v>
      </c>
      <c r="AN428">
        <f>IF(N428="",0,VLOOKUP(N428,'Dados de consulta'!$H$2:$I$25,2,0))</f>
        <v>0</v>
      </c>
      <c r="AO428">
        <f>IF(O428="",0,VLOOKUP(O428,'Dados de consulta'!$H$2:$I$25,2,0))</f>
        <v>0</v>
      </c>
      <c r="AP428">
        <f>IF(P428="",0,VLOOKUP(P428,'Dados de consulta'!$H$2:$I$25,2,0))</f>
        <v>0</v>
      </c>
      <c r="AQ428">
        <f>IF(Q428="",0,VLOOKUP(Q428,'Dados de consulta'!$H$2:$I$25,2,0))</f>
        <v>0</v>
      </c>
      <c r="AR428">
        <f>IF(R428="",0,VLOOKUP(R428,'Dados de consulta'!$H$2:$I$25,2,0))</f>
        <v>0</v>
      </c>
      <c r="AS428">
        <f>IF(S428="",0,VLOOKUP(S428,'Dados de consulta'!$H$2:$I$25,2,0))</f>
        <v>0</v>
      </c>
      <c r="AT428">
        <f>IF(T428="",0,VLOOKUP(T428,'Dados de consulta'!$H$2:$I$25,2,0))</f>
        <v>0</v>
      </c>
      <c r="AU428">
        <f>IF(U428="",0,VLOOKUP(U428,'Dados de consulta'!$H$2:$I$25,2,0))</f>
        <v>0</v>
      </c>
      <c r="AV428">
        <f>IF(V428="",0,VLOOKUP(V428,'Dados de consulta'!$H$2:$I$25,2,0))</f>
        <v>0</v>
      </c>
      <c r="AW428">
        <f t="shared" si="41"/>
        <v>0</v>
      </c>
      <c r="AX428">
        <f t="shared" si="42"/>
        <v>0</v>
      </c>
      <c r="AY428">
        <f t="shared" si="43"/>
        <v>0</v>
      </c>
    </row>
    <row r="429" spans="1:51" hidden="1" x14ac:dyDescent="0.2">
      <c r="A429" s="202">
        <v>42686</v>
      </c>
      <c r="B429" s="78" t="s">
        <v>281</v>
      </c>
      <c r="AA429" s="202">
        <v>42686</v>
      </c>
      <c r="AB429" s="78" t="s">
        <v>281</v>
      </c>
      <c r="AC429">
        <f>IF(C429="",0,VLOOKUP(C429,'Dados de consulta'!$H$2:$I$25,2,0))</f>
        <v>0</v>
      </c>
      <c r="AD429">
        <f>IF(D429="",0,VLOOKUP(D429,'Dados de consulta'!$H$2:$I$25,2,0))</f>
        <v>0</v>
      </c>
      <c r="AE429">
        <f>IF(E429="",0,VLOOKUP(E429,'Dados de consulta'!$H$2:$I$25,2,0))</f>
        <v>0</v>
      </c>
      <c r="AF429">
        <f>IF(F429="",0,VLOOKUP(F429,'Dados de consulta'!$H$2:$I$25,2,0))</f>
        <v>0</v>
      </c>
      <c r="AG429">
        <f>IF(G429="",0,VLOOKUP(G429,'Dados de consulta'!$H$2:$I$25,2,0))</f>
        <v>0</v>
      </c>
      <c r="AH429">
        <f>IF(H429="",0,VLOOKUP(H429,'Dados de consulta'!$H$2:$I$25,2,0))</f>
        <v>0</v>
      </c>
      <c r="AI429">
        <f>IF(I429="",0,VLOOKUP(I429,'Dados de consulta'!$H$2:$I$25,2,0))</f>
        <v>0</v>
      </c>
      <c r="AJ429">
        <f>IF(J429="",0,VLOOKUP(J429,'Dados de consulta'!$H$2:$I$25,2,0))</f>
        <v>0</v>
      </c>
      <c r="AK429">
        <f>IF(K429="",0,VLOOKUP(K429,'Dados de consulta'!$H$2:$I$25,2,0))</f>
        <v>0</v>
      </c>
      <c r="AL429">
        <f>IF(L429="",0,VLOOKUP(L429,'Dados de consulta'!$H$2:$I$25,2,0))</f>
        <v>0</v>
      </c>
      <c r="AM429">
        <f>IF(M429="",0,VLOOKUP(M429,'Dados de consulta'!$H$2:$I$25,2,0))</f>
        <v>0</v>
      </c>
      <c r="AN429">
        <f>IF(N429="",0,VLOOKUP(N429,'Dados de consulta'!$H$2:$I$25,2,0))</f>
        <v>0</v>
      </c>
      <c r="AO429">
        <f>IF(O429="",0,VLOOKUP(O429,'Dados de consulta'!$H$2:$I$25,2,0))</f>
        <v>0</v>
      </c>
      <c r="AP429">
        <f>IF(P429="",0,VLOOKUP(P429,'Dados de consulta'!$H$2:$I$25,2,0))</f>
        <v>0</v>
      </c>
      <c r="AQ429">
        <f>IF(Q429="",0,VLOOKUP(Q429,'Dados de consulta'!$H$2:$I$25,2,0))</f>
        <v>0</v>
      </c>
      <c r="AR429">
        <f>IF(R429="",0,VLOOKUP(R429,'Dados de consulta'!$H$2:$I$25,2,0))</f>
        <v>0</v>
      </c>
      <c r="AS429">
        <f>IF(S429="",0,VLOOKUP(S429,'Dados de consulta'!$H$2:$I$25,2,0))</f>
        <v>0</v>
      </c>
      <c r="AT429">
        <f>IF(T429="",0,VLOOKUP(T429,'Dados de consulta'!$H$2:$I$25,2,0))</f>
        <v>0</v>
      </c>
      <c r="AU429">
        <f>IF(U429="",0,VLOOKUP(U429,'Dados de consulta'!$H$2:$I$25,2,0))</f>
        <v>0</v>
      </c>
      <c r="AV429">
        <f>IF(V429="",0,VLOOKUP(V429,'Dados de consulta'!$H$2:$I$25,2,0))</f>
        <v>0</v>
      </c>
      <c r="AW429">
        <f t="shared" si="41"/>
        <v>0</v>
      </c>
      <c r="AX429">
        <f t="shared" si="42"/>
        <v>0</v>
      </c>
      <c r="AY429">
        <f t="shared" si="43"/>
        <v>0</v>
      </c>
    </row>
    <row r="430" spans="1:51" hidden="1" x14ac:dyDescent="0.2">
      <c r="A430" s="202">
        <v>42687</v>
      </c>
      <c r="B430" s="78" t="s">
        <v>282</v>
      </c>
      <c r="AA430" s="202">
        <v>42687</v>
      </c>
      <c r="AB430" s="78" t="s">
        <v>282</v>
      </c>
      <c r="AC430">
        <f>IF(C430="",0,VLOOKUP(C430,'Dados de consulta'!$H$2:$I$25,2,0))</f>
        <v>0</v>
      </c>
      <c r="AD430">
        <f>IF(D430="",0,VLOOKUP(D430,'Dados de consulta'!$H$2:$I$25,2,0))</f>
        <v>0</v>
      </c>
      <c r="AE430">
        <f>IF(E430="",0,VLOOKUP(E430,'Dados de consulta'!$H$2:$I$25,2,0))</f>
        <v>0</v>
      </c>
      <c r="AF430">
        <f>IF(F430="",0,VLOOKUP(F430,'Dados de consulta'!$H$2:$I$25,2,0))</f>
        <v>0</v>
      </c>
      <c r="AG430">
        <f>IF(G430="",0,VLOOKUP(G430,'Dados de consulta'!$H$2:$I$25,2,0))</f>
        <v>0</v>
      </c>
      <c r="AH430">
        <f>IF(H430="",0,VLOOKUP(H430,'Dados de consulta'!$H$2:$I$25,2,0))</f>
        <v>0</v>
      </c>
      <c r="AI430">
        <f>IF(I430="",0,VLOOKUP(I430,'Dados de consulta'!$H$2:$I$25,2,0))</f>
        <v>0</v>
      </c>
      <c r="AJ430">
        <f>IF(J430="",0,VLOOKUP(J430,'Dados de consulta'!$H$2:$I$25,2,0))</f>
        <v>0</v>
      </c>
      <c r="AK430">
        <f>IF(K430="",0,VLOOKUP(K430,'Dados de consulta'!$H$2:$I$25,2,0))</f>
        <v>0</v>
      </c>
      <c r="AL430">
        <f>IF(L430="",0,VLOOKUP(L430,'Dados de consulta'!$H$2:$I$25,2,0))</f>
        <v>0</v>
      </c>
      <c r="AM430">
        <f>IF(M430="",0,VLOOKUP(M430,'Dados de consulta'!$H$2:$I$25,2,0))</f>
        <v>0</v>
      </c>
      <c r="AN430">
        <f>IF(N430="",0,VLOOKUP(N430,'Dados de consulta'!$H$2:$I$25,2,0))</f>
        <v>0</v>
      </c>
      <c r="AO430">
        <f>IF(O430="",0,VLOOKUP(O430,'Dados de consulta'!$H$2:$I$25,2,0))</f>
        <v>0</v>
      </c>
      <c r="AP430">
        <f>IF(P430="",0,VLOOKUP(P430,'Dados de consulta'!$H$2:$I$25,2,0))</f>
        <v>0</v>
      </c>
      <c r="AQ430">
        <f>IF(Q430="",0,VLOOKUP(Q430,'Dados de consulta'!$H$2:$I$25,2,0))</f>
        <v>0</v>
      </c>
      <c r="AR430">
        <f>IF(R430="",0,VLOOKUP(R430,'Dados de consulta'!$H$2:$I$25,2,0))</f>
        <v>0</v>
      </c>
      <c r="AS430">
        <f>IF(S430="",0,VLOOKUP(S430,'Dados de consulta'!$H$2:$I$25,2,0))</f>
        <v>0</v>
      </c>
      <c r="AT430">
        <f>IF(T430="",0,VLOOKUP(T430,'Dados de consulta'!$H$2:$I$25,2,0))</f>
        <v>0</v>
      </c>
      <c r="AU430">
        <f>IF(U430="",0,VLOOKUP(U430,'Dados de consulta'!$H$2:$I$25,2,0))</f>
        <v>0</v>
      </c>
      <c r="AV430">
        <f>IF(V430="",0,VLOOKUP(V430,'Dados de consulta'!$H$2:$I$25,2,0))</f>
        <v>0</v>
      </c>
      <c r="AW430">
        <f t="shared" si="41"/>
        <v>0</v>
      </c>
      <c r="AX430">
        <f t="shared" si="42"/>
        <v>0</v>
      </c>
      <c r="AY430">
        <f t="shared" si="43"/>
        <v>0</v>
      </c>
    </row>
    <row r="431" spans="1:51" hidden="1" x14ac:dyDescent="0.2">
      <c r="A431" s="202">
        <v>42688</v>
      </c>
      <c r="B431" s="78" t="s">
        <v>283</v>
      </c>
      <c r="AA431" s="202">
        <v>42688</v>
      </c>
      <c r="AB431" s="78" t="s">
        <v>283</v>
      </c>
      <c r="AC431">
        <f>IF(C431="",0,VLOOKUP(C431,'Dados de consulta'!$H$2:$I$25,2,0))</f>
        <v>0</v>
      </c>
      <c r="AD431">
        <f>IF(D431="",0,VLOOKUP(D431,'Dados de consulta'!$H$2:$I$25,2,0))</f>
        <v>0</v>
      </c>
      <c r="AE431">
        <f>IF(E431="",0,VLOOKUP(E431,'Dados de consulta'!$H$2:$I$25,2,0))</f>
        <v>0</v>
      </c>
      <c r="AF431">
        <f>IF(F431="",0,VLOOKUP(F431,'Dados de consulta'!$H$2:$I$25,2,0))</f>
        <v>0</v>
      </c>
      <c r="AG431">
        <f>IF(G431="",0,VLOOKUP(G431,'Dados de consulta'!$H$2:$I$25,2,0))</f>
        <v>0</v>
      </c>
      <c r="AH431">
        <f>IF(H431="",0,VLOOKUP(H431,'Dados de consulta'!$H$2:$I$25,2,0))</f>
        <v>0</v>
      </c>
      <c r="AI431">
        <f>IF(I431="",0,VLOOKUP(I431,'Dados de consulta'!$H$2:$I$25,2,0))</f>
        <v>0</v>
      </c>
      <c r="AJ431">
        <f>IF(J431="",0,VLOOKUP(J431,'Dados de consulta'!$H$2:$I$25,2,0))</f>
        <v>0</v>
      </c>
      <c r="AK431">
        <f>IF(K431="",0,VLOOKUP(K431,'Dados de consulta'!$H$2:$I$25,2,0))</f>
        <v>0</v>
      </c>
      <c r="AL431">
        <f>IF(L431="",0,VLOOKUP(L431,'Dados de consulta'!$H$2:$I$25,2,0))</f>
        <v>0</v>
      </c>
      <c r="AM431">
        <f>IF(M431="",0,VLOOKUP(M431,'Dados de consulta'!$H$2:$I$25,2,0))</f>
        <v>0</v>
      </c>
      <c r="AN431">
        <f>IF(N431="",0,VLOOKUP(N431,'Dados de consulta'!$H$2:$I$25,2,0))</f>
        <v>0</v>
      </c>
      <c r="AO431">
        <f>IF(O431="",0,VLOOKUP(O431,'Dados de consulta'!$H$2:$I$25,2,0))</f>
        <v>0</v>
      </c>
      <c r="AP431">
        <f>IF(P431="",0,VLOOKUP(P431,'Dados de consulta'!$H$2:$I$25,2,0))</f>
        <v>0</v>
      </c>
      <c r="AQ431">
        <f>IF(Q431="",0,VLOOKUP(Q431,'Dados de consulta'!$H$2:$I$25,2,0))</f>
        <v>0</v>
      </c>
      <c r="AR431">
        <f>IF(R431="",0,VLOOKUP(R431,'Dados de consulta'!$H$2:$I$25,2,0))</f>
        <v>0</v>
      </c>
      <c r="AS431">
        <f>IF(S431="",0,VLOOKUP(S431,'Dados de consulta'!$H$2:$I$25,2,0))</f>
        <v>0</v>
      </c>
      <c r="AT431">
        <f>IF(T431="",0,VLOOKUP(T431,'Dados de consulta'!$H$2:$I$25,2,0))</f>
        <v>0</v>
      </c>
      <c r="AU431">
        <f>IF(U431="",0,VLOOKUP(U431,'Dados de consulta'!$H$2:$I$25,2,0))</f>
        <v>0</v>
      </c>
      <c r="AV431">
        <f>IF(V431="",0,VLOOKUP(V431,'Dados de consulta'!$H$2:$I$25,2,0))</f>
        <v>0</v>
      </c>
      <c r="AW431">
        <f t="shared" si="41"/>
        <v>0</v>
      </c>
      <c r="AX431">
        <f t="shared" si="42"/>
        <v>0</v>
      </c>
      <c r="AY431">
        <f t="shared" si="43"/>
        <v>0</v>
      </c>
    </row>
    <row r="432" spans="1:51" hidden="1" x14ac:dyDescent="0.2">
      <c r="A432" s="202">
        <v>42689</v>
      </c>
      <c r="B432" s="78" t="s">
        <v>284</v>
      </c>
      <c r="AA432" s="202">
        <v>42689</v>
      </c>
      <c r="AB432" s="78" t="s">
        <v>284</v>
      </c>
      <c r="AC432">
        <f>IF(C432="",0,VLOOKUP(C432,'Dados de consulta'!$H$2:$I$25,2,0))</f>
        <v>0</v>
      </c>
      <c r="AD432">
        <f>IF(D432="",0,VLOOKUP(D432,'Dados de consulta'!$H$2:$I$25,2,0))</f>
        <v>0</v>
      </c>
      <c r="AE432">
        <f>IF(E432="",0,VLOOKUP(E432,'Dados de consulta'!$H$2:$I$25,2,0))</f>
        <v>0</v>
      </c>
      <c r="AF432">
        <f>IF(F432="",0,VLOOKUP(F432,'Dados de consulta'!$H$2:$I$25,2,0))</f>
        <v>0</v>
      </c>
      <c r="AG432">
        <f>IF(G432="",0,VLOOKUP(G432,'Dados de consulta'!$H$2:$I$25,2,0))</f>
        <v>0</v>
      </c>
      <c r="AH432">
        <f>IF(H432="",0,VLOOKUP(H432,'Dados de consulta'!$H$2:$I$25,2,0))</f>
        <v>0</v>
      </c>
      <c r="AI432">
        <f>IF(I432="",0,VLOOKUP(I432,'Dados de consulta'!$H$2:$I$25,2,0))</f>
        <v>0</v>
      </c>
      <c r="AJ432">
        <f>IF(J432="",0,VLOOKUP(J432,'Dados de consulta'!$H$2:$I$25,2,0))</f>
        <v>0</v>
      </c>
      <c r="AK432">
        <f>IF(K432="",0,VLOOKUP(K432,'Dados de consulta'!$H$2:$I$25,2,0))</f>
        <v>0</v>
      </c>
      <c r="AL432">
        <f>IF(L432="",0,VLOOKUP(L432,'Dados de consulta'!$H$2:$I$25,2,0))</f>
        <v>0</v>
      </c>
      <c r="AM432">
        <f>IF(M432="",0,VLOOKUP(M432,'Dados de consulta'!$H$2:$I$25,2,0))</f>
        <v>0</v>
      </c>
      <c r="AN432">
        <f>IF(N432="",0,VLOOKUP(N432,'Dados de consulta'!$H$2:$I$25,2,0))</f>
        <v>0</v>
      </c>
      <c r="AO432">
        <f>IF(O432="",0,VLOOKUP(O432,'Dados de consulta'!$H$2:$I$25,2,0))</f>
        <v>0</v>
      </c>
      <c r="AP432">
        <f>IF(P432="",0,VLOOKUP(P432,'Dados de consulta'!$H$2:$I$25,2,0))</f>
        <v>0</v>
      </c>
      <c r="AQ432">
        <f>IF(Q432="",0,VLOOKUP(Q432,'Dados de consulta'!$H$2:$I$25,2,0))</f>
        <v>0</v>
      </c>
      <c r="AR432">
        <f>IF(R432="",0,VLOOKUP(R432,'Dados de consulta'!$H$2:$I$25,2,0))</f>
        <v>0</v>
      </c>
      <c r="AS432">
        <f>IF(S432="",0,VLOOKUP(S432,'Dados de consulta'!$H$2:$I$25,2,0))</f>
        <v>0</v>
      </c>
      <c r="AT432">
        <f>IF(T432="",0,VLOOKUP(T432,'Dados de consulta'!$H$2:$I$25,2,0))</f>
        <v>0</v>
      </c>
      <c r="AU432">
        <f>IF(U432="",0,VLOOKUP(U432,'Dados de consulta'!$H$2:$I$25,2,0))</f>
        <v>0</v>
      </c>
      <c r="AV432">
        <f>IF(V432="",0,VLOOKUP(V432,'Dados de consulta'!$H$2:$I$25,2,0))</f>
        <v>0</v>
      </c>
      <c r="AW432">
        <f t="shared" si="41"/>
        <v>0</v>
      </c>
      <c r="AX432">
        <f t="shared" si="42"/>
        <v>0</v>
      </c>
      <c r="AY432">
        <f t="shared" si="43"/>
        <v>0</v>
      </c>
    </row>
    <row r="433" spans="1:51" hidden="1" x14ac:dyDescent="0.2">
      <c r="A433" s="202">
        <v>42690</v>
      </c>
      <c r="B433" s="78" t="s">
        <v>285</v>
      </c>
      <c r="AA433" s="202">
        <v>42690</v>
      </c>
      <c r="AB433" s="78" t="s">
        <v>285</v>
      </c>
      <c r="AC433">
        <f>IF(C433="",0,VLOOKUP(C433,'Dados de consulta'!$H$2:$I$25,2,0))</f>
        <v>0</v>
      </c>
      <c r="AD433">
        <f>IF(D433="",0,VLOOKUP(D433,'Dados de consulta'!$H$2:$I$25,2,0))</f>
        <v>0</v>
      </c>
      <c r="AE433">
        <f>IF(E433="",0,VLOOKUP(E433,'Dados de consulta'!$H$2:$I$25,2,0))</f>
        <v>0</v>
      </c>
      <c r="AF433">
        <f>IF(F433="",0,VLOOKUP(F433,'Dados de consulta'!$H$2:$I$25,2,0))</f>
        <v>0</v>
      </c>
      <c r="AG433">
        <f>IF(G433="",0,VLOOKUP(G433,'Dados de consulta'!$H$2:$I$25,2,0))</f>
        <v>0</v>
      </c>
      <c r="AH433">
        <f>IF(H433="",0,VLOOKUP(H433,'Dados de consulta'!$H$2:$I$25,2,0))</f>
        <v>0</v>
      </c>
      <c r="AI433">
        <f>IF(I433="",0,VLOOKUP(I433,'Dados de consulta'!$H$2:$I$25,2,0))</f>
        <v>0</v>
      </c>
      <c r="AJ433">
        <f>IF(J433="",0,VLOOKUP(J433,'Dados de consulta'!$H$2:$I$25,2,0))</f>
        <v>0</v>
      </c>
      <c r="AK433">
        <f>IF(K433="",0,VLOOKUP(K433,'Dados de consulta'!$H$2:$I$25,2,0))</f>
        <v>0</v>
      </c>
      <c r="AL433">
        <f>IF(L433="",0,VLOOKUP(L433,'Dados de consulta'!$H$2:$I$25,2,0))</f>
        <v>0</v>
      </c>
      <c r="AM433">
        <f>IF(M433="",0,VLOOKUP(M433,'Dados de consulta'!$H$2:$I$25,2,0))</f>
        <v>0</v>
      </c>
      <c r="AN433">
        <f>IF(N433="",0,VLOOKUP(N433,'Dados de consulta'!$H$2:$I$25,2,0))</f>
        <v>0</v>
      </c>
      <c r="AO433">
        <f>IF(O433="",0,VLOOKUP(O433,'Dados de consulta'!$H$2:$I$25,2,0))</f>
        <v>0</v>
      </c>
      <c r="AP433">
        <f>IF(P433="",0,VLOOKUP(P433,'Dados de consulta'!$H$2:$I$25,2,0))</f>
        <v>0</v>
      </c>
      <c r="AQ433">
        <f>IF(Q433="",0,VLOOKUP(Q433,'Dados de consulta'!$H$2:$I$25,2,0))</f>
        <v>0</v>
      </c>
      <c r="AR433">
        <f>IF(R433="",0,VLOOKUP(R433,'Dados de consulta'!$H$2:$I$25,2,0))</f>
        <v>0</v>
      </c>
      <c r="AS433">
        <f>IF(S433="",0,VLOOKUP(S433,'Dados de consulta'!$H$2:$I$25,2,0))</f>
        <v>0</v>
      </c>
      <c r="AT433">
        <f>IF(T433="",0,VLOOKUP(T433,'Dados de consulta'!$H$2:$I$25,2,0))</f>
        <v>0</v>
      </c>
      <c r="AU433">
        <f>IF(U433="",0,VLOOKUP(U433,'Dados de consulta'!$H$2:$I$25,2,0))</f>
        <v>0</v>
      </c>
      <c r="AV433">
        <f>IF(V433="",0,VLOOKUP(V433,'Dados de consulta'!$H$2:$I$25,2,0))</f>
        <v>0</v>
      </c>
      <c r="AW433">
        <f t="shared" si="41"/>
        <v>0</v>
      </c>
      <c r="AX433">
        <f t="shared" si="42"/>
        <v>0</v>
      </c>
      <c r="AY433">
        <f t="shared" si="43"/>
        <v>0</v>
      </c>
    </row>
    <row r="434" spans="1:51" hidden="1" x14ac:dyDescent="0.2">
      <c r="A434" s="202">
        <v>42691</v>
      </c>
      <c r="B434" s="78" t="s">
        <v>286</v>
      </c>
      <c r="AA434" s="202">
        <v>42691</v>
      </c>
      <c r="AB434" s="78" t="s">
        <v>286</v>
      </c>
      <c r="AC434">
        <f>IF(C434="",0,VLOOKUP(C434,'Dados de consulta'!$H$2:$I$25,2,0))</f>
        <v>0</v>
      </c>
      <c r="AD434">
        <f>IF(D434="",0,VLOOKUP(D434,'Dados de consulta'!$H$2:$I$25,2,0))</f>
        <v>0</v>
      </c>
      <c r="AE434">
        <f>IF(E434="",0,VLOOKUP(E434,'Dados de consulta'!$H$2:$I$25,2,0))</f>
        <v>0</v>
      </c>
      <c r="AF434">
        <f>IF(F434="",0,VLOOKUP(F434,'Dados de consulta'!$H$2:$I$25,2,0))</f>
        <v>0</v>
      </c>
      <c r="AG434">
        <f>IF(G434="",0,VLOOKUP(G434,'Dados de consulta'!$H$2:$I$25,2,0))</f>
        <v>0</v>
      </c>
      <c r="AH434">
        <f>IF(H434="",0,VLOOKUP(H434,'Dados de consulta'!$H$2:$I$25,2,0))</f>
        <v>0</v>
      </c>
      <c r="AI434">
        <f>IF(I434="",0,VLOOKUP(I434,'Dados de consulta'!$H$2:$I$25,2,0))</f>
        <v>0</v>
      </c>
      <c r="AJ434">
        <f>IF(J434="",0,VLOOKUP(J434,'Dados de consulta'!$H$2:$I$25,2,0))</f>
        <v>0</v>
      </c>
      <c r="AK434">
        <f>IF(K434="",0,VLOOKUP(K434,'Dados de consulta'!$H$2:$I$25,2,0))</f>
        <v>0</v>
      </c>
      <c r="AL434">
        <f>IF(L434="",0,VLOOKUP(L434,'Dados de consulta'!$H$2:$I$25,2,0))</f>
        <v>0</v>
      </c>
      <c r="AM434">
        <f>IF(M434="",0,VLOOKUP(M434,'Dados de consulta'!$H$2:$I$25,2,0))</f>
        <v>0</v>
      </c>
      <c r="AN434">
        <f>IF(N434="",0,VLOOKUP(N434,'Dados de consulta'!$H$2:$I$25,2,0))</f>
        <v>0</v>
      </c>
      <c r="AO434">
        <f>IF(O434="",0,VLOOKUP(O434,'Dados de consulta'!$H$2:$I$25,2,0))</f>
        <v>0</v>
      </c>
      <c r="AP434">
        <f>IF(P434="",0,VLOOKUP(P434,'Dados de consulta'!$H$2:$I$25,2,0))</f>
        <v>0</v>
      </c>
      <c r="AQ434">
        <f>IF(Q434="",0,VLOOKUP(Q434,'Dados de consulta'!$H$2:$I$25,2,0))</f>
        <v>0</v>
      </c>
      <c r="AR434">
        <f>IF(R434="",0,VLOOKUP(R434,'Dados de consulta'!$H$2:$I$25,2,0))</f>
        <v>0</v>
      </c>
      <c r="AS434">
        <f>IF(S434="",0,VLOOKUP(S434,'Dados de consulta'!$H$2:$I$25,2,0))</f>
        <v>0</v>
      </c>
      <c r="AT434">
        <f>IF(T434="",0,VLOOKUP(T434,'Dados de consulta'!$H$2:$I$25,2,0))</f>
        <v>0</v>
      </c>
      <c r="AU434">
        <f>IF(U434="",0,VLOOKUP(U434,'Dados de consulta'!$H$2:$I$25,2,0))</f>
        <v>0</v>
      </c>
      <c r="AV434">
        <f>IF(V434="",0,VLOOKUP(V434,'Dados de consulta'!$H$2:$I$25,2,0))</f>
        <v>0</v>
      </c>
      <c r="AW434">
        <f t="shared" si="41"/>
        <v>0</v>
      </c>
      <c r="AX434">
        <f t="shared" si="42"/>
        <v>0</v>
      </c>
      <c r="AY434">
        <f t="shared" si="43"/>
        <v>0</v>
      </c>
    </row>
    <row r="435" spans="1:51" hidden="1" x14ac:dyDescent="0.2">
      <c r="A435" s="202">
        <v>42692</v>
      </c>
      <c r="B435" s="78" t="s">
        <v>287</v>
      </c>
      <c r="AA435" s="202">
        <v>42692</v>
      </c>
      <c r="AB435" s="78" t="s">
        <v>287</v>
      </c>
      <c r="AC435">
        <f>IF(C435="",0,VLOOKUP(C435,'Dados de consulta'!$H$2:$I$25,2,0))</f>
        <v>0</v>
      </c>
      <c r="AD435">
        <f>IF(D435="",0,VLOOKUP(D435,'Dados de consulta'!$H$2:$I$25,2,0))</f>
        <v>0</v>
      </c>
      <c r="AE435">
        <f>IF(E435="",0,VLOOKUP(E435,'Dados de consulta'!$H$2:$I$25,2,0))</f>
        <v>0</v>
      </c>
      <c r="AF435">
        <f>IF(F435="",0,VLOOKUP(F435,'Dados de consulta'!$H$2:$I$25,2,0))</f>
        <v>0</v>
      </c>
      <c r="AG435">
        <f>IF(G435="",0,VLOOKUP(G435,'Dados de consulta'!$H$2:$I$25,2,0))</f>
        <v>0</v>
      </c>
      <c r="AH435">
        <f>IF(H435="",0,VLOOKUP(H435,'Dados de consulta'!$H$2:$I$25,2,0))</f>
        <v>0</v>
      </c>
      <c r="AI435">
        <f>IF(I435="",0,VLOOKUP(I435,'Dados de consulta'!$H$2:$I$25,2,0))</f>
        <v>0</v>
      </c>
      <c r="AJ435">
        <f>IF(J435="",0,VLOOKUP(J435,'Dados de consulta'!$H$2:$I$25,2,0))</f>
        <v>0</v>
      </c>
      <c r="AK435">
        <f>IF(K435="",0,VLOOKUP(K435,'Dados de consulta'!$H$2:$I$25,2,0))</f>
        <v>0</v>
      </c>
      <c r="AL435">
        <f>IF(L435="",0,VLOOKUP(L435,'Dados de consulta'!$H$2:$I$25,2,0))</f>
        <v>0</v>
      </c>
      <c r="AM435">
        <f>IF(M435="",0,VLOOKUP(M435,'Dados de consulta'!$H$2:$I$25,2,0))</f>
        <v>0</v>
      </c>
      <c r="AN435">
        <f>IF(N435="",0,VLOOKUP(N435,'Dados de consulta'!$H$2:$I$25,2,0))</f>
        <v>0</v>
      </c>
      <c r="AO435">
        <f>IF(O435="",0,VLOOKUP(O435,'Dados de consulta'!$H$2:$I$25,2,0))</f>
        <v>0</v>
      </c>
      <c r="AP435">
        <f>IF(P435="",0,VLOOKUP(P435,'Dados de consulta'!$H$2:$I$25,2,0))</f>
        <v>0</v>
      </c>
      <c r="AQ435">
        <f>IF(Q435="",0,VLOOKUP(Q435,'Dados de consulta'!$H$2:$I$25,2,0))</f>
        <v>0</v>
      </c>
      <c r="AR435">
        <f>IF(R435="",0,VLOOKUP(R435,'Dados de consulta'!$H$2:$I$25,2,0))</f>
        <v>0</v>
      </c>
      <c r="AS435">
        <f>IF(S435="",0,VLOOKUP(S435,'Dados de consulta'!$H$2:$I$25,2,0))</f>
        <v>0</v>
      </c>
      <c r="AT435">
        <f>IF(T435="",0,VLOOKUP(T435,'Dados de consulta'!$H$2:$I$25,2,0))</f>
        <v>0</v>
      </c>
      <c r="AU435">
        <f>IF(U435="",0,VLOOKUP(U435,'Dados de consulta'!$H$2:$I$25,2,0))</f>
        <v>0</v>
      </c>
      <c r="AV435">
        <f>IF(V435="",0,VLOOKUP(V435,'Dados de consulta'!$H$2:$I$25,2,0))</f>
        <v>0</v>
      </c>
      <c r="AW435">
        <f t="shared" si="41"/>
        <v>0</v>
      </c>
      <c r="AX435">
        <f t="shared" si="42"/>
        <v>0</v>
      </c>
      <c r="AY435">
        <f t="shared" si="43"/>
        <v>0</v>
      </c>
    </row>
    <row r="436" spans="1:51" hidden="1" x14ac:dyDescent="0.2">
      <c r="A436" s="202">
        <v>42693</v>
      </c>
      <c r="B436" s="78" t="s">
        <v>281</v>
      </c>
      <c r="AA436" s="202">
        <v>42693</v>
      </c>
      <c r="AB436" s="78" t="s">
        <v>281</v>
      </c>
      <c r="AC436">
        <f>IF(C436="",0,VLOOKUP(C436,'Dados de consulta'!$H$2:$I$25,2,0))</f>
        <v>0</v>
      </c>
      <c r="AD436">
        <f>IF(D436="",0,VLOOKUP(D436,'Dados de consulta'!$H$2:$I$25,2,0))</f>
        <v>0</v>
      </c>
      <c r="AE436">
        <f>IF(E436="",0,VLOOKUP(E436,'Dados de consulta'!$H$2:$I$25,2,0))</f>
        <v>0</v>
      </c>
      <c r="AF436">
        <f>IF(F436="",0,VLOOKUP(F436,'Dados de consulta'!$H$2:$I$25,2,0))</f>
        <v>0</v>
      </c>
      <c r="AG436">
        <f>IF(G436="",0,VLOOKUP(G436,'Dados de consulta'!$H$2:$I$25,2,0))</f>
        <v>0</v>
      </c>
      <c r="AH436">
        <f>IF(H436="",0,VLOOKUP(H436,'Dados de consulta'!$H$2:$I$25,2,0))</f>
        <v>0</v>
      </c>
      <c r="AI436">
        <f>IF(I436="",0,VLOOKUP(I436,'Dados de consulta'!$H$2:$I$25,2,0))</f>
        <v>0</v>
      </c>
      <c r="AJ436">
        <f>IF(J436="",0,VLOOKUP(J436,'Dados de consulta'!$H$2:$I$25,2,0))</f>
        <v>0</v>
      </c>
      <c r="AK436">
        <f>IF(K436="",0,VLOOKUP(K436,'Dados de consulta'!$H$2:$I$25,2,0))</f>
        <v>0</v>
      </c>
      <c r="AL436">
        <f>IF(L436="",0,VLOOKUP(L436,'Dados de consulta'!$H$2:$I$25,2,0))</f>
        <v>0</v>
      </c>
      <c r="AM436">
        <f>IF(M436="",0,VLOOKUP(M436,'Dados de consulta'!$H$2:$I$25,2,0))</f>
        <v>0</v>
      </c>
      <c r="AN436">
        <f>IF(N436="",0,VLOOKUP(N436,'Dados de consulta'!$H$2:$I$25,2,0))</f>
        <v>0</v>
      </c>
      <c r="AO436">
        <f>IF(O436="",0,VLOOKUP(O436,'Dados de consulta'!$H$2:$I$25,2,0))</f>
        <v>0</v>
      </c>
      <c r="AP436">
        <f>IF(P436="",0,VLOOKUP(P436,'Dados de consulta'!$H$2:$I$25,2,0))</f>
        <v>0</v>
      </c>
      <c r="AQ436">
        <f>IF(Q436="",0,VLOOKUP(Q436,'Dados de consulta'!$H$2:$I$25,2,0))</f>
        <v>0</v>
      </c>
      <c r="AR436">
        <f>IF(R436="",0,VLOOKUP(R436,'Dados de consulta'!$H$2:$I$25,2,0))</f>
        <v>0</v>
      </c>
      <c r="AS436">
        <f>IF(S436="",0,VLOOKUP(S436,'Dados de consulta'!$H$2:$I$25,2,0))</f>
        <v>0</v>
      </c>
      <c r="AT436">
        <f>IF(T436="",0,VLOOKUP(T436,'Dados de consulta'!$H$2:$I$25,2,0))</f>
        <v>0</v>
      </c>
      <c r="AU436">
        <f>IF(U436="",0,VLOOKUP(U436,'Dados de consulta'!$H$2:$I$25,2,0))</f>
        <v>0</v>
      </c>
      <c r="AV436">
        <f>IF(V436="",0,VLOOKUP(V436,'Dados de consulta'!$H$2:$I$25,2,0))</f>
        <v>0</v>
      </c>
      <c r="AW436">
        <f t="shared" si="41"/>
        <v>0</v>
      </c>
      <c r="AX436">
        <f t="shared" si="42"/>
        <v>0</v>
      </c>
      <c r="AY436">
        <f t="shared" si="43"/>
        <v>0</v>
      </c>
    </row>
    <row r="437" spans="1:51" hidden="1" x14ac:dyDescent="0.2">
      <c r="A437" s="202">
        <v>42694</v>
      </c>
      <c r="B437" s="78" t="s">
        <v>282</v>
      </c>
      <c r="AA437" s="202">
        <v>42694</v>
      </c>
      <c r="AB437" s="78" t="s">
        <v>282</v>
      </c>
      <c r="AC437">
        <f>IF(C437="",0,VLOOKUP(C437,'Dados de consulta'!$H$2:$I$25,2,0))</f>
        <v>0</v>
      </c>
      <c r="AD437">
        <f>IF(D437="",0,VLOOKUP(D437,'Dados de consulta'!$H$2:$I$25,2,0))</f>
        <v>0</v>
      </c>
      <c r="AE437">
        <f>IF(E437="",0,VLOOKUP(E437,'Dados de consulta'!$H$2:$I$25,2,0))</f>
        <v>0</v>
      </c>
      <c r="AF437">
        <f>IF(F437="",0,VLOOKUP(F437,'Dados de consulta'!$H$2:$I$25,2,0))</f>
        <v>0</v>
      </c>
      <c r="AG437">
        <f>IF(G437="",0,VLOOKUP(G437,'Dados de consulta'!$H$2:$I$25,2,0))</f>
        <v>0</v>
      </c>
      <c r="AH437">
        <f>IF(H437="",0,VLOOKUP(H437,'Dados de consulta'!$H$2:$I$25,2,0))</f>
        <v>0</v>
      </c>
      <c r="AI437">
        <f>IF(I437="",0,VLOOKUP(I437,'Dados de consulta'!$H$2:$I$25,2,0))</f>
        <v>0</v>
      </c>
      <c r="AJ437">
        <f>IF(J437="",0,VLOOKUP(J437,'Dados de consulta'!$H$2:$I$25,2,0))</f>
        <v>0</v>
      </c>
      <c r="AK437">
        <f>IF(K437="",0,VLOOKUP(K437,'Dados de consulta'!$H$2:$I$25,2,0))</f>
        <v>0</v>
      </c>
      <c r="AL437">
        <f>IF(L437="",0,VLOOKUP(L437,'Dados de consulta'!$H$2:$I$25,2,0))</f>
        <v>0</v>
      </c>
      <c r="AM437">
        <f>IF(M437="",0,VLOOKUP(M437,'Dados de consulta'!$H$2:$I$25,2,0))</f>
        <v>0</v>
      </c>
      <c r="AN437">
        <f>IF(N437="",0,VLOOKUP(N437,'Dados de consulta'!$H$2:$I$25,2,0))</f>
        <v>0</v>
      </c>
      <c r="AO437">
        <f>IF(O437="",0,VLOOKUP(O437,'Dados de consulta'!$H$2:$I$25,2,0))</f>
        <v>0</v>
      </c>
      <c r="AP437">
        <f>IF(P437="",0,VLOOKUP(P437,'Dados de consulta'!$H$2:$I$25,2,0))</f>
        <v>0</v>
      </c>
      <c r="AQ437">
        <f>IF(Q437="",0,VLOOKUP(Q437,'Dados de consulta'!$H$2:$I$25,2,0))</f>
        <v>0</v>
      </c>
      <c r="AR437">
        <f>IF(R437="",0,VLOOKUP(R437,'Dados de consulta'!$H$2:$I$25,2,0))</f>
        <v>0</v>
      </c>
      <c r="AS437">
        <f>IF(S437="",0,VLOOKUP(S437,'Dados de consulta'!$H$2:$I$25,2,0))</f>
        <v>0</v>
      </c>
      <c r="AT437">
        <f>IF(T437="",0,VLOOKUP(T437,'Dados de consulta'!$H$2:$I$25,2,0))</f>
        <v>0</v>
      </c>
      <c r="AU437">
        <f>IF(U437="",0,VLOOKUP(U437,'Dados de consulta'!$H$2:$I$25,2,0))</f>
        <v>0</v>
      </c>
      <c r="AV437">
        <f>IF(V437="",0,VLOOKUP(V437,'Dados de consulta'!$H$2:$I$25,2,0))</f>
        <v>0</v>
      </c>
      <c r="AW437">
        <f t="shared" si="41"/>
        <v>0</v>
      </c>
      <c r="AX437">
        <f t="shared" si="42"/>
        <v>0</v>
      </c>
      <c r="AY437">
        <f t="shared" si="43"/>
        <v>0</v>
      </c>
    </row>
    <row r="438" spans="1:51" hidden="1" x14ac:dyDescent="0.2">
      <c r="A438" s="202">
        <v>42695</v>
      </c>
      <c r="B438" s="78" t="s">
        <v>283</v>
      </c>
      <c r="AA438" s="202">
        <v>42695</v>
      </c>
      <c r="AB438" s="78" t="s">
        <v>283</v>
      </c>
      <c r="AC438">
        <f>IF(C438="",0,VLOOKUP(C438,'Dados de consulta'!$H$2:$I$25,2,0))</f>
        <v>0</v>
      </c>
      <c r="AD438">
        <f>IF(D438="",0,VLOOKUP(D438,'Dados de consulta'!$H$2:$I$25,2,0))</f>
        <v>0</v>
      </c>
      <c r="AE438">
        <f>IF(E438="",0,VLOOKUP(E438,'Dados de consulta'!$H$2:$I$25,2,0))</f>
        <v>0</v>
      </c>
      <c r="AF438">
        <f>IF(F438="",0,VLOOKUP(F438,'Dados de consulta'!$H$2:$I$25,2,0))</f>
        <v>0</v>
      </c>
      <c r="AG438">
        <f>IF(G438="",0,VLOOKUP(G438,'Dados de consulta'!$H$2:$I$25,2,0))</f>
        <v>0</v>
      </c>
      <c r="AH438">
        <f>IF(H438="",0,VLOOKUP(H438,'Dados de consulta'!$H$2:$I$25,2,0))</f>
        <v>0</v>
      </c>
      <c r="AI438">
        <f>IF(I438="",0,VLOOKUP(I438,'Dados de consulta'!$H$2:$I$25,2,0))</f>
        <v>0</v>
      </c>
      <c r="AJ438">
        <f>IF(J438="",0,VLOOKUP(J438,'Dados de consulta'!$H$2:$I$25,2,0))</f>
        <v>0</v>
      </c>
      <c r="AK438">
        <f>IF(K438="",0,VLOOKUP(K438,'Dados de consulta'!$H$2:$I$25,2,0))</f>
        <v>0</v>
      </c>
      <c r="AL438">
        <f>IF(L438="",0,VLOOKUP(L438,'Dados de consulta'!$H$2:$I$25,2,0))</f>
        <v>0</v>
      </c>
      <c r="AM438">
        <f>IF(M438="",0,VLOOKUP(M438,'Dados de consulta'!$H$2:$I$25,2,0))</f>
        <v>0</v>
      </c>
      <c r="AN438">
        <f>IF(N438="",0,VLOOKUP(N438,'Dados de consulta'!$H$2:$I$25,2,0))</f>
        <v>0</v>
      </c>
      <c r="AO438">
        <f>IF(O438="",0,VLOOKUP(O438,'Dados de consulta'!$H$2:$I$25,2,0))</f>
        <v>0</v>
      </c>
      <c r="AP438">
        <f>IF(P438="",0,VLOOKUP(P438,'Dados de consulta'!$H$2:$I$25,2,0))</f>
        <v>0</v>
      </c>
      <c r="AQ438">
        <f>IF(Q438="",0,VLOOKUP(Q438,'Dados de consulta'!$H$2:$I$25,2,0))</f>
        <v>0</v>
      </c>
      <c r="AR438">
        <f>IF(R438="",0,VLOOKUP(R438,'Dados de consulta'!$H$2:$I$25,2,0))</f>
        <v>0</v>
      </c>
      <c r="AS438">
        <f>IF(S438="",0,VLOOKUP(S438,'Dados de consulta'!$H$2:$I$25,2,0))</f>
        <v>0</v>
      </c>
      <c r="AT438">
        <f>IF(T438="",0,VLOOKUP(T438,'Dados de consulta'!$H$2:$I$25,2,0))</f>
        <v>0</v>
      </c>
      <c r="AU438">
        <f>IF(U438="",0,VLOOKUP(U438,'Dados de consulta'!$H$2:$I$25,2,0))</f>
        <v>0</v>
      </c>
      <c r="AV438">
        <f>IF(V438="",0,VLOOKUP(V438,'Dados de consulta'!$H$2:$I$25,2,0))</f>
        <v>0</v>
      </c>
      <c r="AW438">
        <f t="shared" si="41"/>
        <v>0</v>
      </c>
      <c r="AX438">
        <f t="shared" si="42"/>
        <v>0</v>
      </c>
      <c r="AY438">
        <f t="shared" si="43"/>
        <v>0</v>
      </c>
    </row>
    <row r="439" spans="1:51" hidden="1" x14ac:dyDescent="0.2">
      <c r="A439" s="202">
        <v>42696</v>
      </c>
      <c r="B439" s="78" t="s">
        <v>284</v>
      </c>
      <c r="AA439" s="202">
        <v>42696</v>
      </c>
      <c r="AB439" s="78" t="s">
        <v>284</v>
      </c>
      <c r="AC439">
        <f>IF(C439="",0,VLOOKUP(C439,'Dados de consulta'!$H$2:$I$25,2,0))</f>
        <v>0</v>
      </c>
      <c r="AD439">
        <f>IF(D439="",0,VLOOKUP(D439,'Dados de consulta'!$H$2:$I$25,2,0))</f>
        <v>0</v>
      </c>
      <c r="AE439">
        <f>IF(E439="",0,VLOOKUP(E439,'Dados de consulta'!$H$2:$I$25,2,0))</f>
        <v>0</v>
      </c>
      <c r="AF439">
        <f>IF(F439="",0,VLOOKUP(F439,'Dados de consulta'!$H$2:$I$25,2,0))</f>
        <v>0</v>
      </c>
      <c r="AG439">
        <f>IF(G439="",0,VLOOKUP(G439,'Dados de consulta'!$H$2:$I$25,2,0))</f>
        <v>0</v>
      </c>
      <c r="AH439">
        <f>IF(H439="",0,VLOOKUP(H439,'Dados de consulta'!$H$2:$I$25,2,0))</f>
        <v>0</v>
      </c>
      <c r="AI439">
        <f>IF(I439="",0,VLOOKUP(I439,'Dados de consulta'!$H$2:$I$25,2,0))</f>
        <v>0</v>
      </c>
      <c r="AJ439">
        <f>IF(J439="",0,VLOOKUP(J439,'Dados de consulta'!$H$2:$I$25,2,0))</f>
        <v>0</v>
      </c>
      <c r="AK439">
        <f>IF(K439="",0,VLOOKUP(K439,'Dados de consulta'!$H$2:$I$25,2,0))</f>
        <v>0</v>
      </c>
      <c r="AL439">
        <f>IF(L439="",0,VLOOKUP(L439,'Dados de consulta'!$H$2:$I$25,2,0))</f>
        <v>0</v>
      </c>
      <c r="AM439">
        <f>IF(M439="",0,VLOOKUP(M439,'Dados de consulta'!$H$2:$I$25,2,0))</f>
        <v>0</v>
      </c>
      <c r="AN439">
        <f>IF(N439="",0,VLOOKUP(N439,'Dados de consulta'!$H$2:$I$25,2,0))</f>
        <v>0</v>
      </c>
      <c r="AO439">
        <f>IF(O439="",0,VLOOKUP(O439,'Dados de consulta'!$H$2:$I$25,2,0))</f>
        <v>0</v>
      </c>
      <c r="AP439">
        <f>IF(P439="",0,VLOOKUP(P439,'Dados de consulta'!$H$2:$I$25,2,0))</f>
        <v>0</v>
      </c>
      <c r="AQ439">
        <f>IF(Q439="",0,VLOOKUP(Q439,'Dados de consulta'!$H$2:$I$25,2,0))</f>
        <v>0</v>
      </c>
      <c r="AR439">
        <f>IF(R439="",0,VLOOKUP(R439,'Dados de consulta'!$H$2:$I$25,2,0))</f>
        <v>0</v>
      </c>
      <c r="AS439">
        <f>IF(S439="",0,VLOOKUP(S439,'Dados de consulta'!$H$2:$I$25,2,0))</f>
        <v>0</v>
      </c>
      <c r="AT439">
        <f>IF(T439="",0,VLOOKUP(T439,'Dados de consulta'!$H$2:$I$25,2,0))</f>
        <v>0</v>
      </c>
      <c r="AU439">
        <f>IF(U439="",0,VLOOKUP(U439,'Dados de consulta'!$H$2:$I$25,2,0))</f>
        <v>0</v>
      </c>
      <c r="AV439">
        <f>IF(V439="",0,VLOOKUP(V439,'Dados de consulta'!$H$2:$I$25,2,0))</f>
        <v>0</v>
      </c>
      <c r="AW439">
        <f t="shared" si="41"/>
        <v>0</v>
      </c>
      <c r="AX439">
        <f t="shared" si="42"/>
        <v>0</v>
      </c>
      <c r="AY439">
        <f t="shared" si="43"/>
        <v>0</v>
      </c>
    </row>
    <row r="440" spans="1:51" hidden="1" x14ac:dyDescent="0.2">
      <c r="A440" s="202">
        <v>42697</v>
      </c>
      <c r="B440" s="78" t="s">
        <v>285</v>
      </c>
      <c r="AA440" s="202">
        <v>42697</v>
      </c>
      <c r="AB440" s="78" t="s">
        <v>285</v>
      </c>
      <c r="AC440">
        <f>IF(C440="",0,VLOOKUP(C440,'Dados de consulta'!$H$2:$I$25,2,0))</f>
        <v>0</v>
      </c>
      <c r="AD440">
        <f>IF(D440="",0,VLOOKUP(D440,'Dados de consulta'!$H$2:$I$25,2,0))</f>
        <v>0</v>
      </c>
      <c r="AE440">
        <f>IF(E440="",0,VLOOKUP(E440,'Dados de consulta'!$H$2:$I$25,2,0))</f>
        <v>0</v>
      </c>
      <c r="AF440">
        <f>IF(F440="",0,VLOOKUP(F440,'Dados de consulta'!$H$2:$I$25,2,0))</f>
        <v>0</v>
      </c>
      <c r="AG440">
        <f>IF(G440="",0,VLOOKUP(G440,'Dados de consulta'!$H$2:$I$25,2,0))</f>
        <v>0</v>
      </c>
      <c r="AH440">
        <f>IF(H440="",0,VLOOKUP(H440,'Dados de consulta'!$H$2:$I$25,2,0))</f>
        <v>0</v>
      </c>
      <c r="AI440">
        <f>IF(I440="",0,VLOOKUP(I440,'Dados de consulta'!$H$2:$I$25,2,0))</f>
        <v>0</v>
      </c>
      <c r="AJ440">
        <f>IF(J440="",0,VLOOKUP(J440,'Dados de consulta'!$H$2:$I$25,2,0))</f>
        <v>0</v>
      </c>
      <c r="AK440">
        <f>IF(K440="",0,VLOOKUP(K440,'Dados de consulta'!$H$2:$I$25,2,0))</f>
        <v>0</v>
      </c>
      <c r="AL440">
        <f>IF(L440="",0,VLOOKUP(L440,'Dados de consulta'!$H$2:$I$25,2,0))</f>
        <v>0</v>
      </c>
      <c r="AM440">
        <f>IF(M440="",0,VLOOKUP(M440,'Dados de consulta'!$H$2:$I$25,2,0))</f>
        <v>0</v>
      </c>
      <c r="AN440">
        <f>IF(N440="",0,VLOOKUP(N440,'Dados de consulta'!$H$2:$I$25,2,0))</f>
        <v>0</v>
      </c>
      <c r="AO440">
        <f>IF(O440="",0,VLOOKUP(O440,'Dados de consulta'!$H$2:$I$25,2,0))</f>
        <v>0</v>
      </c>
      <c r="AP440">
        <f>IF(P440="",0,VLOOKUP(P440,'Dados de consulta'!$H$2:$I$25,2,0))</f>
        <v>0</v>
      </c>
      <c r="AQ440">
        <f>IF(Q440="",0,VLOOKUP(Q440,'Dados de consulta'!$H$2:$I$25,2,0))</f>
        <v>0</v>
      </c>
      <c r="AR440">
        <f>IF(R440="",0,VLOOKUP(R440,'Dados de consulta'!$H$2:$I$25,2,0))</f>
        <v>0</v>
      </c>
      <c r="AS440">
        <f>IF(S440="",0,VLOOKUP(S440,'Dados de consulta'!$H$2:$I$25,2,0))</f>
        <v>0</v>
      </c>
      <c r="AT440">
        <f>IF(T440="",0,VLOOKUP(T440,'Dados de consulta'!$H$2:$I$25,2,0))</f>
        <v>0</v>
      </c>
      <c r="AU440">
        <f>IF(U440="",0,VLOOKUP(U440,'Dados de consulta'!$H$2:$I$25,2,0))</f>
        <v>0</v>
      </c>
      <c r="AV440">
        <f>IF(V440="",0,VLOOKUP(V440,'Dados de consulta'!$H$2:$I$25,2,0))</f>
        <v>0</v>
      </c>
      <c r="AW440">
        <f t="shared" si="41"/>
        <v>0</v>
      </c>
      <c r="AX440">
        <f t="shared" si="42"/>
        <v>0</v>
      </c>
      <c r="AY440">
        <f t="shared" si="43"/>
        <v>0</v>
      </c>
    </row>
    <row r="441" spans="1:51" hidden="1" x14ac:dyDescent="0.2">
      <c r="A441" s="202">
        <v>42698</v>
      </c>
      <c r="B441" s="78" t="s">
        <v>286</v>
      </c>
      <c r="AA441" s="202">
        <v>42698</v>
      </c>
      <c r="AB441" s="78" t="s">
        <v>286</v>
      </c>
      <c r="AC441">
        <f>IF(C441="",0,VLOOKUP(C441,'Dados de consulta'!$H$2:$I$25,2,0))</f>
        <v>0</v>
      </c>
      <c r="AD441">
        <f>IF(D441="",0,VLOOKUP(D441,'Dados de consulta'!$H$2:$I$25,2,0))</f>
        <v>0</v>
      </c>
      <c r="AE441">
        <f>IF(E441="",0,VLOOKUP(E441,'Dados de consulta'!$H$2:$I$25,2,0))</f>
        <v>0</v>
      </c>
      <c r="AF441">
        <f>IF(F441="",0,VLOOKUP(F441,'Dados de consulta'!$H$2:$I$25,2,0))</f>
        <v>0</v>
      </c>
      <c r="AG441">
        <f>IF(G441="",0,VLOOKUP(G441,'Dados de consulta'!$H$2:$I$25,2,0))</f>
        <v>0</v>
      </c>
      <c r="AH441">
        <f>IF(H441="",0,VLOOKUP(H441,'Dados de consulta'!$H$2:$I$25,2,0))</f>
        <v>0</v>
      </c>
      <c r="AI441">
        <f>IF(I441="",0,VLOOKUP(I441,'Dados de consulta'!$H$2:$I$25,2,0))</f>
        <v>0</v>
      </c>
      <c r="AJ441">
        <f>IF(J441="",0,VLOOKUP(J441,'Dados de consulta'!$H$2:$I$25,2,0))</f>
        <v>0</v>
      </c>
      <c r="AK441">
        <f>IF(K441="",0,VLOOKUP(K441,'Dados de consulta'!$H$2:$I$25,2,0))</f>
        <v>0</v>
      </c>
      <c r="AL441">
        <f>IF(L441="",0,VLOOKUP(L441,'Dados de consulta'!$H$2:$I$25,2,0))</f>
        <v>0</v>
      </c>
      <c r="AM441">
        <f>IF(M441="",0,VLOOKUP(M441,'Dados de consulta'!$H$2:$I$25,2,0))</f>
        <v>0</v>
      </c>
      <c r="AN441">
        <f>IF(N441="",0,VLOOKUP(N441,'Dados de consulta'!$H$2:$I$25,2,0))</f>
        <v>0</v>
      </c>
      <c r="AO441">
        <f>IF(O441="",0,VLOOKUP(O441,'Dados de consulta'!$H$2:$I$25,2,0))</f>
        <v>0</v>
      </c>
      <c r="AP441">
        <f>IF(P441="",0,VLOOKUP(P441,'Dados de consulta'!$H$2:$I$25,2,0))</f>
        <v>0</v>
      </c>
      <c r="AQ441">
        <f>IF(Q441="",0,VLOOKUP(Q441,'Dados de consulta'!$H$2:$I$25,2,0))</f>
        <v>0</v>
      </c>
      <c r="AR441">
        <f>IF(R441="",0,VLOOKUP(R441,'Dados de consulta'!$H$2:$I$25,2,0))</f>
        <v>0</v>
      </c>
      <c r="AS441">
        <f>IF(S441="",0,VLOOKUP(S441,'Dados de consulta'!$H$2:$I$25,2,0))</f>
        <v>0</v>
      </c>
      <c r="AT441">
        <f>IF(T441="",0,VLOOKUP(T441,'Dados de consulta'!$H$2:$I$25,2,0))</f>
        <v>0</v>
      </c>
      <c r="AU441">
        <f>IF(U441="",0,VLOOKUP(U441,'Dados de consulta'!$H$2:$I$25,2,0))</f>
        <v>0</v>
      </c>
      <c r="AV441">
        <f>IF(V441="",0,VLOOKUP(V441,'Dados de consulta'!$H$2:$I$25,2,0))</f>
        <v>0</v>
      </c>
      <c r="AW441">
        <f t="shared" si="41"/>
        <v>0</v>
      </c>
      <c r="AX441">
        <f t="shared" si="42"/>
        <v>0</v>
      </c>
      <c r="AY441">
        <f t="shared" si="43"/>
        <v>0</v>
      </c>
    </row>
    <row r="442" spans="1:51" hidden="1" x14ac:dyDescent="0.2">
      <c r="A442" s="202">
        <v>42699</v>
      </c>
      <c r="B442" s="78" t="s">
        <v>287</v>
      </c>
      <c r="AA442" s="202">
        <v>42699</v>
      </c>
      <c r="AB442" s="78" t="s">
        <v>287</v>
      </c>
      <c r="AC442">
        <f>IF(C442="",0,VLOOKUP(C442,'Dados de consulta'!$H$2:$I$25,2,0))</f>
        <v>0</v>
      </c>
      <c r="AD442">
        <f>IF(D442="",0,VLOOKUP(D442,'Dados de consulta'!$H$2:$I$25,2,0))</f>
        <v>0</v>
      </c>
      <c r="AE442">
        <f>IF(E442="",0,VLOOKUP(E442,'Dados de consulta'!$H$2:$I$25,2,0))</f>
        <v>0</v>
      </c>
      <c r="AF442">
        <f>IF(F442="",0,VLOOKUP(F442,'Dados de consulta'!$H$2:$I$25,2,0))</f>
        <v>0</v>
      </c>
      <c r="AG442">
        <f>IF(G442="",0,VLOOKUP(G442,'Dados de consulta'!$H$2:$I$25,2,0))</f>
        <v>0</v>
      </c>
      <c r="AH442">
        <f>IF(H442="",0,VLOOKUP(H442,'Dados de consulta'!$H$2:$I$25,2,0))</f>
        <v>0</v>
      </c>
      <c r="AI442">
        <f>IF(I442="",0,VLOOKUP(I442,'Dados de consulta'!$H$2:$I$25,2,0))</f>
        <v>0</v>
      </c>
      <c r="AJ442">
        <f>IF(J442="",0,VLOOKUP(J442,'Dados de consulta'!$H$2:$I$25,2,0))</f>
        <v>0</v>
      </c>
      <c r="AK442">
        <f>IF(K442="",0,VLOOKUP(K442,'Dados de consulta'!$H$2:$I$25,2,0))</f>
        <v>0</v>
      </c>
      <c r="AL442">
        <f>IF(L442="",0,VLOOKUP(L442,'Dados de consulta'!$H$2:$I$25,2,0))</f>
        <v>0</v>
      </c>
      <c r="AM442">
        <f>IF(M442="",0,VLOOKUP(M442,'Dados de consulta'!$H$2:$I$25,2,0))</f>
        <v>0</v>
      </c>
      <c r="AN442">
        <f>IF(N442="",0,VLOOKUP(N442,'Dados de consulta'!$H$2:$I$25,2,0))</f>
        <v>0</v>
      </c>
      <c r="AO442">
        <f>IF(O442="",0,VLOOKUP(O442,'Dados de consulta'!$H$2:$I$25,2,0))</f>
        <v>0</v>
      </c>
      <c r="AP442">
        <f>IF(P442="",0,VLOOKUP(P442,'Dados de consulta'!$H$2:$I$25,2,0))</f>
        <v>0</v>
      </c>
      <c r="AQ442">
        <f>IF(Q442="",0,VLOOKUP(Q442,'Dados de consulta'!$H$2:$I$25,2,0))</f>
        <v>0</v>
      </c>
      <c r="AR442">
        <f>IF(R442="",0,VLOOKUP(R442,'Dados de consulta'!$H$2:$I$25,2,0))</f>
        <v>0</v>
      </c>
      <c r="AS442">
        <f>IF(S442="",0,VLOOKUP(S442,'Dados de consulta'!$H$2:$I$25,2,0))</f>
        <v>0</v>
      </c>
      <c r="AT442">
        <f>IF(T442="",0,VLOOKUP(T442,'Dados de consulta'!$H$2:$I$25,2,0))</f>
        <v>0</v>
      </c>
      <c r="AU442">
        <f>IF(U442="",0,VLOOKUP(U442,'Dados de consulta'!$H$2:$I$25,2,0))</f>
        <v>0</v>
      </c>
      <c r="AV442">
        <f>IF(V442="",0,VLOOKUP(V442,'Dados de consulta'!$H$2:$I$25,2,0))</f>
        <v>0</v>
      </c>
      <c r="AW442">
        <f t="shared" si="41"/>
        <v>0</v>
      </c>
      <c r="AX442">
        <f t="shared" si="42"/>
        <v>0</v>
      </c>
      <c r="AY442">
        <f t="shared" si="43"/>
        <v>0</v>
      </c>
    </row>
    <row r="443" spans="1:51" hidden="1" x14ac:dyDescent="0.2">
      <c r="A443" s="202">
        <v>42700</v>
      </c>
      <c r="B443" s="78" t="s">
        <v>281</v>
      </c>
      <c r="AA443" s="202">
        <v>42700</v>
      </c>
      <c r="AB443" s="78" t="s">
        <v>281</v>
      </c>
      <c r="AC443">
        <f>IF(C443="",0,VLOOKUP(C443,'Dados de consulta'!$H$2:$I$25,2,0))</f>
        <v>0</v>
      </c>
      <c r="AD443">
        <f>IF(D443="",0,VLOOKUP(D443,'Dados de consulta'!$H$2:$I$25,2,0))</f>
        <v>0</v>
      </c>
      <c r="AE443">
        <f>IF(E443="",0,VLOOKUP(E443,'Dados de consulta'!$H$2:$I$25,2,0))</f>
        <v>0</v>
      </c>
      <c r="AF443">
        <f>IF(F443="",0,VLOOKUP(F443,'Dados de consulta'!$H$2:$I$25,2,0))</f>
        <v>0</v>
      </c>
      <c r="AG443">
        <f>IF(G443="",0,VLOOKUP(G443,'Dados de consulta'!$H$2:$I$25,2,0))</f>
        <v>0</v>
      </c>
      <c r="AH443">
        <f>IF(H443="",0,VLOOKUP(H443,'Dados de consulta'!$H$2:$I$25,2,0))</f>
        <v>0</v>
      </c>
      <c r="AI443">
        <f>IF(I443="",0,VLOOKUP(I443,'Dados de consulta'!$H$2:$I$25,2,0))</f>
        <v>0</v>
      </c>
      <c r="AJ443">
        <f>IF(J443="",0,VLOOKUP(J443,'Dados de consulta'!$H$2:$I$25,2,0))</f>
        <v>0</v>
      </c>
      <c r="AK443">
        <f>IF(K443="",0,VLOOKUP(K443,'Dados de consulta'!$H$2:$I$25,2,0))</f>
        <v>0</v>
      </c>
      <c r="AL443">
        <f>IF(L443="",0,VLOOKUP(L443,'Dados de consulta'!$H$2:$I$25,2,0))</f>
        <v>0</v>
      </c>
      <c r="AM443">
        <f>IF(M443="",0,VLOOKUP(M443,'Dados de consulta'!$H$2:$I$25,2,0))</f>
        <v>0</v>
      </c>
      <c r="AN443">
        <f>IF(N443="",0,VLOOKUP(N443,'Dados de consulta'!$H$2:$I$25,2,0))</f>
        <v>0</v>
      </c>
      <c r="AO443">
        <f>IF(O443="",0,VLOOKUP(O443,'Dados de consulta'!$H$2:$I$25,2,0))</f>
        <v>0</v>
      </c>
      <c r="AP443">
        <f>IF(P443="",0,VLOOKUP(P443,'Dados de consulta'!$H$2:$I$25,2,0))</f>
        <v>0</v>
      </c>
      <c r="AQ443">
        <f>IF(Q443="",0,VLOOKUP(Q443,'Dados de consulta'!$H$2:$I$25,2,0))</f>
        <v>0</v>
      </c>
      <c r="AR443">
        <f>IF(R443="",0,VLOOKUP(R443,'Dados de consulta'!$H$2:$I$25,2,0))</f>
        <v>0</v>
      </c>
      <c r="AS443">
        <f>IF(S443="",0,VLOOKUP(S443,'Dados de consulta'!$H$2:$I$25,2,0))</f>
        <v>0</v>
      </c>
      <c r="AT443">
        <f>IF(T443="",0,VLOOKUP(T443,'Dados de consulta'!$H$2:$I$25,2,0))</f>
        <v>0</v>
      </c>
      <c r="AU443">
        <f>IF(U443="",0,VLOOKUP(U443,'Dados de consulta'!$H$2:$I$25,2,0))</f>
        <v>0</v>
      </c>
      <c r="AV443">
        <f>IF(V443="",0,VLOOKUP(V443,'Dados de consulta'!$H$2:$I$25,2,0))</f>
        <v>0</v>
      </c>
      <c r="AW443">
        <f t="shared" si="41"/>
        <v>0</v>
      </c>
      <c r="AX443">
        <f t="shared" si="42"/>
        <v>0</v>
      </c>
      <c r="AY443">
        <f t="shared" si="43"/>
        <v>0</v>
      </c>
    </row>
    <row r="444" spans="1:51" hidden="1" x14ac:dyDescent="0.2">
      <c r="A444" s="202">
        <v>42701</v>
      </c>
      <c r="B444" s="78" t="s">
        <v>282</v>
      </c>
      <c r="AA444" s="202">
        <v>42701</v>
      </c>
      <c r="AB444" s="78" t="s">
        <v>282</v>
      </c>
      <c r="AC444">
        <f>IF(C444="",0,VLOOKUP(C444,'Dados de consulta'!$H$2:$I$25,2,0))</f>
        <v>0</v>
      </c>
      <c r="AD444">
        <f>IF(D444="",0,VLOOKUP(D444,'Dados de consulta'!$H$2:$I$25,2,0))</f>
        <v>0</v>
      </c>
      <c r="AE444">
        <f>IF(E444="",0,VLOOKUP(E444,'Dados de consulta'!$H$2:$I$25,2,0))</f>
        <v>0</v>
      </c>
      <c r="AF444">
        <f>IF(F444="",0,VLOOKUP(F444,'Dados de consulta'!$H$2:$I$25,2,0))</f>
        <v>0</v>
      </c>
      <c r="AG444">
        <f>IF(G444="",0,VLOOKUP(G444,'Dados de consulta'!$H$2:$I$25,2,0))</f>
        <v>0</v>
      </c>
      <c r="AH444">
        <f>IF(H444="",0,VLOOKUP(H444,'Dados de consulta'!$H$2:$I$25,2,0))</f>
        <v>0</v>
      </c>
      <c r="AI444">
        <f>IF(I444="",0,VLOOKUP(I444,'Dados de consulta'!$H$2:$I$25,2,0))</f>
        <v>0</v>
      </c>
      <c r="AJ444">
        <f>IF(J444="",0,VLOOKUP(J444,'Dados de consulta'!$H$2:$I$25,2,0))</f>
        <v>0</v>
      </c>
      <c r="AK444">
        <f>IF(K444="",0,VLOOKUP(K444,'Dados de consulta'!$H$2:$I$25,2,0))</f>
        <v>0</v>
      </c>
      <c r="AL444">
        <f>IF(L444="",0,VLOOKUP(L444,'Dados de consulta'!$H$2:$I$25,2,0))</f>
        <v>0</v>
      </c>
      <c r="AM444">
        <f>IF(M444="",0,VLOOKUP(M444,'Dados de consulta'!$H$2:$I$25,2,0))</f>
        <v>0</v>
      </c>
      <c r="AN444">
        <f>IF(N444="",0,VLOOKUP(N444,'Dados de consulta'!$H$2:$I$25,2,0))</f>
        <v>0</v>
      </c>
      <c r="AO444">
        <f>IF(O444="",0,VLOOKUP(O444,'Dados de consulta'!$H$2:$I$25,2,0))</f>
        <v>0</v>
      </c>
      <c r="AP444">
        <f>IF(P444="",0,VLOOKUP(P444,'Dados de consulta'!$H$2:$I$25,2,0))</f>
        <v>0</v>
      </c>
      <c r="AQ444">
        <f>IF(Q444="",0,VLOOKUP(Q444,'Dados de consulta'!$H$2:$I$25,2,0))</f>
        <v>0</v>
      </c>
      <c r="AR444">
        <f>IF(R444="",0,VLOOKUP(R444,'Dados de consulta'!$H$2:$I$25,2,0))</f>
        <v>0</v>
      </c>
      <c r="AS444">
        <f>IF(S444="",0,VLOOKUP(S444,'Dados de consulta'!$H$2:$I$25,2,0))</f>
        <v>0</v>
      </c>
      <c r="AT444">
        <f>IF(T444="",0,VLOOKUP(T444,'Dados de consulta'!$H$2:$I$25,2,0))</f>
        <v>0</v>
      </c>
      <c r="AU444">
        <f>IF(U444="",0,VLOOKUP(U444,'Dados de consulta'!$H$2:$I$25,2,0))</f>
        <v>0</v>
      </c>
      <c r="AV444">
        <f>IF(V444="",0,VLOOKUP(V444,'Dados de consulta'!$H$2:$I$25,2,0))</f>
        <v>0</v>
      </c>
      <c r="AW444">
        <f t="shared" si="41"/>
        <v>0</v>
      </c>
      <c r="AX444">
        <f t="shared" si="42"/>
        <v>0</v>
      </c>
      <c r="AY444">
        <f t="shared" si="43"/>
        <v>0</v>
      </c>
    </row>
    <row r="445" spans="1:51" hidden="1" x14ac:dyDescent="0.2">
      <c r="A445" s="202">
        <v>42702</v>
      </c>
      <c r="B445" s="78" t="s">
        <v>283</v>
      </c>
      <c r="AA445" s="202">
        <v>42702</v>
      </c>
      <c r="AB445" s="78" t="s">
        <v>283</v>
      </c>
      <c r="AC445">
        <f>IF(C445="",0,VLOOKUP(C445,'Dados de consulta'!$H$2:$I$25,2,0))</f>
        <v>0</v>
      </c>
      <c r="AD445">
        <f>IF(D445="",0,VLOOKUP(D445,'Dados de consulta'!$H$2:$I$25,2,0))</f>
        <v>0</v>
      </c>
      <c r="AE445">
        <f>IF(E445="",0,VLOOKUP(E445,'Dados de consulta'!$H$2:$I$25,2,0))</f>
        <v>0</v>
      </c>
      <c r="AF445">
        <f>IF(F445="",0,VLOOKUP(F445,'Dados de consulta'!$H$2:$I$25,2,0))</f>
        <v>0</v>
      </c>
      <c r="AG445">
        <f>IF(G445="",0,VLOOKUP(G445,'Dados de consulta'!$H$2:$I$25,2,0))</f>
        <v>0</v>
      </c>
      <c r="AH445">
        <f>IF(H445="",0,VLOOKUP(H445,'Dados de consulta'!$H$2:$I$25,2,0))</f>
        <v>0</v>
      </c>
      <c r="AI445">
        <f>IF(I445="",0,VLOOKUP(I445,'Dados de consulta'!$H$2:$I$25,2,0))</f>
        <v>0</v>
      </c>
      <c r="AJ445">
        <f>IF(J445="",0,VLOOKUP(J445,'Dados de consulta'!$H$2:$I$25,2,0))</f>
        <v>0</v>
      </c>
      <c r="AK445">
        <f>IF(K445="",0,VLOOKUP(K445,'Dados de consulta'!$H$2:$I$25,2,0))</f>
        <v>0</v>
      </c>
      <c r="AL445">
        <f>IF(L445="",0,VLOOKUP(L445,'Dados de consulta'!$H$2:$I$25,2,0))</f>
        <v>0</v>
      </c>
      <c r="AM445">
        <f>IF(M445="",0,VLOOKUP(M445,'Dados de consulta'!$H$2:$I$25,2,0))</f>
        <v>0</v>
      </c>
      <c r="AN445">
        <f>IF(N445="",0,VLOOKUP(N445,'Dados de consulta'!$H$2:$I$25,2,0))</f>
        <v>0</v>
      </c>
      <c r="AO445">
        <f>IF(O445="",0,VLOOKUP(O445,'Dados de consulta'!$H$2:$I$25,2,0))</f>
        <v>0</v>
      </c>
      <c r="AP445">
        <f>IF(P445="",0,VLOOKUP(P445,'Dados de consulta'!$H$2:$I$25,2,0))</f>
        <v>0</v>
      </c>
      <c r="AQ445">
        <f>IF(Q445="",0,VLOOKUP(Q445,'Dados de consulta'!$H$2:$I$25,2,0))</f>
        <v>0</v>
      </c>
      <c r="AR445">
        <f>IF(R445="",0,VLOOKUP(R445,'Dados de consulta'!$H$2:$I$25,2,0))</f>
        <v>0</v>
      </c>
      <c r="AS445">
        <f>IF(S445="",0,VLOOKUP(S445,'Dados de consulta'!$H$2:$I$25,2,0))</f>
        <v>0</v>
      </c>
      <c r="AT445">
        <f>IF(T445="",0,VLOOKUP(T445,'Dados de consulta'!$H$2:$I$25,2,0))</f>
        <v>0</v>
      </c>
      <c r="AU445">
        <f>IF(U445="",0,VLOOKUP(U445,'Dados de consulta'!$H$2:$I$25,2,0))</f>
        <v>0</v>
      </c>
      <c r="AV445">
        <f>IF(V445="",0,VLOOKUP(V445,'Dados de consulta'!$H$2:$I$25,2,0))</f>
        <v>0</v>
      </c>
      <c r="AW445">
        <f t="shared" si="41"/>
        <v>0</v>
      </c>
      <c r="AX445">
        <f t="shared" si="42"/>
        <v>0</v>
      </c>
      <c r="AY445">
        <f t="shared" si="43"/>
        <v>0</v>
      </c>
    </row>
    <row r="446" spans="1:51" hidden="1" x14ac:dyDescent="0.2">
      <c r="A446" s="202">
        <v>42703</v>
      </c>
      <c r="B446" s="78" t="s">
        <v>284</v>
      </c>
      <c r="AA446" s="202">
        <v>42703</v>
      </c>
      <c r="AB446" s="78" t="s">
        <v>284</v>
      </c>
      <c r="AC446">
        <f>IF(C446="",0,VLOOKUP(C446,'Dados de consulta'!$H$2:$I$25,2,0))</f>
        <v>0</v>
      </c>
      <c r="AD446">
        <f>IF(D446="",0,VLOOKUP(D446,'Dados de consulta'!$H$2:$I$25,2,0))</f>
        <v>0</v>
      </c>
      <c r="AE446">
        <f>IF(E446="",0,VLOOKUP(E446,'Dados de consulta'!$H$2:$I$25,2,0))</f>
        <v>0</v>
      </c>
      <c r="AF446">
        <f>IF(F446="",0,VLOOKUP(F446,'Dados de consulta'!$H$2:$I$25,2,0))</f>
        <v>0</v>
      </c>
      <c r="AG446">
        <f>IF(G446="",0,VLOOKUP(G446,'Dados de consulta'!$H$2:$I$25,2,0))</f>
        <v>0</v>
      </c>
      <c r="AH446">
        <f>IF(H446="",0,VLOOKUP(H446,'Dados de consulta'!$H$2:$I$25,2,0))</f>
        <v>0</v>
      </c>
      <c r="AI446">
        <f>IF(I446="",0,VLOOKUP(I446,'Dados de consulta'!$H$2:$I$25,2,0))</f>
        <v>0</v>
      </c>
      <c r="AJ446">
        <f>IF(J446="",0,VLOOKUP(J446,'Dados de consulta'!$H$2:$I$25,2,0))</f>
        <v>0</v>
      </c>
      <c r="AK446">
        <f>IF(K446="",0,VLOOKUP(K446,'Dados de consulta'!$H$2:$I$25,2,0))</f>
        <v>0</v>
      </c>
      <c r="AL446">
        <f>IF(L446="",0,VLOOKUP(L446,'Dados de consulta'!$H$2:$I$25,2,0))</f>
        <v>0</v>
      </c>
      <c r="AM446">
        <f>IF(M446="",0,VLOOKUP(M446,'Dados de consulta'!$H$2:$I$25,2,0))</f>
        <v>0</v>
      </c>
      <c r="AN446">
        <f>IF(N446="",0,VLOOKUP(N446,'Dados de consulta'!$H$2:$I$25,2,0))</f>
        <v>0</v>
      </c>
      <c r="AO446">
        <f>IF(O446="",0,VLOOKUP(O446,'Dados de consulta'!$H$2:$I$25,2,0))</f>
        <v>0</v>
      </c>
      <c r="AP446">
        <f>IF(P446="",0,VLOOKUP(P446,'Dados de consulta'!$H$2:$I$25,2,0))</f>
        <v>0</v>
      </c>
      <c r="AQ446">
        <f>IF(Q446="",0,VLOOKUP(Q446,'Dados de consulta'!$H$2:$I$25,2,0))</f>
        <v>0</v>
      </c>
      <c r="AR446">
        <f>IF(R446="",0,VLOOKUP(R446,'Dados de consulta'!$H$2:$I$25,2,0))</f>
        <v>0</v>
      </c>
      <c r="AS446">
        <f>IF(S446="",0,VLOOKUP(S446,'Dados de consulta'!$H$2:$I$25,2,0))</f>
        <v>0</v>
      </c>
      <c r="AT446">
        <f>IF(T446="",0,VLOOKUP(T446,'Dados de consulta'!$H$2:$I$25,2,0))</f>
        <v>0</v>
      </c>
      <c r="AU446">
        <f>IF(U446="",0,VLOOKUP(U446,'Dados de consulta'!$H$2:$I$25,2,0))</f>
        <v>0</v>
      </c>
      <c r="AV446">
        <f>IF(V446="",0,VLOOKUP(V446,'Dados de consulta'!$H$2:$I$25,2,0))</f>
        <v>0</v>
      </c>
      <c r="AW446">
        <f t="shared" si="41"/>
        <v>0</v>
      </c>
      <c r="AX446">
        <f t="shared" si="42"/>
        <v>0</v>
      </c>
      <c r="AY446">
        <f t="shared" si="43"/>
        <v>0</v>
      </c>
    </row>
    <row r="447" spans="1:51" hidden="1" x14ac:dyDescent="0.2">
      <c r="A447" s="202">
        <v>42704</v>
      </c>
      <c r="B447" s="78" t="s">
        <v>285</v>
      </c>
      <c r="AA447" s="202">
        <v>42704</v>
      </c>
      <c r="AB447" s="78" t="s">
        <v>285</v>
      </c>
      <c r="AC447">
        <f>IF(C447="",0,VLOOKUP(C447,'Dados de consulta'!$H$2:$I$25,2,0))</f>
        <v>0</v>
      </c>
      <c r="AD447">
        <f>IF(D447="",0,VLOOKUP(D447,'Dados de consulta'!$H$2:$I$25,2,0))</f>
        <v>0</v>
      </c>
      <c r="AE447">
        <f>IF(E447="",0,VLOOKUP(E447,'Dados de consulta'!$H$2:$I$25,2,0))</f>
        <v>0</v>
      </c>
      <c r="AF447">
        <f>IF(F447="",0,VLOOKUP(F447,'Dados de consulta'!$H$2:$I$25,2,0))</f>
        <v>0</v>
      </c>
      <c r="AG447">
        <f>IF(G447="",0,VLOOKUP(G447,'Dados de consulta'!$H$2:$I$25,2,0))</f>
        <v>0</v>
      </c>
      <c r="AH447">
        <f>IF(H447="",0,VLOOKUP(H447,'Dados de consulta'!$H$2:$I$25,2,0))</f>
        <v>0</v>
      </c>
      <c r="AI447">
        <f>IF(I447="",0,VLOOKUP(I447,'Dados de consulta'!$H$2:$I$25,2,0))</f>
        <v>0</v>
      </c>
      <c r="AJ447">
        <f>IF(J447="",0,VLOOKUP(J447,'Dados de consulta'!$H$2:$I$25,2,0))</f>
        <v>0</v>
      </c>
      <c r="AK447">
        <f>IF(K447="",0,VLOOKUP(K447,'Dados de consulta'!$H$2:$I$25,2,0))</f>
        <v>0</v>
      </c>
      <c r="AL447">
        <f>IF(L447="",0,VLOOKUP(L447,'Dados de consulta'!$H$2:$I$25,2,0))</f>
        <v>0</v>
      </c>
      <c r="AM447">
        <f>IF(M447="",0,VLOOKUP(M447,'Dados de consulta'!$H$2:$I$25,2,0))</f>
        <v>0</v>
      </c>
      <c r="AN447">
        <f>IF(N447="",0,VLOOKUP(N447,'Dados de consulta'!$H$2:$I$25,2,0))</f>
        <v>0</v>
      </c>
      <c r="AO447">
        <f>IF(O447="",0,VLOOKUP(O447,'Dados de consulta'!$H$2:$I$25,2,0))</f>
        <v>0</v>
      </c>
      <c r="AP447">
        <f>IF(P447="",0,VLOOKUP(P447,'Dados de consulta'!$H$2:$I$25,2,0))</f>
        <v>0</v>
      </c>
      <c r="AQ447">
        <f>IF(Q447="",0,VLOOKUP(Q447,'Dados de consulta'!$H$2:$I$25,2,0))</f>
        <v>0</v>
      </c>
      <c r="AR447">
        <f>IF(R447="",0,VLOOKUP(R447,'Dados de consulta'!$H$2:$I$25,2,0))</f>
        <v>0</v>
      </c>
      <c r="AS447">
        <f>IF(S447="",0,VLOOKUP(S447,'Dados de consulta'!$H$2:$I$25,2,0))</f>
        <v>0</v>
      </c>
      <c r="AT447">
        <f>IF(T447="",0,VLOOKUP(T447,'Dados de consulta'!$H$2:$I$25,2,0))</f>
        <v>0</v>
      </c>
      <c r="AU447">
        <f>IF(U447="",0,VLOOKUP(U447,'Dados de consulta'!$H$2:$I$25,2,0))</f>
        <v>0</v>
      </c>
      <c r="AV447">
        <f>IF(V447="",0,VLOOKUP(V447,'Dados de consulta'!$H$2:$I$25,2,0))</f>
        <v>0</v>
      </c>
      <c r="AW447">
        <f t="shared" si="41"/>
        <v>0</v>
      </c>
      <c r="AX447">
        <f t="shared" si="42"/>
        <v>0</v>
      </c>
      <c r="AY447">
        <f t="shared" si="43"/>
        <v>0</v>
      </c>
    </row>
    <row r="448" spans="1:51" hidden="1" x14ac:dyDescent="0.2">
      <c r="A448" s="202">
        <v>42705</v>
      </c>
      <c r="B448" s="78" t="s">
        <v>286</v>
      </c>
      <c r="AA448" s="202">
        <v>42705</v>
      </c>
      <c r="AB448" s="78" t="s">
        <v>286</v>
      </c>
      <c r="AC448">
        <f>IF(C448="",0,VLOOKUP(C448,'Dados de consulta'!$H$2:$I$25,2,0))</f>
        <v>0</v>
      </c>
      <c r="AD448">
        <f>IF(D448="",0,VLOOKUP(D448,'Dados de consulta'!$H$2:$I$25,2,0))</f>
        <v>0</v>
      </c>
      <c r="AE448">
        <f>IF(E448="",0,VLOOKUP(E448,'Dados de consulta'!$H$2:$I$25,2,0))</f>
        <v>0</v>
      </c>
      <c r="AF448">
        <f>IF(F448="",0,VLOOKUP(F448,'Dados de consulta'!$H$2:$I$25,2,0))</f>
        <v>0</v>
      </c>
      <c r="AG448">
        <f>IF(G448="",0,VLOOKUP(G448,'Dados de consulta'!$H$2:$I$25,2,0))</f>
        <v>0</v>
      </c>
      <c r="AH448">
        <f>IF(H448="",0,VLOOKUP(H448,'Dados de consulta'!$H$2:$I$25,2,0))</f>
        <v>0</v>
      </c>
      <c r="AI448">
        <f>IF(I448="",0,VLOOKUP(I448,'Dados de consulta'!$H$2:$I$25,2,0))</f>
        <v>0</v>
      </c>
      <c r="AJ448">
        <f>IF(J448="",0,VLOOKUP(J448,'Dados de consulta'!$H$2:$I$25,2,0))</f>
        <v>0</v>
      </c>
      <c r="AK448">
        <f>IF(K448="",0,VLOOKUP(K448,'Dados de consulta'!$H$2:$I$25,2,0))</f>
        <v>0</v>
      </c>
      <c r="AL448">
        <f>IF(L448="",0,VLOOKUP(L448,'Dados de consulta'!$H$2:$I$25,2,0))</f>
        <v>0</v>
      </c>
      <c r="AM448">
        <f>IF(M448="",0,VLOOKUP(M448,'Dados de consulta'!$H$2:$I$25,2,0))</f>
        <v>0</v>
      </c>
      <c r="AN448">
        <f>IF(N448="",0,VLOOKUP(N448,'Dados de consulta'!$H$2:$I$25,2,0))</f>
        <v>0</v>
      </c>
      <c r="AO448">
        <f>IF(O448="",0,VLOOKUP(O448,'Dados de consulta'!$H$2:$I$25,2,0))</f>
        <v>0</v>
      </c>
      <c r="AP448">
        <f>IF(P448="",0,VLOOKUP(P448,'Dados de consulta'!$H$2:$I$25,2,0))</f>
        <v>0</v>
      </c>
      <c r="AQ448">
        <f>IF(Q448="",0,VLOOKUP(Q448,'Dados de consulta'!$H$2:$I$25,2,0))</f>
        <v>0</v>
      </c>
      <c r="AR448">
        <f>IF(R448="",0,VLOOKUP(R448,'Dados de consulta'!$H$2:$I$25,2,0))</f>
        <v>0</v>
      </c>
      <c r="AS448">
        <f>IF(S448="",0,VLOOKUP(S448,'Dados de consulta'!$H$2:$I$25,2,0))</f>
        <v>0</v>
      </c>
      <c r="AT448">
        <f>IF(T448="",0,VLOOKUP(T448,'Dados de consulta'!$H$2:$I$25,2,0))</f>
        <v>0</v>
      </c>
      <c r="AU448">
        <f>IF(U448="",0,VLOOKUP(U448,'Dados de consulta'!$H$2:$I$25,2,0))</f>
        <v>0</v>
      </c>
      <c r="AV448">
        <f>IF(V448="",0,VLOOKUP(V448,'Dados de consulta'!$H$2:$I$25,2,0))</f>
        <v>0</v>
      </c>
      <c r="AW448">
        <f t="shared" si="41"/>
        <v>0</v>
      </c>
      <c r="AX448">
        <f t="shared" si="42"/>
        <v>0</v>
      </c>
      <c r="AY448">
        <f t="shared" si="43"/>
        <v>0</v>
      </c>
    </row>
    <row r="449" spans="1:51" hidden="1" x14ac:dyDescent="0.2">
      <c r="A449" s="202">
        <v>42706</v>
      </c>
      <c r="B449" s="78" t="s">
        <v>287</v>
      </c>
      <c r="AA449" s="202">
        <v>42706</v>
      </c>
      <c r="AB449" s="78" t="s">
        <v>287</v>
      </c>
      <c r="AC449">
        <f>IF(C449="",0,VLOOKUP(C449,'Dados de consulta'!$H$2:$I$25,2,0))</f>
        <v>0</v>
      </c>
      <c r="AD449">
        <f>IF(D449="",0,VLOOKUP(D449,'Dados de consulta'!$H$2:$I$25,2,0))</f>
        <v>0</v>
      </c>
      <c r="AE449">
        <f>IF(E449="",0,VLOOKUP(E449,'Dados de consulta'!$H$2:$I$25,2,0))</f>
        <v>0</v>
      </c>
      <c r="AF449">
        <f>IF(F449="",0,VLOOKUP(F449,'Dados de consulta'!$H$2:$I$25,2,0))</f>
        <v>0</v>
      </c>
      <c r="AG449">
        <f>IF(G449="",0,VLOOKUP(G449,'Dados de consulta'!$H$2:$I$25,2,0))</f>
        <v>0</v>
      </c>
      <c r="AH449">
        <f>IF(H449="",0,VLOOKUP(H449,'Dados de consulta'!$H$2:$I$25,2,0))</f>
        <v>0</v>
      </c>
      <c r="AI449">
        <f>IF(I449="",0,VLOOKUP(I449,'Dados de consulta'!$H$2:$I$25,2,0))</f>
        <v>0</v>
      </c>
      <c r="AJ449">
        <f>IF(J449="",0,VLOOKUP(J449,'Dados de consulta'!$H$2:$I$25,2,0))</f>
        <v>0</v>
      </c>
      <c r="AK449">
        <f>IF(K449="",0,VLOOKUP(K449,'Dados de consulta'!$H$2:$I$25,2,0))</f>
        <v>0</v>
      </c>
      <c r="AL449">
        <f>IF(L449="",0,VLOOKUP(L449,'Dados de consulta'!$H$2:$I$25,2,0))</f>
        <v>0</v>
      </c>
      <c r="AM449">
        <f>IF(M449="",0,VLOOKUP(M449,'Dados de consulta'!$H$2:$I$25,2,0))</f>
        <v>0</v>
      </c>
      <c r="AN449">
        <f>IF(N449="",0,VLOOKUP(N449,'Dados de consulta'!$H$2:$I$25,2,0))</f>
        <v>0</v>
      </c>
      <c r="AO449">
        <f>IF(O449="",0,VLOOKUP(O449,'Dados de consulta'!$H$2:$I$25,2,0))</f>
        <v>0</v>
      </c>
      <c r="AP449">
        <f>IF(P449="",0,VLOOKUP(P449,'Dados de consulta'!$H$2:$I$25,2,0))</f>
        <v>0</v>
      </c>
      <c r="AQ449">
        <f>IF(Q449="",0,VLOOKUP(Q449,'Dados de consulta'!$H$2:$I$25,2,0))</f>
        <v>0</v>
      </c>
      <c r="AR449">
        <f>IF(R449="",0,VLOOKUP(R449,'Dados de consulta'!$H$2:$I$25,2,0))</f>
        <v>0</v>
      </c>
      <c r="AS449">
        <f>IF(S449="",0,VLOOKUP(S449,'Dados de consulta'!$H$2:$I$25,2,0))</f>
        <v>0</v>
      </c>
      <c r="AT449">
        <f>IF(T449="",0,VLOOKUP(T449,'Dados de consulta'!$H$2:$I$25,2,0))</f>
        <v>0</v>
      </c>
      <c r="AU449">
        <f>IF(U449="",0,VLOOKUP(U449,'Dados de consulta'!$H$2:$I$25,2,0))</f>
        <v>0</v>
      </c>
      <c r="AV449">
        <f>IF(V449="",0,VLOOKUP(V449,'Dados de consulta'!$H$2:$I$25,2,0))</f>
        <v>0</v>
      </c>
      <c r="AW449">
        <f t="shared" si="41"/>
        <v>0</v>
      </c>
      <c r="AX449">
        <f t="shared" si="42"/>
        <v>0</v>
      </c>
      <c r="AY449">
        <f t="shared" si="43"/>
        <v>0</v>
      </c>
    </row>
    <row r="450" spans="1:51" hidden="1" x14ac:dyDescent="0.2">
      <c r="A450" s="202">
        <v>42707</v>
      </c>
      <c r="B450" s="78" t="s">
        <v>281</v>
      </c>
      <c r="AA450" s="202">
        <v>42707</v>
      </c>
      <c r="AB450" s="78" t="s">
        <v>281</v>
      </c>
      <c r="AC450">
        <f>IF(C450="",0,VLOOKUP(C450,'Dados de consulta'!$H$2:$I$25,2,0))</f>
        <v>0</v>
      </c>
      <c r="AD450">
        <f>IF(D450="",0,VLOOKUP(D450,'Dados de consulta'!$H$2:$I$25,2,0))</f>
        <v>0</v>
      </c>
      <c r="AE450">
        <f>IF(E450="",0,VLOOKUP(E450,'Dados de consulta'!$H$2:$I$25,2,0))</f>
        <v>0</v>
      </c>
      <c r="AF450">
        <f>IF(F450="",0,VLOOKUP(F450,'Dados de consulta'!$H$2:$I$25,2,0))</f>
        <v>0</v>
      </c>
      <c r="AG450">
        <f>IF(G450="",0,VLOOKUP(G450,'Dados de consulta'!$H$2:$I$25,2,0))</f>
        <v>0</v>
      </c>
      <c r="AH450">
        <f>IF(H450="",0,VLOOKUP(H450,'Dados de consulta'!$H$2:$I$25,2,0))</f>
        <v>0</v>
      </c>
      <c r="AI450">
        <f>IF(I450="",0,VLOOKUP(I450,'Dados de consulta'!$H$2:$I$25,2,0))</f>
        <v>0</v>
      </c>
      <c r="AJ450">
        <f>IF(J450="",0,VLOOKUP(J450,'Dados de consulta'!$H$2:$I$25,2,0))</f>
        <v>0</v>
      </c>
      <c r="AK450">
        <f>IF(K450="",0,VLOOKUP(K450,'Dados de consulta'!$H$2:$I$25,2,0))</f>
        <v>0</v>
      </c>
      <c r="AL450">
        <f>IF(L450="",0,VLOOKUP(L450,'Dados de consulta'!$H$2:$I$25,2,0))</f>
        <v>0</v>
      </c>
      <c r="AM450">
        <f>IF(M450="",0,VLOOKUP(M450,'Dados de consulta'!$H$2:$I$25,2,0))</f>
        <v>0</v>
      </c>
      <c r="AN450">
        <f>IF(N450="",0,VLOOKUP(N450,'Dados de consulta'!$H$2:$I$25,2,0))</f>
        <v>0</v>
      </c>
      <c r="AO450">
        <f>IF(O450="",0,VLOOKUP(O450,'Dados de consulta'!$H$2:$I$25,2,0))</f>
        <v>0</v>
      </c>
      <c r="AP450">
        <f>IF(P450="",0,VLOOKUP(P450,'Dados de consulta'!$H$2:$I$25,2,0))</f>
        <v>0</v>
      </c>
      <c r="AQ450">
        <f>IF(Q450="",0,VLOOKUP(Q450,'Dados de consulta'!$H$2:$I$25,2,0))</f>
        <v>0</v>
      </c>
      <c r="AR450">
        <f>IF(R450="",0,VLOOKUP(R450,'Dados de consulta'!$H$2:$I$25,2,0))</f>
        <v>0</v>
      </c>
      <c r="AS450">
        <f>IF(S450="",0,VLOOKUP(S450,'Dados de consulta'!$H$2:$I$25,2,0))</f>
        <v>0</v>
      </c>
      <c r="AT450">
        <f>IF(T450="",0,VLOOKUP(T450,'Dados de consulta'!$H$2:$I$25,2,0))</f>
        <v>0</v>
      </c>
      <c r="AU450">
        <f>IF(U450="",0,VLOOKUP(U450,'Dados de consulta'!$H$2:$I$25,2,0))</f>
        <v>0</v>
      </c>
      <c r="AV450">
        <f>IF(V450="",0,VLOOKUP(V450,'Dados de consulta'!$H$2:$I$25,2,0))</f>
        <v>0</v>
      </c>
      <c r="AW450">
        <f t="shared" si="41"/>
        <v>0</v>
      </c>
      <c r="AX450">
        <f t="shared" si="42"/>
        <v>0</v>
      </c>
      <c r="AY450">
        <f t="shared" si="43"/>
        <v>0</v>
      </c>
    </row>
    <row r="451" spans="1:51" hidden="1" x14ac:dyDescent="0.2">
      <c r="A451" s="202">
        <v>42708</v>
      </c>
      <c r="B451" s="78" t="s">
        <v>282</v>
      </c>
      <c r="AA451" s="202">
        <v>42708</v>
      </c>
      <c r="AB451" s="78" t="s">
        <v>282</v>
      </c>
      <c r="AC451">
        <f>IF(C451="",0,VLOOKUP(C451,'Dados de consulta'!$H$2:$I$25,2,0))</f>
        <v>0</v>
      </c>
      <c r="AD451">
        <f>IF(D451="",0,VLOOKUP(D451,'Dados de consulta'!$H$2:$I$25,2,0))</f>
        <v>0</v>
      </c>
      <c r="AE451">
        <f>IF(E451="",0,VLOOKUP(E451,'Dados de consulta'!$H$2:$I$25,2,0))</f>
        <v>0</v>
      </c>
      <c r="AF451">
        <f>IF(F451="",0,VLOOKUP(F451,'Dados de consulta'!$H$2:$I$25,2,0))</f>
        <v>0</v>
      </c>
      <c r="AG451">
        <f>IF(G451="",0,VLOOKUP(G451,'Dados de consulta'!$H$2:$I$25,2,0))</f>
        <v>0</v>
      </c>
      <c r="AH451">
        <f>IF(H451="",0,VLOOKUP(H451,'Dados de consulta'!$H$2:$I$25,2,0))</f>
        <v>0</v>
      </c>
      <c r="AI451">
        <f>IF(I451="",0,VLOOKUP(I451,'Dados de consulta'!$H$2:$I$25,2,0))</f>
        <v>0</v>
      </c>
      <c r="AJ451">
        <f>IF(J451="",0,VLOOKUP(J451,'Dados de consulta'!$H$2:$I$25,2,0))</f>
        <v>0</v>
      </c>
      <c r="AK451">
        <f>IF(K451="",0,VLOOKUP(K451,'Dados de consulta'!$H$2:$I$25,2,0))</f>
        <v>0</v>
      </c>
      <c r="AL451">
        <f>IF(L451="",0,VLOOKUP(L451,'Dados de consulta'!$H$2:$I$25,2,0))</f>
        <v>0</v>
      </c>
      <c r="AM451">
        <f>IF(M451="",0,VLOOKUP(M451,'Dados de consulta'!$H$2:$I$25,2,0))</f>
        <v>0</v>
      </c>
      <c r="AN451">
        <f>IF(N451="",0,VLOOKUP(N451,'Dados de consulta'!$H$2:$I$25,2,0))</f>
        <v>0</v>
      </c>
      <c r="AO451">
        <f>IF(O451="",0,VLOOKUP(O451,'Dados de consulta'!$H$2:$I$25,2,0))</f>
        <v>0</v>
      </c>
      <c r="AP451">
        <f>IF(P451="",0,VLOOKUP(P451,'Dados de consulta'!$H$2:$I$25,2,0))</f>
        <v>0</v>
      </c>
      <c r="AQ451">
        <f>IF(Q451="",0,VLOOKUP(Q451,'Dados de consulta'!$H$2:$I$25,2,0))</f>
        <v>0</v>
      </c>
      <c r="AR451">
        <f>IF(R451="",0,VLOOKUP(R451,'Dados de consulta'!$H$2:$I$25,2,0))</f>
        <v>0</v>
      </c>
      <c r="AS451">
        <f>IF(S451="",0,VLOOKUP(S451,'Dados de consulta'!$H$2:$I$25,2,0))</f>
        <v>0</v>
      </c>
      <c r="AT451">
        <f>IF(T451="",0,VLOOKUP(T451,'Dados de consulta'!$H$2:$I$25,2,0))</f>
        <v>0</v>
      </c>
      <c r="AU451">
        <f>IF(U451="",0,VLOOKUP(U451,'Dados de consulta'!$H$2:$I$25,2,0))</f>
        <v>0</v>
      </c>
      <c r="AV451">
        <f>IF(V451="",0,VLOOKUP(V451,'Dados de consulta'!$H$2:$I$25,2,0))</f>
        <v>0</v>
      </c>
      <c r="AW451">
        <f t="shared" si="41"/>
        <v>0</v>
      </c>
      <c r="AX451">
        <f t="shared" si="42"/>
        <v>0</v>
      </c>
      <c r="AY451">
        <f t="shared" si="43"/>
        <v>0</v>
      </c>
    </row>
    <row r="452" spans="1:51" hidden="1" x14ac:dyDescent="0.2">
      <c r="A452" s="202">
        <v>42709</v>
      </c>
      <c r="B452" s="78" t="s">
        <v>283</v>
      </c>
      <c r="AA452" s="202">
        <v>42709</v>
      </c>
      <c r="AB452" s="78" t="s">
        <v>283</v>
      </c>
      <c r="AC452">
        <f>IF(C452="",0,VLOOKUP(C452,'Dados de consulta'!$H$2:$I$25,2,0))</f>
        <v>0</v>
      </c>
      <c r="AD452">
        <f>IF(D452="",0,VLOOKUP(D452,'Dados de consulta'!$H$2:$I$25,2,0))</f>
        <v>0</v>
      </c>
      <c r="AE452">
        <f>IF(E452="",0,VLOOKUP(E452,'Dados de consulta'!$H$2:$I$25,2,0))</f>
        <v>0</v>
      </c>
      <c r="AF452">
        <f>IF(F452="",0,VLOOKUP(F452,'Dados de consulta'!$H$2:$I$25,2,0))</f>
        <v>0</v>
      </c>
      <c r="AG452">
        <f>IF(G452="",0,VLOOKUP(G452,'Dados de consulta'!$H$2:$I$25,2,0))</f>
        <v>0</v>
      </c>
      <c r="AH452">
        <f>IF(H452="",0,VLOOKUP(H452,'Dados de consulta'!$H$2:$I$25,2,0))</f>
        <v>0</v>
      </c>
      <c r="AI452">
        <f>IF(I452="",0,VLOOKUP(I452,'Dados de consulta'!$H$2:$I$25,2,0))</f>
        <v>0</v>
      </c>
      <c r="AJ452">
        <f>IF(J452="",0,VLOOKUP(J452,'Dados de consulta'!$H$2:$I$25,2,0))</f>
        <v>0</v>
      </c>
      <c r="AK452">
        <f>IF(K452="",0,VLOOKUP(K452,'Dados de consulta'!$H$2:$I$25,2,0))</f>
        <v>0</v>
      </c>
      <c r="AL452">
        <f>IF(L452="",0,VLOOKUP(L452,'Dados de consulta'!$H$2:$I$25,2,0))</f>
        <v>0</v>
      </c>
      <c r="AM452">
        <f>IF(M452="",0,VLOOKUP(M452,'Dados de consulta'!$H$2:$I$25,2,0))</f>
        <v>0</v>
      </c>
      <c r="AN452">
        <f>IF(N452="",0,VLOOKUP(N452,'Dados de consulta'!$H$2:$I$25,2,0))</f>
        <v>0</v>
      </c>
      <c r="AO452">
        <f>IF(O452="",0,VLOOKUP(O452,'Dados de consulta'!$H$2:$I$25,2,0))</f>
        <v>0</v>
      </c>
      <c r="AP452">
        <f>IF(P452="",0,VLOOKUP(P452,'Dados de consulta'!$H$2:$I$25,2,0))</f>
        <v>0</v>
      </c>
      <c r="AQ452">
        <f>IF(Q452="",0,VLOOKUP(Q452,'Dados de consulta'!$H$2:$I$25,2,0))</f>
        <v>0</v>
      </c>
      <c r="AR452">
        <f>IF(R452="",0,VLOOKUP(R452,'Dados de consulta'!$H$2:$I$25,2,0))</f>
        <v>0</v>
      </c>
      <c r="AS452">
        <f>IF(S452="",0,VLOOKUP(S452,'Dados de consulta'!$H$2:$I$25,2,0))</f>
        <v>0</v>
      </c>
      <c r="AT452">
        <f>IF(T452="",0,VLOOKUP(T452,'Dados de consulta'!$H$2:$I$25,2,0))</f>
        <v>0</v>
      </c>
      <c r="AU452">
        <f>IF(U452="",0,VLOOKUP(U452,'Dados de consulta'!$H$2:$I$25,2,0))</f>
        <v>0</v>
      </c>
      <c r="AV452">
        <f>IF(V452="",0,VLOOKUP(V452,'Dados de consulta'!$H$2:$I$25,2,0))</f>
        <v>0</v>
      </c>
      <c r="AW452">
        <f t="shared" si="41"/>
        <v>0</v>
      </c>
      <c r="AX452">
        <f t="shared" si="42"/>
        <v>0</v>
      </c>
      <c r="AY452">
        <f t="shared" si="43"/>
        <v>0</v>
      </c>
    </row>
    <row r="453" spans="1:51" hidden="1" x14ac:dyDescent="0.2">
      <c r="A453" s="202">
        <v>42710</v>
      </c>
      <c r="B453" s="78" t="s">
        <v>284</v>
      </c>
      <c r="AA453" s="202">
        <v>42710</v>
      </c>
      <c r="AB453" s="78" t="s">
        <v>284</v>
      </c>
      <c r="AC453">
        <f>IF(C453="",0,VLOOKUP(C453,'Dados de consulta'!$H$2:$I$25,2,0))</f>
        <v>0</v>
      </c>
      <c r="AD453">
        <f>IF(D453="",0,VLOOKUP(D453,'Dados de consulta'!$H$2:$I$25,2,0))</f>
        <v>0</v>
      </c>
      <c r="AE453">
        <f>IF(E453="",0,VLOOKUP(E453,'Dados de consulta'!$H$2:$I$25,2,0))</f>
        <v>0</v>
      </c>
      <c r="AF453">
        <f>IF(F453="",0,VLOOKUP(F453,'Dados de consulta'!$H$2:$I$25,2,0))</f>
        <v>0</v>
      </c>
      <c r="AG453">
        <f>IF(G453="",0,VLOOKUP(G453,'Dados de consulta'!$H$2:$I$25,2,0))</f>
        <v>0</v>
      </c>
      <c r="AH453">
        <f>IF(H453="",0,VLOOKUP(H453,'Dados de consulta'!$H$2:$I$25,2,0))</f>
        <v>0</v>
      </c>
      <c r="AI453">
        <f>IF(I453="",0,VLOOKUP(I453,'Dados de consulta'!$H$2:$I$25,2,0))</f>
        <v>0</v>
      </c>
      <c r="AJ453">
        <f>IF(J453="",0,VLOOKUP(J453,'Dados de consulta'!$H$2:$I$25,2,0))</f>
        <v>0</v>
      </c>
      <c r="AK453">
        <f>IF(K453="",0,VLOOKUP(K453,'Dados de consulta'!$H$2:$I$25,2,0))</f>
        <v>0</v>
      </c>
      <c r="AL453">
        <f>IF(L453="",0,VLOOKUP(L453,'Dados de consulta'!$H$2:$I$25,2,0))</f>
        <v>0</v>
      </c>
      <c r="AM453">
        <f>IF(M453="",0,VLOOKUP(M453,'Dados de consulta'!$H$2:$I$25,2,0))</f>
        <v>0</v>
      </c>
      <c r="AN453">
        <f>IF(N453="",0,VLOOKUP(N453,'Dados de consulta'!$H$2:$I$25,2,0))</f>
        <v>0</v>
      </c>
      <c r="AO453">
        <f>IF(O453="",0,VLOOKUP(O453,'Dados de consulta'!$H$2:$I$25,2,0))</f>
        <v>0</v>
      </c>
      <c r="AP453">
        <f>IF(P453="",0,VLOOKUP(P453,'Dados de consulta'!$H$2:$I$25,2,0))</f>
        <v>0</v>
      </c>
      <c r="AQ453">
        <f>IF(Q453="",0,VLOOKUP(Q453,'Dados de consulta'!$H$2:$I$25,2,0))</f>
        <v>0</v>
      </c>
      <c r="AR453">
        <f>IF(R453="",0,VLOOKUP(R453,'Dados de consulta'!$H$2:$I$25,2,0))</f>
        <v>0</v>
      </c>
      <c r="AS453">
        <f>IF(S453="",0,VLOOKUP(S453,'Dados de consulta'!$H$2:$I$25,2,0))</f>
        <v>0</v>
      </c>
      <c r="AT453">
        <f>IF(T453="",0,VLOOKUP(T453,'Dados de consulta'!$H$2:$I$25,2,0))</f>
        <v>0</v>
      </c>
      <c r="AU453">
        <f>IF(U453="",0,VLOOKUP(U453,'Dados de consulta'!$H$2:$I$25,2,0))</f>
        <v>0</v>
      </c>
      <c r="AV453">
        <f>IF(V453="",0,VLOOKUP(V453,'Dados de consulta'!$H$2:$I$25,2,0))</f>
        <v>0</v>
      </c>
      <c r="AW453">
        <f t="shared" si="41"/>
        <v>0</v>
      </c>
      <c r="AX453">
        <f t="shared" si="42"/>
        <v>0</v>
      </c>
      <c r="AY453">
        <f t="shared" si="43"/>
        <v>0</v>
      </c>
    </row>
    <row r="454" spans="1:51" hidden="1" x14ac:dyDescent="0.2">
      <c r="A454" s="202">
        <v>42711</v>
      </c>
      <c r="B454" s="78" t="s">
        <v>285</v>
      </c>
      <c r="AA454" s="202">
        <v>42711</v>
      </c>
      <c r="AB454" s="78" t="s">
        <v>285</v>
      </c>
      <c r="AC454">
        <f>IF(C454="",0,VLOOKUP(C454,'Dados de consulta'!$H$2:$I$25,2,0))</f>
        <v>0</v>
      </c>
      <c r="AD454">
        <f>IF(D454="",0,VLOOKUP(D454,'Dados de consulta'!$H$2:$I$25,2,0))</f>
        <v>0</v>
      </c>
      <c r="AE454">
        <f>IF(E454="",0,VLOOKUP(E454,'Dados de consulta'!$H$2:$I$25,2,0))</f>
        <v>0</v>
      </c>
      <c r="AF454">
        <f>IF(F454="",0,VLOOKUP(F454,'Dados de consulta'!$H$2:$I$25,2,0))</f>
        <v>0</v>
      </c>
      <c r="AG454">
        <f>IF(G454="",0,VLOOKUP(G454,'Dados de consulta'!$H$2:$I$25,2,0))</f>
        <v>0</v>
      </c>
      <c r="AH454">
        <f>IF(H454="",0,VLOOKUP(H454,'Dados de consulta'!$H$2:$I$25,2,0))</f>
        <v>0</v>
      </c>
      <c r="AI454">
        <f>IF(I454="",0,VLOOKUP(I454,'Dados de consulta'!$H$2:$I$25,2,0))</f>
        <v>0</v>
      </c>
      <c r="AJ454">
        <f>IF(J454="",0,VLOOKUP(J454,'Dados de consulta'!$H$2:$I$25,2,0))</f>
        <v>0</v>
      </c>
      <c r="AK454">
        <f>IF(K454="",0,VLOOKUP(K454,'Dados de consulta'!$H$2:$I$25,2,0))</f>
        <v>0</v>
      </c>
      <c r="AL454">
        <f>IF(L454="",0,VLOOKUP(L454,'Dados de consulta'!$H$2:$I$25,2,0))</f>
        <v>0</v>
      </c>
      <c r="AM454">
        <f>IF(M454="",0,VLOOKUP(M454,'Dados de consulta'!$H$2:$I$25,2,0))</f>
        <v>0</v>
      </c>
      <c r="AN454">
        <f>IF(N454="",0,VLOOKUP(N454,'Dados de consulta'!$H$2:$I$25,2,0))</f>
        <v>0</v>
      </c>
      <c r="AO454">
        <f>IF(O454="",0,VLOOKUP(O454,'Dados de consulta'!$H$2:$I$25,2,0))</f>
        <v>0</v>
      </c>
      <c r="AP454">
        <f>IF(P454="",0,VLOOKUP(P454,'Dados de consulta'!$H$2:$I$25,2,0))</f>
        <v>0</v>
      </c>
      <c r="AQ454">
        <f>IF(Q454="",0,VLOOKUP(Q454,'Dados de consulta'!$H$2:$I$25,2,0))</f>
        <v>0</v>
      </c>
      <c r="AR454">
        <f>IF(R454="",0,VLOOKUP(R454,'Dados de consulta'!$H$2:$I$25,2,0))</f>
        <v>0</v>
      </c>
      <c r="AS454">
        <f>IF(S454="",0,VLOOKUP(S454,'Dados de consulta'!$H$2:$I$25,2,0))</f>
        <v>0</v>
      </c>
      <c r="AT454">
        <f>IF(T454="",0,VLOOKUP(T454,'Dados de consulta'!$H$2:$I$25,2,0))</f>
        <v>0</v>
      </c>
      <c r="AU454">
        <f>IF(U454="",0,VLOOKUP(U454,'Dados de consulta'!$H$2:$I$25,2,0))</f>
        <v>0</v>
      </c>
      <c r="AV454">
        <f>IF(V454="",0,VLOOKUP(V454,'Dados de consulta'!$H$2:$I$25,2,0))</f>
        <v>0</v>
      </c>
      <c r="AW454">
        <f t="shared" si="41"/>
        <v>0</v>
      </c>
      <c r="AX454">
        <f t="shared" si="42"/>
        <v>0</v>
      </c>
      <c r="AY454">
        <f t="shared" si="43"/>
        <v>0</v>
      </c>
    </row>
    <row r="455" spans="1:51" hidden="1" x14ac:dyDescent="0.2">
      <c r="A455" s="202">
        <v>42712</v>
      </c>
      <c r="B455" s="78" t="s">
        <v>286</v>
      </c>
      <c r="AA455" s="202">
        <v>42712</v>
      </c>
      <c r="AB455" s="78" t="s">
        <v>286</v>
      </c>
      <c r="AC455">
        <f>IF(C455="",0,VLOOKUP(C455,'Dados de consulta'!$H$2:$I$25,2,0))</f>
        <v>0</v>
      </c>
      <c r="AD455">
        <f>IF(D455="",0,VLOOKUP(D455,'Dados de consulta'!$H$2:$I$25,2,0))</f>
        <v>0</v>
      </c>
      <c r="AE455">
        <f>IF(E455="",0,VLOOKUP(E455,'Dados de consulta'!$H$2:$I$25,2,0))</f>
        <v>0</v>
      </c>
      <c r="AF455">
        <f>IF(F455="",0,VLOOKUP(F455,'Dados de consulta'!$H$2:$I$25,2,0))</f>
        <v>0</v>
      </c>
      <c r="AG455">
        <f>IF(G455="",0,VLOOKUP(G455,'Dados de consulta'!$H$2:$I$25,2,0))</f>
        <v>0</v>
      </c>
      <c r="AH455">
        <f>IF(H455="",0,VLOOKUP(H455,'Dados de consulta'!$H$2:$I$25,2,0))</f>
        <v>0</v>
      </c>
      <c r="AI455">
        <f>IF(I455="",0,VLOOKUP(I455,'Dados de consulta'!$H$2:$I$25,2,0))</f>
        <v>0</v>
      </c>
      <c r="AJ455">
        <f>IF(J455="",0,VLOOKUP(J455,'Dados de consulta'!$H$2:$I$25,2,0))</f>
        <v>0</v>
      </c>
      <c r="AK455">
        <f>IF(K455="",0,VLOOKUP(K455,'Dados de consulta'!$H$2:$I$25,2,0))</f>
        <v>0</v>
      </c>
      <c r="AL455">
        <f>IF(L455="",0,VLOOKUP(L455,'Dados de consulta'!$H$2:$I$25,2,0))</f>
        <v>0</v>
      </c>
      <c r="AM455">
        <f>IF(M455="",0,VLOOKUP(M455,'Dados de consulta'!$H$2:$I$25,2,0))</f>
        <v>0</v>
      </c>
      <c r="AN455">
        <f>IF(N455="",0,VLOOKUP(N455,'Dados de consulta'!$H$2:$I$25,2,0))</f>
        <v>0</v>
      </c>
      <c r="AO455">
        <f>IF(O455="",0,VLOOKUP(O455,'Dados de consulta'!$H$2:$I$25,2,0))</f>
        <v>0</v>
      </c>
      <c r="AP455">
        <f>IF(P455="",0,VLOOKUP(P455,'Dados de consulta'!$H$2:$I$25,2,0))</f>
        <v>0</v>
      </c>
      <c r="AQ455">
        <f>IF(Q455="",0,VLOOKUP(Q455,'Dados de consulta'!$H$2:$I$25,2,0))</f>
        <v>0</v>
      </c>
      <c r="AR455">
        <f>IF(R455="",0,VLOOKUP(R455,'Dados de consulta'!$H$2:$I$25,2,0))</f>
        <v>0</v>
      </c>
      <c r="AS455">
        <f>IF(S455="",0,VLOOKUP(S455,'Dados de consulta'!$H$2:$I$25,2,0))</f>
        <v>0</v>
      </c>
      <c r="AT455">
        <f>IF(T455="",0,VLOOKUP(T455,'Dados de consulta'!$H$2:$I$25,2,0))</f>
        <v>0</v>
      </c>
      <c r="AU455">
        <f>IF(U455="",0,VLOOKUP(U455,'Dados de consulta'!$H$2:$I$25,2,0))</f>
        <v>0</v>
      </c>
      <c r="AV455">
        <f>IF(V455="",0,VLOOKUP(V455,'Dados de consulta'!$H$2:$I$25,2,0))</f>
        <v>0</v>
      </c>
      <c r="AW455">
        <f t="shared" si="41"/>
        <v>0</v>
      </c>
      <c r="AX455">
        <f t="shared" si="42"/>
        <v>0</v>
      </c>
      <c r="AY455">
        <f t="shared" si="43"/>
        <v>0</v>
      </c>
    </row>
    <row r="456" spans="1:51" hidden="1" x14ac:dyDescent="0.2">
      <c r="A456" s="202">
        <v>42713</v>
      </c>
      <c r="B456" s="78" t="s">
        <v>287</v>
      </c>
      <c r="AA456" s="202">
        <v>42713</v>
      </c>
      <c r="AB456" s="78" t="s">
        <v>287</v>
      </c>
      <c r="AC456">
        <f>IF(C456="",0,VLOOKUP(C456,'Dados de consulta'!$H$2:$I$25,2,0))</f>
        <v>0</v>
      </c>
      <c r="AD456">
        <f>IF(D456="",0,VLOOKUP(D456,'Dados de consulta'!$H$2:$I$25,2,0))</f>
        <v>0</v>
      </c>
      <c r="AE456">
        <f>IF(E456="",0,VLOOKUP(E456,'Dados de consulta'!$H$2:$I$25,2,0))</f>
        <v>0</v>
      </c>
      <c r="AF456">
        <f>IF(F456="",0,VLOOKUP(F456,'Dados de consulta'!$H$2:$I$25,2,0))</f>
        <v>0</v>
      </c>
      <c r="AG456">
        <f>IF(G456="",0,VLOOKUP(G456,'Dados de consulta'!$H$2:$I$25,2,0))</f>
        <v>0</v>
      </c>
      <c r="AH456">
        <f>IF(H456="",0,VLOOKUP(H456,'Dados de consulta'!$H$2:$I$25,2,0))</f>
        <v>0</v>
      </c>
      <c r="AI456">
        <f>IF(I456="",0,VLOOKUP(I456,'Dados de consulta'!$H$2:$I$25,2,0))</f>
        <v>0</v>
      </c>
      <c r="AJ456">
        <f>IF(J456="",0,VLOOKUP(J456,'Dados de consulta'!$H$2:$I$25,2,0))</f>
        <v>0</v>
      </c>
      <c r="AK456">
        <f>IF(K456="",0,VLOOKUP(K456,'Dados de consulta'!$H$2:$I$25,2,0))</f>
        <v>0</v>
      </c>
      <c r="AL456">
        <f>IF(L456="",0,VLOOKUP(L456,'Dados de consulta'!$H$2:$I$25,2,0))</f>
        <v>0</v>
      </c>
      <c r="AM456">
        <f>IF(M456="",0,VLOOKUP(M456,'Dados de consulta'!$H$2:$I$25,2,0))</f>
        <v>0</v>
      </c>
      <c r="AN456">
        <f>IF(N456="",0,VLOOKUP(N456,'Dados de consulta'!$H$2:$I$25,2,0))</f>
        <v>0</v>
      </c>
      <c r="AO456">
        <f>IF(O456="",0,VLOOKUP(O456,'Dados de consulta'!$H$2:$I$25,2,0))</f>
        <v>0</v>
      </c>
      <c r="AP456">
        <f>IF(P456="",0,VLOOKUP(P456,'Dados de consulta'!$H$2:$I$25,2,0))</f>
        <v>0</v>
      </c>
      <c r="AQ456">
        <f>IF(Q456="",0,VLOOKUP(Q456,'Dados de consulta'!$H$2:$I$25,2,0))</f>
        <v>0</v>
      </c>
      <c r="AR456">
        <f>IF(R456="",0,VLOOKUP(R456,'Dados de consulta'!$H$2:$I$25,2,0))</f>
        <v>0</v>
      </c>
      <c r="AS456">
        <f>IF(S456="",0,VLOOKUP(S456,'Dados de consulta'!$H$2:$I$25,2,0))</f>
        <v>0</v>
      </c>
      <c r="AT456">
        <f>IF(T456="",0,VLOOKUP(T456,'Dados de consulta'!$H$2:$I$25,2,0))</f>
        <v>0</v>
      </c>
      <c r="AU456">
        <f>IF(U456="",0,VLOOKUP(U456,'Dados de consulta'!$H$2:$I$25,2,0))</f>
        <v>0</v>
      </c>
      <c r="AV456">
        <f>IF(V456="",0,VLOOKUP(V456,'Dados de consulta'!$H$2:$I$25,2,0))</f>
        <v>0</v>
      </c>
      <c r="AW456">
        <f t="shared" si="41"/>
        <v>0</v>
      </c>
      <c r="AX456">
        <f t="shared" si="42"/>
        <v>0</v>
      </c>
      <c r="AY456">
        <f t="shared" si="43"/>
        <v>0</v>
      </c>
    </row>
    <row r="457" spans="1:51" hidden="1" x14ac:dyDescent="0.2">
      <c r="A457" s="202">
        <v>42714</v>
      </c>
      <c r="B457" s="78" t="s">
        <v>281</v>
      </c>
      <c r="AA457" s="202">
        <v>42714</v>
      </c>
      <c r="AB457" s="78" t="s">
        <v>281</v>
      </c>
      <c r="AC457">
        <f>IF(C457="",0,VLOOKUP(C457,'Dados de consulta'!$H$2:$I$25,2,0))</f>
        <v>0</v>
      </c>
      <c r="AD457">
        <f>IF(D457="",0,VLOOKUP(D457,'Dados de consulta'!$H$2:$I$25,2,0))</f>
        <v>0</v>
      </c>
      <c r="AE457">
        <f>IF(E457="",0,VLOOKUP(E457,'Dados de consulta'!$H$2:$I$25,2,0))</f>
        <v>0</v>
      </c>
      <c r="AF457">
        <f>IF(F457="",0,VLOOKUP(F457,'Dados de consulta'!$H$2:$I$25,2,0))</f>
        <v>0</v>
      </c>
      <c r="AG457">
        <f>IF(G457="",0,VLOOKUP(G457,'Dados de consulta'!$H$2:$I$25,2,0))</f>
        <v>0</v>
      </c>
      <c r="AH457">
        <f>IF(H457="",0,VLOOKUP(H457,'Dados de consulta'!$H$2:$I$25,2,0))</f>
        <v>0</v>
      </c>
      <c r="AI457">
        <f>IF(I457="",0,VLOOKUP(I457,'Dados de consulta'!$H$2:$I$25,2,0))</f>
        <v>0</v>
      </c>
      <c r="AJ457">
        <f>IF(J457="",0,VLOOKUP(J457,'Dados de consulta'!$H$2:$I$25,2,0))</f>
        <v>0</v>
      </c>
      <c r="AK457">
        <f>IF(K457="",0,VLOOKUP(K457,'Dados de consulta'!$H$2:$I$25,2,0))</f>
        <v>0</v>
      </c>
      <c r="AL457">
        <f>IF(L457="",0,VLOOKUP(L457,'Dados de consulta'!$H$2:$I$25,2,0))</f>
        <v>0</v>
      </c>
      <c r="AM457">
        <f>IF(M457="",0,VLOOKUP(M457,'Dados de consulta'!$H$2:$I$25,2,0))</f>
        <v>0</v>
      </c>
      <c r="AN457">
        <f>IF(N457="",0,VLOOKUP(N457,'Dados de consulta'!$H$2:$I$25,2,0))</f>
        <v>0</v>
      </c>
      <c r="AO457">
        <f>IF(O457="",0,VLOOKUP(O457,'Dados de consulta'!$H$2:$I$25,2,0))</f>
        <v>0</v>
      </c>
      <c r="AP457">
        <f>IF(P457="",0,VLOOKUP(P457,'Dados de consulta'!$H$2:$I$25,2,0))</f>
        <v>0</v>
      </c>
      <c r="AQ457">
        <f>IF(Q457="",0,VLOOKUP(Q457,'Dados de consulta'!$H$2:$I$25,2,0))</f>
        <v>0</v>
      </c>
      <c r="AR457">
        <f>IF(R457="",0,VLOOKUP(R457,'Dados de consulta'!$H$2:$I$25,2,0))</f>
        <v>0</v>
      </c>
      <c r="AS457">
        <f>IF(S457="",0,VLOOKUP(S457,'Dados de consulta'!$H$2:$I$25,2,0))</f>
        <v>0</v>
      </c>
      <c r="AT457">
        <f>IF(T457="",0,VLOOKUP(T457,'Dados de consulta'!$H$2:$I$25,2,0))</f>
        <v>0</v>
      </c>
      <c r="AU457">
        <f>IF(U457="",0,VLOOKUP(U457,'Dados de consulta'!$H$2:$I$25,2,0))</f>
        <v>0</v>
      </c>
      <c r="AV457">
        <f>IF(V457="",0,VLOOKUP(V457,'Dados de consulta'!$H$2:$I$25,2,0))</f>
        <v>0</v>
      </c>
      <c r="AW457">
        <f t="shared" si="41"/>
        <v>0</v>
      </c>
      <c r="AX457">
        <f t="shared" si="42"/>
        <v>0</v>
      </c>
      <c r="AY457">
        <f t="shared" si="43"/>
        <v>0</v>
      </c>
    </row>
    <row r="458" spans="1:51" hidden="1" x14ac:dyDescent="0.2">
      <c r="A458" s="202">
        <v>42715</v>
      </c>
      <c r="B458" s="78" t="s">
        <v>282</v>
      </c>
      <c r="AA458" s="202">
        <v>42715</v>
      </c>
      <c r="AB458" s="78" t="s">
        <v>282</v>
      </c>
      <c r="AC458">
        <f>IF(C458="",0,VLOOKUP(C458,'Dados de consulta'!$H$2:$I$25,2,0))</f>
        <v>0</v>
      </c>
      <c r="AD458">
        <f>IF(D458="",0,VLOOKUP(D458,'Dados de consulta'!$H$2:$I$25,2,0))</f>
        <v>0</v>
      </c>
      <c r="AE458">
        <f>IF(E458="",0,VLOOKUP(E458,'Dados de consulta'!$H$2:$I$25,2,0))</f>
        <v>0</v>
      </c>
      <c r="AF458">
        <f>IF(F458="",0,VLOOKUP(F458,'Dados de consulta'!$H$2:$I$25,2,0))</f>
        <v>0</v>
      </c>
      <c r="AG458">
        <f>IF(G458="",0,VLOOKUP(G458,'Dados de consulta'!$H$2:$I$25,2,0))</f>
        <v>0</v>
      </c>
      <c r="AH458">
        <f>IF(H458="",0,VLOOKUP(H458,'Dados de consulta'!$H$2:$I$25,2,0))</f>
        <v>0</v>
      </c>
      <c r="AI458">
        <f>IF(I458="",0,VLOOKUP(I458,'Dados de consulta'!$H$2:$I$25,2,0))</f>
        <v>0</v>
      </c>
      <c r="AJ458">
        <f>IF(J458="",0,VLOOKUP(J458,'Dados de consulta'!$H$2:$I$25,2,0))</f>
        <v>0</v>
      </c>
      <c r="AK458">
        <f>IF(K458="",0,VLOOKUP(K458,'Dados de consulta'!$H$2:$I$25,2,0))</f>
        <v>0</v>
      </c>
      <c r="AL458">
        <f>IF(L458="",0,VLOOKUP(L458,'Dados de consulta'!$H$2:$I$25,2,0))</f>
        <v>0</v>
      </c>
      <c r="AM458">
        <f>IF(M458="",0,VLOOKUP(M458,'Dados de consulta'!$H$2:$I$25,2,0))</f>
        <v>0</v>
      </c>
      <c r="AN458">
        <f>IF(N458="",0,VLOOKUP(N458,'Dados de consulta'!$H$2:$I$25,2,0))</f>
        <v>0</v>
      </c>
      <c r="AO458">
        <f>IF(O458="",0,VLOOKUP(O458,'Dados de consulta'!$H$2:$I$25,2,0))</f>
        <v>0</v>
      </c>
      <c r="AP458">
        <f>IF(P458="",0,VLOOKUP(P458,'Dados de consulta'!$H$2:$I$25,2,0))</f>
        <v>0</v>
      </c>
      <c r="AQ458">
        <f>IF(Q458="",0,VLOOKUP(Q458,'Dados de consulta'!$H$2:$I$25,2,0))</f>
        <v>0</v>
      </c>
      <c r="AR458">
        <f>IF(R458="",0,VLOOKUP(R458,'Dados de consulta'!$H$2:$I$25,2,0))</f>
        <v>0</v>
      </c>
      <c r="AS458">
        <f>IF(S458="",0,VLOOKUP(S458,'Dados de consulta'!$H$2:$I$25,2,0))</f>
        <v>0</v>
      </c>
      <c r="AT458">
        <f>IF(T458="",0,VLOOKUP(T458,'Dados de consulta'!$H$2:$I$25,2,0))</f>
        <v>0</v>
      </c>
      <c r="AU458">
        <f>IF(U458="",0,VLOOKUP(U458,'Dados de consulta'!$H$2:$I$25,2,0))</f>
        <v>0</v>
      </c>
      <c r="AV458">
        <f>IF(V458="",0,VLOOKUP(V458,'Dados de consulta'!$H$2:$I$25,2,0))</f>
        <v>0</v>
      </c>
      <c r="AW458">
        <f t="shared" si="41"/>
        <v>0</v>
      </c>
      <c r="AX458">
        <f t="shared" si="42"/>
        <v>0</v>
      </c>
      <c r="AY458">
        <f t="shared" si="43"/>
        <v>0</v>
      </c>
    </row>
    <row r="459" spans="1:51" hidden="1" x14ac:dyDescent="0.2">
      <c r="A459" s="202">
        <v>42716</v>
      </c>
      <c r="B459" s="78" t="s">
        <v>283</v>
      </c>
      <c r="AA459" s="202">
        <v>42716</v>
      </c>
      <c r="AB459" s="78" t="s">
        <v>283</v>
      </c>
      <c r="AC459">
        <f>IF(C459="",0,VLOOKUP(C459,'Dados de consulta'!$H$2:$I$25,2,0))</f>
        <v>0</v>
      </c>
      <c r="AD459">
        <f>IF(D459="",0,VLOOKUP(D459,'Dados de consulta'!$H$2:$I$25,2,0))</f>
        <v>0</v>
      </c>
      <c r="AE459">
        <f>IF(E459="",0,VLOOKUP(E459,'Dados de consulta'!$H$2:$I$25,2,0))</f>
        <v>0</v>
      </c>
      <c r="AF459">
        <f>IF(F459="",0,VLOOKUP(F459,'Dados de consulta'!$H$2:$I$25,2,0))</f>
        <v>0</v>
      </c>
      <c r="AG459">
        <f>IF(G459="",0,VLOOKUP(G459,'Dados de consulta'!$H$2:$I$25,2,0))</f>
        <v>0</v>
      </c>
      <c r="AH459">
        <f>IF(H459="",0,VLOOKUP(H459,'Dados de consulta'!$H$2:$I$25,2,0))</f>
        <v>0</v>
      </c>
      <c r="AI459">
        <f>IF(I459="",0,VLOOKUP(I459,'Dados de consulta'!$H$2:$I$25,2,0))</f>
        <v>0</v>
      </c>
      <c r="AJ459">
        <f>IF(J459="",0,VLOOKUP(J459,'Dados de consulta'!$H$2:$I$25,2,0))</f>
        <v>0</v>
      </c>
      <c r="AK459">
        <f>IF(K459="",0,VLOOKUP(K459,'Dados de consulta'!$H$2:$I$25,2,0))</f>
        <v>0</v>
      </c>
      <c r="AL459">
        <f>IF(L459="",0,VLOOKUP(L459,'Dados de consulta'!$H$2:$I$25,2,0))</f>
        <v>0</v>
      </c>
      <c r="AM459">
        <f>IF(M459="",0,VLOOKUP(M459,'Dados de consulta'!$H$2:$I$25,2,0))</f>
        <v>0</v>
      </c>
      <c r="AN459">
        <f>IF(N459="",0,VLOOKUP(N459,'Dados de consulta'!$H$2:$I$25,2,0))</f>
        <v>0</v>
      </c>
      <c r="AO459">
        <f>IF(O459="",0,VLOOKUP(O459,'Dados de consulta'!$H$2:$I$25,2,0))</f>
        <v>0</v>
      </c>
      <c r="AP459">
        <f>IF(P459="",0,VLOOKUP(P459,'Dados de consulta'!$H$2:$I$25,2,0))</f>
        <v>0</v>
      </c>
      <c r="AQ459">
        <f>IF(Q459="",0,VLOOKUP(Q459,'Dados de consulta'!$H$2:$I$25,2,0))</f>
        <v>0</v>
      </c>
      <c r="AR459">
        <f>IF(R459="",0,VLOOKUP(R459,'Dados de consulta'!$H$2:$I$25,2,0))</f>
        <v>0</v>
      </c>
      <c r="AS459">
        <f>IF(S459="",0,VLOOKUP(S459,'Dados de consulta'!$H$2:$I$25,2,0))</f>
        <v>0</v>
      </c>
      <c r="AT459">
        <f>IF(T459="",0,VLOOKUP(T459,'Dados de consulta'!$H$2:$I$25,2,0))</f>
        <v>0</v>
      </c>
      <c r="AU459">
        <f>IF(U459="",0,VLOOKUP(U459,'Dados de consulta'!$H$2:$I$25,2,0))</f>
        <v>0</v>
      </c>
      <c r="AV459">
        <f>IF(V459="",0,VLOOKUP(V459,'Dados de consulta'!$H$2:$I$25,2,0))</f>
        <v>0</v>
      </c>
      <c r="AW459">
        <f t="shared" si="41"/>
        <v>0</v>
      </c>
      <c r="AX459">
        <f t="shared" si="42"/>
        <v>0</v>
      </c>
      <c r="AY459">
        <f t="shared" si="43"/>
        <v>0</v>
      </c>
    </row>
    <row r="460" spans="1:51" hidden="1" x14ac:dyDescent="0.2">
      <c r="A460" s="202">
        <v>42717</v>
      </c>
      <c r="B460" s="78" t="s">
        <v>284</v>
      </c>
      <c r="AA460" s="202">
        <v>42717</v>
      </c>
      <c r="AB460" s="78" t="s">
        <v>284</v>
      </c>
      <c r="AC460">
        <f>IF(C460="",0,VLOOKUP(C460,'Dados de consulta'!$H$2:$I$25,2,0))</f>
        <v>0</v>
      </c>
      <c r="AD460">
        <f>IF(D460="",0,VLOOKUP(D460,'Dados de consulta'!$H$2:$I$25,2,0))</f>
        <v>0</v>
      </c>
      <c r="AE460">
        <f>IF(E460="",0,VLOOKUP(E460,'Dados de consulta'!$H$2:$I$25,2,0))</f>
        <v>0</v>
      </c>
      <c r="AF460">
        <f>IF(F460="",0,VLOOKUP(F460,'Dados de consulta'!$H$2:$I$25,2,0))</f>
        <v>0</v>
      </c>
      <c r="AG460">
        <f>IF(G460="",0,VLOOKUP(G460,'Dados de consulta'!$H$2:$I$25,2,0))</f>
        <v>0</v>
      </c>
      <c r="AH460">
        <f>IF(H460="",0,VLOOKUP(H460,'Dados de consulta'!$H$2:$I$25,2,0))</f>
        <v>0</v>
      </c>
      <c r="AI460">
        <f>IF(I460="",0,VLOOKUP(I460,'Dados de consulta'!$H$2:$I$25,2,0))</f>
        <v>0</v>
      </c>
      <c r="AJ460">
        <f>IF(J460="",0,VLOOKUP(J460,'Dados de consulta'!$H$2:$I$25,2,0))</f>
        <v>0</v>
      </c>
      <c r="AK460">
        <f>IF(K460="",0,VLOOKUP(K460,'Dados de consulta'!$H$2:$I$25,2,0))</f>
        <v>0</v>
      </c>
      <c r="AL460">
        <f>IF(L460="",0,VLOOKUP(L460,'Dados de consulta'!$H$2:$I$25,2,0))</f>
        <v>0</v>
      </c>
      <c r="AM460">
        <f>IF(M460="",0,VLOOKUP(M460,'Dados de consulta'!$H$2:$I$25,2,0))</f>
        <v>0</v>
      </c>
      <c r="AN460">
        <f>IF(N460="",0,VLOOKUP(N460,'Dados de consulta'!$H$2:$I$25,2,0))</f>
        <v>0</v>
      </c>
      <c r="AO460">
        <f>IF(O460="",0,VLOOKUP(O460,'Dados de consulta'!$H$2:$I$25,2,0))</f>
        <v>0</v>
      </c>
      <c r="AP460">
        <f>IF(P460="",0,VLOOKUP(P460,'Dados de consulta'!$H$2:$I$25,2,0))</f>
        <v>0</v>
      </c>
      <c r="AQ460">
        <f>IF(Q460="",0,VLOOKUP(Q460,'Dados de consulta'!$H$2:$I$25,2,0))</f>
        <v>0</v>
      </c>
      <c r="AR460">
        <f>IF(R460="",0,VLOOKUP(R460,'Dados de consulta'!$H$2:$I$25,2,0))</f>
        <v>0</v>
      </c>
      <c r="AS460">
        <f>IF(S460="",0,VLOOKUP(S460,'Dados de consulta'!$H$2:$I$25,2,0))</f>
        <v>0</v>
      </c>
      <c r="AT460">
        <f>IF(T460="",0,VLOOKUP(T460,'Dados de consulta'!$H$2:$I$25,2,0))</f>
        <v>0</v>
      </c>
      <c r="AU460">
        <f>IF(U460="",0,VLOOKUP(U460,'Dados de consulta'!$H$2:$I$25,2,0))</f>
        <v>0</v>
      </c>
      <c r="AV460">
        <f>IF(V460="",0,VLOOKUP(V460,'Dados de consulta'!$H$2:$I$25,2,0))</f>
        <v>0</v>
      </c>
      <c r="AW460">
        <f t="shared" si="41"/>
        <v>0</v>
      </c>
      <c r="AX460">
        <f t="shared" si="42"/>
        <v>0</v>
      </c>
      <c r="AY460">
        <f t="shared" si="43"/>
        <v>0</v>
      </c>
    </row>
    <row r="461" spans="1:51" hidden="1" x14ac:dyDescent="0.2">
      <c r="A461" s="202">
        <v>42718</v>
      </c>
      <c r="B461" s="78" t="s">
        <v>285</v>
      </c>
      <c r="AA461" s="202">
        <v>42718</v>
      </c>
      <c r="AB461" s="78" t="s">
        <v>285</v>
      </c>
      <c r="AC461">
        <f>IF(C461="",0,VLOOKUP(C461,'Dados de consulta'!$H$2:$I$25,2,0))</f>
        <v>0</v>
      </c>
      <c r="AD461">
        <f>IF(D461="",0,VLOOKUP(D461,'Dados de consulta'!$H$2:$I$25,2,0))</f>
        <v>0</v>
      </c>
      <c r="AE461">
        <f>IF(E461="",0,VLOOKUP(E461,'Dados de consulta'!$H$2:$I$25,2,0))</f>
        <v>0</v>
      </c>
      <c r="AF461">
        <f>IF(F461="",0,VLOOKUP(F461,'Dados de consulta'!$H$2:$I$25,2,0))</f>
        <v>0</v>
      </c>
      <c r="AG461">
        <f>IF(G461="",0,VLOOKUP(G461,'Dados de consulta'!$H$2:$I$25,2,0))</f>
        <v>0</v>
      </c>
      <c r="AH461">
        <f>IF(H461="",0,VLOOKUP(H461,'Dados de consulta'!$H$2:$I$25,2,0))</f>
        <v>0</v>
      </c>
      <c r="AI461">
        <f>IF(I461="",0,VLOOKUP(I461,'Dados de consulta'!$H$2:$I$25,2,0))</f>
        <v>0</v>
      </c>
      <c r="AJ461">
        <f>IF(J461="",0,VLOOKUP(J461,'Dados de consulta'!$H$2:$I$25,2,0))</f>
        <v>0</v>
      </c>
      <c r="AK461">
        <f>IF(K461="",0,VLOOKUP(K461,'Dados de consulta'!$H$2:$I$25,2,0))</f>
        <v>0</v>
      </c>
      <c r="AL461">
        <f>IF(L461="",0,VLOOKUP(L461,'Dados de consulta'!$H$2:$I$25,2,0))</f>
        <v>0</v>
      </c>
      <c r="AM461">
        <f>IF(M461="",0,VLOOKUP(M461,'Dados de consulta'!$H$2:$I$25,2,0))</f>
        <v>0</v>
      </c>
      <c r="AN461">
        <f>IF(N461="",0,VLOOKUP(N461,'Dados de consulta'!$H$2:$I$25,2,0))</f>
        <v>0</v>
      </c>
      <c r="AO461">
        <f>IF(O461="",0,VLOOKUP(O461,'Dados de consulta'!$H$2:$I$25,2,0))</f>
        <v>0</v>
      </c>
      <c r="AP461">
        <f>IF(P461="",0,VLOOKUP(P461,'Dados de consulta'!$H$2:$I$25,2,0))</f>
        <v>0</v>
      </c>
      <c r="AQ461">
        <f>IF(Q461="",0,VLOOKUP(Q461,'Dados de consulta'!$H$2:$I$25,2,0))</f>
        <v>0</v>
      </c>
      <c r="AR461">
        <f>IF(R461="",0,VLOOKUP(R461,'Dados de consulta'!$H$2:$I$25,2,0))</f>
        <v>0</v>
      </c>
      <c r="AS461">
        <f>IF(S461="",0,VLOOKUP(S461,'Dados de consulta'!$H$2:$I$25,2,0))</f>
        <v>0</v>
      </c>
      <c r="AT461">
        <f>IF(T461="",0,VLOOKUP(T461,'Dados de consulta'!$H$2:$I$25,2,0))</f>
        <v>0</v>
      </c>
      <c r="AU461">
        <f>IF(U461="",0,VLOOKUP(U461,'Dados de consulta'!$H$2:$I$25,2,0))</f>
        <v>0</v>
      </c>
      <c r="AV461">
        <f>IF(V461="",0,VLOOKUP(V461,'Dados de consulta'!$H$2:$I$25,2,0))</f>
        <v>0</v>
      </c>
      <c r="AW461">
        <f t="shared" si="41"/>
        <v>0</v>
      </c>
      <c r="AX461">
        <f t="shared" si="42"/>
        <v>0</v>
      </c>
      <c r="AY461">
        <f t="shared" si="43"/>
        <v>0</v>
      </c>
    </row>
    <row r="462" spans="1:51" hidden="1" x14ac:dyDescent="0.2">
      <c r="A462" s="202">
        <v>42719</v>
      </c>
      <c r="B462" s="78" t="s">
        <v>286</v>
      </c>
      <c r="AA462" s="202">
        <v>42719</v>
      </c>
      <c r="AB462" s="78" t="s">
        <v>286</v>
      </c>
      <c r="AC462">
        <f>IF(C462="",0,VLOOKUP(C462,'Dados de consulta'!$H$2:$I$25,2,0))</f>
        <v>0</v>
      </c>
      <c r="AD462">
        <f>IF(D462="",0,VLOOKUP(D462,'Dados de consulta'!$H$2:$I$25,2,0))</f>
        <v>0</v>
      </c>
      <c r="AE462">
        <f>IF(E462="",0,VLOOKUP(E462,'Dados de consulta'!$H$2:$I$25,2,0))</f>
        <v>0</v>
      </c>
      <c r="AF462">
        <f>IF(F462="",0,VLOOKUP(F462,'Dados de consulta'!$H$2:$I$25,2,0))</f>
        <v>0</v>
      </c>
      <c r="AG462">
        <f>IF(G462="",0,VLOOKUP(G462,'Dados de consulta'!$H$2:$I$25,2,0))</f>
        <v>0</v>
      </c>
      <c r="AH462">
        <f>IF(H462="",0,VLOOKUP(H462,'Dados de consulta'!$H$2:$I$25,2,0))</f>
        <v>0</v>
      </c>
      <c r="AI462">
        <f>IF(I462="",0,VLOOKUP(I462,'Dados de consulta'!$H$2:$I$25,2,0))</f>
        <v>0</v>
      </c>
      <c r="AJ462">
        <f>IF(J462="",0,VLOOKUP(J462,'Dados de consulta'!$H$2:$I$25,2,0))</f>
        <v>0</v>
      </c>
      <c r="AK462">
        <f>IF(K462="",0,VLOOKUP(K462,'Dados de consulta'!$H$2:$I$25,2,0))</f>
        <v>0</v>
      </c>
      <c r="AL462">
        <f>IF(L462="",0,VLOOKUP(L462,'Dados de consulta'!$H$2:$I$25,2,0))</f>
        <v>0</v>
      </c>
      <c r="AM462">
        <f>IF(M462="",0,VLOOKUP(M462,'Dados de consulta'!$H$2:$I$25,2,0))</f>
        <v>0</v>
      </c>
      <c r="AN462">
        <f>IF(N462="",0,VLOOKUP(N462,'Dados de consulta'!$H$2:$I$25,2,0))</f>
        <v>0</v>
      </c>
      <c r="AO462">
        <f>IF(O462="",0,VLOOKUP(O462,'Dados de consulta'!$H$2:$I$25,2,0))</f>
        <v>0</v>
      </c>
      <c r="AP462">
        <f>IF(P462="",0,VLOOKUP(P462,'Dados de consulta'!$H$2:$I$25,2,0))</f>
        <v>0</v>
      </c>
      <c r="AQ462">
        <f>IF(Q462="",0,VLOOKUP(Q462,'Dados de consulta'!$H$2:$I$25,2,0))</f>
        <v>0</v>
      </c>
      <c r="AR462">
        <f>IF(R462="",0,VLOOKUP(R462,'Dados de consulta'!$H$2:$I$25,2,0))</f>
        <v>0</v>
      </c>
      <c r="AS462">
        <f>IF(S462="",0,VLOOKUP(S462,'Dados de consulta'!$H$2:$I$25,2,0))</f>
        <v>0</v>
      </c>
      <c r="AT462">
        <f>IF(T462="",0,VLOOKUP(T462,'Dados de consulta'!$H$2:$I$25,2,0))</f>
        <v>0</v>
      </c>
      <c r="AU462">
        <f>IF(U462="",0,VLOOKUP(U462,'Dados de consulta'!$H$2:$I$25,2,0))</f>
        <v>0</v>
      </c>
      <c r="AV462">
        <f>IF(V462="",0,VLOOKUP(V462,'Dados de consulta'!$H$2:$I$25,2,0))</f>
        <v>0</v>
      </c>
      <c r="AW462">
        <f t="shared" si="41"/>
        <v>0</v>
      </c>
      <c r="AX462">
        <f t="shared" si="42"/>
        <v>0</v>
      </c>
      <c r="AY462">
        <f t="shared" si="43"/>
        <v>0</v>
      </c>
    </row>
    <row r="463" spans="1:51" hidden="1" x14ac:dyDescent="0.2">
      <c r="A463" s="202">
        <v>42720</v>
      </c>
      <c r="B463" s="78" t="s">
        <v>287</v>
      </c>
      <c r="AA463" s="202">
        <v>42720</v>
      </c>
      <c r="AB463" s="78" t="s">
        <v>287</v>
      </c>
      <c r="AC463">
        <f>IF(C463="",0,VLOOKUP(C463,'Dados de consulta'!$H$2:$I$25,2,0))</f>
        <v>0</v>
      </c>
      <c r="AD463">
        <f>IF(D463="",0,VLOOKUP(D463,'Dados de consulta'!$H$2:$I$25,2,0))</f>
        <v>0</v>
      </c>
      <c r="AE463">
        <f>IF(E463="",0,VLOOKUP(E463,'Dados de consulta'!$H$2:$I$25,2,0))</f>
        <v>0</v>
      </c>
      <c r="AF463">
        <f>IF(F463="",0,VLOOKUP(F463,'Dados de consulta'!$H$2:$I$25,2,0))</f>
        <v>0</v>
      </c>
      <c r="AG463">
        <f>IF(G463="",0,VLOOKUP(G463,'Dados de consulta'!$H$2:$I$25,2,0))</f>
        <v>0</v>
      </c>
      <c r="AH463">
        <f>IF(H463="",0,VLOOKUP(H463,'Dados de consulta'!$H$2:$I$25,2,0))</f>
        <v>0</v>
      </c>
      <c r="AI463">
        <f>IF(I463="",0,VLOOKUP(I463,'Dados de consulta'!$H$2:$I$25,2,0))</f>
        <v>0</v>
      </c>
      <c r="AJ463">
        <f>IF(J463="",0,VLOOKUP(J463,'Dados de consulta'!$H$2:$I$25,2,0))</f>
        <v>0</v>
      </c>
      <c r="AK463">
        <f>IF(K463="",0,VLOOKUP(K463,'Dados de consulta'!$H$2:$I$25,2,0))</f>
        <v>0</v>
      </c>
      <c r="AL463">
        <f>IF(L463="",0,VLOOKUP(L463,'Dados de consulta'!$H$2:$I$25,2,0))</f>
        <v>0</v>
      </c>
      <c r="AM463">
        <f>IF(M463="",0,VLOOKUP(M463,'Dados de consulta'!$H$2:$I$25,2,0))</f>
        <v>0</v>
      </c>
      <c r="AN463">
        <f>IF(N463="",0,VLOOKUP(N463,'Dados de consulta'!$H$2:$I$25,2,0))</f>
        <v>0</v>
      </c>
      <c r="AO463">
        <f>IF(O463="",0,VLOOKUP(O463,'Dados de consulta'!$H$2:$I$25,2,0))</f>
        <v>0</v>
      </c>
      <c r="AP463">
        <f>IF(P463="",0,VLOOKUP(P463,'Dados de consulta'!$H$2:$I$25,2,0))</f>
        <v>0</v>
      </c>
      <c r="AQ463">
        <f>IF(Q463="",0,VLOOKUP(Q463,'Dados de consulta'!$H$2:$I$25,2,0))</f>
        <v>0</v>
      </c>
      <c r="AR463">
        <f>IF(R463="",0,VLOOKUP(R463,'Dados de consulta'!$H$2:$I$25,2,0))</f>
        <v>0</v>
      </c>
      <c r="AS463">
        <f>IF(S463="",0,VLOOKUP(S463,'Dados de consulta'!$H$2:$I$25,2,0))</f>
        <v>0</v>
      </c>
      <c r="AT463">
        <f>IF(T463="",0,VLOOKUP(T463,'Dados de consulta'!$H$2:$I$25,2,0))</f>
        <v>0</v>
      </c>
      <c r="AU463">
        <f>IF(U463="",0,VLOOKUP(U463,'Dados de consulta'!$H$2:$I$25,2,0))</f>
        <v>0</v>
      </c>
      <c r="AV463">
        <f>IF(V463="",0,VLOOKUP(V463,'Dados de consulta'!$H$2:$I$25,2,0))</f>
        <v>0</v>
      </c>
      <c r="AW463">
        <f t="shared" si="41"/>
        <v>0</v>
      </c>
      <c r="AX463">
        <f t="shared" si="42"/>
        <v>0</v>
      </c>
      <c r="AY463">
        <f t="shared" si="43"/>
        <v>0</v>
      </c>
    </row>
    <row r="464" spans="1:51" hidden="1" x14ac:dyDescent="0.2">
      <c r="A464" s="202">
        <v>42721</v>
      </c>
      <c r="B464" s="78" t="s">
        <v>281</v>
      </c>
      <c r="AA464" s="202">
        <v>42721</v>
      </c>
      <c r="AB464" s="78" t="s">
        <v>281</v>
      </c>
      <c r="AC464">
        <f>IF(C464="",0,VLOOKUP(C464,'Dados de consulta'!$H$2:$I$25,2,0))</f>
        <v>0</v>
      </c>
      <c r="AD464">
        <f>IF(D464="",0,VLOOKUP(D464,'Dados de consulta'!$H$2:$I$25,2,0))</f>
        <v>0</v>
      </c>
      <c r="AE464">
        <f>IF(E464="",0,VLOOKUP(E464,'Dados de consulta'!$H$2:$I$25,2,0))</f>
        <v>0</v>
      </c>
      <c r="AF464">
        <f>IF(F464="",0,VLOOKUP(F464,'Dados de consulta'!$H$2:$I$25,2,0))</f>
        <v>0</v>
      </c>
      <c r="AG464">
        <f>IF(G464="",0,VLOOKUP(G464,'Dados de consulta'!$H$2:$I$25,2,0))</f>
        <v>0</v>
      </c>
      <c r="AH464">
        <f>IF(H464="",0,VLOOKUP(H464,'Dados de consulta'!$H$2:$I$25,2,0))</f>
        <v>0</v>
      </c>
      <c r="AI464">
        <f>IF(I464="",0,VLOOKUP(I464,'Dados de consulta'!$H$2:$I$25,2,0))</f>
        <v>0</v>
      </c>
      <c r="AJ464">
        <f>IF(J464="",0,VLOOKUP(J464,'Dados de consulta'!$H$2:$I$25,2,0))</f>
        <v>0</v>
      </c>
      <c r="AK464">
        <f>IF(K464="",0,VLOOKUP(K464,'Dados de consulta'!$H$2:$I$25,2,0))</f>
        <v>0</v>
      </c>
      <c r="AL464">
        <f>IF(L464="",0,VLOOKUP(L464,'Dados de consulta'!$H$2:$I$25,2,0))</f>
        <v>0</v>
      </c>
      <c r="AM464">
        <f>IF(M464="",0,VLOOKUP(M464,'Dados de consulta'!$H$2:$I$25,2,0))</f>
        <v>0</v>
      </c>
      <c r="AN464">
        <f>IF(N464="",0,VLOOKUP(N464,'Dados de consulta'!$H$2:$I$25,2,0))</f>
        <v>0</v>
      </c>
      <c r="AO464">
        <f>IF(O464="",0,VLOOKUP(O464,'Dados de consulta'!$H$2:$I$25,2,0))</f>
        <v>0</v>
      </c>
      <c r="AP464">
        <f>IF(P464="",0,VLOOKUP(P464,'Dados de consulta'!$H$2:$I$25,2,0))</f>
        <v>0</v>
      </c>
      <c r="AQ464">
        <f>IF(Q464="",0,VLOOKUP(Q464,'Dados de consulta'!$H$2:$I$25,2,0))</f>
        <v>0</v>
      </c>
      <c r="AR464">
        <f>IF(R464="",0,VLOOKUP(R464,'Dados de consulta'!$H$2:$I$25,2,0))</f>
        <v>0</v>
      </c>
      <c r="AS464">
        <f>IF(S464="",0,VLOOKUP(S464,'Dados de consulta'!$H$2:$I$25,2,0))</f>
        <v>0</v>
      </c>
      <c r="AT464">
        <f>IF(T464="",0,VLOOKUP(T464,'Dados de consulta'!$H$2:$I$25,2,0))</f>
        <v>0</v>
      </c>
      <c r="AU464">
        <f>IF(U464="",0,VLOOKUP(U464,'Dados de consulta'!$H$2:$I$25,2,0))</f>
        <v>0</v>
      </c>
      <c r="AV464">
        <f>IF(V464="",0,VLOOKUP(V464,'Dados de consulta'!$H$2:$I$25,2,0))</f>
        <v>0</v>
      </c>
      <c r="AW464">
        <f t="shared" si="41"/>
        <v>0</v>
      </c>
      <c r="AX464">
        <f t="shared" si="42"/>
        <v>0</v>
      </c>
      <c r="AY464">
        <f t="shared" si="43"/>
        <v>0</v>
      </c>
    </row>
    <row r="465" spans="1:51" hidden="1" x14ac:dyDescent="0.2">
      <c r="A465" s="202">
        <v>42722</v>
      </c>
      <c r="B465" s="78" t="s">
        <v>282</v>
      </c>
      <c r="AA465" s="202">
        <v>42722</v>
      </c>
      <c r="AB465" s="78" t="s">
        <v>282</v>
      </c>
      <c r="AC465">
        <f>IF(C465="",0,VLOOKUP(C465,'Dados de consulta'!$H$2:$I$25,2,0))</f>
        <v>0</v>
      </c>
      <c r="AD465">
        <f>IF(D465="",0,VLOOKUP(D465,'Dados de consulta'!$H$2:$I$25,2,0))</f>
        <v>0</v>
      </c>
      <c r="AE465">
        <f>IF(E465="",0,VLOOKUP(E465,'Dados de consulta'!$H$2:$I$25,2,0))</f>
        <v>0</v>
      </c>
      <c r="AF465">
        <f>IF(F465="",0,VLOOKUP(F465,'Dados de consulta'!$H$2:$I$25,2,0))</f>
        <v>0</v>
      </c>
      <c r="AG465">
        <f>IF(G465="",0,VLOOKUP(G465,'Dados de consulta'!$H$2:$I$25,2,0))</f>
        <v>0</v>
      </c>
      <c r="AH465">
        <f>IF(H465="",0,VLOOKUP(H465,'Dados de consulta'!$H$2:$I$25,2,0))</f>
        <v>0</v>
      </c>
      <c r="AI465">
        <f>IF(I465="",0,VLOOKUP(I465,'Dados de consulta'!$H$2:$I$25,2,0))</f>
        <v>0</v>
      </c>
      <c r="AJ465">
        <f>IF(J465="",0,VLOOKUP(J465,'Dados de consulta'!$H$2:$I$25,2,0))</f>
        <v>0</v>
      </c>
      <c r="AK465">
        <f>IF(K465="",0,VLOOKUP(K465,'Dados de consulta'!$H$2:$I$25,2,0))</f>
        <v>0</v>
      </c>
      <c r="AL465">
        <f>IF(L465="",0,VLOOKUP(L465,'Dados de consulta'!$H$2:$I$25,2,0))</f>
        <v>0</v>
      </c>
      <c r="AM465">
        <f>IF(M465="",0,VLOOKUP(M465,'Dados de consulta'!$H$2:$I$25,2,0))</f>
        <v>0</v>
      </c>
      <c r="AN465">
        <f>IF(N465="",0,VLOOKUP(N465,'Dados de consulta'!$H$2:$I$25,2,0))</f>
        <v>0</v>
      </c>
      <c r="AO465">
        <f>IF(O465="",0,VLOOKUP(O465,'Dados de consulta'!$H$2:$I$25,2,0))</f>
        <v>0</v>
      </c>
      <c r="AP465">
        <f>IF(P465="",0,VLOOKUP(P465,'Dados de consulta'!$H$2:$I$25,2,0))</f>
        <v>0</v>
      </c>
      <c r="AQ465">
        <f>IF(Q465="",0,VLOOKUP(Q465,'Dados de consulta'!$H$2:$I$25,2,0))</f>
        <v>0</v>
      </c>
      <c r="AR465">
        <f>IF(R465="",0,VLOOKUP(R465,'Dados de consulta'!$H$2:$I$25,2,0))</f>
        <v>0</v>
      </c>
      <c r="AS465">
        <f>IF(S465="",0,VLOOKUP(S465,'Dados de consulta'!$H$2:$I$25,2,0))</f>
        <v>0</v>
      </c>
      <c r="AT465">
        <f>IF(T465="",0,VLOOKUP(T465,'Dados de consulta'!$H$2:$I$25,2,0))</f>
        <v>0</v>
      </c>
      <c r="AU465">
        <f>IF(U465="",0,VLOOKUP(U465,'Dados de consulta'!$H$2:$I$25,2,0))</f>
        <v>0</v>
      </c>
      <c r="AV465">
        <f>IF(V465="",0,VLOOKUP(V465,'Dados de consulta'!$H$2:$I$25,2,0))</f>
        <v>0</v>
      </c>
      <c r="AW465">
        <f t="shared" ref="AW465:AW478" si="44">SUMIF(AC465:AV465,"&lt;"&amp;9,AC465:AV465)</f>
        <v>0</v>
      </c>
      <c r="AX465">
        <f t="shared" ref="AX465:AX478" si="45">SUMIFS(AC465:AV465,AC465:AV465,"&gt;"&amp;8,AC465:AV465,"&lt;"&amp;19)-COUNTIFS(AC465:AV465,"&gt;"&amp;8,AC465:AV465,"&lt;"&amp;19)*10</f>
        <v>0</v>
      </c>
      <c r="AY465">
        <f t="shared" ref="AY465:AY478" si="46">SUMIFS(AC465:AV465,AC465:AV465,"&gt;"&amp;20,AC465:AV465,"&lt;"&amp;29)-COUNTIFS(AC465:AV465,"&gt;"&amp;20,AC465:AV465,"&lt;"&amp;29)*20</f>
        <v>0</v>
      </c>
    </row>
    <row r="466" spans="1:51" hidden="1" x14ac:dyDescent="0.2">
      <c r="A466" s="202">
        <v>42723</v>
      </c>
      <c r="B466" s="78" t="s">
        <v>283</v>
      </c>
      <c r="AA466" s="202">
        <v>42723</v>
      </c>
      <c r="AB466" s="78" t="s">
        <v>283</v>
      </c>
      <c r="AC466">
        <f>IF(C466="",0,VLOOKUP(C466,'Dados de consulta'!$H$2:$I$25,2,0))</f>
        <v>0</v>
      </c>
      <c r="AD466">
        <f>IF(D466="",0,VLOOKUP(D466,'Dados de consulta'!$H$2:$I$25,2,0))</f>
        <v>0</v>
      </c>
      <c r="AE466">
        <f>IF(E466="",0,VLOOKUP(E466,'Dados de consulta'!$H$2:$I$25,2,0))</f>
        <v>0</v>
      </c>
      <c r="AF466">
        <f>IF(F466="",0,VLOOKUP(F466,'Dados de consulta'!$H$2:$I$25,2,0))</f>
        <v>0</v>
      </c>
      <c r="AG466">
        <f>IF(G466="",0,VLOOKUP(G466,'Dados de consulta'!$H$2:$I$25,2,0))</f>
        <v>0</v>
      </c>
      <c r="AH466">
        <f>IF(H466="",0,VLOOKUP(H466,'Dados de consulta'!$H$2:$I$25,2,0))</f>
        <v>0</v>
      </c>
      <c r="AI466">
        <f>IF(I466="",0,VLOOKUP(I466,'Dados de consulta'!$H$2:$I$25,2,0))</f>
        <v>0</v>
      </c>
      <c r="AJ466">
        <f>IF(J466="",0,VLOOKUP(J466,'Dados de consulta'!$H$2:$I$25,2,0))</f>
        <v>0</v>
      </c>
      <c r="AK466">
        <f>IF(K466="",0,VLOOKUP(K466,'Dados de consulta'!$H$2:$I$25,2,0))</f>
        <v>0</v>
      </c>
      <c r="AL466">
        <f>IF(L466="",0,VLOOKUP(L466,'Dados de consulta'!$H$2:$I$25,2,0))</f>
        <v>0</v>
      </c>
      <c r="AM466">
        <f>IF(M466="",0,VLOOKUP(M466,'Dados de consulta'!$H$2:$I$25,2,0))</f>
        <v>0</v>
      </c>
      <c r="AN466">
        <f>IF(N466="",0,VLOOKUP(N466,'Dados de consulta'!$H$2:$I$25,2,0))</f>
        <v>0</v>
      </c>
      <c r="AO466">
        <f>IF(O466="",0,VLOOKUP(O466,'Dados de consulta'!$H$2:$I$25,2,0))</f>
        <v>0</v>
      </c>
      <c r="AP466">
        <f>IF(P466="",0,VLOOKUP(P466,'Dados de consulta'!$H$2:$I$25,2,0))</f>
        <v>0</v>
      </c>
      <c r="AQ466">
        <f>IF(Q466="",0,VLOOKUP(Q466,'Dados de consulta'!$H$2:$I$25,2,0))</f>
        <v>0</v>
      </c>
      <c r="AR466">
        <f>IF(R466="",0,VLOOKUP(R466,'Dados de consulta'!$H$2:$I$25,2,0))</f>
        <v>0</v>
      </c>
      <c r="AS466">
        <f>IF(S466="",0,VLOOKUP(S466,'Dados de consulta'!$H$2:$I$25,2,0))</f>
        <v>0</v>
      </c>
      <c r="AT466">
        <f>IF(T466="",0,VLOOKUP(T466,'Dados de consulta'!$H$2:$I$25,2,0))</f>
        <v>0</v>
      </c>
      <c r="AU466">
        <f>IF(U466="",0,VLOOKUP(U466,'Dados de consulta'!$H$2:$I$25,2,0))</f>
        <v>0</v>
      </c>
      <c r="AV466">
        <f>IF(V466="",0,VLOOKUP(V466,'Dados de consulta'!$H$2:$I$25,2,0))</f>
        <v>0</v>
      </c>
      <c r="AW466">
        <f t="shared" si="44"/>
        <v>0</v>
      </c>
      <c r="AX466">
        <f t="shared" si="45"/>
        <v>0</v>
      </c>
      <c r="AY466">
        <f t="shared" si="46"/>
        <v>0</v>
      </c>
    </row>
    <row r="467" spans="1:51" hidden="1" x14ac:dyDescent="0.2">
      <c r="A467" s="202">
        <v>42724</v>
      </c>
      <c r="B467" s="78" t="s">
        <v>284</v>
      </c>
      <c r="AA467" s="202">
        <v>42724</v>
      </c>
      <c r="AB467" s="78" t="s">
        <v>284</v>
      </c>
      <c r="AC467">
        <f>IF(C467="",0,VLOOKUP(C467,'Dados de consulta'!$H$2:$I$25,2,0))</f>
        <v>0</v>
      </c>
      <c r="AD467">
        <f>IF(D467="",0,VLOOKUP(D467,'Dados de consulta'!$H$2:$I$25,2,0))</f>
        <v>0</v>
      </c>
      <c r="AE467">
        <f>IF(E467="",0,VLOOKUP(E467,'Dados de consulta'!$H$2:$I$25,2,0))</f>
        <v>0</v>
      </c>
      <c r="AF467">
        <f>IF(F467="",0,VLOOKUP(F467,'Dados de consulta'!$H$2:$I$25,2,0))</f>
        <v>0</v>
      </c>
      <c r="AG467">
        <f>IF(G467="",0,VLOOKUP(G467,'Dados de consulta'!$H$2:$I$25,2,0))</f>
        <v>0</v>
      </c>
      <c r="AH467">
        <f>IF(H467="",0,VLOOKUP(H467,'Dados de consulta'!$H$2:$I$25,2,0))</f>
        <v>0</v>
      </c>
      <c r="AI467">
        <f>IF(I467="",0,VLOOKUP(I467,'Dados de consulta'!$H$2:$I$25,2,0))</f>
        <v>0</v>
      </c>
      <c r="AJ467">
        <f>IF(J467="",0,VLOOKUP(J467,'Dados de consulta'!$H$2:$I$25,2,0))</f>
        <v>0</v>
      </c>
      <c r="AK467">
        <f>IF(K467="",0,VLOOKUP(K467,'Dados de consulta'!$H$2:$I$25,2,0))</f>
        <v>0</v>
      </c>
      <c r="AL467">
        <f>IF(L467="",0,VLOOKUP(L467,'Dados de consulta'!$H$2:$I$25,2,0))</f>
        <v>0</v>
      </c>
      <c r="AM467">
        <f>IF(M467="",0,VLOOKUP(M467,'Dados de consulta'!$H$2:$I$25,2,0))</f>
        <v>0</v>
      </c>
      <c r="AN467">
        <f>IF(N467="",0,VLOOKUP(N467,'Dados de consulta'!$H$2:$I$25,2,0))</f>
        <v>0</v>
      </c>
      <c r="AO467">
        <f>IF(O467="",0,VLOOKUP(O467,'Dados de consulta'!$H$2:$I$25,2,0))</f>
        <v>0</v>
      </c>
      <c r="AP467">
        <f>IF(P467="",0,VLOOKUP(P467,'Dados de consulta'!$H$2:$I$25,2,0))</f>
        <v>0</v>
      </c>
      <c r="AQ467">
        <f>IF(Q467="",0,VLOOKUP(Q467,'Dados de consulta'!$H$2:$I$25,2,0))</f>
        <v>0</v>
      </c>
      <c r="AR467">
        <f>IF(R467="",0,VLOOKUP(R467,'Dados de consulta'!$H$2:$I$25,2,0))</f>
        <v>0</v>
      </c>
      <c r="AS467">
        <f>IF(S467="",0,VLOOKUP(S467,'Dados de consulta'!$H$2:$I$25,2,0))</f>
        <v>0</v>
      </c>
      <c r="AT467">
        <f>IF(T467="",0,VLOOKUP(T467,'Dados de consulta'!$H$2:$I$25,2,0))</f>
        <v>0</v>
      </c>
      <c r="AU467">
        <f>IF(U467="",0,VLOOKUP(U467,'Dados de consulta'!$H$2:$I$25,2,0))</f>
        <v>0</v>
      </c>
      <c r="AV467">
        <f>IF(V467="",0,VLOOKUP(V467,'Dados de consulta'!$H$2:$I$25,2,0))</f>
        <v>0</v>
      </c>
      <c r="AW467">
        <f t="shared" si="44"/>
        <v>0</v>
      </c>
      <c r="AX467">
        <f t="shared" si="45"/>
        <v>0</v>
      </c>
      <c r="AY467">
        <f t="shared" si="46"/>
        <v>0</v>
      </c>
    </row>
    <row r="468" spans="1:51" hidden="1" x14ac:dyDescent="0.2">
      <c r="A468" s="202">
        <v>42725</v>
      </c>
      <c r="B468" s="78" t="s">
        <v>285</v>
      </c>
      <c r="AA468" s="202">
        <v>42725</v>
      </c>
      <c r="AB468" s="78" t="s">
        <v>285</v>
      </c>
      <c r="AC468">
        <f>IF(C468="",0,VLOOKUP(C468,'Dados de consulta'!$H$2:$I$25,2,0))</f>
        <v>0</v>
      </c>
      <c r="AD468">
        <f>IF(D468="",0,VLOOKUP(D468,'Dados de consulta'!$H$2:$I$25,2,0))</f>
        <v>0</v>
      </c>
      <c r="AE468">
        <f>IF(E468="",0,VLOOKUP(E468,'Dados de consulta'!$H$2:$I$25,2,0))</f>
        <v>0</v>
      </c>
      <c r="AF468">
        <f>IF(F468="",0,VLOOKUP(F468,'Dados de consulta'!$H$2:$I$25,2,0))</f>
        <v>0</v>
      </c>
      <c r="AG468">
        <f>IF(G468="",0,VLOOKUP(G468,'Dados de consulta'!$H$2:$I$25,2,0))</f>
        <v>0</v>
      </c>
      <c r="AH468">
        <f>IF(H468="",0,VLOOKUP(H468,'Dados de consulta'!$H$2:$I$25,2,0))</f>
        <v>0</v>
      </c>
      <c r="AI468">
        <f>IF(I468="",0,VLOOKUP(I468,'Dados de consulta'!$H$2:$I$25,2,0))</f>
        <v>0</v>
      </c>
      <c r="AJ468">
        <f>IF(J468="",0,VLOOKUP(J468,'Dados de consulta'!$H$2:$I$25,2,0))</f>
        <v>0</v>
      </c>
      <c r="AK468">
        <f>IF(K468="",0,VLOOKUP(K468,'Dados de consulta'!$H$2:$I$25,2,0))</f>
        <v>0</v>
      </c>
      <c r="AL468">
        <f>IF(L468="",0,VLOOKUP(L468,'Dados de consulta'!$H$2:$I$25,2,0))</f>
        <v>0</v>
      </c>
      <c r="AM468">
        <f>IF(M468="",0,VLOOKUP(M468,'Dados de consulta'!$H$2:$I$25,2,0))</f>
        <v>0</v>
      </c>
      <c r="AN468">
        <f>IF(N468="",0,VLOOKUP(N468,'Dados de consulta'!$H$2:$I$25,2,0))</f>
        <v>0</v>
      </c>
      <c r="AO468">
        <f>IF(O468="",0,VLOOKUP(O468,'Dados de consulta'!$H$2:$I$25,2,0))</f>
        <v>0</v>
      </c>
      <c r="AP468">
        <f>IF(P468="",0,VLOOKUP(P468,'Dados de consulta'!$H$2:$I$25,2,0))</f>
        <v>0</v>
      </c>
      <c r="AQ468">
        <f>IF(Q468="",0,VLOOKUP(Q468,'Dados de consulta'!$H$2:$I$25,2,0))</f>
        <v>0</v>
      </c>
      <c r="AR468">
        <f>IF(R468="",0,VLOOKUP(R468,'Dados de consulta'!$H$2:$I$25,2,0))</f>
        <v>0</v>
      </c>
      <c r="AS468">
        <f>IF(S468="",0,VLOOKUP(S468,'Dados de consulta'!$H$2:$I$25,2,0))</f>
        <v>0</v>
      </c>
      <c r="AT468">
        <f>IF(T468="",0,VLOOKUP(T468,'Dados de consulta'!$H$2:$I$25,2,0))</f>
        <v>0</v>
      </c>
      <c r="AU468">
        <f>IF(U468="",0,VLOOKUP(U468,'Dados de consulta'!$H$2:$I$25,2,0))</f>
        <v>0</v>
      </c>
      <c r="AV468">
        <f>IF(V468="",0,VLOOKUP(V468,'Dados de consulta'!$H$2:$I$25,2,0))</f>
        <v>0</v>
      </c>
      <c r="AW468">
        <f t="shared" si="44"/>
        <v>0</v>
      </c>
      <c r="AX468">
        <f t="shared" si="45"/>
        <v>0</v>
      </c>
      <c r="AY468">
        <f t="shared" si="46"/>
        <v>0</v>
      </c>
    </row>
    <row r="469" spans="1:51" hidden="1" x14ac:dyDescent="0.2">
      <c r="A469" s="202">
        <v>42726</v>
      </c>
      <c r="B469" s="78" t="s">
        <v>286</v>
      </c>
      <c r="AA469" s="202">
        <v>42726</v>
      </c>
      <c r="AB469" s="78" t="s">
        <v>286</v>
      </c>
      <c r="AC469">
        <f>IF(C469="",0,VLOOKUP(C469,'Dados de consulta'!$H$2:$I$25,2,0))</f>
        <v>0</v>
      </c>
      <c r="AD469">
        <f>IF(D469="",0,VLOOKUP(D469,'Dados de consulta'!$H$2:$I$25,2,0))</f>
        <v>0</v>
      </c>
      <c r="AE469">
        <f>IF(E469="",0,VLOOKUP(E469,'Dados de consulta'!$H$2:$I$25,2,0))</f>
        <v>0</v>
      </c>
      <c r="AF469">
        <f>IF(F469="",0,VLOOKUP(F469,'Dados de consulta'!$H$2:$I$25,2,0))</f>
        <v>0</v>
      </c>
      <c r="AG469">
        <f>IF(G469="",0,VLOOKUP(G469,'Dados de consulta'!$H$2:$I$25,2,0))</f>
        <v>0</v>
      </c>
      <c r="AH469">
        <f>IF(H469="",0,VLOOKUP(H469,'Dados de consulta'!$H$2:$I$25,2,0))</f>
        <v>0</v>
      </c>
      <c r="AI469">
        <f>IF(I469="",0,VLOOKUP(I469,'Dados de consulta'!$H$2:$I$25,2,0))</f>
        <v>0</v>
      </c>
      <c r="AJ469">
        <f>IF(J469="",0,VLOOKUP(J469,'Dados de consulta'!$H$2:$I$25,2,0))</f>
        <v>0</v>
      </c>
      <c r="AK469">
        <f>IF(K469="",0,VLOOKUP(K469,'Dados de consulta'!$H$2:$I$25,2,0))</f>
        <v>0</v>
      </c>
      <c r="AL469">
        <f>IF(L469="",0,VLOOKUP(L469,'Dados de consulta'!$H$2:$I$25,2,0))</f>
        <v>0</v>
      </c>
      <c r="AM469">
        <f>IF(M469="",0,VLOOKUP(M469,'Dados de consulta'!$H$2:$I$25,2,0))</f>
        <v>0</v>
      </c>
      <c r="AN469">
        <f>IF(N469="",0,VLOOKUP(N469,'Dados de consulta'!$H$2:$I$25,2,0))</f>
        <v>0</v>
      </c>
      <c r="AO469">
        <f>IF(O469="",0,VLOOKUP(O469,'Dados de consulta'!$H$2:$I$25,2,0))</f>
        <v>0</v>
      </c>
      <c r="AP469">
        <f>IF(P469="",0,VLOOKUP(P469,'Dados de consulta'!$H$2:$I$25,2,0))</f>
        <v>0</v>
      </c>
      <c r="AQ469">
        <f>IF(Q469="",0,VLOOKUP(Q469,'Dados de consulta'!$H$2:$I$25,2,0))</f>
        <v>0</v>
      </c>
      <c r="AR469">
        <f>IF(R469="",0,VLOOKUP(R469,'Dados de consulta'!$H$2:$I$25,2,0))</f>
        <v>0</v>
      </c>
      <c r="AS469">
        <f>IF(S469="",0,VLOOKUP(S469,'Dados de consulta'!$H$2:$I$25,2,0))</f>
        <v>0</v>
      </c>
      <c r="AT469">
        <f>IF(T469="",0,VLOOKUP(T469,'Dados de consulta'!$H$2:$I$25,2,0))</f>
        <v>0</v>
      </c>
      <c r="AU469">
        <f>IF(U469="",0,VLOOKUP(U469,'Dados de consulta'!$H$2:$I$25,2,0))</f>
        <v>0</v>
      </c>
      <c r="AV469">
        <f>IF(V469="",0,VLOOKUP(V469,'Dados de consulta'!$H$2:$I$25,2,0))</f>
        <v>0</v>
      </c>
      <c r="AW469">
        <f t="shared" si="44"/>
        <v>0</v>
      </c>
      <c r="AX469">
        <f t="shared" si="45"/>
        <v>0</v>
      </c>
      <c r="AY469">
        <f t="shared" si="46"/>
        <v>0</v>
      </c>
    </row>
    <row r="470" spans="1:51" hidden="1" x14ac:dyDescent="0.2">
      <c r="A470" s="202">
        <v>42727</v>
      </c>
      <c r="B470" s="78" t="s">
        <v>287</v>
      </c>
      <c r="AA470" s="202">
        <v>42727</v>
      </c>
      <c r="AB470" s="78" t="s">
        <v>287</v>
      </c>
      <c r="AC470">
        <f>IF(C470="",0,VLOOKUP(C470,'Dados de consulta'!$H$2:$I$25,2,0))</f>
        <v>0</v>
      </c>
      <c r="AD470">
        <f>IF(D470="",0,VLOOKUP(D470,'Dados de consulta'!$H$2:$I$25,2,0))</f>
        <v>0</v>
      </c>
      <c r="AE470">
        <f>IF(E470="",0,VLOOKUP(E470,'Dados de consulta'!$H$2:$I$25,2,0))</f>
        <v>0</v>
      </c>
      <c r="AF470">
        <f>IF(F470="",0,VLOOKUP(F470,'Dados de consulta'!$H$2:$I$25,2,0))</f>
        <v>0</v>
      </c>
      <c r="AG470">
        <f>IF(G470="",0,VLOOKUP(G470,'Dados de consulta'!$H$2:$I$25,2,0))</f>
        <v>0</v>
      </c>
      <c r="AH470">
        <f>IF(H470="",0,VLOOKUP(H470,'Dados de consulta'!$H$2:$I$25,2,0))</f>
        <v>0</v>
      </c>
      <c r="AI470">
        <f>IF(I470="",0,VLOOKUP(I470,'Dados de consulta'!$H$2:$I$25,2,0))</f>
        <v>0</v>
      </c>
      <c r="AJ470">
        <f>IF(J470="",0,VLOOKUP(J470,'Dados de consulta'!$H$2:$I$25,2,0))</f>
        <v>0</v>
      </c>
      <c r="AK470">
        <f>IF(K470="",0,VLOOKUP(K470,'Dados de consulta'!$H$2:$I$25,2,0))</f>
        <v>0</v>
      </c>
      <c r="AL470">
        <f>IF(L470="",0,VLOOKUP(L470,'Dados de consulta'!$H$2:$I$25,2,0))</f>
        <v>0</v>
      </c>
      <c r="AM470">
        <f>IF(M470="",0,VLOOKUP(M470,'Dados de consulta'!$H$2:$I$25,2,0))</f>
        <v>0</v>
      </c>
      <c r="AN470">
        <f>IF(N470="",0,VLOOKUP(N470,'Dados de consulta'!$H$2:$I$25,2,0))</f>
        <v>0</v>
      </c>
      <c r="AO470">
        <f>IF(O470="",0,VLOOKUP(O470,'Dados de consulta'!$H$2:$I$25,2,0))</f>
        <v>0</v>
      </c>
      <c r="AP470">
        <f>IF(P470="",0,VLOOKUP(P470,'Dados de consulta'!$H$2:$I$25,2,0))</f>
        <v>0</v>
      </c>
      <c r="AQ470">
        <f>IF(Q470="",0,VLOOKUP(Q470,'Dados de consulta'!$H$2:$I$25,2,0))</f>
        <v>0</v>
      </c>
      <c r="AR470">
        <f>IF(R470="",0,VLOOKUP(R470,'Dados de consulta'!$H$2:$I$25,2,0))</f>
        <v>0</v>
      </c>
      <c r="AS470">
        <f>IF(S470="",0,VLOOKUP(S470,'Dados de consulta'!$H$2:$I$25,2,0))</f>
        <v>0</v>
      </c>
      <c r="AT470">
        <f>IF(T470="",0,VLOOKUP(T470,'Dados de consulta'!$H$2:$I$25,2,0))</f>
        <v>0</v>
      </c>
      <c r="AU470">
        <f>IF(U470="",0,VLOOKUP(U470,'Dados de consulta'!$H$2:$I$25,2,0))</f>
        <v>0</v>
      </c>
      <c r="AV470">
        <f>IF(V470="",0,VLOOKUP(V470,'Dados de consulta'!$H$2:$I$25,2,0))</f>
        <v>0</v>
      </c>
      <c r="AW470">
        <f t="shared" si="44"/>
        <v>0</v>
      </c>
      <c r="AX470">
        <f t="shared" si="45"/>
        <v>0</v>
      </c>
      <c r="AY470">
        <f t="shared" si="46"/>
        <v>0</v>
      </c>
    </row>
    <row r="471" spans="1:51" hidden="1" x14ac:dyDescent="0.2">
      <c r="A471" s="202">
        <v>42728</v>
      </c>
      <c r="B471" s="78" t="s">
        <v>281</v>
      </c>
      <c r="AA471" s="202">
        <v>42728</v>
      </c>
      <c r="AB471" s="78" t="s">
        <v>281</v>
      </c>
      <c r="AC471">
        <f>IF(C471="",0,VLOOKUP(C471,'Dados de consulta'!$H$2:$I$25,2,0))</f>
        <v>0</v>
      </c>
      <c r="AD471">
        <f>IF(D471="",0,VLOOKUP(D471,'Dados de consulta'!$H$2:$I$25,2,0))</f>
        <v>0</v>
      </c>
      <c r="AE471">
        <f>IF(E471="",0,VLOOKUP(E471,'Dados de consulta'!$H$2:$I$25,2,0))</f>
        <v>0</v>
      </c>
      <c r="AF471">
        <f>IF(F471="",0,VLOOKUP(F471,'Dados de consulta'!$H$2:$I$25,2,0))</f>
        <v>0</v>
      </c>
      <c r="AG471">
        <f>IF(G471="",0,VLOOKUP(G471,'Dados de consulta'!$H$2:$I$25,2,0))</f>
        <v>0</v>
      </c>
      <c r="AH471">
        <f>IF(H471="",0,VLOOKUP(H471,'Dados de consulta'!$H$2:$I$25,2,0))</f>
        <v>0</v>
      </c>
      <c r="AI471">
        <f>IF(I471="",0,VLOOKUP(I471,'Dados de consulta'!$H$2:$I$25,2,0))</f>
        <v>0</v>
      </c>
      <c r="AJ471">
        <f>IF(J471="",0,VLOOKUP(J471,'Dados de consulta'!$H$2:$I$25,2,0))</f>
        <v>0</v>
      </c>
      <c r="AK471">
        <f>IF(K471="",0,VLOOKUP(K471,'Dados de consulta'!$H$2:$I$25,2,0))</f>
        <v>0</v>
      </c>
      <c r="AL471">
        <f>IF(L471="",0,VLOOKUP(L471,'Dados de consulta'!$H$2:$I$25,2,0))</f>
        <v>0</v>
      </c>
      <c r="AM471">
        <f>IF(M471="",0,VLOOKUP(M471,'Dados de consulta'!$H$2:$I$25,2,0))</f>
        <v>0</v>
      </c>
      <c r="AN471">
        <f>IF(N471="",0,VLOOKUP(N471,'Dados de consulta'!$H$2:$I$25,2,0))</f>
        <v>0</v>
      </c>
      <c r="AO471">
        <f>IF(O471="",0,VLOOKUP(O471,'Dados de consulta'!$H$2:$I$25,2,0))</f>
        <v>0</v>
      </c>
      <c r="AP471">
        <f>IF(P471="",0,VLOOKUP(P471,'Dados de consulta'!$H$2:$I$25,2,0))</f>
        <v>0</v>
      </c>
      <c r="AQ471">
        <f>IF(Q471="",0,VLOOKUP(Q471,'Dados de consulta'!$H$2:$I$25,2,0))</f>
        <v>0</v>
      </c>
      <c r="AR471">
        <f>IF(R471="",0,VLOOKUP(R471,'Dados de consulta'!$H$2:$I$25,2,0))</f>
        <v>0</v>
      </c>
      <c r="AS471">
        <f>IF(S471="",0,VLOOKUP(S471,'Dados de consulta'!$H$2:$I$25,2,0))</f>
        <v>0</v>
      </c>
      <c r="AT471">
        <f>IF(T471="",0,VLOOKUP(T471,'Dados de consulta'!$H$2:$I$25,2,0))</f>
        <v>0</v>
      </c>
      <c r="AU471">
        <f>IF(U471="",0,VLOOKUP(U471,'Dados de consulta'!$H$2:$I$25,2,0))</f>
        <v>0</v>
      </c>
      <c r="AV471">
        <f>IF(V471="",0,VLOOKUP(V471,'Dados de consulta'!$H$2:$I$25,2,0))</f>
        <v>0</v>
      </c>
      <c r="AW471">
        <f t="shared" si="44"/>
        <v>0</v>
      </c>
      <c r="AX471">
        <f t="shared" si="45"/>
        <v>0</v>
      </c>
      <c r="AY471">
        <f t="shared" si="46"/>
        <v>0</v>
      </c>
    </row>
    <row r="472" spans="1:51" hidden="1" x14ac:dyDescent="0.2">
      <c r="A472" s="202">
        <v>42729</v>
      </c>
      <c r="B472" s="78" t="s">
        <v>282</v>
      </c>
      <c r="AA472" s="202">
        <v>42729</v>
      </c>
      <c r="AB472" s="78" t="s">
        <v>282</v>
      </c>
      <c r="AC472">
        <f>IF(C472="",0,VLOOKUP(C472,'Dados de consulta'!$H$2:$I$25,2,0))</f>
        <v>0</v>
      </c>
      <c r="AD472">
        <f>IF(D472="",0,VLOOKUP(D472,'Dados de consulta'!$H$2:$I$25,2,0))</f>
        <v>0</v>
      </c>
      <c r="AE472">
        <f>IF(E472="",0,VLOOKUP(E472,'Dados de consulta'!$H$2:$I$25,2,0))</f>
        <v>0</v>
      </c>
      <c r="AF472">
        <f>IF(F472="",0,VLOOKUP(F472,'Dados de consulta'!$H$2:$I$25,2,0))</f>
        <v>0</v>
      </c>
      <c r="AG472">
        <f>IF(G472="",0,VLOOKUP(G472,'Dados de consulta'!$H$2:$I$25,2,0))</f>
        <v>0</v>
      </c>
      <c r="AH472">
        <f>IF(H472="",0,VLOOKUP(H472,'Dados de consulta'!$H$2:$I$25,2,0))</f>
        <v>0</v>
      </c>
      <c r="AI472">
        <f>IF(I472="",0,VLOOKUP(I472,'Dados de consulta'!$H$2:$I$25,2,0))</f>
        <v>0</v>
      </c>
      <c r="AJ472">
        <f>IF(J472="",0,VLOOKUP(J472,'Dados de consulta'!$H$2:$I$25,2,0))</f>
        <v>0</v>
      </c>
      <c r="AK472">
        <f>IF(K472="",0,VLOOKUP(K472,'Dados de consulta'!$H$2:$I$25,2,0))</f>
        <v>0</v>
      </c>
      <c r="AL472">
        <f>IF(L472="",0,VLOOKUP(L472,'Dados de consulta'!$H$2:$I$25,2,0))</f>
        <v>0</v>
      </c>
      <c r="AM472">
        <f>IF(M472="",0,VLOOKUP(M472,'Dados de consulta'!$H$2:$I$25,2,0))</f>
        <v>0</v>
      </c>
      <c r="AN472">
        <f>IF(N472="",0,VLOOKUP(N472,'Dados de consulta'!$H$2:$I$25,2,0))</f>
        <v>0</v>
      </c>
      <c r="AO472">
        <f>IF(O472="",0,VLOOKUP(O472,'Dados de consulta'!$H$2:$I$25,2,0))</f>
        <v>0</v>
      </c>
      <c r="AP472">
        <f>IF(P472="",0,VLOOKUP(P472,'Dados de consulta'!$H$2:$I$25,2,0))</f>
        <v>0</v>
      </c>
      <c r="AQ472">
        <f>IF(Q472="",0,VLOOKUP(Q472,'Dados de consulta'!$H$2:$I$25,2,0))</f>
        <v>0</v>
      </c>
      <c r="AR472">
        <f>IF(R472="",0,VLOOKUP(R472,'Dados de consulta'!$H$2:$I$25,2,0))</f>
        <v>0</v>
      </c>
      <c r="AS472">
        <f>IF(S472="",0,VLOOKUP(S472,'Dados de consulta'!$H$2:$I$25,2,0))</f>
        <v>0</v>
      </c>
      <c r="AT472">
        <f>IF(T472="",0,VLOOKUP(T472,'Dados de consulta'!$H$2:$I$25,2,0))</f>
        <v>0</v>
      </c>
      <c r="AU472">
        <f>IF(U472="",0,VLOOKUP(U472,'Dados de consulta'!$H$2:$I$25,2,0))</f>
        <v>0</v>
      </c>
      <c r="AV472">
        <f>IF(V472="",0,VLOOKUP(V472,'Dados de consulta'!$H$2:$I$25,2,0))</f>
        <v>0</v>
      </c>
      <c r="AW472">
        <f t="shared" si="44"/>
        <v>0</v>
      </c>
      <c r="AX472">
        <f t="shared" si="45"/>
        <v>0</v>
      </c>
      <c r="AY472">
        <f t="shared" si="46"/>
        <v>0</v>
      </c>
    </row>
    <row r="473" spans="1:51" hidden="1" x14ac:dyDescent="0.2">
      <c r="A473" s="202">
        <v>42730</v>
      </c>
      <c r="B473" s="78" t="s">
        <v>283</v>
      </c>
      <c r="AA473" s="202">
        <v>42730</v>
      </c>
      <c r="AB473" s="78" t="s">
        <v>283</v>
      </c>
      <c r="AC473">
        <f>IF(C473="",0,VLOOKUP(C473,'Dados de consulta'!$H$2:$I$25,2,0))</f>
        <v>0</v>
      </c>
      <c r="AD473">
        <f>IF(D473="",0,VLOOKUP(D473,'Dados de consulta'!$H$2:$I$25,2,0))</f>
        <v>0</v>
      </c>
      <c r="AE473">
        <f>IF(E473="",0,VLOOKUP(E473,'Dados de consulta'!$H$2:$I$25,2,0))</f>
        <v>0</v>
      </c>
      <c r="AF473">
        <f>IF(F473="",0,VLOOKUP(F473,'Dados de consulta'!$H$2:$I$25,2,0))</f>
        <v>0</v>
      </c>
      <c r="AG473">
        <f>IF(G473="",0,VLOOKUP(G473,'Dados de consulta'!$H$2:$I$25,2,0))</f>
        <v>0</v>
      </c>
      <c r="AH473">
        <f>IF(H473="",0,VLOOKUP(H473,'Dados de consulta'!$H$2:$I$25,2,0))</f>
        <v>0</v>
      </c>
      <c r="AI473">
        <f>IF(I473="",0,VLOOKUP(I473,'Dados de consulta'!$H$2:$I$25,2,0))</f>
        <v>0</v>
      </c>
      <c r="AJ473">
        <f>IF(J473="",0,VLOOKUP(J473,'Dados de consulta'!$H$2:$I$25,2,0))</f>
        <v>0</v>
      </c>
      <c r="AK473">
        <f>IF(K473="",0,VLOOKUP(K473,'Dados de consulta'!$H$2:$I$25,2,0))</f>
        <v>0</v>
      </c>
      <c r="AL473">
        <f>IF(L473="",0,VLOOKUP(L473,'Dados de consulta'!$H$2:$I$25,2,0))</f>
        <v>0</v>
      </c>
      <c r="AM473">
        <f>IF(M473="",0,VLOOKUP(M473,'Dados de consulta'!$H$2:$I$25,2,0))</f>
        <v>0</v>
      </c>
      <c r="AN473">
        <f>IF(N473="",0,VLOOKUP(N473,'Dados de consulta'!$H$2:$I$25,2,0))</f>
        <v>0</v>
      </c>
      <c r="AO473">
        <f>IF(O473="",0,VLOOKUP(O473,'Dados de consulta'!$H$2:$I$25,2,0))</f>
        <v>0</v>
      </c>
      <c r="AP473">
        <f>IF(P473="",0,VLOOKUP(P473,'Dados de consulta'!$H$2:$I$25,2,0))</f>
        <v>0</v>
      </c>
      <c r="AQ473">
        <f>IF(Q473="",0,VLOOKUP(Q473,'Dados de consulta'!$H$2:$I$25,2,0))</f>
        <v>0</v>
      </c>
      <c r="AR473">
        <f>IF(R473="",0,VLOOKUP(R473,'Dados de consulta'!$H$2:$I$25,2,0))</f>
        <v>0</v>
      </c>
      <c r="AS473">
        <f>IF(S473="",0,VLOOKUP(S473,'Dados de consulta'!$H$2:$I$25,2,0))</f>
        <v>0</v>
      </c>
      <c r="AT473">
        <f>IF(T473="",0,VLOOKUP(T473,'Dados de consulta'!$H$2:$I$25,2,0))</f>
        <v>0</v>
      </c>
      <c r="AU473">
        <f>IF(U473="",0,VLOOKUP(U473,'Dados de consulta'!$H$2:$I$25,2,0))</f>
        <v>0</v>
      </c>
      <c r="AV473">
        <f>IF(V473="",0,VLOOKUP(V473,'Dados de consulta'!$H$2:$I$25,2,0))</f>
        <v>0</v>
      </c>
      <c r="AW473">
        <f t="shared" si="44"/>
        <v>0</v>
      </c>
      <c r="AX473">
        <f t="shared" si="45"/>
        <v>0</v>
      </c>
      <c r="AY473">
        <f t="shared" si="46"/>
        <v>0</v>
      </c>
    </row>
    <row r="474" spans="1:51" hidden="1" x14ac:dyDescent="0.2">
      <c r="A474" s="202">
        <v>42731</v>
      </c>
      <c r="B474" s="78" t="s">
        <v>284</v>
      </c>
      <c r="AA474" s="202">
        <v>42731</v>
      </c>
      <c r="AB474" s="78" t="s">
        <v>284</v>
      </c>
      <c r="AC474">
        <f>IF(C474="",0,VLOOKUP(C474,'Dados de consulta'!$H$2:$I$25,2,0))</f>
        <v>0</v>
      </c>
      <c r="AD474">
        <f>IF(D474="",0,VLOOKUP(D474,'Dados de consulta'!$H$2:$I$25,2,0))</f>
        <v>0</v>
      </c>
      <c r="AE474">
        <f>IF(E474="",0,VLOOKUP(E474,'Dados de consulta'!$H$2:$I$25,2,0))</f>
        <v>0</v>
      </c>
      <c r="AF474">
        <f>IF(F474="",0,VLOOKUP(F474,'Dados de consulta'!$H$2:$I$25,2,0))</f>
        <v>0</v>
      </c>
      <c r="AG474">
        <f>IF(G474="",0,VLOOKUP(G474,'Dados de consulta'!$H$2:$I$25,2,0))</f>
        <v>0</v>
      </c>
      <c r="AH474">
        <f>IF(H474="",0,VLOOKUP(H474,'Dados de consulta'!$H$2:$I$25,2,0))</f>
        <v>0</v>
      </c>
      <c r="AI474">
        <f>IF(I474="",0,VLOOKUP(I474,'Dados de consulta'!$H$2:$I$25,2,0))</f>
        <v>0</v>
      </c>
      <c r="AJ474">
        <f>IF(J474="",0,VLOOKUP(J474,'Dados de consulta'!$H$2:$I$25,2,0))</f>
        <v>0</v>
      </c>
      <c r="AK474">
        <f>IF(K474="",0,VLOOKUP(K474,'Dados de consulta'!$H$2:$I$25,2,0))</f>
        <v>0</v>
      </c>
      <c r="AL474">
        <f>IF(L474="",0,VLOOKUP(L474,'Dados de consulta'!$H$2:$I$25,2,0))</f>
        <v>0</v>
      </c>
      <c r="AM474">
        <f>IF(M474="",0,VLOOKUP(M474,'Dados de consulta'!$H$2:$I$25,2,0))</f>
        <v>0</v>
      </c>
      <c r="AN474">
        <f>IF(N474="",0,VLOOKUP(N474,'Dados de consulta'!$H$2:$I$25,2,0))</f>
        <v>0</v>
      </c>
      <c r="AO474">
        <f>IF(O474="",0,VLOOKUP(O474,'Dados de consulta'!$H$2:$I$25,2,0))</f>
        <v>0</v>
      </c>
      <c r="AP474">
        <f>IF(P474="",0,VLOOKUP(P474,'Dados de consulta'!$H$2:$I$25,2,0))</f>
        <v>0</v>
      </c>
      <c r="AQ474">
        <f>IF(Q474="",0,VLOOKUP(Q474,'Dados de consulta'!$H$2:$I$25,2,0))</f>
        <v>0</v>
      </c>
      <c r="AR474">
        <f>IF(R474="",0,VLOOKUP(R474,'Dados de consulta'!$H$2:$I$25,2,0))</f>
        <v>0</v>
      </c>
      <c r="AS474">
        <f>IF(S474="",0,VLOOKUP(S474,'Dados de consulta'!$H$2:$I$25,2,0))</f>
        <v>0</v>
      </c>
      <c r="AT474">
        <f>IF(T474="",0,VLOOKUP(T474,'Dados de consulta'!$H$2:$I$25,2,0))</f>
        <v>0</v>
      </c>
      <c r="AU474">
        <f>IF(U474="",0,VLOOKUP(U474,'Dados de consulta'!$H$2:$I$25,2,0))</f>
        <v>0</v>
      </c>
      <c r="AV474">
        <f>IF(V474="",0,VLOOKUP(V474,'Dados de consulta'!$H$2:$I$25,2,0))</f>
        <v>0</v>
      </c>
      <c r="AW474">
        <f t="shared" si="44"/>
        <v>0</v>
      </c>
      <c r="AX474">
        <f t="shared" si="45"/>
        <v>0</v>
      </c>
      <c r="AY474">
        <f t="shared" si="46"/>
        <v>0</v>
      </c>
    </row>
    <row r="475" spans="1:51" hidden="1" x14ac:dyDescent="0.2">
      <c r="A475" s="202">
        <v>42732</v>
      </c>
      <c r="B475" s="78" t="s">
        <v>285</v>
      </c>
      <c r="AA475" s="202">
        <v>42732</v>
      </c>
      <c r="AB475" s="78" t="s">
        <v>285</v>
      </c>
      <c r="AC475">
        <f>IF(C475="",0,VLOOKUP(C475,'Dados de consulta'!$H$2:$I$25,2,0))</f>
        <v>0</v>
      </c>
      <c r="AD475">
        <f>IF(D475="",0,VLOOKUP(D475,'Dados de consulta'!$H$2:$I$25,2,0))</f>
        <v>0</v>
      </c>
      <c r="AE475">
        <f>IF(E475="",0,VLOOKUP(E475,'Dados de consulta'!$H$2:$I$25,2,0))</f>
        <v>0</v>
      </c>
      <c r="AF475">
        <f>IF(F475="",0,VLOOKUP(F475,'Dados de consulta'!$H$2:$I$25,2,0))</f>
        <v>0</v>
      </c>
      <c r="AG475">
        <f>IF(G475="",0,VLOOKUP(G475,'Dados de consulta'!$H$2:$I$25,2,0))</f>
        <v>0</v>
      </c>
      <c r="AH475">
        <f>IF(H475="",0,VLOOKUP(H475,'Dados de consulta'!$H$2:$I$25,2,0))</f>
        <v>0</v>
      </c>
      <c r="AI475">
        <f>IF(I475="",0,VLOOKUP(I475,'Dados de consulta'!$H$2:$I$25,2,0))</f>
        <v>0</v>
      </c>
      <c r="AJ475">
        <f>IF(J475="",0,VLOOKUP(J475,'Dados de consulta'!$H$2:$I$25,2,0))</f>
        <v>0</v>
      </c>
      <c r="AK475">
        <f>IF(K475="",0,VLOOKUP(K475,'Dados de consulta'!$H$2:$I$25,2,0))</f>
        <v>0</v>
      </c>
      <c r="AL475">
        <f>IF(L475="",0,VLOOKUP(L475,'Dados de consulta'!$H$2:$I$25,2,0))</f>
        <v>0</v>
      </c>
      <c r="AM475">
        <f>IF(M475="",0,VLOOKUP(M475,'Dados de consulta'!$H$2:$I$25,2,0))</f>
        <v>0</v>
      </c>
      <c r="AN475">
        <f>IF(N475="",0,VLOOKUP(N475,'Dados de consulta'!$H$2:$I$25,2,0))</f>
        <v>0</v>
      </c>
      <c r="AO475">
        <f>IF(O475="",0,VLOOKUP(O475,'Dados de consulta'!$H$2:$I$25,2,0))</f>
        <v>0</v>
      </c>
      <c r="AP475">
        <f>IF(P475="",0,VLOOKUP(P475,'Dados de consulta'!$H$2:$I$25,2,0))</f>
        <v>0</v>
      </c>
      <c r="AQ475">
        <f>IF(Q475="",0,VLOOKUP(Q475,'Dados de consulta'!$H$2:$I$25,2,0))</f>
        <v>0</v>
      </c>
      <c r="AR475">
        <f>IF(R475="",0,VLOOKUP(R475,'Dados de consulta'!$H$2:$I$25,2,0))</f>
        <v>0</v>
      </c>
      <c r="AS475">
        <f>IF(S475="",0,VLOOKUP(S475,'Dados de consulta'!$H$2:$I$25,2,0))</f>
        <v>0</v>
      </c>
      <c r="AT475">
        <f>IF(T475="",0,VLOOKUP(T475,'Dados de consulta'!$H$2:$I$25,2,0))</f>
        <v>0</v>
      </c>
      <c r="AU475">
        <f>IF(U475="",0,VLOOKUP(U475,'Dados de consulta'!$H$2:$I$25,2,0))</f>
        <v>0</v>
      </c>
      <c r="AV475">
        <f>IF(V475="",0,VLOOKUP(V475,'Dados de consulta'!$H$2:$I$25,2,0))</f>
        <v>0</v>
      </c>
      <c r="AW475">
        <f t="shared" si="44"/>
        <v>0</v>
      </c>
      <c r="AX475">
        <f t="shared" si="45"/>
        <v>0</v>
      </c>
      <c r="AY475">
        <f t="shared" si="46"/>
        <v>0</v>
      </c>
    </row>
    <row r="476" spans="1:51" hidden="1" x14ac:dyDescent="0.2">
      <c r="A476" s="202">
        <v>42733</v>
      </c>
      <c r="B476" s="78" t="s">
        <v>286</v>
      </c>
      <c r="AA476" s="202">
        <v>42733</v>
      </c>
      <c r="AB476" s="78" t="s">
        <v>286</v>
      </c>
      <c r="AC476">
        <f>IF(C476="",0,VLOOKUP(C476,'Dados de consulta'!$H$2:$I$25,2,0))</f>
        <v>0</v>
      </c>
      <c r="AD476">
        <f>IF(D476="",0,VLOOKUP(D476,'Dados de consulta'!$H$2:$I$25,2,0))</f>
        <v>0</v>
      </c>
      <c r="AE476">
        <f>IF(E476="",0,VLOOKUP(E476,'Dados de consulta'!$H$2:$I$25,2,0))</f>
        <v>0</v>
      </c>
      <c r="AF476">
        <f>IF(F476="",0,VLOOKUP(F476,'Dados de consulta'!$H$2:$I$25,2,0))</f>
        <v>0</v>
      </c>
      <c r="AG476">
        <f>IF(G476="",0,VLOOKUP(G476,'Dados de consulta'!$H$2:$I$25,2,0))</f>
        <v>0</v>
      </c>
      <c r="AH476">
        <f>IF(H476="",0,VLOOKUP(H476,'Dados de consulta'!$H$2:$I$25,2,0))</f>
        <v>0</v>
      </c>
      <c r="AI476">
        <f>IF(I476="",0,VLOOKUP(I476,'Dados de consulta'!$H$2:$I$25,2,0))</f>
        <v>0</v>
      </c>
      <c r="AJ476">
        <f>IF(J476="",0,VLOOKUP(J476,'Dados de consulta'!$H$2:$I$25,2,0))</f>
        <v>0</v>
      </c>
      <c r="AK476">
        <f>IF(K476="",0,VLOOKUP(K476,'Dados de consulta'!$H$2:$I$25,2,0))</f>
        <v>0</v>
      </c>
      <c r="AL476">
        <f>IF(L476="",0,VLOOKUP(L476,'Dados de consulta'!$H$2:$I$25,2,0))</f>
        <v>0</v>
      </c>
      <c r="AM476">
        <f>IF(M476="",0,VLOOKUP(M476,'Dados de consulta'!$H$2:$I$25,2,0))</f>
        <v>0</v>
      </c>
      <c r="AN476">
        <f>IF(N476="",0,VLOOKUP(N476,'Dados de consulta'!$H$2:$I$25,2,0))</f>
        <v>0</v>
      </c>
      <c r="AO476">
        <f>IF(O476="",0,VLOOKUP(O476,'Dados de consulta'!$H$2:$I$25,2,0))</f>
        <v>0</v>
      </c>
      <c r="AP476">
        <f>IF(P476="",0,VLOOKUP(P476,'Dados de consulta'!$H$2:$I$25,2,0))</f>
        <v>0</v>
      </c>
      <c r="AQ476">
        <f>IF(Q476="",0,VLOOKUP(Q476,'Dados de consulta'!$H$2:$I$25,2,0))</f>
        <v>0</v>
      </c>
      <c r="AR476">
        <f>IF(R476="",0,VLOOKUP(R476,'Dados de consulta'!$H$2:$I$25,2,0))</f>
        <v>0</v>
      </c>
      <c r="AS476">
        <f>IF(S476="",0,VLOOKUP(S476,'Dados de consulta'!$H$2:$I$25,2,0))</f>
        <v>0</v>
      </c>
      <c r="AT476">
        <f>IF(T476="",0,VLOOKUP(T476,'Dados de consulta'!$H$2:$I$25,2,0))</f>
        <v>0</v>
      </c>
      <c r="AU476">
        <f>IF(U476="",0,VLOOKUP(U476,'Dados de consulta'!$H$2:$I$25,2,0))</f>
        <v>0</v>
      </c>
      <c r="AV476">
        <f>IF(V476="",0,VLOOKUP(V476,'Dados de consulta'!$H$2:$I$25,2,0))</f>
        <v>0</v>
      </c>
      <c r="AW476">
        <f t="shared" si="44"/>
        <v>0</v>
      </c>
      <c r="AX476">
        <f t="shared" si="45"/>
        <v>0</v>
      </c>
      <c r="AY476">
        <f t="shared" si="46"/>
        <v>0</v>
      </c>
    </row>
    <row r="477" spans="1:51" hidden="1" x14ac:dyDescent="0.2">
      <c r="A477" s="202">
        <v>42734</v>
      </c>
      <c r="B477" s="78" t="s">
        <v>287</v>
      </c>
      <c r="AA477" s="202">
        <v>42734</v>
      </c>
      <c r="AB477" s="78" t="s">
        <v>287</v>
      </c>
      <c r="AC477">
        <f>IF(C477="",0,VLOOKUP(C477,'Dados de consulta'!$H$2:$I$25,2,0))</f>
        <v>0</v>
      </c>
      <c r="AD477">
        <f>IF(D477="",0,VLOOKUP(D477,'Dados de consulta'!$H$2:$I$25,2,0))</f>
        <v>0</v>
      </c>
      <c r="AE477">
        <f>IF(E477="",0,VLOOKUP(E477,'Dados de consulta'!$H$2:$I$25,2,0))</f>
        <v>0</v>
      </c>
      <c r="AF477">
        <f>IF(F477="",0,VLOOKUP(F477,'Dados de consulta'!$H$2:$I$25,2,0))</f>
        <v>0</v>
      </c>
      <c r="AG477">
        <f>IF(G477="",0,VLOOKUP(G477,'Dados de consulta'!$H$2:$I$25,2,0))</f>
        <v>0</v>
      </c>
      <c r="AH477">
        <f>IF(H477="",0,VLOOKUP(H477,'Dados de consulta'!$H$2:$I$25,2,0))</f>
        <v>0</v>
      </c>
      <c r="AI477">
        <f>IF(I477="",0,VLOOKUP(I477,'Dados de consulta'!$H$2:$I$25,2,0))</f>
        <v>0</v>
      </c>
      <c r="AJ477">
        <f>IF(J477="",0,VLOOKUP(J477,'Dados de consulta'!$H$2:$I$25,2,0))</f>
        <v>0</v>
      </c>
      <c r="AK477">
        <f>IF(K477="",0,VLOOKUP(K477,'Dados de consulta'!$H$2:$I$25,2,0))</f>
        <v>0</v>
      </c>
      <c r="AL477">
        <f>IF(L477="",0,VLOOKUP(L477,'Dados de consulta'!$H$2:$I$25,2,0))</f>
        <v>0</v>
      </c>
      <c r="AM477">
        <f>IF(M477="",0,VLOOKUP(M477,'Dados de consulta'!$H$2:$I$25,2,0))</f>
        <v>0</v>
      </c>
      <c r="AN477">
        <f>IF(N477="",0,VLOOKUP(N477,'Dados de consulta'!$H$2:$I$25,2,0))</f>
        <v>0</v>
      </c>
      <c r="AO477">
        <f>IF(O477="",0,VLOOKUP(O477,'Dados de consulta'!$H$2:$I$25,2,0))</f>
        <v>0</v>
      </c>
      <c r="AP477">
        <f>IF(P477="",0,VLOOKUP(P477,'Dados de consulta'!$H$2:$I$25,2,0))</f>
        <v>0</v>
      </c>
      <c r="AQ477">
        <f>IF(Q477="",0,VLOOKUP(Q477,'Dados de consulta'!$H$2:$I$25,2,0))</f>
        <v>0</v>
      </c>
      <c r="AR477">
        <f>IF(R477="",0,VLOOKUP(R477,'Dados de consulta'!$H$2:$I$25,2,0))</f>
        <v>0</v>
      </c>
      <c r="AS477">
        <f>IF(S477="",0,VLOOKUP(S477,'Dados de consulta'!$H$2:$I$25,2,0))</f>
        <v>0</v>
      </c>
      <c r="AT477">
        <f>IF(T477="",0,VLOOKUP(T477,'Dados de consulta'!$H$2:$I$25,2,0))</f>
        <v>0</v>
      </c>
      <c r="AU477">
        <f>IF(U477="",0,VLOOKUP(U477,'Dados de consulta'!$H$2:$I$25,2,0))</f>
        <v>0</v>
      </c>
      <c r="AV477">
        <f>IF(V477="",0,VLOOKUP(V477,'Dados de consulta'!$H$2:$I$25,2,0))</f>
        <v>0</v>
      </c>
      <c r="AW477">
        <f t="shared" si="44"/>
        <v>0</v>
      </c>
      <c r="AX477">
        <f t="shared" si="45"/>
        <v>0</v>
      </c>
      <c r="AY477">
        <f t="shared" si="46"/>
        <v>0</v>
      </c>
    </row>
    <row r="478" spans="1:51" hidden="1" x14ac:dyDescent="0.2">
      <c r="A478" s="202">
        <v>42735</v>
      </c>
      <c r="B478" s="78" t="s">
        <v>281</v>
      </c>
      <c r="AA478" s="202">
        <v>42735</v>
      </c>
      <c r="AB478" s="78" t="s">
        <v>281</v>
      </c>
      <c r="AC478">
        <f>IF(C478="",0,VLOOKUP(C478,'Dados de consulta'!$H$2:$I$25,2,0))</f>
        <v>0</v>
      </c>
      <c r="AD478">
        <f>IF(D478="",0,VLOOKUP(D478,'Dados de consulta'!$H$2:$I$25,2,0))</f>
        <v>0</v>
      </c>
      <c r="AE478">
        <f>IF(E478="",0,VLOOKUP(E478,'Dados de consulta'!$H$2:$I$25,2,0))</f>
        <v>0</v>
      </c>
      <c r="AF478">
        <f>IF(F478="",0,VLOOKUP(F478,'Dados de consulta'!$H$2:$I$25,2,0))</f>
        <v>0</v>
      </c>
      <c r="AG478">
        <f>IF(G478="",0,VLOOKUP(G478,'Dados de consulta'!$H$2:$I$25,2,0))</f>
        <v>0</v>
      </c>
      <c r="AH478">
        <f>IF(H478="",0,VLOOKUP(H478,'Dados de consulta'!$H$2:$I$25,2,0))</f>
        <v>0</v>
      </c>
      <c r="AI478">
        <f>IF(I478="",0,VLOOKUP(I478,'Dados de consulta'!$H$2:$I$25,2,0))</f>
        <v>0</v>
      </c>
      <c r="AJ478">
        <f>IF(J478="",0,VLOOKUP(J478,'Dados de consulta'!$H$2:$I$25,2,0))</f>
        <v>0</v>
      </c>
      <c r="AK478">
        <f>IF(K478="",0,VLOOKUP(K478,'Dados de consulta'!$H$2:$I$25,2,0))</f>
        <v>0</v>
      </c>
      <c r="AL478">
        <f>IF(L478="",0,VLOOKUP(L478,'Dados de consulta'!$H$2:$I$25,2,0))</f>
        <v>0</v>
      </c>
      <c r="AM478">
        <f>IF(M478="",0,VLOOKUP(M478,'Dados de consulta'!$H$2:$I$25,2,0))</f>
        <v>0</v>
      </c>
      <c r="AN478">
        <f>IF(N478="",0,VLOOKUP(N478,'Dados de consulta'!$H$2:$I$25,2,0))</f>
        <v>0</v>
      </c>
      <c r="AO478">
        <f>IF(O478="",0,VLOOKUP(O478,'Dados de consulta'!$H$2:$I$25,2,0))</f>
        <v>0</v>
      </c>
      <c r="AP478">
        <f>IF(P478="",0,VLOOKUP(P478,'Dados de consulta'!$H$2:$I$25,2,0))</f>
        <v>0</v>
      </c>
      <c r="AQ478">
        <f>IF(Q478="",0,VLOOKUP(Q478,'Dados de consulta'!$H$2:$I$25,2,0))</f>
        <v>0</v>
      </c>
      <c r="AR478">
        <f>IF(R478="",0,VLOOKUP(R478,'Dados de consulta'!$H$2:$I$25,2,0))</f>
        <v>0</v>
      </c>
      <c r="AS478">
        <f>IF(S478="",0,VLOOKUP(S478,'Dados de consulta'!$H$2:$I$25,2,0))</f>
        <v>0</v>
      </c>
      <c r="AT478">
        <f>IF(T478="",0,VLOOKUP(T478,'Dados de consulta'!$H$2:$I$25,2,0))</f>
        <v>0</v>
      </c>
      <c r="AU478">
        <f>IF(U478="",0,VLOOKUP(U478,'Dados de consulta'!$H$2:$I$25,2,0))</f>
        <v>0</v>
      </c>
      <c r="AV478">
        <f>IF(V478="",0,VLOOKUP(V478,'Dados de consulta'!$H$2:$I$25,2,0))</f>
        <v>0</v>
      </c>
      <c r="AW478">
        <f t="shared" si="44"/>
        <v>0</v>
      </c>
      <c r="AX478">
        <f t="shared" si="45"/>
        <v>0</v>
      </c>
      <c r="AY478">
        <f t="shared" si="46"/>
        <v>0</v>
      </c>
    </row>
  </sheetData>
  <autoFilter ref="A1:Y478" xr:uid="{00000000-0009-0000-0000-00000F000000}">
    <filterColumn colId="0">
      <filters>
        <dateGroupItem year="2016" month="5" dateTimeGrouping="month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0000000}">
          <x14:formula1>
            <xm:f>'Dados de consulta'!$H$2:$H$25</xm:f>
          </x14:formula1>
          <xm:sqref>C2:V336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5"/>
  <sheetViews>
    <sheetView workbookViewId="0"/>
  </sheetViews>
  <sheetFormatPr defaultRowHeight="12.75" x14ac:dyDescent="0.2"/>
  <cols>
    <col min="1" max="1" width="10.42578125" customWidth="1"/>
    <col min="5" max="5" width="13.85546875" bestFit="1" customWidth="1"/>
  </cols>
  <sheetData>
    <row r="1" spans="1:6" x14ac:dyDescent="0.2">
      <c r="A1" s="225" t="s">
        <v>288</v>
      </c>
      <c r="B1" s="225" t="s">
        <v>138</v>
      </c>
      <c r="C1" s="225" t="s">
        <v>78</v>
      </c>
      <c r="D1" s="225" t="s">
        <v>148</v>
      </c>
      <c r="E1" s="225" t="s">
        <v>289</v>
      </c>
      <c r="F1" s="226" t="s">
        <v>290</v>
      </c>
    </row>
    <row r="2" spans="1:6" x14ac:dyDescent="0.2">
      <c r="A2" s="26">
        <f>DATE(B2,C2,D2)</f>
        <v>42025</v>
      </c>
      <c r="B2" s="213">
        <v>2015</v>
      </c>
      <c r="C2" s="213">
        <v>1</v>
      </c>
      <c r="D2" s="213">
        <v>21</v>
      </c>
      <c r="E2" s="213" t="s">
        <v>152</v>
      </c>
      <c r="F2" s="214">
        <v>3</v>
      </c>
    </row>
    <row r="3" spans="1:6" x14ac:dyDescent="0.2">
      <c r="A3" s="26">
        <f t="shared" ref="A3:A66" si="0">DATE(B3,C3,D3)</f>
        <v>42031</v>
      </c>
      <c r="B3" s="213">
        <v>2015</v>
      </c>
      <c r="C3" s="213">
        <v>1</v>
      </c>
      <c r="D3" s="213">
        <v>27</v>
      </c>
      <c r="E3" s="213" t="s">
        <v>152</v>
      </c>
      <c r="F3" s="214">
        <v>1</v>
      </c>
    </row>
    <row r="4" spans="1:6" x14ac:dyDescent="0.2">
      <c r="A4" s="26">
        <f t="shared" si="0"/>
        <v>42039</v>
      </c>
      <c r="B4" s="213">
        <v>2015</v>
      </c>
      <c r="C4" s="213">
        <v>2</v>
      </c>
      <c r="D4" s="213">
        <v>4</v>
      </c>
      <c r="E4" s="213" t="s">
        <v>152</v>
      </c>
      <c r="F4" s="214">
        <v>2</v>
      </c>
    </row>
    <row r="5" spans="1:6" x14ac:dyDescent="0.2">
      <c r="A5" s="26">
        <f t="shared" si="0"/>
        <v>42041</v>
      </c>
      <c r="B5" s="213">
        <v>2015</v>
      </c>
      <c r="C5" s="213">
        <v>2</v>
      </c>
      <c r="D5" s="213">
        <v>6</v>
      </c>
      <c r="E5" s="213" t="s">
        <v>152</v>
      </c>
      <c r="F5" s="214">
        <v>1</v>
      </c>
    </row>
    <row r="6" spans="1:6" x14ac:dyDescent="0.2">
      <c r="A6" s="26">
        <f t="shared" si="0"/>
        <v>42044</v>
      </c>
      <c r="B6" s="213">
        <v>2015</v>
      </c>
      <c r="C6" s="213">
        <v>2</v>
      </c>
      <c r="D6" s="213">
        <v>9</v>
      </c>
      <c r="E6" s="213" t="s">
        <v>152</v>
      </c>
      <c r="F6" s="214">
        <v>9</v>
      </c>
    </row>
    <row r="7" spans="1:6" x14ac:dyDescent="0.2">
      <c r="A7" s="26">
        <f t="shared" si="0"/>
        <v>42047</v>
      </c>
      <c r="B7" s="213">
        <v>2015</v>
      </c>
      <c r="C7" s="213">
        <v>2</v>
      </c>
      <c r="D7" s="213">
        <v>12</v>
      </c>
      <c r="E7" s="213" t="s">
        <v>152</v>
      </c>
      <c r="F7" s="214">
        <v>1</v>
      </c>
    </row>
    <row r="8" spans="1:6" x14ac:dyDescent="0.2">
      <c r="A8" s="26">
        <f t="shared" si="0"/>
        <v>42054</v>
      </c>
      <c r="B8" s="213">
        <v>2015</v>
      </c>
      <c r="C8" s="213">
        <v>2</v>
      </c>
      <c r="D8" s="213">
        <v>19</v>
      </c>
      <c r="E8" s="213" t="s">
        <v>152</v>
      </c>
      <c r="F8" s="214">
        <v>1</v>
      </c>
    </row>
    <row r="9" spans="1:6" x14ac:dyDescent="0.2">
      <c r="A9" s="26">
        <f t="shared" si="0"/>
        <v>42055</v>
      </c>
      <c r="B9" s="213">
        <v>2015</v>
      </c>
      <c r="C9" s="213">
        <v>2</v>
      </c>
      <c r="D9" s="213">
        <v>20</v>
      </c>
      <c r="E9" s="213" t="s">
        <v>152</v>
      </c>
      <c r="F9" s="214">
        <v>1</v>
      </c>
    </row>
    <row r="10" spans="1:6" x14ac:dyDescent="0.2">
      <c r="A10" s="26">
        <f t="shared" si="0"/>
        <v>42058</v>
      </c>
      <c r="B10" s="213">
        <v>2015</v>
      </c>
      <c r="C10" s="213">
        <v>2</v>
      </c>
      <c r="D10" s="213">
        <v>23</v>
      </c>
      <c r="E10" s="213" t="s">
        <v>152</v>
      </c>
      <c r="F10" s="214">
        <v>1</v>
      </c>
    </row>
    <row r="11" spans="1:6" x14ac:dyDescent="0.2">
      <c r="A11" s="26">
        <f t="shared" si="0"/>
        <v>42059</v>
      </c>
      <c r="B11" s="213">
        <v>2015</v>
      </c>
      <c r="C11" s="213">
        <v>2</v>
      </c>
      <c r="D11" s="213">
        <v>24</v>
      </c>
      <c r="E11" s="213" t="s">
        <v>152</v>
      </c>
      <c r="F11" s="214">
        <v>1</v>
      </c>
    </row>
    <row r="12" spans="1:6" x14ac:dyDescent="0.2">
      <c r="A12" s="26">
        <f t="shared" si="0"/>
        <v>42062</v>
      </c>
      <c r="B12" s="213">
        <v>2015</v>
      </c>
      <c r="C12" s="213">
        <v>2</v>
      </c>
      <c r="D12" s="213">
        <v>27</v>
      </c>
      <c r="E12" s="213" t="s">
        <v>152</v>
      </c>
      <c r="F12" s="214">
        <v>46</v>
      </c>
    </row>
    <row r="13" spans="1:6" x14ac:dyDescent="0.2">
      <c r="A13" s="26">
        <f t="shared" si="0"/>
        <v>42066</v>
      </c>
      <c r="B13" s="213">
        <v>2015</v>
      </c>
      <c r="C13" s="213">
        <v>3</v>
      </c>
      <c r="D13" s="213">
        <v>3</v>
      </c>
      <c r="E13" s="213" t="s">
        <v>152</v>
      </c>
      <c r="F13" s="214">
        <v>65</v>
      </c>
    </row>
    <row r="14" spans="1:6" x14ac:dyDescent="0.2">
      <c r="A14" s="26">
        <f t="shared" si="0"/>
        <v>42075</v>
      </c>
      <c r="B14" s="213">
        <v>2015</v>
      </c>
      <c r="C14" s="213">
        <v>3</v>
      </c>
      <c r="D14" s="213">
        <v>12</v>
      </c>
      <c r="E14" s="213" t="s">
        <v>152</v>
      </c>
      <c r="F14" s="214">
        <v>2</v>
      </c>
    </row>
    <row r="15" spans="1:6" x14ac:dyDescent="0.2">
      <c r="A15" s="26">
        <f t="shared" si="0"/>
        <v>42100</v>
      </c>
      <c r="B15" s="213">
        <v>2015</v>
      </c>
      <c r="C15" s="213">
        <v>4</v>
      </c>
      <c r="D15" s="213">
        <v>6</v>
      </c>
      <c r="E15" s="213" t="s">
        <v>152</v>
      </c>
      <c r="F15" s="214">
        <v>3</v>
      </c>
    </row>
    <row r="16" spans="1:6" x14ac:dyDescent="0.2">
      <c r="A16" s="26">
        <f t="shared" si="0"/>
        <v>42101</v>
      </c>
      <c r="B16" s="213">
        <v>2015</v>
      </c>
      <c r="C16" s="213">
        <v>4</v>
      </c>
      <c r="D16" s="213">
        <v>7</v>
      </c>
      <c r="E16" s="213" t="s">
        <v>152</v>
      </c>
      <c r="F16" s="214">
        <v>1</v>
      </c>
    </row>
    <row r="17" spans="1:6" x14ac:dyDescent="0.2">
      <c r="A17" s="26">
        <f t="shared" si="0"/>
        <v>42102</v>
      </c>
      <c r="B17" s="213">
        <v>2015</v>
      </c>
      <c r="C17" s="213">
        <v>4</v>
      </c>
      <c r="D17" s="213">
        <v>8</v>
      </c>
      <c r="E17" s="213" t="s">
        <v>152</v>
      </c>
      <c r="F17" s="214">
        <v>18</v>
      </c>
    </row>
    <row r="18" spans="1:6" x14ac:dyDescent="0.2">
      <c r="A18" s="26">
        <f t="shared" si="0"/>
        <v>42103</v>
      </c>
      <c r="B18" s="213">
        <v>2015</v>
      </c>
      <c r="C18" s="213">
        <v>4</v>
      </c>
      <c r="D18" s="213">
        <v>9</v>
      </c>
      <c r="E18" s="213" t="s">
        <v>152</v>
      </c>
      <c r="F18" s="214">
        <v>3</v>
      </c>
    </row>
    <row r="19" spans="1:6" x14ac:dyDescent="0.2">
      <c r="A19" s="26">
        <f t="shared" si="0"/>
        <v>42107</v>
      </c>
      <c r="B19" s="213">
        <v>2015</v>
      </c>
      <c r="C19" s="213">
        <v>4</v>
      </c>
      <c r="D19" s="213">
        <v>13</v>
      </c>
      <c r="E19" s="213" t="s">
        <v>152</v>
      </c>
      <c r="F19" s="214">
        <v>14</v>
      </c>
    </row>
    <row r="20" spans="1:6" x14ac:dyDescent="0.2">
      <c r="A20" s="26">
        <f t="shared" si="0"/>
        <v>42109</v>
      </c>
      <c r="B20" s="213">
        <v>2015</v>
      </c>
      <c r="C20" s="213">
        <v>4</v>
      </c>
      <c r="D20" s="213">
        <v>15</v>
      </c>
      <c r="E20" s="213" t="s">
        <v>152</v>
      </c>
      <c r="F20" s="214">
        <v>5</v>
      </c>
    </row>
    <row r="21" spans="1:6" x14ac:dyDescent="0.2">
      <c r="A21" s="26">
        <f t="shared" si="0"/>
        <v>42116</v>
      </c>
      <c r="B21" s="213">
        <v>2015</v>
      </c>
      <c r="C21" s="213">
        <v>4</v>
      </c>
      <c r="D21" s="213">
        <v>22</v>
      </c>
      <c r="E21" s="213" t="s">
        <v>152</v>
      </c>
      <c r="F21" s="214">
        <v>16</v>
      </c>
    </row>
    <row r="22" spans="1:6" x14ac:dyDescent="0.2">
      <c r="A22" s="26">
        <f t="shared" si="0"/>
        <v>42117</v>
      </c>
      <c r="B22" s="213">
        <v>2015</v>
      </c>
      <c r="C22" s="213">
        <v>4</v>
      </c>
      <c r="D22" s="213">
        <v>23</v>
      </c>
      <c r="E22" s="213" t="s">
        <v>152</v>
      </c>
      <c r="F22" s="214">
        <v>18</v>
      </c>
    </row>
    <row r="23" spans="1:6" x14ac:dyDescent="0.2">
      <c r="A23" s="26">
        <f t="shared" si="0"/>
        <v>42118</v>
      </c>
      <c r="B23" s="213">
        <v>2015</v>
      </c>
      <c r="C23" s="213">
        <v>4</v>
      </c>
      <c r="D23" s="213">
        <v>24</v>
      </c>
      <c r="E23" s="213" t="s">
        <v>152</v>
      </c>
      <c r="F23" s="214">
        <v>1</v>
      </c>
    </row>
    <row r="24" spans="1:6" x14ac:dyDescent="0.2">
      <c r="A24" s="26">
        <f t="shared" si="0"/>
        <v>42121</v>
      </c>
      <c r="B24" s="213">
        <v>2015</v>
      </c>
      <c r="C24" s="213">
        <v>4</v>
      </c>
      <c r="D24" s="213">
        <v>27</v>
      </c>
      <c r="E24" s="213" t="s">
        <v>152</v>
      </c>
      <c r="F24" s="214">
        <v>3</v>
      </c>
    </row>
    <row r="25" spans="1:6" x14ac:dyDescent="0.2">
      <c r="A25" s="26">
        <f t="shared" si="0"/>
        <v>42122</v>
      </c>
      <c r="B25" s="213">
        <v>2015</v>
      </c>
      <c r="C25" s="213">
        <v>4</v>
      </c>
      <c r="D25" s="213">
        <v>28</v>
      </c>
      <c r="E25" s="213" t="s">
        <v>152</v>
      </c>
      <c r="F25" s="214">
        <v>51</v>
      </c>
    </row>
    <row r="26" spans="1:6" x14ac:dyDescent="0.2">
      <c r="A26" s="26">
        <f t="shared" si="0"/>
        <v>42129</v>
      </c>
      <c r="B26" s="213">
        <v>2015</v>
      </c>
      <c r="C26" s="213">
        <v>5</v>
      </c>
      <c r="D26" s="213">
        <v>5</v>
      </c>
      <c r="E26" s="213" t="s">
        <v>152</v>
      </c>
      <c r="F26" s="214">
        <v>1</v>
      </c>
    </row>
    <row r="27" spans="1:6" x14ac:dyDescent="0.2">
      <c r="A27" s="26">
        <f t="shared" si="0"/>
        <v>42130</v>
      </c>
      <c r="B27" s="213">
        <v>2015</v>
      </c>
      <c r="C27" s="213">
        <v>5</v>
      </c>
      <c r="D27" s="213">
        <v>6</v>
      </c>
      <c r="E27" s="213" t="s">
        <v>152</v>
      </c>
      <c r="F27" s="214">
        <v>9</v>
      </c>
    </row>
    <row r="28" spans="1:6" x14ac:dyDescent="0.2">
      <c r="A28" s="26">
        <f t="shared" si="0"/>
        <v>42132</v>
      </c>
      <c r="B28" s="213">
        <v>2015</v>
      </c>
      <c r="C28" s="213">
        <v>5</v>
      </c>
      <c r="D28" s="213">
        <v>8</v>
      </c>
      <c r="E28" s="213" t="s">
        <v>152</v>
      </c>
      <c r="F28" s="214">
        <v>1</v>
      </c>
    </row>
    <row r="29" spans="1:6" x14ac:dyDescent="0.2">
      <c r="A29" s="26">
        <f t="shared" si="0"/>
        <v>42137</v>
      </c>
      <c r="B29" s="213">
        <v>2015</v>
      </c>
      <c r="C29" s="213">
        <v>5</v>
      </c>
      <c r="D29" s="213">
        <v>13</v>
      </c>
      <c r="E29" s="213" t="s">
        <v>152</v>
      </c>
      <c r="F29" s="214">
        <v>6</v>
      </c>
    </row>
    <row r="30" spans="1:6" x14ac:dyDescent="0.2">
      <c r="A30" s="26">
        <f t="shared" si="0"/>
        <v>42138</v>
      </c>
      <c r="B30" s="213">
        <v>2015</v>
      </c>
      <c r="C30" s="213">
        <v>5</v>
      </c>
      <c r="D30" s="213">
        <v>14</v>
      </c>
      <c r="E30" s="213" t="s">
        <v>152</v>
      </c>
      <c r="F30" s="214">
        <v>2</v>
      </c>
    </row>
    <row r="31" spans="1:6" x14ac:dyDescent="0.2">
      <c r="A31" s="26">
        <f t="shared" si="0"/>
        <v>42139</v>
      </c>
      <c r="B31" s="213">
        <v>2015</v>
      </c>
      <c r="C31" s="213">
        <v>5</v>
      </c>
      <c r="D31" s="213">
        <v>15</v>
      </c>
      <c r="E31" s="213" t="s">
        <v>152</v>
      </c>
      <c r="F31" s="214">
        <v>7</v>
      </c>
    </row>
    <row r="32" spans="1:6" x14ac:dyDescent="0.2">
      <c r="A32" s="26">
        <f t="shared" si="0"/>
        <v>42142</v>
      </c>
      <c r="B32" s="213">
        <v>2015</v>
      </c>
      <c r="C32" s="213">
        <v>5</v>
      </c>
      <c r="D32" s="213">
        <v>18</v>
      </c>
      <c r="E32" s="213" t="s">
        <v>152</v>
      </c>
      <c r="F32" s="214">
        <v>4</v>
      </c>
    </row>
    <row r="33" spans="1:6" x14ac:dyDescent="0.2">
      <c r="A33" s="26">
        <f t="shared" si="0"/>
        <v>42145</v>
      </c>
      <c r="B33" s="213">
        <v>2015</v>
      </c>
      <c r="C33" s="213">
        <v>5</v>
      </c>
      <c r="D33" s="213">
        <v>21</v>
      </c>
      <c r="E33" s="213" t="s">
        <v>152</v>
      </c>
      <c r="F33" s="214">
        <v>3</v>
      </c>
    </row>
    <row r="34" spans="1:6" x14ac:dyDescent="0.2">
      <c r="A34" s="26">
        <f t="shared" si="0"/>
        <v>42146</v>
      </c>
      <c r="B34" s="213">
        <v>2015</v>
      </c>
      <c r="C34" s="213">
        <v>5</v>
      </c>
      <c r="D34" s="213">
        <v>22</v>
      </c>
      <c r="E34" s="213" t="s">
        <v>152</v>
      </c>
      <c r="F34" s="214">
        <v>212</v>
      </c>
    </row>
    <row r="35" spans="1:6" x14ac:dyDescent="0.2">
      <c r="A35" s="26">
        <f t="shared" si="0"/>
        <v>42149</v>
      </c>
      <c r="B35" s="213">
        <v>2015</v>
      </c>
      <c r="C35" s="213">
        <v>5</v>
      </c>
      <c r="D35" s="213">
        <v>25</v>
      </c>
      <c r="E35" s="213" t="s">
        <v>152</v>
      </c>
      <c r="F35" s="214">
        <v>25</v>
      </c>
    </row>
    <row r="36" spans="1:6" x14ac:dyDescent="0.2">
      <c r="A36" s="26">
        <f t="shared" si="0"/>
        <v>42150</v>
      </c>
      <c r="B36" s="213">
        <v>2015</v>
      </c>
      <c r="C36" s="213">
        <v>5</v>
      </c>
      <c r="D36" s="213">
        <v>26</v>
      </c>
      <c r="E36" s="213" t="s">
        <v>152</v>
      </c>
      <c r="F36" s="214">
        <v>49</v>
      </c>
    </row>
    <row r="37" spans="1:6" x14ac:dyDescent="0.2">
      <c r="A37" s="26">
        <f t="shared" si="0"/>
        <v>42151</v>
      </c>
      <c r="B37" s="213">
        <v>2015</v>
      </c>
      <c r="C37" s="213">
        <v>5</v>
      </c>
      <c r="D37" s="213">
        <v>27</v>
      </c>
      <c r="E37" s="213" t="s">
        <v>152</v>
      </c>
      <c r="F37" s="214">
        <v>173</v>
      </c>
    </row>
    <row r="38" spans="1:6" x14ac:dyDescent="0.2">
      <c r="A38" s="26">
        <f t="shared" si="0"/>
        <v>42153</v>
      </c>
      <c r="B38" s="213">
        <v>2015</v>
      </c>
      <c r="C38" s="213">
        <v>5</v>
      </c>
      <c r="D38" s="213">
        <v>29</v>
      </c>
      <c r="E38" s="213" t="s">
        <v>152</v>
      </c>
      <c r="F38" s="214">
        <v>6</v>
      </c>
    </row>
    <row r="39" spans="1:6" x14ac:dyDescent="0.2">
      <c r="A39" s="26">
        <f t="shared" si="0"/>
        <v>42156</v>
      </c>
      <c r="B39" s="213">
        <v>2015</v>
      </c>
      <c r="C39" s="213">
        <v>6</v>
      </c>
      <c r="D39" s="213">
        <v>1</v>
      </c>
      <c r="E39" s="213" t="s">
        <v>152</v>
      </c>
      <c r="F39" s="214">
        <v>1</v>
      </c>
    </row>
    <row r="40" spans="1:6" x14ac:dyDescent="0.2">
      <c r="A40" s="26">
        <f t="shared" si="0"/>
        <v>42157</v>
      </c>
      <c r="B40" s="213">
        <v>2015</v>
      </c>
      <c r="C40" s="213">
        <v>6</v>
      </c>
      <c r="D40" s="213">
        <v>2</v>
      </c>
      <c r="E40" s="213" t="s">
        <v>152</v>
      </c>
      <c r="F40" s="214">
        <v>9</v>
      </c>
    </row>
    <row r="41" spans="1:6" x14ac:dyDescent="0.2">
      <c r="A41" s="26">
        <f t="shared" si="0"/>
        <v>42158</v>
      </c>
      <c r="B41" s="213">
        <v>2015</v>
      </c>
      <c r="C41" s="213">
        <v>6</v>
      </c>
      <c r="D41" s="213">
        <v>3</v>
      </c>
      <c r="E41" s="213" t="s">
        <v>152</v>
      </c>
      <c r="F41" s="214">
        <v>99</v>
      </c>
    </row>
    <row r="42" spans="1:6" x14ac:dyDescent="0.2">
      <c r="A42" s="26">
        <f t="shared" si="0"/>
        <v>42160</v>
      </c>
      <c r="B42" s="213">
        <v>2015</v>
      </c>
      <c r="C42" s="213">
        <v>6</v>
      </c>
      <c r="D42" s="213">
        <v>5</v>
      </c>
      <c r="E42" s="213" t="s">
        <v>152</v>
      </c>
      <c r="F42" s="214">
        <v>28</v>
      </c>
    </row>
    <row r="43" spans="1:6" x14ac:dyDescent="0.2">
      <c r="A43" s="26">
        <f t="shared" si="0"/>
        <v>42163</v>
      </c>
      <c r="B43" s="213">
        <v>2015</v>
      </c>
      <c r="C43" s="213">
        <v>6</v>
      </c>
      <c r="D43" s="213">
        <v>8</v>
      </c>
      <c r="E43" s="213" t="s">
        <v>152</v>
      </c>
      <c r="F43" s="214">
        <v>6</v>
      </c>
    </row>
    <row r="44" spans="1:6" x14ac:dyDescent="0.2">
      <c r="A44" s="26">
        <f t="shared" si="0"/>
        <v>42165</v>
      </c>
      <c r="B44" s="213">
        <v>2015</v>
      </c>
      <c r="C44" s="213">
        <v>6</v>
      </c>
      <c r="D44" s="213">
        <v>10</v>
      </c>
      <c r="E44" s="213" t="s">
        <v>152</v>
      </c>
      <c r="F44" s="214">
        <v>84</v>
      </c>
    </row>
    <row r="45" spans="1:6" x14ac:dyDescent="0.2">
      <c r="A45" s="26">
        <f t="shared" si="0"/>
        <v>42166</v>
      </c>
      <c r="B45" s="213">
        <v>2015</v>
      </c>
      <c r="C45" s="213">
        <v>6</v>
      </c>
      <c r="D45" s="213">
        <v>11</v>
      </c>
      <c r="E45" s="213" t="s">
        <v>152</v>
      </c>
      <c r="F45" s="214">
        <v>5</v>
      </c>
    </row>
    <row r="46" spans="1:6" x14ac:dyDescent="0.2">
      <c r="A46" s="26">
        <f t="shared" si="0"/>
        <v>42167</v>
      </c>
      <c r="B46" s="213">
        <v>2015</v>
      </c>
      <c r="C46" s="213">
        <v>6</v>
      </c>
      <c r="D46" s="213">
        <v>12</v>
      </c>
      <c r="E46" s="213" t="s">
        <v>152</v>
      </c>
      <c r="F46" s="214">
        <v>11</v>
      </c>
    </row>
    <row r="47" spans="1:6" x14ac:dyDescent="0.2">
      <c r="A47" s="26">
        <f t="shared" si="0"/>
        <v>42170</v>
      </c>
      <c r="B47" s="213">
        <v>2015</v>
      </c>
      <c r="C47" s="213">
        <v>6</v>
      </c>
      <c r="D47" s="213">
        <v>15</v>
      </c>
      <c r="E47" s="213" t="s">
        <v>152</v>
      </c>
      <c r="F47" s="214">
        <v>1</v>
      </c>
    </row>
    <row r="48" spans="1:6" x14ac:dyDescent="0.2">
      <c r="A48" s="26">
        <f t="shared" si="0"/>
        <v>42171</v>
      </c>
      <c r="B48" s="213">
        <v>2015</v>
      </c>
      <c r="C48" s="213">
        <v>6</v>
      </c>
      <c r="D48" s="213">
        <v>16</v>
      </c>
      <c r="E48" s="213" t="s">
        <v>152</v>
      </c>
      <c r="F48" s="214">
        <v>5</v>
      </c>
    </row>
    <row r="49" spans="1:6" x14ac:dyDescent="0.2">
      <c r="A49" s="26">
        <f t="shared" si="0"/>
        <v>42172</v>
      </c>
      <c r="B49" s="213">
        <v>2015</v>
      </c>
      <c r="C49" s="213">
        <v>6</v>
      </c>
      <c r="D49" s="213">
        <v>17</v>
      </c>
      <c r="E49" s="213" t="s">
        <v>152</v>
      </c>
      <c r="F49" s="214">
        <v>1</v>
      </c>
    </row>
    <row r="50" spans="1:6" x14ac:dyDescent="0.2">
      <c r="A50" s="26">
        <f t="shared" si="0"/>
        <v>42173</v>
      </c>
      <c r="B50" s="213">
        <v>2015</v>
      </c>
      <c r="C50" s="213">
        <v>6</v>
      </c>
      <c r="D50" s="213">
        <v>18</v>
      </c>
      <c r="E50" s="213" t="s">
        <v>152</v>
      </c>
      <c r="F50" s="214">
        <v>3</v>
      </c>
    </row>
    <row r="51" spans="1:6" x14ac:dyDescent="0.2">
      <c r="A51" s="26">
        <f t="shared" si="0"/>
        <v>42177</v>
      </c>
      <c r="B51" s="213">
        <v>2015</v>
      </c>
      <c r="C51" s="213">
        <v>6</v>
      </c>
      <c r="D51" s="213">
        <v>22</v>
      </c>
      <c r="E51" s="213" t="s">
        <v>152</v>
      </c>
      <c r="F51" s="214">
        <v>28</v>
      </c>
    </row>
    <row r="52" spans="1:6" x14ac:dyDescent="0.2">
      <c r="A52" s="26">
        <f t="shared" si="0"/>
        <v>42178</v>
      </c>
      <c r="B52" s="213">
        <v>2015</v>
      </c>
      <c r="C52" s="213">
        <v>6</v>
      </c>
      <c r="D52" s="213">
        <v>23</v>
      </c>
      <c r="E52" s="213" t="s">
        <v>152</v>
      </c>
      <c r="F52" s="214">
        <v>74</v>
      </c>
    </row>
    <row r="53" spans="1:6" x14ac:dyDescent="0.2">
      <c r="A53" s="26">
        <f t="shared" si="0"/>
        <v>42179</v>
      </c>
      <c r="B53" s="213">
        <v>2015</v>
      </c>
      <c r="C53" s="213">
        <v>6</v>
      </c>
      <c r="D53" s="213">
        <v>24</v>
      </c>
      <c r="E53" s="213" t="s">
        <v>152</v>
      </c>
      <c r="F53" s="214">
        <v>1</v>
      </c>
    </row>
    <row r="54" spans="1:6" x14ac:dyDescent="0.2">
      <c r="A54" s="26">
        <f t="shared" si="0"/>
        <v>42181</v>
      </c>
      <c r="B54" s="213">
        <v>2015</v>
      </c>
      <c r="C54" s="213">
        <v>6</v>
      </c>
      <c r="D54" s="213">
        <v>26</v>
      </c>
      <c r="E54" s="213" t="s">
        <v>152</v>
      </c>
      <c r="F54" s="214">
        <v>12</v>
      </c>
    </row>
    <row r="55" spans="1:6" x14ac:dyDescent="0.2">
      <c r="A55" s="26">
        <f t="shared" si="0"/>
        <v>42184</v>
      </c>
      <c r="B55" s="213">
        <v>2015</v>
      </c>
      <c r="C55" s="213">
        <v>6</v>
      </c>
      <c r="D55" s="213">
        <v>29</v>
      </c>
      <c r="E55" s="213" t="s">
        <v>152</v>
      </c>
      <c r="F55" s="214">
        <v>51</v>
      </c>
    </row>
    <row r="56" spans="1:6" x14ac:dyDescent="0.2">
      <c r="A56" s="26">
        <f t="shared" si="0"/>
        <v>42185</v>
      </c>
      <c r="B56" s="213">
        <v>2015</v>
      </c>
      <c r="C56" s="213">
        <v>6</v>
      </c>
      <c r="D56" s="213">
        <v>30</v>
      </c>
      <c r="E56" s="213" t="s">
        <v>152</v>
      </c>
      <c r="F56" s="214">
        <v>8</v>
      </c>
    </row>
    <row r="57" spans="1:6" x14ac:dyDescent="0.2">
      <c r="A57" s="26">
        <f t="shared" si="0"/>
        <v>42186</v>
      </c>
      <c r="B57" s="213">
        <v>2015</v>
      </c>
      <c r="C57" s="213">
        <v>7</v>
      </c>
      <c r="D57" s="213">
        <v>1</v>
      </c>
      <c r="E57" s="213" t="s">
        <v>152</v>
      </c>
      <c r="F57" s="214">
        <v>15</v>
      </c>
    </row>
    <row r="58" spans="1:6" x14ac:dyDescent="0.2">
      <c r="A58" s="26">
        <f t="shared" si="0"/>
        <v>42187</v>
      </c>
      <c r="B58" s="213">
        <v>2015</v>
      </c>
      <c r="C58" s="213">
        <v>7</v>
      </c>
      <c r="D58" s="213">
        <v>2</v>
      </c>
      <c r="E58" s="213" t="s">
        <v>152</v>
      </c>
      <c r="F58" s="214">
        <v>4</v>
      </c>
    </row>
    <row r="59" spans="1:6" x14ac:dyDescent="0.2">
      <c r="A59" s="26">
        <f t="shared" si="0"/>
        <v>42191</v>
      </c>
      <c r="B59" s="213">
        <v>2015</v>
      </c>
      <c r="C59" s="213">
        <v>7</v>
      </c>
      <c r="D59" s="213">
        <v>6</v>
      </c>
      <c r="E59" s="213" t="s">
        <v>152</v>
      </c>
      <c r="F59" s="214">
        <v>13</v>
      </c>
    </row>
    <row r="60" spans="1:6" x14ac:dyDescent="0.2">
      <c r="A60" s="26">
        <f t="shared" si="0"/>
        <v>42192</v>
      </c>
      <c r="B60" s="213">
        <v>2015</v>
      </c>
      <c r="C60" s="213">
        <v>7</v>
      </c>
      <c r="D60" s="213">
        <v>7</v>
      </c>
      <c r="E60" s="213" t="s">
        <v>152</v>
      </c>
      <c r="F60" s="214">
        <v>6</v>
      </c>
    </row>
    <row r="61" spans="1:6" x14ac:dyDescent="0.2">
      <c r="A61" s="26">
        <f t="shared" si="0"/>
        <v>42193</v>
      </c>
      <c r="B61" s="213">
        <v>2015</v>
      </c>
      <c r="C61" s="213">
        <v>7</v>
      </c>
      <c r="D61" s="213">
        <v>8</v>
      </c>
      <c r="E61" s="213" t="s">
        <v>152</v>
      </c>
      <c r="F61" s="214">
        <v>3</v>
      </c>
    </row>
    <row r="62" spans="1:6" x14ac:dyDescent="0.2">
      <c r="A62" s="26">
        <f t="shared" si="0"/>
        <v>42194</v>
      </c>
      <c r="B62" s="213">
        <v>2015</v>
      </c>
      <c r="C62" s="213">
        <v>7</v>
      </c>
      <c r="D62" s="213">
        <v>9</v>
      </c>
      <c r="E62" s="213" t="s">
        <v>152</v>
      </c>
      <c r="F62" s="214">
        <v>16</v>
      </c>
    </row>
    <row r="63" spans="1:6" x14ac:dyDescent="0.2">
      <c r="A63" s="26">
        <f t="shared" si="0"/>
        <v>42195</v>
      </c>
      <c r="B63" s="213">
        <v>2015</v>
      </c>
      <c r="C63" s="213">
        <v>7</v>
      </c>
      <c r="D63" s="213">
        <v>10</v>
      </c>
      <c r="E63" s="213" t="s">
        <v>152</v>
      </c>
      <c r="F63" s="214">
        <v>1</v>
      </c>
    </row>
    <row r="64" spans="1:6" x14ac:dyDescent="0.2">
      <c r="A64" s="26">
        <f t="shared" si="0"/>
        <v>42198</v>
      </c>
      <c r="B64" s="213">
        <v>2015</v>
      </c>
      <c r="C64" s="213">
        <v>7</v>
      </c>
      <c r="D64" s="213">
        <v>13</v>
      </c>
      <c r="E64" s="213" t="s">
        <v>152</v>
      </c>
      <c r="F64" s="214">
        <v>3</v>
      </c>
    </row>
    <row r="65" spans="1:6" x14ac:dyDescent="0.2">
      <c r="A65" s="26">
        <f t="shared" si="0"/>
        <v>42199</v>
      </c>
      <c r="B65" s="213">
        <v>2015</v>
      </c>
      <c r="C65" s="213">
        <v>7</v>
      </c>
      <c r="D65" s="213">
        <v>14</v>
      </c>
      <c r="E65" s="213" t="s">
        <v>152</v>
      </c>
      <c r="F65" s="214">
        <v>3</v>
      </c>
    </row>
    <row r="66" spans="1:6" x14ac:dyDescent="0.2">
      <c r="A66" s="26">
        <f t="shared" si="0"/>
        <v>42205</v>
      </c>
      <c r="B66" s="213">
        <v>2015</v>
      </c>
      <c r="C66" s="213">
        <v>7</v>
      </c>
      <c r="D66" s="213">
        <v>20</v>
      </c>
      <c r="E66" s="213" t="s">
        <v>152</v>
      </c>
      <c r="F66" s="214">
        <v>2</v>
      </c>
    </row>
    <row r="67" spans="1:6" x14ac:dyDescent="0.2">
      <c r="A67" s="26">
        <f t="shared" ref="A67:A130" si="1">DATE(B67,C67,D67)</f>
        <v>42207</v>
      </c>
      <c r="B67" s="213">
        <v>2015</v>
      </c>
      <c r="C67" s="213">
        <v>7</v>
      </c>
      <c r="D67" s="213">
        <v>22</v>
      </c>
      <c r="E67" s="213" t="s">
        <v>152</v>
      </c>
      <c r="F67" s="214">
        <v>1</v>
      </c>
    </row>
    <row r="68" spans="1:6" x14ac:dyDescent="0.2">
      <c r="A68" s="26">
        <f t="shared" si="1"/>
        <v>42208</v>
      </c>
      <c r="B68" s="213">
        <v>2015</v>
      </c>
      <c r="C68" s="213">
        <v>7</v>
      </c>
      <c r="D68" s="213">
        <v>23</v>
      </c>
      <c r="E68" s="213" t="s">
        <v>152</v>
      </c>
      <c r="F68" s="214">
        <v>11</v>
      </c>
    </row>
    <row r="69" spans="1:6" x14ac:dyDescent="0.2">
      <c r="A69" s="26">
        <f t="shared" si="1"/>
        <v>42212</v>
      </c>
      <c r="B69" s="213">
        <v>2015</v>
      </c>
      <c r="C69" s="213">
        <v>7</v>
      </c>
      <c r="D69" s="213">
        <v>27</v>
      </c>
      <c r="E69" s="213" t="s">
        <v>152</v>
      </c>
      <c r="F69" s="214">
        <v>2</v>
      </c>
    </row>
    <row r="70" spans="1:6" x14ac:dyDescent="0.2">
      <c r="A70" s="26">
        <f t="shared" si="1"/>
        <v>42213</v>
      </c>
      <c r="B70" s="213">
        <v>2015</v>
      </c>
      <c r="C70" s="213">
        <v>7</v>
      </c>
      <c r="D70" s="213">
        <v>28</v>
      </c>
      <c r="E70" s="213" t="s">
        <v>152</v>
      </c>
      <c r="F70" s="214">
        <v>1</v>
      </c>
    </row>
    <row r="71" spans="1:6" x14ac:dyDescent="0.2">
      <c r="A71" s="26">
        <f t="shared" si="1"/>
        <v>42214</v>
      </c>
      <c r="B71" s="213">
        <v>2015</v>
      </c>
      <c r="C71" s="213">
        <v>7</v>
      </c>
      <c r="D71" s="213">
        <v>29</v>
      </c>
      <c r="E71" s="213" t="s">
        <v>152</v>
      </c>
      <c r="F71" s="214">
        <v>1</v>
      </c>
    </row>
    <row r="72" spans="1:6" x14ac:dyDescent="0.2">
      <c r="A72" s="26">
        <f t="shared" si="1"/>
        <v>42216</v>
      </c>
      <c r="B72" s="213">
        <v>2015</v>
      </c>
      <c r="C72" s="213">
        <v>7</v>
      </c>
      <c r="D72" s="213">
        <v>31</v>
      </c>
      <c r="E72" s="213" t="s">
        <v>152</v>
      </c>
      <c r="F72" s="214">
        <v>3</v>
      </c>
    </row>
    <row r="73" spans="1:6" x14ac:dyDescent="0.2">
      <c r="A73" s="26">
        <f t="shared" si="1"/>
        <v>42219</v>
      </c>
      <c r="B73" s="213">
        <v>2015</v>
      </c>
      <c r="C73" s="213">
        <v>8</v>
      </c>
      <c r="D73" s="213">
        <v>3</v>
      </c>
      <c r="E73" s="213" t="s">
        <v>152</v>
      </c>
      <c r="F73" s="214">
        <v>4</v>
      </c>
    </row>
    <row r="74" spans="1:6" x14ac:dyDescent="0.2">
      <c r="A74" s="26">
        <f t="shared" si="1"/>
        <v>42220</v>
      </c>
      <c r="B74" s="213">
        <v>2015</v>
      </c>
      <c r="C74" s="213">
        <v>8</v>
      </c>
      <c r="D74" s="213">
        <v>4</v>
      </c>
      <c r="E74" s="213" t="s">
        <v>152</v>
      </c>
      <c r="F74" s="214">
        <v>10</v>
      </c>
    </row>
    <row r="75" spans="1:6" x14ac:dyDescent="0.2">
      <c r="A75" s="26">
        <f t="shared" si="1"/>
        <v>42221</v>
      </c>
      <c r="B75" s="213">
        <v>2015</v>
      </c>
      <c r="C75" s="213">
        <v>8</v>
      </c>
      <c r="D75" s="213">
        <v>5</v>
      </c>
      <c r="E75" s="213" t="s">
        <v>152</v>
      </c>
      <c r="F75" s="214">
        <v>35</v>
      </c>
    </row>
    <row r="76" spans="1:6" x14ac:dyDescent="0.2">
      <c r="A76" s="26">
        <f t="shared" si="1"/>
        <v>42223</v>
      </c>
      <c r="B76" s="213">
        <v>2015</v>
      </c>
      <c r="C76" s="213">
        <v>8</v>
      </c>
      <c r="D76" s="213">
        <v>7</v>
      </c>
      <c r="E76" s="213" t="s">
        <v>152</v>
      </c>
      <c r="F76" s="214">
        <v>1</v>
      </c>
    </row>
    <row r="77" spans="1:6" x14ac:dyDescent="0.2">
      <c r="A77" s="26">
        <f t="shared" si="1"/>
        <v>42226</v>
      </c>
      <c r="B77" s="213">
        <v>2015</v>
      </c>
      <c r="C77" s="213">
        <v>8</v>
      </c>
      <c r="D77" s="213">
        <v>10</v>
      </c>
      <c r="E77" s="213" t="s">
        <v>152</v>
      </c>
      <c r="F77" s="214">
        <v>1</v>
      </c>
    </row>
    <row r="78" spans="1:6" x14ac:dyDescent="0.2">
      <c r="A78" s="26">
        <f t="shared" si="1"/>
        <v>42227</v>
      </c>
      <c r="B78" s="213">
        <v>2015</v>
      </c>
      <c r="C78" s="213">
        <v>8</v>
      </c>
      <c r="D78" s="213">
        <v>11</v>
      </c>
      <c r="E78" s="213" t="s">
        <v>152</v>
      </c>
      <c r="F78" s="214">
        <v>1</v>
      </c>
    </row>
    <row r="79" spans="1:6" x14ac:dyDescent="0.2">
      <c r="A79" s="26">
        <f t="shared" si="1"/>
        <v>42228</v>
      </c>
      <c r="B79" s="213">
        <v>2015</v>
      </c>
      <c r="C79" s="213">
        <v>8</v>
      </c>
      <c r="D79" s="213">
        <v>12</v>
      </c>
      <c r="E79" s="213" t="s">
        <v>152</v>
      </c>
      <c r="F79" s="214">
        <v>6</v>
      </c>
    </row>
    <row r="80" spans="1:6" x14ac:dyDescent="0.2">
      <c r="A80" s="26">
        <f t="shared" si="1"/>
        <v>42230</v>
      </c>
      <c r="B80" s="213">
        <v>2015</v>
      </c>
      <c r="C80" s="213">
        <v>8</v>
      </c>
      <c r="D80" s="213">
        <v>14</v>
      </c>
      <c r="E80" s="213" t="s">
        <v>152</v>
      </c>
      <c r="F80" s="214">
        <v>1</v>
      </c>
    </row>
    <row r="81" spans="1:6" x14ac:dyDescent="0.2">
      <c r="A81" s="26">
        <f t="shared" si="1"/>
        <v>42233</v>
      </c>
      <c r="B81" s="213">
        <v>2015</v>
      </c>
      <c r="C81" s="213">
        <v>8</v>
      </c>
      <c r="D81" s="213">
        <v>17</v>
      </c>
      <c r="E81" s="213" t="s">
        <v>152</v>
      </c>
      <c r="F81" s="214">
        <v>6</v>
      </c>
    </row>
    <row r="82" spans="1:6" x14ac:dyDescent="0.2">
      <c r="A82" s="26">
        <f t="shared" si="1"/>
        <v>42235</v>
      </c>
      <c r="B82" s="213">
        <v>2015</v>
      </c>
      <c r="C82" s="213">
        <v>8</v>
      </c>
      <c r="D82" s="213">
        <v>19</v>
      </c>
      <c r="E82" s="213" t="s">
        <v>152</v>
      </c>
      <c r="F82" s="214">
        <v>43</v>
      </c>
    </row>
    <row r="83" spans="1:6" x14ac:dyDescent="0.2">
      <c r="A83" s="26">
        <f t="shared" si="1"/>
        <v>42236</v>
      </c>
      <c r="B83" s="213">
        <v>2015</v>
      </c>
      <c r="C83" s="213">
        <v>8</v>
      </c>
      <c r="D83" s="213">
        <v>20</v>
      </c>
      <c r="E83" s="213" t="s">
        <v>152</v>
      </c>
      <c r="F83" s="214">
        <v>64</v>
      </c>
    </row>
    <row r="84" spans="1:6" x14ac:dyDescent="0.2">
      <c r="A84" s="26">
        <f t="shared" si="1"/>
        <v>42237</v>
      </c>
      <c r="B84" s="213">
        <v>2015</v>
      </c>
      <c r="C84" s="213">
        <v>8</v>
      </c>
      <c r="D84" s="213">
        <v>21</v>
      </c>
      <c r="E84" s="213" t="s">
        <v>152</v>
      </c>
      <c r="F84" s="214">
        <v>1</v>
      </c>
    </row>
    <row r="85" spans="1:6" x14ac:dyDescent="0.2">
      <c r="A85" s="26">
        <f t="shared" si="1"/>
        <v>42244</v>
      </c>
      <c r="B85" s="213">
        <v>2015</v>
      </c>
      <c r="C85" s="213">
        <v>8</v>
      </c>
      <c r="D85" s="213">
        <v>28</v>
      </c>
      <c r="E85" s="213" t="s">
        <v>152</v>
      </c>
      <c r="F85" s="214">
        <v>1</v>
      </c>
    </row>
    <row r="86" spans="1:6" x14ac:dyDescent="0.2">
      <c r="A86" s="26">
        <f t="shared" si="1"/>
        <v>42247</v>
      </c>
      <c r="B86" s="213">
        <v>2015</v>
      </c>
      <c r="C86" s="213">
        <v>8</v>
      </c>
      <c r="D86" s="213">
        <v>31</v>
      </c>
      <c r="E86" s="213" t="s">
        <v>152</v>
      </c>
      <c r="F86" s="214">
        <v>45</v>
      </c>
    </row>
    <row r="87" spans="1:6" x14ac:dyDescent="0.2">
      <c r="A87" s="26">
        <f t="shared" si="1"/>
        <v>42248</v>
      </c>
      <c r="B87" s="213">
        <v>2015</v>
      </c>
      <c r="C87" s="213">
        <v>9</v>
      </c>
      <c r="D87" s="213">
        <v>1</v>
      </c>
      <c r="E87" s="213" t="s">
        <v>152</v>
      </c>
      <c r="F87" s="214">
        <v>30</v>
      </c>
    </row>
    <row r="88" spans="1:6" x14ac:dyDescent="0.2">
      <c r="A88" s="26">
        <f t="shared" si="1"/>
        <v>42249</v>
      </c>
      <c r="B88" s="213">
        <v>2015</v>
      </c>
      <c r="C88" s="213">
        <v>9</v>
      </c>
      <c r="D88" s="213">
        <v>2</v>
      </c>
      <c r="E88" s="213" t="s">
        <v>152</v>
      </c>
      <c r="F88" s="214">
        <v>45</v>
      </c>
    </row>
    <row r="89" spans="1:6" x14ac:dyDescent="0.2">
      <c r="A89" s="26">
        <f t="shared" si="1"/>
        <v>42250</v>
      </c>
      <c r="B89" s="213">
        <v>2015</v>
      </c>
      <c r="C89" s="213">
        <v>9</v>
      </c>
      <c r="D89" s="213">
        <v>3</v>
      </c>
      <c r="E89" s="213" t="s">
        <v>152</v>
      </c>
      <c r="F89" s="214">
        <v>15</v>
      </c>
    </row>
    <row r="90" spans="1:6" x14ac:dyDescent="0.2">
      <c r="A90" s="26">
        <f t="shared" si="1"/>
        <v>42255</v>
      </c>
      <c r="B90" s="213">
        <v>2015</v>
      </c>
      <c r="C90" s="213">
        <v>9</v>
      </c>
      <c r="D90" s="213">
        <v>8</v>
      </c>
      <c r="E90" s="213" t="s">
        <v>152</v>
      </c>
      <c r="F90" s="214">
        <v>2</v>
      </c>
    </row>
    <row r="91" spans="1:6" x14ac:dyDescent="0.2">
      <c r="A91" s="26">
        <f t="shared" si="1"/>
        <v>42258</v>
      </c>
      <c r="B91" s="213">
        <v>2015</v>
      </c>
      <c r="C91" s="213">
        <v>9</v>
      </c>
      <c r="D91" s="213">
        <v>11</v>
      </c>
      <c r="E91" s="213" t="s">
        <v>152</v>
      </c>
      <c r="F91" s="214">
        <v>1</v>
      </c>
    </row>
    <row r="92" spans="1:6" x14ac:dyDescent="0.2">
      <c r="A92" s="26">
        <f t="shared" si="1"/>
        <v>42261</v>
      </c>
      <c r="B92" s="213">
        <v>2015</v>
      </c>
      <c r="C92" s="213">
        <v>9</v>
      </c>
      <c r="D92" s="213">
        <v>14</v>
      </c>
      <c r="E92" s="213" t="s">
        <v>152</v>
      </c>
      <c r="F92" s="214">
        <v>1</v>
      </c>
    </row>
    <row r="93" spans="1:6" x14ac:dyDescent="0.2">
      <c r="A93" s="26">
        <f t="shared" si="1"/>
        <v>42264</v>
      </c>
      <c r="B93" s="213">
        <v>2015</v>
      </c>
      <c r="C93" s="213">
        <v>9</v>
      </c>
      <c r="D93" s="213">
        <v>17</v>
      </c>
      <c r="E93" s="213" t="s">
        <v>152</v>
      </c>
      <c r="F93" s="214">
        <v>1</v>
      </c>
    </row>
    <row r="94" spans="1:6" x14ac:dyDescent="0.2">
      <c r="A94" s="26">
        <f t="shared" si="1"/>
        <v>42270</v>
      </c>
      <c r="B94" s="213">
        <v>2015</v>
      </c>
      <c r="C94" s="213">
        <v>9</v>
      </c>
      <c r="D94" s="213">
        <v>23</v>
      </c>
      <c r="E94" s="213" t="s">
        <v>152</v>
      </c>
      <c r="F94" s="214">
        <v>2</v>
      </c>
    </row>
    <row r="95" spans="1:6" x14ac:dyDescent="0.2">
      <c r="A95" s="26">
        <f t="shared" si="1"/>
        <v>42272</v>
      </c>
      <c r="B95" s="213">
        <v>2015</v>
      </c>
      <c r="C95" s="213">
        <v>9</v>
      </c>
      <c r="D95" s="213">
        <v>25</v>
      </c>
      <c r="E95" s="213" t="s">
        <v>152</v>
      </c>
      <c r="F95" s="214">
        <v>1</v>
      </c>
    </row>
    <row r="96" spans="1:6" x14ac:dyDescent="0.2">
      <c r="A96" s="26">
        <f t="shared" si="1"/>
        <v>42276</v>
      </c>
      <c r="B96" s="213">
        <v>2015</v>
      </c>
      <c r="C96" s="213">
        <v>9</v>
      </c>
      <c r="D96" s="213">
        <v>29</v>
      </c>
      <c r="E96" s="213" t="s">
        <v>152</v>
      </c>
      <c r="F96" s="214">
        <v>1</v>
      </c>
    </row>
    <row r="97" spans="1:6" x14ac:dyDescent="0.2">
      <c r="A97" s="26">
        <f t="shared" si="1"/>
        <v>42277</v>
      </c>
      <c r="B97" s="213">
        <v>2015</v>
      </c>
      <c r="C97" s="213">
        <v>9</v>
      </c>
      <c r="D97" s="213">
        <v>30</v>
      </c>
      <c r="E97" s="213" t="s">
        <v>152</v>
      </c>
      <c r="F97" s="214">
        <v>3</v>
      </c>
    </row>
    <row r="98" spans="1:6" x14ac:dyDescent="0.2">
      <c r="A98" s="26">
        <f t="shared" si="1"/>
        <v>42278</v>
      </c>
      <c r="B98" s="213">
        <v>2015</v>
      </c>
      <c r="C98" s="213">
        <v>10</v>
      </c>
      <c r="D98" s="213">
        <v>1</v>
      </c>
      <c r="E98" s="213" t="s">
        <v>152</v>
      </c>
      <c r="F98" s="214">
        <v>2</v>
      </c>
    </row>
    <row r="99" spans="1:6" x14ac:dyDescent="0.2">
      <c r="A99" s="26">
        <f t="shared" si="1"/>
        <v>42279</v>
      </c>
      <c r="B99" s="213">
        <v>2015</v>
      </c>
      <c r="C99" s="213">
        <v>10</v>
      </c>
      <c r="D99" s="213">
        <v>2</v>
      </c>
      <c r="E99" s="213" t="s">
        <v>152</v>
      </c>
      <c r="F99" s="214">
        <v>29</v>
      </c>
    </row>
    <row r="100" spans="1:6" x14ac:dyDescent="0.2">
      <c r="A100" s="26">
        <f t="shared" si="1"/>
        <v>42284</v>
      </c>
      <c r="B100" s="213">
        <v>2015</v>
      </c>
      <c r="C100" s="213">
        <v>10</v>
      </c>
      <c r="D100" s="213">
        <v>7</v>
      </c>
      <c r="E100" s="213" t="s">
        <v>152</v>
      </c>
      <c r="F100" s="214">
        <v>3</v>
      </c>
    </row>
    <row r="101" spans="1:6" x14ac:dyDescent="0.2">
      <c r="A101" s="26">
        <f t="shared" si="1"/>
        <v>42286</v>
      </c>
      <c r="B101" s="213">
        <v>2015</v>
      </c>
      <c r="C101" s="213">
        <v>10</v>
      </c>
      <c r="D101" s="213">
        <v>9</v>
      </c>
      <c r="E101" s="213" t="s">
        <v>152</v>
      </c>
      <c r="F101" s="214">
        <v>1</v>
      </c>
    </row>
    <row r="102" spans="1:6" x14ac:dyDescent="0.2">
      <c r="A102" s="26">
        <f t="shared" si="1"/>
        <v>42303</v>
      </c>
      <c r="B102" s="213">
        <v>2015</v>
      </c>
      <c r="C102" s="213">
        <v>10</v>
      </c>
      <c r="D102" s="213">
        <v>26</v>
      </c>
      <c r="E102" s="213" t="s">
        <v>152</v>
      </c>
      <c r="F102" s="214">
        <v>1</v>
      </c>
    </row>
    <row r="103" spans="1:6" x14ac:dyDescent="0.2">
      <c r="A103" s="26">
        <f t="shared" si="1"/>
        <v>42304</v>
      </c>
      <c r="B103" s="213">
        <v>2015</v>
      </c>
      <c r="C103" s="213">
        <v>10</v>
      </c>
      <c r="D103" s="213">
        <v>27</v>
      </c>
      <c r="E103" s="213" t="s">
        <v>152</v>
      </c>
      <c r="F103" s="214">
        <v>1</v>
      </c>
    </row>
    <row r="104" spans="1:6" x14ac:dyDescent="0.2">
      <c r="A104" s="26">
        <f t="shared" si="1"/>
        <v>42319</v>
      </c>
      <c r="B104" s="213">
        <v>2015</v>
      </c>
      <c r="C104" s="213">
        <v>11</v>
      </c>
      <c r="D104" s="213">
        <v>11</v>
      </c>
      <c r="E104" s="213" t="s">
        <v>152</v>
      </c>
      <c r="F104" s="214">
        <v>14</v>
      </c>
    </row>
    <row r="105" spans="1:6" x14ac:dyDescent="0.2">
      <c r="A105" s="26">
        <f t="shared" si="1"/>
        <v>42320</v>
      </c>
      <c r="B105" s="213">
        <v>2015</v>
      </c>
      <c r="C105" s="213">
        <v>11</v>
      </c>
      <c r="D105" s="213">
        <v>12</v>
      </c>
      <c r="E105" s="213" t="s">
        <v>152</v>
      </c>
      <c r="F105" s="214">
        <v>59</v>
      </c>
    </row>
    <row r="106" spans="1:6" x14ac:dyDescent="0.2">
      <c r="A106" s="26">
        <f t="shared" si="1"/>
        <v>42321</v>
      </c>
      <c r="B106" s="213">
        <v>2015</v>
      </c>
      <c r="C106" s="213">
        <v>11</v>
      </c>
      <c r="D106" s="213">
        <v>13</v>
      </c>
      <c r="E106" s="213" t="s">
        <v>152</v>
      </c>
      <c r="F106" s="214">
        <v>10</v>
      </c>
    </row>
    <row r="107" spans="1:6" x14ac:dyDescent="0.2">
      <c r="A107" s="26">
        <f t="shared" si="1"/>
        <v>42324</v>
      </c>
      <c r="B107" s="213">
        <v>2015</v>
      </c>
      <c r="C107" s="213">
        <v>11</v>
      </c>
      <c r="D107" s="213">
        <v>16</v>
      </c>
      <c r="E107" s="213" t="s">
        <v>152</v>
      </c>
      <c r="F107" s="214">
        <v>11</v>
      </c>
    </row>
    <row r="108" spans="1:6" x14ac:dyDescent="0.2">
      <c r="A108" s="26">
        <f t="shared" si="1"/>
        <v>42331</v>
      </c>
      <c r="B108" s="213">
        <v>2015</v>
      </c>
      <c r="C108" s="213">
        <v>11</v>
      </c>
      <c r="D108" s="213">
        <v>23</v>
      </c>
      <c r="E108" s="213" t="s">
        <v>152</v>
      </c>
      <c r="F108" s="214">
        <v>1</v>
      </c>
    </row>
    <row r="109" spans="1:6" x14ac:dyDescent="0.2">
      <c r="A109" s="26">
        <f t="shared" si="1"/>
        <v>42332</v>
      </c>
      <c r="B109" s="213">
        <v>2015</v>
      </c>
      <c r="C109" s="213">
        <v>11</v>
      </c>
      <c r="D109" s="213">
        <v>24</v>
      </c>
      <c r="E109" s="213" t="s">
        <v>152</v>
      </c>
      <c r="F109" s="214">
        <v>5</v>
      </c>
    </row>
    <row r="110" spans="1:6" x14ac:dyDescent="0.2">
      <c r="A110" s="26">
        <f t="shared" si="1"/>
        <v>42333</v>
      </c>
      <c r="B110" s="213">
        <v>2015</v>
      </c>
      <c r="C110" s="213">
        <v>11</v>
      </c>
      <c r="D110" s="213">
        <v>25</v>
      </c>
      <c r="E110" s="213" t="s">
        <v>152</v>
      </c>
      <c r="F110" s="214">
        <v>1</v>
      </c>
    </row>
    <row r="111" spans="1:6" x14ac:dyDescent="0.2">
      <c r="A111" s="26">
        <f t="shared" si="1"/>
        <v>42334</v>
      </c>
      <c r="B111" s="213">
        <v>2015</v>
      </c>
      <c r="C111" s="213">
        <v>11</v>
      </c>
      <c r="D111" s="213">
        <v>26</v>
      </c>
      <c r="E111" s="213" t="s">
        <v>152</v>
      </c>
      <c r="F111" s="214">
        <v>1</v>
      </c>
    </row>
    <row r="112" spans="1:6" x14ac:dyDescent="0.2">
      <c r="A112" s="26">
        <f t="shared" si="1"/>
        <v>42339</v>
      </c>
      <c r="B112" s="213">
        <v>2015</v>
      </c>
      <c r="C112" s="213">
        <v>12</v>
      </c>
      <c r="D112" s="213">
        <v>1</v>
      </c>
      <c r="E112" s="213" t="s">
        <v>152</v>
      </c>
      <c r="F112" s="214">
        <v>1</v>
      </c>
    </row>
    <row r="113" spans="1:6" x14ac:dyDescent="0.2">
      <c r="A113" s="26">
        <f t="shared" si="1"/>
        <v>42341</v>
      </c>
      <c r="B113" s="213">
        <v>2015</v>
      </c>
      <c r="C113" s="213">
        <v>12</v>
      </c>
      <c r="D113" s="213">
        <v>3</v>
      </c>
      <c r="E113" s="213" t="s">
        <v>152</v>
      </c>
      <c r="F113" s="214">
        <v>3</v>
      </c>
    </row>
    <row r="114" spans="1:6" x14ac:dyDescent="0.2">
      <c r="A114" s="26">
        <f t="shared" si="1"/>
        <v>42342</v>
      </c>
      <c r="B114" s="213">
        <v>2015</v>
      </c>
      <c r="C114" s="213">
        <v>12</v>
      </c>
      <c r="D114" s="213">
        <v>4</v>
      </c>
      <c r="E114" s="213" t="s">
        <v>152</v>
      </c>
      <c r="F114" s="214">
        <v>1</v>
      </c>
    </row>
    <row r="115" spans="1:6" x14ac:dyDescent="0.2">
      <c r="A115" s="26">
        <f t="shared" si="1"/>
        <v>42345</v>
      </c>
      <c r="B115" s="213">
        <v>2015</v>
      </c>
      <c r="C115" s="213">
        <v>12</v>
      </c>
      <c r="D115" s="213">
        <v>7</v>
      </c>
      <c r="E115" s="213" t="s">
        <v>152</v>
      </c>
      <c r="F115" s="214">
        <v>2</v>
      </c>
    </row>
    <row r="116" spans="1:6" x14ac:dyDescent="0.2">
      <c r="A116" s="26">
        <f t="shared" si="1"/>
        <v>42347</v>
      </c>
      <c r="B116" s="213">
        <v>2015</v>
      </c>
      <c r="C116" s="213">
        <v>12</v>
      </c>
      <c r="D116" s="213">
        <v>9</v>
      </c>
      <c r="E116" s="213" t="s">
        <v>152</v>
      </c>
      <c r="F116" s="214">
        <v>3</v>
      </c>
    </row>
    <row r="117" spans="1:6" x14ac:dyDescent="0.2">
      <c r="A117" s="26">
        <f t="shared" si="1"/>
        <v>42360</v>
      </c>
      <c r="B117" s="213">
        <v>2015</v>
      </c>
      <c r="C117" s="213">
        <v>12</v>
      </c>
      <c r="D117" s="213">
        <v>22</v>
      </c>
      <c r="E117" s="213" t="s">
        <v>152</v>
      </c>
      <c r="F117" s="214">
        <v>1</v>
      </c>
    </row>
    <row r="118" spans="1:6" x14ac:dyDescent="0.2">
      <c r="A118" s="26">
        <f t="shared" si="1"/>
        <v>42368</v>
      </c>
      <c r="B118" s="213">
        <v>2015</v>
      </c>
      <c r="C118" s="213">
        <v>12</v>
      </c>
      <c r="D118" s="213">
        <v>30</v>
      </c>
      <c r="E118" s="213" t="s">
        <v>152</v>
      </c>
      <c r="F118" s="214">
        <v>1</v>
      </c>
    </row>
    <row r="119" spans="1:6" x14ac:dyDescent="0.2">
      <c r="A119" s="26">
        <f t="shared" si="1"/>
        <v>42373</v>
      </c>
      <c r="B119" s="213">
        <v>2016</v>
      </c>
      <c r="C119" s="213">
        <v>1</v>
      </c>
      <c r="D119" s="213">
        <v>4</v>
      </c>
      <c r="E119" s="213" t="s">
        <v>152</v>
      </c>
      <c r="F119" s="214">
        <v>1</v>
      </c>
    </row>
    <row r="120" spans="1:6" x14ac:dyDescent="0.2">
      <c r="A120" s="26">
        <f t="shared" si="1"/>
        <v>42376</v>
      </c>
      <c r="B120" s="213">
        <v>2016</v>
      </c>
      <c r="C120" s="213">
        <v>1</v>
      </c>
      <c r="D120" s="213">
        <v>7</v>
      </c>
      <c r="E120" s="213" t="s">
        <v>152</v>
      </c>
      <c r="F120" s="214">
        <v>1</v>
      </c>
    </row>
    <row r="121" spans="1:6" x14ac:dyDescent="0.2">
      <c r="A121" s="26">
        <f t="shared" si="1"/>
        <v>42387</v>
      </c>
      <c r="B121" s="213">
        <v>2016</v>
      </c>
      <c r="C121" s="213">
        <v>1</v>
      </c>
      <c r="D121" s="213">
        <v>18</v>
      </c>
      <c r="E121" s="213" t="s">
        <v>152</v>
      </c>
      <c r="F121" s="214">
        <v>2</v>
      </c>
    </row>
    <row r="122" spans="1:6" x14ac:dyDescent="0.2">
      <c r="A122" s="26">
        <f t="shared" si="1"/>
        <v>42388</v>
      </c>
      <c r="B122" s="213">
        <v>2016</v>
      </c>
      <c r="C122" s="213">
        <v>1</v>
      </c>
      <c r="D122" s="213">
        <v>19</v>
      </c>
      <c r="E122" s="213" t="s">
        <v>152</v>
      </c>
      <c r="F122" s="214">
        <v>11</v>
      </c>
    </row>
    <row r="123" spans="1:6" x14ac:dyDescent="0.2">
      <c r="A123" s="26">
        <f t="shared" si="1"/>
        <v>42389</v>
      </c>
      <c r="B123" s="213">
        <v>2016</v>
      </c>
      <c r="C123" s="213">
        <v>1</v>
      </c>
      <c r="D123" s="213">
        <v>20</v>
      </c>
      <c r="E123" s="213" t="s">
        <v>152</v>
      </c>
      <c r="F123" s="214">
        <v>5</v>
      </c>
    </row>
    <row r="124" spans="1:6" x14ac:dyDescent="0.2">
      <c r="A124" s="26">
        <f t="shared" si="1"/>
        <v>42390</v>
      </c>
      <c r="B124" s="213">
        <v>2016</v>
      </c>
      <c r="C124" s="213">
        <v>1</v>
      </c>
      <c r="D124" s="213">
        <v>21</v>
      </c>
      <c r="E124" s="213" t="s">
        <v>152</v>
      </c>
      <c r="F124" s="214">
        <v>4</v>
      </c>
    </row>
    <row r="125" spans="1:6" x14ac:dyDescent="0.2">
      <c r="A125" s="26">
        <f t="shared" si="1"/>
        <v>42391</v>
      </c>
      <c r="B125" s="213">
        <v>2016</v>
      </c>
      <c r="C125" s="213">
        <v>1</v>
      </c>
      <c r="D125" s="213">
        <v>22</v>
      </c>
      <c r="E125" s="213" t="s">
        <v>152</v>
      </c>
      <c r="F125" s="214">
        <v>1</v>
      </c>
    </row>
    <row r="126" spans="1:6" x14ac:dyDescent="0.2">
      <c r="A126" s="26">
        <f t="shared" si="1"/>
        <v>42395</v>
      </c>
      <c r="B126" s="213">
        <v>2016</v>
      </c>
      <c r="C126" s="213">
        <v>1</v>
      </c>
      <c r="D126" s="213">
        <v>26</v>
      </c>
      <c r="E126" s="213" t="s">
        <v>152</v>
      </c>
      <c r="F126" s="214">
        <v>9</v>
      </c>
    </row>
    <row r="127" spans="1:6" x14ac:dyDescent="0.2">
      <c r="A127" s="26">
        <f t="shared" si="1"/>
        <v>42396</v>
      </c>
      <c r="B127" s="213">
        <v>2016</v>
      </c>
      <c r="C127" s="213">
        <v>1</v>
      </c>
      <c r="D127" s="213">
        <v>27</v>
      </c>
      <c r="E127" s="213" t="s">
        <v>152</v>
      </c>
      <c r="F127" s="214">
        <v>9</v>
      </c>
    </row>
    <row r="128" spans="1:6" x14ac:dyDescent="0.2">
      <c r="A128" s="26">
        <f t="shared" si="1"/>
        <v>42397</v>
      </c>
      <c r="B128" s="213">
        <v>2016</v>
      </c>
      <c r="C128" s="213">
        <v>1</v>
      </c>
      <c r="D128" s="213">
        <v>28</v>
      </c>
      <c r="E128" s="213" t="s">
        <v>152</v>
      </c>
      <c r="F128" s="214">
        <v>6</v>
      </c>
    </row>
    <row r="129" spans="1:6" x14ac:dyDescent="0.2">
      <c r="A129" s="26">
        <f t="shared" si="1"/>
        <v>42398</v>
      </c>
      <c r="B129" s="213">
        <v>2016</v>
      </c>
      <c r="C129" s="213">
        <v>1</v>
      </c>
      <c r="D129" s="213">
        <v>29</v>
      </c>
      <c r="E129" s="213" t="s">
        <v>152</v>
      </c>
      <c r="F129" s="214">
        <v>1</v>
      </c>
    </row>
    <row r="130" spans="1:6" x14ac:dyDescent="0.2">
      <c r="A130" s="26">
        <f t="shared" si="1"/>
        <v>42402</v>
      </c>
      <c r="B130" s="213">
        <v>2016</v>
      </c>
      <c r="C130" s="213">
        <v>2</v>
      </c>
      <c r="D130" s="213">
        <v>2</v>
      </c>
      <c r="E130" s="213" t="s">
        <v>152</v>
      </c>
      <c r="F130" s="214">
        <v>2</v>
      </c>
    </row>
    <row r="131" spans="1:6" x14ac:dyDescent="0.2">
      <c r="A131" s="26">
        <f t="shared" ref="A131:A155" si="2">DATE(B131,C131,D131)</f>
        <v>42403</v>
      </c>
      <c r="B131" s="213">
        <v>2016</v>
      </c>
      <c r="C131" s="213">
        <v>2</v>
      </c>
      <c r="D131" s="213">
        <v>3</v>
      </c>
      <c r="E131" s="213" t="s">
        <v>152</v>
      </c>
      <c r="F131" s="214">
        <v>2</v>
      </c>
    </row>
    <row r="132" spans="1:6" x14ac:dyDescent="0.2">
      <c r="A132" s="26">
        <f t="shared" si="2"/>
        <v>42411</v>
      </c>
      <c r="B132" s="213">
        <v>2016</v>
      </c>
      <c r="C132" s="213">
        <v>2</v>
      </c>
      <c r="D132" s="213">
        <v>11</v>
      </c>
      <c r="E132" s="213" t="s">
        <v>152</v>
      </c>
      <c r="F132" s="214">
        <v>1</v>
      </c>
    </row>
    <row r="133" spans="1:6" x14ac:dyDescent="0.2">
      <c r="A133" s="26">
        <f t="shared" si="2"/>
        <v>42415</v>
      </c>
      <c r="B133" s="213">
        <v>2016</v>
      </c>
      <c r="C133" s="213">
        <v>2</v>
      </c>
      <c r="D133" s="213">
        <v>15</v>
      </c>
      <c r="E133" s="213" t="s">
        <v>152</v>
      </c>
      <c r="F133" s="214">
        <v>1</v>
      </c>
    </row>
    <row r="134" spans="1:6" x14ac:dyDescent="0.2">
      <c r="A134" s="26">
        <f t="shared" si="2"/>
        <v>42416</v>
      </c>
      <c r="B134" s="213">
        <v>2016</v>
      </c>
      <c r="C134" s="213">
        <v>2</v>
      </c>
      <c r="D134" s="213">
        <v>16</v>
      </c>
      <c r="E134" s="213" t="s">
        <v>152</v>
      </c>
      <c r="F134" s="214">
        <v>2</v>
      </c>
    </row>
    <row r="135" spans="1:6" x14ac:dyDescent="0.2">
      <c r="A135" s="26">
        <f t="shared" si="2"/>
        <v>42423</v>
      </c>
      <c r="B135" s="213">
        <v>2016</v>
      </c>
      <c r="C135" s="213">
        <v>2</v>
      </c>
      <c r="D135" s="213">
        <v>23</v>
      </c>
      <c r="E135" s="213" t="s">
        <v>152</v>
      </c>
      <c r="F135" s="214">
        <v>73</v>
      </c>
    </row>
    <row r="136" spans="1:6" x14ac:dyDescent="0.2">
      <c r="A136" s="26">
        <f t="shared" si="2"/>
        <v>42453</v>
      </c>
      <c r="B136" s="213">
        <v>2016</v>
      </c>
      <c r="C136" s="213">
        <v>3</v>
      </c>
      <c r="D136" s="213">
        <v>24</v>
      </c>
      <c r="E136" s="213" t="s">
        <v>152</v>
      </c>
      <c r="F136" s="214">
        <v>1</v>
      </c>
    </row>
    <row r="137" spans="1:6" x14ac:dyDescent="0.2">
      <c r="A137" s="26">
        <f t="shared" si="2"/>
        <v>42457</v>
      </c>
      <c r="B137" s="213">
        <v>2016</v>
      </c>
      <c r="C137" s="213">
        <v>3</v>
      </c>
      <c r="D137" s="213">
        <v>28</v>
      </c>
      <c r="E137" s="213" t="s">
        <v>152</v>
      </c>
      <c r="F137" s="214">
        <v>5</v>
      </c>
    </row>
    <row r="138" spans="1:6" x14ac:dyDescent="0.2">
      <c r="A138" s="26">
        <f t="shared" si="2"/>
        <v>42461</v>
      </c>
      <c r="B138" s="213">
        <v>2016</v>
      </c>
      <c r="C138" s="213">
        <v>4</v>
      </c>
      <c r="D138" s="213">
        <v>1</v>
      </c>
      <c r="E138" s="213" t="s">
        <v>152</v>
      </c>
      <c r="F138" s="214">
        <v>47</v>
      </c>
    </row>
    <row r="139" spans="1:6" x14ac:dyDescent="0.2">
      <c r="A139" s="26">
        <f t="shared" si="2"/>
        <v>42468</v>
      </c>
      <c r="B139" s="213">
        <v>2016</v>
      </c>
      <c r="C139" s="213">
        <v>4</v>
      </c>
      <c r="D139" s="213">
        <v>8</v>
      </c>
      <c r="E139" s="213" t="s">
        <v>152</v>
      </c>
      <c r="F139" s="214">
        <v>18</v>
      </c>
    </row>
    <row r="140" spans="1:6" x14ac:dyDescent="0.2">
      <c r="A140" s="26">
        <f t="shared" si="2"/>
        <v>42471</v>
      </c>
      <c r="B140" s="213">
        <v>2016</v>
      </c>
      <c r="C140" s="213">
        <v>4</v>
      </c>
      <c r="D140" s="213">
        <v>11</v>
      </c>
      <c r="E140" s="213" t="s">
        <v>152</v>
      </c>
      <c r="F140" s="214">
        <v>33</v>
      </c>
    </row>
    <row r="141" spans="1:6" x14ac:dyDescent="0.2">
      <c r="A141" s="26">
        <f t="shared" si="2"/>
        <v>42474</v>
      </c>
      <c r="B141" s="213">
        <v>2016</v>
      </c>
      <c r="C141" s="213">
        <v>4</v>
      </c>
      <c r="D141" s="213">
        <v>14</v>
      </c>
      <c r="E141" s="213" t="s">
        <v>152</v>
      </c>
      <c r="F141" s="214">
        <v>6</v>
      </c>
    </row>
    <row r="142" spans="1:6" x14ac:dyDescent="0.2">
      <c r="A142" s="26">
        <f t="shared" si="2"/>
        <v>42478</v>
      </c>
      <c r="B142" s="213">
        <v>2016</v>
      </c>
      <c r="C142" s="213">
        <v>4</v>
      </c>
      <c r="D142" s="213">
        <v>18</v>
      </c>
      <c r="E142" s="213" t="s">
        <v>152</v>
      </c>
      <c r="F142" s="214">
        <v>12</v>
      </c>
    </row>
    <row r="143" spans="1:6" x14ac:dyDescent="0.2">
      <c r="A143" s="26">
        <f t="shared" si="2"/>
        <v>42482</v>
      </c>
      <c r="B143" s="213">
        <v>2016</v>
      </c>
      <c r="C143" s="213">
        <v>4</v>
      </c>
      <c r="D143" s="213">
        <v>22</v>
      </c>
      <c r="E143" s="213" t="s">
        <v>152</v>
      </c>
      <c r="F143" s="214">
        <v>17</v>
      </c>
    </row>
    <row r="144" spans="1:6" x14ac:dyDescent="0.2">
      <c r="A144" s="26">
        <f t="shared" si="2"/>
        <v>42485</v>
      </c>
      <c r="B144" s="213">
        <v>2016</v>
      </c>
      <c r="C144" s="213">
        <v>4</v>
      </c>
      <c r="D144" s="213">
        <v>25</v>
      </c>
      <c r="E144" s="213" t="s">
        <v>152</v>
      </c>
      <c r="F144" s="214">
        <v>14</v>
      </c>
    </row>
    <row r="145" spans="1:6" x14ac:dyDescent="0.2">
      <c r="A145" s="26">
        <f t="shared" si="2"/>
        <v>42486</v>
      </c>
      <c r="B145" s="213">
        <v>2016</v>
      </c>
      <c r="C145" s="213">
        <v>4</v>
      </c>
      <c r="D145" s="213">
        <v>26</v>
      </c>
      <c r="E145" s="213" t="s">
        <v>152</v>
      </c>
      <c r="F145" s="214">
        <v>5</v>
      </c>
    </row>
    <row r="146" spans="1:6" x14ac:dyDescent="0.2">
      <c r="A146" s="26">
        <f t="shared" si="2"/>
        <v>42487</v>
      </c>
      <c r="B146" s="213">
        <v>2016</v>
      </c>
      <c r="C146" s="213">
        <v>4</v>
      </c>
      <c r="D146" s="213">
        <v>27</v>
      </c>
      <c r="E146" s="213" t="s">
        <v>152</v>
      </c>
      <c r="F146" s="214">
        <v>22</v>
      </c>
    </row>
    <row r="147" spans="1:6" x14ac:dyDescent="0.2">
      <c r="A147" s="26">
        <f t="shared" si="2"/>
        <v>42488</v>
      </c>
      <c r="B147" s="213">
        <v>2016</v>
      </c>
      <c r="C147" s="213">
        <v>4</v>
      </c>
      <c r="D147" s="213">
        <v>28</v>
      </c>
      <c r="E147" s="213" t="s">
        <v>152</v>
      </c>
      <c r="F147" s="214">
        <v>1</v>
      </c>
    </row>
    <row r="148" spans="1:6" x14ac:dyDescent="0.2">
      <c r="A148" s="26">
        <f t="shared" si="2"/>
        <v>42492</v>
      </c>
      <c r="B148" s="213">
        <v>2016</v>
      </c>
      <c r="C148" s="213">
        <v>5</v>
      </c>
      <c r="D148" s="213">
        <v>2</v>
      </c>
      <c r="E148" s="213" t="s">
        <v>152</v>
      </c>
      <c r="F148" s="214">
        <v>1</v>
      </c>
    </row>
    <row r="149" spans="1:6" x14ac:dyDescent="0.2">
      <c r="A149" s="26">
        <f t="shared" si="2"/>
        <v>42493</v>
      </c>
      <c r="B149" s="213">
        <v>2016</v>
      </c>
      <c r="C149" s="213">
        <v>5</v>
      </c>
      <c r="D149" s="213">
        <v>3</v>
      </c>
      <c r="E149" s="213" t="s">
        <v>152</v>
      </c>
      <c r="F149" s="214">
        <v>3</v>
      </c>
    </row>
    <row r="150" spans="1:6" x14ac:dyDescent="0.2">
      <c r="A150" s="26">
        <f t="shared" si="2"/>
        <v>42494</v>
      </c>
      <c r="B150" s="213">
        <v>2016</v>
      </c>
      <c r="C150" s="213">
        <v>5</v>
      </c>
      <c r="D150" s="213">
        <v>4</v>
      </c>
      <c r="E150" s="213" t="s">
        <v>152</v>
      </c>
      <c r="F150" s="214">
        <v>1</v>
      </c>
    </row>
    <row r="151" spans="1:6" x14ac:dyDescent="0.2">
      <c r="A151" s="26">
        <f t="shared" si="2"/>
        <v>42495</v>
      </c>
      <c r="B151" s="213">
        <v>2016</v>
      </c>
      <c r="C151" s="213">
        <v>5</v>
      </c>
      <c r="D151" s="213">
        <v>5</v>
      </c>
      <c r="E151" s="213" t="s">
        <v>152</v>
      </c>
      <c r="F151" s="214">
        <v>13</v>
      </c>
    </row>
    <row r="152" spans="1:6" x14ac:dyDescent="0.2">
      <c r="A152" s="26">
        <f t="shared" si="2"/>
        <v>42496</v>
      </c>
      <c r="B152" s="213">
        <v>2016</v>
      </c>
      <c r="C152" s="213">
        <v>5</v>
      </c>
      <c r="D152" s="213">
        <v>6</v>
      </c>
      <c r="E152" s="213" t="s">
        <v>152</v>
      </c>
      <c r="F152" s="214">
        <v>7</v>
      </c>
    </row>
    <row r="153" spans="1:6" x14ac:dyDescent="0.2">
      <c r="A153" s="26">
        <f t="shared" si="2"/>
        <v>42499</v>
      </c>
      <c r="B153" s="213">
        <v>2016</v>
      </c>
      <c r="C153" s="213">
        <v>5</v>
      </c>
      <c r="D153" s="213">
        <v>9</v>
      </c>
      <c r="E153" s="213" t="s">
        <v>152</v>
      </c>
      <c r="F153" s="214">
        <v>2</v>
      </c>
    </row>
    <row r="154" spans="1:6" x14ac:dyDescent="0.2">
      <c r="A154" s="26">
        <f t="shared" si="2"/>
        <v>42500</v>
      </c>
      <c r="B154" s="213">
        <v>2016</v>
      </c>
      <c r="C154" s="213">
        <v>5</v>
      </c>
      <c r="D154" s="213">
        <v>10</v>
      </c>
      <c r="E154" s="213" t="s">
        <v>152</v>
      </c>
      <c r="F154" s="214">
        <v>5</v>
      </c>
    </row>
    <row r="155" spans="1:6" x14ac:dyDescent="0.2">
      <c r="A155" s="26" t="e">
        <f t="shared" si="2"/>
        <v>#VALUE!</v>
      </c>
      <c r="B155" s="215" t="s">
        <v>96</v>
      </c>
      <c r="C155" s="215" t="s">
        <v>154</v>
      </c>
      <c r="D155" s="215" t="s">
        <v>154</v>
      </c>
      <c r="E155" s="215" t="s">
        <v>154</v>
      </c>
      <c r="F155" s="214">
        <v>2093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17"/>
  <sheetViews>
    <sheetView workbookViewId="0">
      <selection activeCell="F20" sqref="F20"/>
    </sheetView>
  </sheetViews>
  <sheetFormatPr defaultRowHeight="12.75" x14ac:dyDescent="0.2"/>
  <cols>
    <col min="1" max="1" width="3.140625" customWidth="1"/>
    <col min="2" max="2" width="6.7109375" bestFit="1" customWidth="1"/>
  </cols>
  <sheetData>
    <row r="1" spans="2:3" x14ac:dyDescent="0.2">
      <c r="C1" t="s">
        <v>291</v>
      </c>
    </row>
    <row r="2" spans="2:3" x14ac:dyDescent="0.2">
      <c r="B2" s="159">
        <v>42248</v>
      </c>
      <c r="C2">
        <f>SUMIFS('Relatório Extra'!$W:$W,'Relatório Extra'!$A:$A,"&gt;="&amp;'BD HORA EXTRA'!B2,'Relatório Extra'!$A:$A,"&lt;"&amp;'BD HORA EXTRA'!B3)</f>
        <v>24</v>
      </c>
    </row>
    <row r="3" spans="2:3" x14ac:dyDescent="0.2">
      <c r="B3" s="159">
        <v>42278</v>
      </c>
      <c r="C3">
        <f>SUMIFS('Relatório Extra'!$W:$W,'Relatório Extra'!$A:$A,"&gt;="&amp;'BD HORA EXTRA'!B3,'Relatório Extra'!$A:$A,"&lt;"&amp;'BD HORA EXTRA'!B4)</f>
        <v>102</v>
      </c>
    </row>
    <row r="4" spans="2:3" x14ac:dyDescent="0.2">
      <c r="B4" s="159">
        <v>42309</v>
      </c>
      <c r="C4">
        <f>SUMIFS('Relatório Extra'!$W:$W,'Relatório Extra'!$A:$A,"&gt;="&amp;'BD HORA EXTRA'!B4,'Relatório Extra'!$A:$A,"&lt;"&amp;'BD HORA EXTRA'!B5)</f>
        <v>174</v>
      </c>
    </row>
    <row r="5" spans="2:3" x14ac:dyDescent="0.2">
      <c r="B5" s="159">
        <v>42339</v>
      </c>
      <c r="C5">
        <f>SUMIFS('Relatório Extra'!$W:$W,'Relatório Extra'!$A:$A,"&gt;="&amp;'BD HORA EXTRA'!B5,'Relatório Extra'!$A:$A,"&lt;"&amp;'BD HORA EXTRA'!B6)</f>
        <v>78</v>
      </c>
    </row>
    <row r="6" spans="2:3" x14ac:dyDescent="0.2">
      <c r="B6" s="159">
        <v>42370</v>
      </c>
      <c r="C6">
        <f>SUMIFS('Relatório Extra'!$W:$W,'Relatório Extra'!$A:$A,"&gt;="&amp;'BD HORA EXTRA'!B6,'Relatório Extra'!$A:$A,"&lt;"&amp;'BD HORA EXTRA'!B7)</f>
        <v>72</v>
      </c>
    </row>
    <row r="7" spans="2:3" x14ac:dyDescent="0.2">
      <c r="B7" s="159">
        <v>42401</v>
      </c>
      <c r="C7">
        <f>SUMIFS('Relatório Extra'!$W:$W,'Relatório Extra'!$A:$A,"&gt;="&amp;'BD HORA EXTRA'!B7,'Relatório Extra'!$A:$A,"&lt;"&amp;'BD HORA EXTRA'!B8)</f>
        <v>100</v>
      </c>
    </row>
    <row r="8" spans="2:3" x14ac:dyDescent="0.2">
      <c r="B8" s="159">
        <v>42430</v>
      </c>
      <c r="C8">
        <f>SUMIFS('Relatório Extra'!$W:$W,'Relatório Extra'!$A:$A,"&gt;="&amp;'BD HORA EXTRA'!B8,'Relatório Extra'!$A:$A,"&lt;"&amp;'BD HORA EXTRA'!B9)</f>
        <v>54</v>
      </c>
    </row>
    <row r="9" spans="2:3" x14ac:dyDescent="0.2">
      <c r="B9" s="159">
        <v>42461</v>
      </c>
      <c r="C9">
        <f>SUMIFS('Relatório Extra'!$W:$W,'Relatório Extra'!$A:$A,"&gt;="&amp;'BD HORA EXTRA'!B9,'Relatório Extra'!$A:$A,"&lt;"&amp;'BD HORA EXTRA'!B10)</f>
        <v>84</v>
      </c>
    </row>
    <row r="10" spans="2:3" x14ac:dyDescent="0.2">
      <c r="B10" s="159">
        <v>42491</v>
      </c>
      <c r="C10">
        <f>SUMIFS('Relatório Extra'!$W:$W,'Relatório Extra'!$A:$A,"&gt;="&amp;'BD HORA EXTRA'!B10,'Relatório Extra'!$A:$A,"&lt;"&amp;'BD HORA EXTRA'!B11)</f>
        <v>40</v>
      </c>
    </row>
    <row r="11" spans="2:3" x14ac:dyDescent="0.2">
      <c r="B11" s="159">
        <v>42522</v>
      </c>
      <c r="C11">
        <f>SUMIFS('Relatório Extra'!$W:$W,'Relatório Extra'!$A:$A,"&gt;="&amp;'BD HORA EXTRA'!B11,'Relatório Extra'!$A:$A,"&lt;"&amp;'BD HORA EXTRA'!B12)</f>
        <v>0</v>
      </c>
    </row>
    <row r="12" spans="2:3" x14ac:dyDescent="0.2">
      <c r="B12" s="159">
        <v>42552</v>
      </c>
      <c r="C12">
        <f>SUMIFS('Relatório Extra'!$W:$W,'Relatório Extra'!$A:$A,"&gt;="&amp;'BD HORA EXTRA'!B12,'Relatório Extra'!$A:$A,"&lt;"&amp;'BD HORA EXTRA'!B13)</f>
        <v>0</v>
      </c>
    </row>
    <row r="13" spans="2:3" x14ac:dyDescent="0.2">
      <c r="B13" s="159">
        <v>42583</v>
      </c>
      <c r="C13">
        <f>SUMIFS('Relatório Extra'!$W:$W,'Relatório Extra'!$A:$A,"&gt;="&amp;'BD HORA EXTRA'!B13,'Relatório Extra'!$A:$A,"&lt;"&amp;'BD HORA EXTRA'!B14)</f>
        <v>0</v>
      </c>
    </row>
    <row r="14" spans="2:3" x14ac:dyDescent="0.2">
      <c r="B14" s="159">
        <v>42614</v>
      </c>
      <c r="C14">
        <f>SUMIFS('Relatório Extra'!$W:$W,'Relatório Extra'!$A:$A,"&gt;="&amp;'BD HORA EXTRA'!B14,'Relatório Extra'!$A:$A,"&lt;"&amp;'BD HORA EXTRA'!B15)</f>
        <v>0</v>
      </c>
    </row>
    <row r="15" spans="2:3" x14ac:dyDescent="0.2">
      <c r="B15" s="159">
        <v>42644</v>
      </c>
      <c r="C15">
        <f>SUMIFS('Relatório Extra'!$W:$W,'Relatório Extra'!$A:$A,"&gt;="&amp;'BD HORA EXTRA'!B15,'Relatório Extra'!$A:$A,"&lt;"&amp;'BD HORA EXTRA'!B16)</f>
        <v>0</v>
      </c>
    </row>
    <row r="16" spans="2:3" x14ac:dyDescent="0.2">
      <c r="B16" s="159">
        <v>42675</v>
      </c>
      <c r="C16">
        <f>SUMIFS('Relatório Extra'!$W:$W,'Relatório Extra'!$A:$A,"&gt;="&amp;'BD HORA EXTRA'!B16,'Relatório Extra'!$A:$A,"&lt;"&amp;'BD HORA EXTRA'!B17)</f>
        <v>0</v>
      </c>
    </row>
    <row r="17" spans="2:3" x14ac:dyDescent="0.2">
      <c r="B17" s="159">
        <v>42705</v>
      </c>
      <c r="C17">
        <f>SUMIFS('Relatório Extra'!$W:$W,'Relatório Extra'!$A:$A,"&gt;="&amp;'BD HORA EXTRA'!B17,'Relatório Extra'!$A:$A,"&lt;"&amp;'BD HORA EXTRA'!B18)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7"/>
  <sheetViews>
    <sheetView topLeftCell="N1" workbookViewId="0">
      <selection activeCell="AJ2" sqref="AJ1:AJ2"/>
    </sheetView>
  </sheetViews>
  <sheetFormatPr defaultRowHeight="12.75" x14ac:dyDescent="0.2"/>
  <cols>
    <col min="20" max="20" width="10.42578125" bestFit="1" customWidth="1"/>
    <col min="21" max="21" width="10.42578125" customWidth="1"/>
  </cols>
  <sheetData>
    <row r="1" spans="1:57" ht="38.25" customHeight="1" x14ac:dyDescent="0.2">
      <c r="A1" s="160"/>
      <c r="B1" s="102" t="s">
        <v>106</v>
      </c>
      <c r="C1" s="102" t="s">
        <v>110</v>
      </c>
      <c r="D1" s="102" t="s">
        <v>113</v>
      </c>
      <c r="E1" s="102" t="s">
        <v>112</v>
      </c>
      <c r="F1" s="102" t="s">
        <v>94</v>
      </c>
      <c r="G1" s="102" t="s">
        <v>98</v>
      </c>
      <c r="H1" s="102" t="s">
        <v>100</v>
      </c>
      <c r="I1" s="102" t="s">
        <v>107</v>
      </c>
      <c r="J1" s="102" t="s">
        <v>99</v>
      </c>
      <c r="K1" s="102" t="s">
        <v>103</v>
      </c>
      <c r="L1" s="102" t="s">
        <v>102</v>
      </c>
      <c r="M1" s="102" t="s">
        <v>101</v>
      </c>
      <c r="N1" s="102" t="s">
        <v>111</v>
      </c>
      <c r="O1" s="102" t="s">
        <v>108</v>
      </c>
      <c r="P1" s="102" t="s">
        <v>292</v>
      </c>
      <c r="Q1" s="102" t="s">
        <v>293</v>
      </c>
      <c r="R1" s="102" t="s">
        <v>294</v>
      </c>
      <c r="S1" s="102"/>
      <c r="T1" s="167">
        <f>DATE(ANOPROD.,'Prod. e Improd'!F8+1,1)</f>
        <v>42522</v>
      </c>
      <c r="U1" s="167"/>
      <c r="V1" s="102" t="s">
        <v>98</v>
      </c>
      <c r="W1" s="102" t="s">
        <v>99</v>
      </c>
      <c r="X1" s="102" t="s">
        <v>100</v>
      </c>
      <c r="Y1" s="102" t="s">
        <v>101</v>
      </c>
      <c r="Z1" s="102" t="s">
        <v>102</v>
      </c>
      <c r="AA1" s="102" t="s">
        <v>103</v>
      </c>
      <c r="AB1" s="102" t="s">
        <v>106</v>
      </c>
      <c r="AC1" s="102" t="s">
        <v>107</v>
      </c>
      <c r="AD1" s="102" t="s">
        <v>94</v>
      </c>
      <c r="AE1" s="102" t="s">
        <v>108</v>
      </c>
      <c r="AF1" s="102" t="s">
        <v>110</v>
      </c>
      <c r="AG1" s="102" t="s">
        <v>111</v>
      </c>
      <c r="AH1" s="102" t="s">
        <v>112</v>
      </c>
      <c r="AI1" s="102" t="s">
        <v>292</v>
      </c>
      <c r="AK1" s="160"/>
      <c r="AL1" s="160"/>
      <c r="AM1" s="160" t="s">
        <v>98</v>
      </c>
      <c r="AN1" s="102" t="s">
        <v>99</v>
      </c>
      <c r="AO1" s="102" t="s">
        <v>100</v>
      </c>
      <c r="AP1" s="102" t="s">
        <v>101</v>
      </c>
      <c r="AQ1" s="102" t="s">
        <v>102</v>
      </c>
      <c r="AR1" s="102" t="s">
        <v>103</v>
      </c>
      <c r="AS1" s="102" t="s">
        <v>106</v>
      </c>
      <c r="AT1" s="102" t="s">
        <v>107</v>
      </c>
      <c r="AU1" s="102" t="s">
        <v>94</v>
      </c>
      <c r="AV1" s="102" t="s">
        <v>108</v>
      </c>
      <c r="AW1" s="102" t="s">
        <v>110</v>
      </c>
      <c r="AX1" s="102" t="s">
        <v>111</v>
      </c>
      <c r="AY1" s="102" t="s">
        <v>112</v>
      </c>
      <c r="AZ1" s="160"/>
      <c r="BA1" s="78"/>
      <c r="BB1" s="78"/>
      <c r="BC1" s="102" t="str">
        <f>'Prod. e Improd'!T18</f>
        <v>LUIZ GONZAGA</v>
      </c>
      <c r="BD1" s="160" t="s">
        <v>295</v>
      </c>
    </row>
    <row r="2" spans="1:57" x14ac:dyDescent="0.2">
      <c r="A2" s="159">
        <v>42309</v>
      </c>
      <c r="B2" s="78">
        <f>SUMIFS('BD. km rodado'!$B:$B,'BD. km rodado'!$A:$A,"&gt;="&amp;A2,'BD. km rodado'!$A:$A,"&lt;"&amp;A3)</f>
        <v>47</v>
      </c>
      <c r="C2" s="78">
        <f>SUMIFS('BD. km rodado'!$C:$C,'BD. km rodado'!$A:$A,"&gt;="&amp;A2,'BD. km rodado'!$A:$A,"&lt;"&amp;A3)</f>
        <v>1695</v>
      </c>
      <c r="D2" s="78">
        <f>SUMIFS('BD. km rodado'!$D:$D,'BD. km rodado'!$A:$A,"&gt;="&amp;A2,'BD. km rodado'!$A:$A,"&lt;"&amp;A3)</f>
        <v>1741</v>
      </c>
      <c r="E2" s="78">
        <f>SUMIFS('BD. km rodado'!$E:$E,'BD. km rodado'!$A:$A,"&gt;="&amp;A2,'BD. km rodado'!$A:$A,"&lt;"&amp;A3)</f>
        <v>1384</v>
      </c>
      <c r="F2" s="78">
        <f>SUMIFS('BD. km rodado'!$F:$F,'BD. km rodado'!$A:$A,"&gt;="&amp;A2,'BD. km rodado'!$A:$A,"&lt;"&amp;A3)</f>
        <v>0</v>
      </c>
      <c r="G2" s="78">
        <f>SUMIFS('BD. km rodado'!$G:$G,'BD. km rodado'!$A:$A,"&gt;="&amp;A2,'BD. km rodado'!$A:$A,"&lt;"&amp;A3)</f>
        <v>1643</v>
      </c>
      <c r="H2" s="78">
        <f>SUMIFS('BD. km rodado'!$H:$H,'BD. km rodado'!$A:$A,"&gt;="&amp;A2,'BD. km rodado'!$A:$A,"&lt;"&amp;A3)</f>
        <v>2131</v>
      </c>
      <c r="I2" s="78">
        <f>SUMIFS('BD. km rodado'!$I:$I,'BD. km rodado'!$A:$A,"&gt;="&amp;A2,'BD. km rodado'!$A:$A,"&lt;"&amp;A3)</f>
        <v>2433</v>
      </c>
      <c r="J2" s="78">
        <f>SUMIFS('BD. km rodado'!$J:$J,'BD. km rodado'!$A:$A,"&gt;="&amp;A2,'BD. km rodado'!$A:$A,"&lt;"&amp;A3)</f>
        <v>1575</v>
      </c>
      <c r="K2" s="78">
        <f>SUMIFS('BD. km rodado'!$K:$K,'BD. km rodado'!$A:$A,"&gt;="&amp;A2,'BD. km rodado'!$A:$A,"&lt;"&amp;A3)</f>
        <v>1596</v>
      </c>
      <c r="L2" s="78">
        <f>SUMIFS('BD. km rodado'!$L:$L,'BD. km rodado'!$A:$A,"&gt;="&amp;A2,'BD. km rodado'!$A:$A,"&lt;"&amp;A3)</f>
        <v>1061</v>
      </c>
      <c r="M2" s="78">
        <f>SUMIFS('BD. km rodado'!$M:$M,'BD. km rodado'!$A:$A,"&gt;="&amp;A2,'BD. km rodado'!$A:$A,"&lt;"&amp;A3)</f>
        <v>0</v>
      </c>
      <c r="N2" s="78">
        <f>SUMIFS('BD. km rodado'!$N:$N,'BD. km rodado'!$A:$A,"&gt;="&amp;A2,'BD. km rodado'!$A:$A,"&lt;"&amp;A3)</f>
        <v>250</v>
      </c>
      <c r="O2" s="78">
        <f>SUMIFS('BD. km rodado'!$O:$O,'BD. km rodado'!$A:$A,"&gt;="&amp;A2,'BD. km rodado'!$A:$A,"&lt;"&amp;A3)</f>
        <v>1986</v>
      </c>
      <c r="P2">
        <f>SUM(B2:O2)</f>
        <v>17542</v>
      </c>
      <c r="Q2">
        <f>SUMIFS(BD.OS!$X:$X,BD.OS!$A:$A,"&gt;="&amp;'BD. graf. km rodado'!A2,BD.OS!$A:$A,"&lt;"&amp;A3)</f>
        <v>1786</v>
      </c>
      <c r="R2" s="16">
        <f>P2/Q2</f>
        <v>9.8219484882418815</v>
      </c>
      <c r="T2" s="167">
        <f>DATE(ANOPROD.,'Prod. e Improd'!F8,1)</f>
        <v>42491</v>
      </c>
      <c r="U2" s="167" t="s">
        <v>294</v>
      </c>
      <c r="V2" s="122">
        <f t="shared" ref="V2:AI2" si="0">V4/V5</f>
        <v>0</v>
      </c>
      <c r="W2" s="122">
        <f t="shared" si="0"/>
        <v>0</v>
      </c>
      <c r="X2" s="122" t="e">
        <f t="shared" si="0"/>
        <v>#DIV/0!</v>
      </c>
      <c r="Y2" s="122" t="e">
        <f t="shared" si="0"/>
        <v>#DIV/0!</v>
      </c>
      <c r="Z2" s="122" t="e">
        <f t="shared" si="0"/>
        <v>#DIV/0!</v>
      </c>
      <c r="AA2" s="122">
        <f t="shared" si="0"/>
        <v>0</v>
      </c>
      <c r="AB2" s="122">
        <f t="shared" si="0"/>
        <v>0</v>
      </c>
      <c r="AC2" s="122">
        <f t="shared" si="0"/>
        <v>0</v>
      </c>
      <c r="AD2" s="122">
        <f t="shared" si="0"/>
        <v>0</v>
      </c>
      <c r="AE2" s="122">
        <f t="shared" si="0"/>
        <v>0</v>
      </c>
      <c r="AF2" s="122">
        <f t="shared" si="0"/>
        <v>0</v>
      </c>
      <c r="AG2" s="122">
        <f t="shared" si="0"/>
        <v>0</v>
      </c>
      <c r="AH2" s="122">
        <f t="shared" si="0"/>
        <v>0</v>
      </c>
      <c r="AI2" s="122">
        <f t="shared" si="0"/>
        <v>0</v>
      </c>
      <c r="AK2" s="16"/>
      <c r="AL2" s="159">
        <f>DATE(ANOPROD.,'Prod. e Improd'!$F$8,1)</f>
        <v>42491</v>
      </c>
      <c r="AM2" s="122">
        <f>INDEX($A$1:$O$27,MATCH(AL2,$A$1:$A$27,0),MATCH($AM$1,$A$1:$O$1,0))/INDEX('PROCV Prod.Total'!$BJ$2:$CB$15,MATCH('BD. graf. km rodado'!AL2,'PROCV Prod.Total'!$BJ$2:$BJ$15,0),MATCH('BD. graf. km rodado'!$AM$1,'PROCV Prod.Total'!$BJ$2:$CB$2,0))</f>
        <v>0</v>
      </c>
      <c r="AN2" s="122">
        <f>INDEX($A$1:$O$27,MATCH(AL2,$A$1:$A$27,0),MATCH($AN$1,$A$1:$O$1,0))/INDEX('PROCV Prod.Total'!$BJ$2:$CB$15,MATCH('BD. graf. km rodado'!AL2,'PROCV Prod.Total'!$BJ$2:$BJ$15,0),MATCH('BD. graf. km rodado'!$AN$1,'PROCV Prod.Total'!$BJ$2:$CB$2,0))</f>
        <v>0</v>
      </c>
      <c r="AO2" s="122" t="e">
        <f>INDEX($A$1:$O$27,MATCH(AL2,$A$1:$A$27,0),MATCH($AO$1,$A$1:$O$1,0))/INDEX('PROCV Prod.Total'!$BJ$2:$CB$15,MATCH('BD. graf. km rodado'!AL2,'PROCV Prod.Total'!$BJ$2:$BJ$15,0),MATCH('BD. graf. km rodado'!$AO$1,'PROCV Prod.Total'!$BJ$2:$CB$2,0))</f>
        <v>#DIV/0!</v>
      </c>
      <c r="AP2" s="122" t="e">
        <f>INDEX($A$1:$O$27,MATCH(AL2,$A$1:$A$27,0),MATCH($AP$1,$A$1:$O$1,0))/INDEX('PROCV Prod.Total'!$BJ$2:$CB$15,MATCH('BD. graf. km rodado'!AL2,'PROCV Prod.Total'!$BJ$2:$BJ$15,0),MATCH('BD. graf. km rodado'!$AP$1,'PROCV Prod.Total'!$BJ$2:$CB$2,0))</f>
        <v>#DIV/0!</v>
      </c>
      <c r="AQ2" s="78" t="e">
        <f>INDEX($A$1:$O$27,MATCH(AL2,$A$1:$A$27,0),MATCH($AQ$1,$A$1:$O$1,0))/INDEX('PROCV Prod.Total'!$BJ$2:$CB$15,MATCH('BD. graf. km rodado'!AL2,'PROCV Prod.Total'!$BJ$2:$BJ$15,0),MATCH('BD. graf. km rodado'!$AQ$1,'PROCV Prod.Total'!$BJ$2:$CB$2,0))</f>
        <v>#DIV/0!</v>
      </c>
      <c r="AR2" s="122">
        <f>INDEX($A$1:$O$27,MATCH(AL2,$A$1:$A$27,0),MATCH($AR$1,$A$1:$O$1,0))/INDEX('PROCV Prod.Total'!$BJ$2:$CB$15,MATCH('BD. graf. km rodado'!AL2,'PROCV Prod.Total'!$BJ$2:$BJ$15,0),MATCH('BD. graf. km rodado'!$AR$1,'PROCV Prod.Total'!$BJ$2:$CB$2,0))</f>
        <v>0</v>
      </c>
      <c r="AS2" s="78">
        <f>INDEX($A$1:$O$27,MATCH(AL2,$A$1:$A$27,0),MATCH($AS$1,$A$1:$O$1,0))/INDEX('PROCV Prod.Total'!$BJ$2:$CB$15,MATCH('BD. graf. km rodado'!AL2,'PROCV Prod.Total'!$BJ$2:$BJ$15,0),MATCH('BD. graf. km rodado'!$AS$1,'PROCV Prod.Total'!$BJ$2:$CB$2,0))</f>
        <v>0</v>
      </c>
      <c r="AT2" s="122">
        <f>INDEX($A$1:$O$27,MATCH(AL2,$A$1:$A$27,0),MATCH($AT$1,$A$1:$O$1,0))/INDEX('PROCV Prod.Total'!$BJ$2:$CB$15,MATCH('BD. graf. km rodado'!AL2,'PROCV Prod.Total'!$BJ$2:$BJ$15,0),MATCH('BD. graf. km rodado'!$AT$1,'PROCV Prod.Total'!$BJ$2:$CB$2,0))</f>
        <v>0</v>
      </c>
      <c r="AU2" s="78">
        <f>INDEX($A$1:$O$27,MATCH(AL2,$A$1:$A$27,0),MATCH($AU$1,$A$1:$O$1,0))/INDEX('PROCV Prod.Total'!$BJ$2:$CB$15,MATCH('BD. graf. km rodado'!AL2,'PROCV Prod.Total'!$BJ$2:$BJ$15,0),MATCH('BD. graf. km rodado'!$AU$1,'PROCV Prod.Total'!$BJ$2:$CB$2,0))</f>
        <v>0</v>
      </c>
      <c r="AV2" s="122">
        <f>INDEX($A$1:$O$27,MATCH(AL2,$A$1:$A$27,0),MATCH($AV$1,$A$1:$O$1,0))/INDEX('PROCV Prod.Total'!$BJ$2:$CB$15,MATCH('BD. graf. km rodado'!AL2,'PROCV Prod.Total'!$BJ$2:$BJ$15,0),MATCH('BD. graf. km rodado'!$AV$1,'PROCV Prod.Total'!$BJ$2:$CB$2,0))</f>
        <v>0</v>
      </c>
      <c r="AW2" s="122">
        <f>INDEX($A$1:$O$27,MATCH(AL2,$A$1:$A$27,0),MATCH($AW$1,$A$1:$O$1,0))/INDEX('PROCV Prod.Total'!$BJ$2:$CB$15,MATCH('BD. graf. km rodado'!AL2,'PROCV Prod.Total'!$BJ$2:$BJ$15,0),MATCH('BD. graf. km rodado'!$AW$1,'PROCV Prod.Total'!$BJ$2:$CB$2,0))</f>
        <v>0</v>
      </c>
      <c r="AX2" s="78">
        <f>INDEX($A$1:$O$27,MATCH(AL2,$A$1:$A$27,0),MATCH($AX$1,$A$1:$O$1,0))/INDEX('PROCV Prod.Total'!$BJ$2:$CB$15,MATCH('BD. graf. km rodado'!AL2,'PROCV Prod.Total'!$BJ$2:$BJ$15,0),MATCH('BD. graf. km rodado'!$AX$1,'PROCV Prod.Total'!$BJ$2:$CB$2,0))</f>
        <v>0</v>
      </c>
      <c r="AY2" s="122">
        <f>INDEX($A$1:$O$27,MATCH(AL2,$A$1:$A$27,0),MATCH($AY$1,$A$1:$O$1,0))/INDEX('PROCV Prod.Total'!$BJ$2:$CB$15,MATCH('BD. graf. km rodado'!AL2,'PROCV Prod.Total'!$BJ$2:$BJ$15,0),MATCH('BD. graf. km rodado'!$AY$1,'PROCV Prod.Total'!$BJ$2:$CB$2,0))</f>
        <v>0</v>
      </c>
      <c r="BA2" s="167">
        <f t="shared" ref="BA2:BA14" si="1">AL2</f>
        <v>42491</v>
      </c>
      <c r="BB2" s="167">
        <f>BA14</f>
        <v>42125</v>
      </c>
      <c r="BC2" s="122" t="e">
        <f>BE14</f>
        <v>#N/A</v>
      </c>
      <c r="BD2" t="e">
        <f t="shared" ref="BD2:BD14" si="2">INDEX($R:$R,MATCH(BB2,$A:$A,0),1)</f>
        <v>#N/A</v>
      </c>
      <c r="BE2" s="122">
        <f t="shared" ref="BE2:BE14" si="3">INDEX($AL$1:$AY$14,MATCH(BA2,$AL$1:$AL$14,0),MATCH($BC$1,$AL$1:$AY$1,0))</f>
        <v>0</v>
      </c>
    </row>
    <row r="3" spans="1:57" x14ac:dyDescent="0.2">
      <c r="A3" s="159">
        <v>42339</v>
      </c>
      <c r="B3" s="78">
        <f>SUMIFS('BD. km rodado'!$B:$B,'BD. km rodado'!$A:$A,"&gt;="&amp;A3,'BD. km rodado'!$A:$A,"&lt;"&amp;A4)</f>
        <v>678</v>
      </c>
      <c r="C3" s="78">
        <f>SUMIFS('BD. km rodado'!$C:$C,'BD. km rodado'!$A:$A,"&gt;="&amp;A3,'BD. km rodado'!$A:$A,"&lt;"&amp;A4)</f>
        <v>1462</v>
      </c>
      <c r="D3" s="78">
        <f>SUMIFS('BD. km rodado'!$D:$D,'BD. km rodado'!$A:$A,"&gt;="&amp;A3,'BD. km rodado'!$A:$A,"&lt;"&amp;A4)</f>
        <v>340</v>
      </c>
      <c r="E3" s="78">
        <f>SUMIFS('BD. km rodado'!$E:$E,'BD. km rodado'!$A:$A,"&gt;="&amp;A3,'BD. km rodado'!$A:$A,"&lt;"&amp;A4)</f>
        <v>1073</v>
      </c>
      <c r="F3" s="78">
        <f>SUMIFS('BD. km rodado'!$F:$F,'BD. km rodado'!$A:$A,"&gt;="&amp;A3,'BD. km rodado'!$A:$A,"&lt;"&amp;A4)</f>
        <v>28</v>
      </c>
      <c r="G3" s="78">
        <f>SUMIFS('BD. km rodado'!$G:$G,'BD. km rodado'!$A:$A,"&gt;="&amp;A3,'BD. km rodado'!$A:$A,"&lt;"&amp;A4)</f>
        <v>1469</v>
      </c>
      <c r="H3" s="78">
        <f>SUMIFS('BD. km rodado'!$H:$H,'BD. km rodado'!$A:$A,"&gt;="&amp;A3,'BD. km rodado'!$A:$A,"&lt;"&amp;A4)</f>
        <v>1440</v>
      </c>
      <c r="I3" s="78">
        <f>SUMIFS('BD. km rodado'!$I:$I,'BD. km rodado'!$A:$A,"&gt;="&amp;A3,'BD. km rodado'!$A:$A,"&lt;"&amp;A4)</f>
        <v>2554</v>
      </c>
      <c r="J3" s="78">
        <f>SUMIFS('BD. km rodado'!$J:$J,'BD. km rodado'!$A:$A,"&gt;="&amp;A3,'BD. km rodado'!$A:$A,"&lt;"&amp;A4)</f>
        <v>1205</v>
      </c>
      <c r="K3" s="78">
        <f>SUMIFS('BD. km rodado'!$K:$K,'BD. km rodado'!$A:$A,"&gt;="&amp;A3,'BD. km rodado'!$A:$A,"&lt;"&amp;A4)</f>
        <v>1371</v>
      </c>
      <c r="L3" s="78">
        <f>SUMIFS('BD. km rodado'!$L:$L,'BD. km rodado'!$A:$A,"&gt;="&amp;A3,'BD. km rodado'!$A:$A,"&lt;"&amp;A4)</f>
        <v>1120</v>
      </c>
      <c r="M3" s="78">
        <f>SUMIFS('BD. km rodado'!$M:$M,'BD. km rodado'!$A:$A,"&gt;="&amp;A3,'BD. km rodado'!$A:$A,"&lt;"&amp;A4)</f>
        <v>0</v>
      </c>
      <c r="N3" s="78">
        <f>SUMIFS('BD. km rodado'!$N:$N,'BD. km rodado'!$A:$A,"&gt;="&amp;A3,'BD. km rodado'!$A:$A,"&lt;"&amp;A4)</f>
        <v>0</v>
      </c>
      <c r="O3" s="78">
        <f>SUMIFS('BD. km rodado'!$O:$O,'BD. km rodado'!$A:$A,"&gt;="&amp;A3,'BD. km rodado'!$A:$A,"&lt;"&amp;A4)</f>
        <v>1505</v>
      </c>
      <c r="P3">
        <f t="shared" ref="P3:P27" si="4">SUM(B3:O3)</f>
        <v>14245</v>
      </c>
      <c r="Q3">
        <f>SUMIFS(BD.OS!$X:$X,BD.OS!$A:$A,"&gt;="&amp;'BD. graf. km rodado'!A3,BD.OS!$A:$A,"&lt;"&amp;A4)</f>
        <v>1610</v>
      </c>
      <c r="R3" s="16">
        <f t="shared" ref="R3:R27" si="5">P3/Q3</f>
        <v>8.8478260869565215</v>
      </c>
      <c r="T3" s="167">
        <f>DATE(ANOPROD.,'Prod. e Improd'!F8,1)</f>
        <v>42491</v>
      </c>
      <c r="U3" s="167" t="str">
        <f>CONCATENATE("OS/",'Prod. e Improd'!K49," HORAS")</f>
        <v>OS/5 HORAS</v>
      </c>
      <c r="V3" s="122">
        <f>(V5/V6)*'Prod. e Improd'!$K$49</f>
        <v>2.125</v>
      </c>
      <c r="W3" s="122">
        <f>(W5/W6)*'Prod. e Improd'!$K$49</f>
        <v>1.7105263157894737</v>
      </c>
      <c r="X3" s="122">
        <f>(X5/X6)*'Prod. e Improd'!$K$49</f>
        <v>0</v>
      </c>
      <c r="Y3" s="122">
        <f>(Y5/Y6)*'Prod. e Improd'!$K$49</f>
        <v>0</v>
      </c>
      <c r="Z3" s="122">
        <f>(Z5/Z6)*'Prod. e Improd'!$K$49</f>
        <v>0</v>
      </c>
      <c r="AA3" s="122">
        <f>(AA5/AA6)*'Prod. e Improd'!$K$49</f>
        <v>6.7105263157894735</v>
      </c>
      <c r="AB3" s="122">
        <f>(AB5/AB6)*'Prod. e Improd'!$K$49</f>
        <v>0.13157894736842105</v>
      </c>
      <c r="AC3" s="122">
        <f>(AC5/AC6)*'Prod. e Improd'!$K$49</f>
        <v>3.0921052631578947</v>
      </c>
      <c r="AD3" s="122">
        <f>(AD5/AD6)*'Prod. e Improd'!$K$49</f>
        <v>1.0526315789473684</v>
      </c>
      <c r="AE3" s="122">
        <f>(AE5/AE6)*'Prod. e Improd'!$K$49</f>
        <v>3.3552631578947367</v>
      </c>
      <c r="AF3" s="122">
        <f>(AF5/AF6)*'Prod. e Improd'!$K$49</f>
        <v>2.3684210526315788</v>
      </c>
      <c r="AG3" s="122">
        <f>(AG5/AG6)*'Prod. e Improd'!$K$49</f>
        <v>6.5789473684210523E-2</v>
      </c>
      <c r="AH3" s="122">
        <f>(AH5/AH6)*'Prod. e Improd'!$K$49</f>
        <v>4.8026315789473681</v>
      </c>
      <c r="AI3" s="122">
        <f>(AI5/AI6)*'Prod. e Improd'!$K$49</f>
        <v>3.3975770925110131</v>
      </c>
      <c r="AJ3" s="122"/>
      <c r="AK3" s="16"/>
      <c r="AL3" s="159">
        <f>DATE(ANOPROD.,'Prod. e Improd'!$F$8-1,1)</f>
        <v>42461</v>
      </c>
      <c r="AM3" s="122">
        <f>INDEX($A$1:$O$27,MATCH(AL3,$A$1:$A$27,0),MATCH($AM$1,$A$1:$O$1,0))/INDEX('PROCV Prod.Total'!$BJ$2:$CB$15,MATCH('BD. graf. km rodado'!AL3,'PROCV Prod.Total'!$BJ$2:$BJ$15,0),MATCH('BD. graf. km rodado'!$AM$1,'PROCV Prod.Total'!$BJ$2:$CB$2,0))</f>
        <v>8.4960629921259834</v>
      </c>
      <c r="AN3" s="122">
        <f>INDEX($A$1:$O$27,MATCH(AL3,$A$1:$A$27,0),MATCH($AN$1,$A$1:$O$1,0))/INDEX('PROCV Prod.Total'!$BJ$2:$CB$15,MATCH('BD. graf. km rodado'!AL3,'PROCV Prod.Total'!$BJ$2:$BJ$15,0),MATCH('BD. graf. km rodado'!$AN$1,'PROCV Prod.Total'!$BJ$2:$CB$2,0))</f>
        <v>15.836734693877551</v>
      </c>
      <c r="AO3" s="122">
        <f>INDEX($A$1:$O$27,MATCH(AL3,$A$1:$A$27,0),MATCH($AO$1,$A$1:$O$1,0))/INDEX('PROCV Prod.Total'!$BJ$2:$CB$15,MATCH('BD. graf. km rodado'!AL3,'PROCV Prod.Total'!$BJ$2:$BJ$15,0),MATCH('BD. graf. km rodado'!$AO$1,'PROCV Prod.Total'!$BJ$2:$CB$2,0))</f>
        <v>9.1188811188811183</v>
      </c>
      <c r="AP3" s="122" t="e">
        <f>INDEX($A$1:$O$27,MATCH(AL3,$A$1:$A$27,0),MATCH($AP$1,$A$1:$O$1,0))/INDEX('PROCV Prod.Total'!$BJ$2:$CB$15,MATCH('BD. graf. km rodado'!AL3,'PROCV Prod.Total'!$BJ$2:$BJ$15,0),MATCH('BD. graf. km rodado'!$AP$1,'PROCV Prod.Total'!$BJ$2:$CB$2,0))</f>
        <v>#DIV/0!</v>
      </c>
      <c r="AQ3" s="78">
        <f>INDEX($A$1:$O$27,MATCH(AL3,$A$1:$A$27,0),MATCH($AQ$1,$A$1:$O$1,0))/INDEX('PROCV Prod.Total'!$BJ$2:$CB$15,MATCH('BD. graf. km rodado'!AL3,'PROCV Prod.Total'!$BJ$2:$BJ$15,0),MATCH('BD. graf. km rodado'!$AQ$1,'PROCV Prod.Total'!$BJ$2:$CB$2,0))</f>
        <v>1156</v>
      </c>
      <c r="AR3" s="122">
        <f>INDEX($A$1:$O$27,MATCH(AL3,$A$1:$A$27,0),MATCH($AR$1,$A$1:$O$1,0))/INDEX('PROCV Prod.Total'!$BJ$2:$CB$15,MATCH('BD. graf. km rodado'!AL3,'PROCV Prod.Total'!$BJ$2:$BJ$15,0),MATCH('BD. graf. km rodado'!$AR$1,'PROCV Prod.Total'!$BJ$2:$CB$2,0))</f>
        <v>6.4328358208955221</v>
      </c>
      <c r="AS3" s="78">
        <f>INDEX($A$1:$O$27,MATCH(AL3,$A$1:$A$27,0),MATCH($AS$1,$A$1:$O$1,0))/INDEX('PROCV Prod.Total'!$BJ$2:$CB$15,MATCH('BD. graf. km rodado'!AL3,'PROCV Prod.Total'!$BJ$2:$BJ$15,0),MATCH('BD. graf. km rodado'!$AS$1,'PROCV Prod.Total'!$BJ$2:$CB$2,0))</f>
        <v>0.32608695652173914</v>
      </c>
      <c r="AT3" s="122">
        <f>INDEX($A$1:$O$27,MATCH(AL3,$A$1:$A$27,0),MATCH($AT$1,$A$1:$O$1,0))/INDEX('PROCV Prod.Total'!$BJ$2:$CB$15,MATCH('BD. graf. km rodado'!AL3,'PROCV Prod.Total'!$BJ$2:$BJ$15,0),MATCH('BD. graf. km rodado'!$AT$1,'PROCV Prod.Total'!$BJ$2:$CB$2,0))</f>
        <v>14.789808917197453</v>
      </c>
      <c r="AU3" s="78">
        <f>INDEX($A$1:$O$27,MATCH(AL3,$A$1:$A$27,0),MATCH($AU$1,$A$1:$O$1,0))/INDEX('PROCV Prod.Total'!$BJ$2:$CB$15,MATCH('BD. graf. km rodado'!AL3,'PROCV Prod.Total'!$BJ$2:$BJ$15,0),MATCH('BD. graf. km rodado'!$AU$1,'PROCV Prod.Total'!$BJ$2:$CB$2,0))</f>
        <v>14.056603773584905</v>
      </c>
      <c r="AV3" s="122">
        <f>INDEX($A$1:$O$27,MATCH(AL3,$A$1:$A$27,0),MATCH($AV$1,$A$1:$O$1,0))/INDEX('PROCV Prod.Total'!$BJ$2:$CB$15,MATCH('BD. graf. km rodado'!AL3,'PROCV Prod.Total'!$BJ$2:$BJ$15,0),MATCH('BD. graf. km rodado'!$AV$1,'PROCV Prod.Total'!$BJ$2:$CB$2,0))</f>
        <v>6.833333333333333</v>
      </c>
      <c r="AW3" s="122">
        <f>INDEX($A$1:$O$27,MATCH(AL3,$A$1:$A$27,0),MATCH($AW$1,$A$1:$O$1,0))/INDEX('PROCV Prod.Total'!$BJ$2:$CB$15,MATCH('BD. graf. km rodado'!AL3,'PROCV Prod.Total'!$BJ$2:$BJ$15,0),MATCH('BD. graf. km rodado'!$AW$1,'PROCV Prod.Total'!$BJ$2:$CB$2,0))</f>
        <v>4.2918149466192173</v>
      </c>
      <c r="AX3" s="78" t="e">
        <f>INDEX($A$1:$O$27,MATCH(AL3,$A$1:$A$27,0),MATCH($AX$1,$A$1:$O$1,0))/INDEX('PROCV Prod.Total'!$BJ$2:$CB$15,MATCH('BD. graf. km rodado'!AL3,'PROCV Prod.Total'!$BJ$2:$BJ$15,0),MATCH('BD. graf. km rodado'!$AX$1,'PROCV Prod.Total'!$BJ$2:$CB$2,0))</f>
        <v>#DIV/0!</v>
      </c>
      <c r="AY3" s="122">
        <f>INDEX($A$1:$O$27,MATCH(AL3,$A$1:$A$27,0),MATCH($AY$1,$A$1:$O$1,0))/INDEX('PROCV Prod.Total'!$BJ$2:$CB$15,MATCH('BD. graf. km rodado'!AL3,'PROCV Prod.Total'!$BJ$2:$BJ$15,0),MATCH('BD. graf. km rodado'!$AY$1,'PROCV Prod.Total'!$BJ$2:$CB$2,0))</f>
        <v>7.8</v>
      </c>
      <c r="BA3" s="167">
        <f t="shared" si="1"/>
        <v>42461</v>
      </c>
      <c r="BB3" s="167">
        <f>BA13</f>
        <v>42156</v>
      </c>
      <c r="BC3" s="122" t="e">
        <f>BE13</f>
        <v>#N/A</v>
      </c>
      <c r="BD3" t="e">
        <f t="shared" si="2"/>
        <v>#N/A</v>
      </c>
      <c r="BE3" s="122">
        <f t="shared" si="3"/>
        <v>6.4328358208955221</v>
      </c>
    </row>
    <row r="4" spans="1:57" x14ac:dyDescent="0.2">
      <c r="A4" s="159">
        <v>42370</v>
      </c>
      <c r="B4" s="78">
        <f>SUMIFS('BD. km rodado'!$B:$B,'BD. km rodado'!$A:$A,"&gt;="&amp;A4,'BD. km rodado'!$A:$A,"&lt;"&amp;A5)</f>
        <v>21</v>
      </c>
      <c r="C4" s="78">
        <f>SUMIFS('BD. km rodado'!$C:$C,'BD. km rodado'!$A:$A,"&gt;="&amp;A4,'BD. km rodado'!$A:$A,"&lt;"&amp;A5)</f>
        <v>2110</v>
      </c>
      <c r="D4" s="78">
        <f>SUMIFS('BD. km rodado'!$D:$D,'BD. km rodado'!$A:$A,"&gt;="&amp;A4,'BD. km rodado'!$A:$A,"&lt;"&amp;A5)</f>
        <v>1686</v>
      </c>
      <c r="E4" s="78">
        <f>SUMIFS('BD. km rodado'!$E:$E,'BD. km rodado'!$A:$A,"&gt;="&amp;A4,'BD. km rodado'!$A:$A,"&lt;"&amp;A5)</f>
        <v>456</v>
      </c>
      <c r="F4" s="78">
        <f>SUMIFS('BD. km rodado'!$F:$F,'BD. km rodado'!$A:$A,"&gt;="&amp;A4,'BD. km rodado'!$A:$A,"&lt;"&amp;A5)</f>
        <v>115</v>
      </c>
      <c r="G4" s="78">
        <f>SUMIFS('BD. km rodado'!$G:$G,'BD. km rodado'!$A:$A,"&gt;="&amp;A4,'BD. km rodado'!$A:$A,"&lt;"&amp;A5)</f>
        <v>0</v>
      </c>
      <c r="H4" s="78">
        <f>SUMIFS('BD. km rodado'!$H:$H,'BD. km rodado'!$A:$A,"&gt;="&amp;A4,'BD. km rodado'!$A:$A,"&lt;"&amp;A5)</f>
        <v>2261</v>
      </c>
      <c r="I4" s="78">
        <f>SUMIFS('BD. km rodado'!$I:$I,'BD. km rodado'!$A:$A,"&gt;="&amp;A4,'BD. km rodado'!$A:$A,"&lt;"&amp;A5)</f>
        <v>0</v>
      </c>
      <c r="J4" s="78">
        <f>SUMIFS('BD. km rodado'!$J:$J,'BD. km rodado'!$A:$A,"&gt;="&amp;A4,'BD. km rodado'!$A:$A,"&lt;"&amp;A5)</f>
        <v>1806</v>
      </c>
      <c r="K4" s="78">
        <f>SUMIFS('BD. km rodado'!$K:$K,'BD. km rodado'!$A:$A,"&gt;="&amp;A4,'BD. km rodado'!$A:$A,"&lt;"&amp;A5)</f>
        <v>1938</v>
      </c>
      <c r="L4" s="78">
        <f>SUMIFS('BD. km rodado'!$L:$L,'BD. km rodado'!$A:$A,"&gt;="&amp;A4,'BD. km rodado'!$A:$A,"&lt;"&amp;A5)</f>
        <v>1348</v>
      </c>
      <c r="M4" s="78">
        <f>SUMIFS('BD. km rodado'!$M:$M,'BD. km rodado'!$A:$A,"&gt;="&amp;A4,'BD. km rodado'!$A:$A,"&lt;"&amp;A5)</f>
        <v>0</v>
      </c>
      <c r="N4" s="78">
        <f>SUMIFS('BD. km rodado'!$N:$N,'BD. km rodado'!$A:$A,"&gt;="&amp;A4,'BD. km rodado'!$A:$A,"&lt;"&amp;A5)</f>
        <v>0</v>
      </c>
      <c r="O4" s="78">
        <f>SUMIFS('BD. km rodado'!$O:$O,'BD. km rodado'!$A:$A,"&gt;="&amp;A4,'BD. km rodado'!$A:$A,"&lt;"&amp;A5)</f>
        <v>1410</v>
      </c>
      <c r="P4">
        <f t="shared" si="4"/>
        <v>13151</v>
      </c>
      <c r="Q4">
        <f>SUMIFS(BD.OS!$X:$X,BD.OS!$A:$A,"&gt;="&amp;'BD. graf. km rodado'!A4,BD.OS!$A:$A,"&lt;"&amp;A5)</f>
        <v>1520</v>
      </c>
      <c r="R4" s="16">
        <f t="shared" si="5"/>
        <v>8.6519736842105264</v>
      </c>
      <c r="T4" s="78" t="s">
        <v>296</v>
      </c>
      <c r="U4" s="78"/>
      <c r="V4" s="78">
        <f t="shared" ref="V4:AH4" si="6">INDEX($A$1:$O$27,MATCH($T$2,$A$1:$A$27,0),MATCH(V1,$A$1:$O$1,0))</f>
        <v>0</v>
      </c>
      <c r="W4" s="78">
        <f t="shared" si="6"/>
        <v>0</v>
      </c>
      <c r="X4" s="78">
        <f t="shared" si="6"/>
        <v>0</v>
      </c>
      <c r="Y4" s="78">
        <f t="shared" si="6"/>
        <v>0</v>
      </c>
      <c r="Z4" s="78">
        <f t="shared" si="6"/>
        <v>0</v>
      </c>
      <c r="AA4" s="78">
        <f t="shared" si="6"/>
        <v>0</v>
      </c>
      <c r="AB4" s="78">
        <f t="shared" si="6"/>
        <v>0</v>
      </c>
      <c r="AC4" s="78">
        <f t="shared" si="6"/>
        <v>0</v>
      </c>
      <c r="AD4" s="78">
        <f t="shared" si="6"/>
        <v>0</v>
      </c>
      <c r="AE4" s="78">
        <f t="shared" si="6"/>
        <v>0</v>
      </c>
      <c r="AF4" s="78">
        <f t="shared" si="6"/>
        <v>0</v>
      </c>
      <c r="AG4" s="78">
        <f t="shared" si="6"/>
        <v>0</v>
      </c>
      <c r="AH4" s="78">
        <f t="shared" si="6"/>
        <v>0</v>
      </c>
      <c r="AI4" s="78">
        <f>INDEX(A1:P27,MATCH(T2,A:A,0),MATCH(AI1,A1:P1,0))</f>
        <v>0</v>
      </c>
      <c r="AJ4" s="78"/>
      <c r="AL4" s="159">
        <f>DATE(ANOPROD.,'Prod. e Improd'!$F$8-2,1)</f>
        <v>42430</v>
      </c>
      <c r="AM4" s="122">
        <f>INDEX($A$1:$O$27,MATCH(AL4,$A$1:$A$27,0),MATCH($AM$1,$A$1:$O$1,0))/INDEX('PROCV Prod.Total'!$BJ$2:$CB$15,MATCH('BD. graf. km rodado'!AL4,'PROCV Prod.Total'!$BJ$2:$BJ$15,0),MATCH('BD. graf. km rodado'!$AM$1,'PROCV Prod.Total'!$BJ$2:$CB$2,0))</f>
        <v>7.3852140077821016</v>
      </c>
      <c r="AN4" s="122">
        <f>INDEX($A$1:$O$27,MATCH(AL4,$A$1:$A$27,0),MATCH($AN$1,$A$1:$O$1,0))/INDEX('PROCV Prod.Total'!$BJ$2:$CB$15,MATCH('BD. graf. km rodado'!AL4,'PROCV Prod.Total'!$BJ$2:$BJ$15,0),MATCH('BD. graf. km rodado'!$AN$1,'PROCV Prod.Total'!$BJ$2:$CB$2,0))</f>
        <v>13.778761061946902</v>
      </c>
      <c r="AO4" s="122">
        <f>INDEX($A$1:$O$27,MATCH(AL4,$A$1:$A$27,0),MATCH($AO$1,$A$1:$O$1,0))/INDEX('PROCV Prod.Total'!$BJ$2:$CB$15,MATCH('BD. graf. km rodado'!AL4,'PROCV Prod.Total'!$BJ$2:$BJ$15,0),MATCH('BD. graf. km rodado'!$AO$1,'PROCV Prod.Total'!$BJ$2:$CB$2,0))</f>
        <v>9.3548387096774199</v>
      </c>
      <c r="AP4" s="122">
        <f>INDEX($A$1:$O$27,MATCH(AL4,$A$1:$A$27,0),MATCH($AP$1,$A$1:$O$1,0))/INDEX('PROCV Prod.Total'!$BJ$2:$CB$15,MATCH('BD. graf. km rodado'!AL4,'PROCV Prod.Total'!$BJ$2:$BJ$15,0),MATCH('BD. graf. km rodado'!$AP$1,'PROCV Prod.Total'!$BJ$2:$CB$2,0))</f>
        <v>7.0666666666666664</v>
      </c>
      <c r="AQ4" s="78" t="e">
        <f>INDEX($A$1:$O$27,MATCH(AL4,$A$1:$A$27,0),MATCH($AQ$1,$A$1:$O$1,0))/INDEX('PROCV Prod.Total'!$BJ$2:$CB$15,MATCH('BD. graf. km rodado'!AL4,'PROCV Prod.Total'!$BJ$2:$BJ$15,0),MATCH('BD. graf. km rodado'!$AQ$1,'PROCV Prod.Total'!$BJ$2:$CB$2,0))</f>
        <v>#DIV/0!</v>
      </c>
      <c r="AR4" s="122">
        <f>INDEX($A$1:$O$27,MATCH(AL4,$A$1:$A$27,0),MATCH($AR$1,$A$1:$O$1,0))/INDEX('PROCV Prod.Total'!$BJ$2:$CB$15,MATCH('BD. graf. km rodado'!AL4,'PROCV Prod.Total'!$BJ$2:$BJ$15,0),MATCH('BD. graf. km rodado'!$AR$1,'PROCV Prod.Total'!$BJ$2:$CB$2,0))</f>
        <v>7.0381679389312977</v>
      </c>
      <c r="AS4" s="78">
        <f>INDEX($A$1:$O$27,MATCH(AL4,$A$1:$A$27,0),MATCH($AS$1,$A$1:$O$1,0))/INDEX('PROCV Prod.Total'!$BJ$2:$CB$15,MATCH('BD. graf. km rodado'!AL4,'PROCV Prod.Total'!$BJ$2:$BJ$15,0),MATCH('BD. graf. km rodado'!$AS$1,'PROCV Prod.Total'!$BJ$2:$CB$2,0))</f>
        <v>2.86</v>
      </c>
      <c r="AT4" s="122">
        <f>INDEX($A$1:$O$27,MATCH(AL4,$A$1:$A$27,0),MATCH($AT$1,$A$1:$O$1,0))/INDEX('PROCV Prod.Total'!$BJ$2:$CB$15,MATCH('BD. graf. km rodado'!AL4,'PROCV Prod.Total'!$BJ$2:$BJ$15,0),MATCH('BD. graf. km rodado'!$AT$1,'PROCV Prod.Total'!$BJ$2:$CB$2,0))</f>
        <v>20.910714285714285</v>
      </c>
      <c r="AU4" s="78" t="e">
        <f>INDEX($A$1:$O$27,MATCH(AL4,$A$1:$A$27,0),MATCH($AU$1,$A$1:$O$1,0))/INDEX('PROCV Prod.Total'!$BJ$2:$CB$15,MATCH('BD. graf. km rodado'!AL4,'PROCV Prod.Total'!$BJ$2:$BJ$15,0),MATCH('BD. graf. km rodado'!$AU$1,'PROCV Prod.Total'!$BJ$2:$CB$2,0))</f>
        <v>#DIV/0!</v>
      </c>
      <c r="AV4" s="122">
        <f>INDEX($A$1:$O$27,MATCH(AL4,$A$1:$A$27,0),MATCH($AV$1,$A$1:$O$1,0))/INDEX('PROCV Prod.Total'!$BJ$2:$CB$15,MATCH('BD. graf. km rodado'!AL4,'PROCV Prod.Total'!$BJ$2:$BJ$15,0),MATCH('BD. graf. km rodado'!$AV$1,'PROCV Prod.Total'!$BJ$2:$CB$2,0))</f>
        <v>9.6815920398009947</v>
      </c>
      <c r="AW4" s="122">
        <f>INDEX($A$1:$O$27,MATCH(AL4,$A$1:$A$27,0),MATCH($AW$1,$A$1:$O$1,0))/INDEX('PROCV Prod.Total'!$BJ$2:$CB$15,MATCH('BD. graf. km rodado'!AL4,'PROCV Prod.Total'!$BJ$2:$BJ$15,0),MATCH('BD. graf. km rodado'!$AW$1,'PROCV Prod.Total'!$BJ$2:$CB$2,0))</f>
        <v>7.5368421052631582</v>
      </c>
      <c r="AX4" s="78" t="e">
        <f>INDEX($A$1:$O$27,MATCH(AL4,$A$1:$A$27,0),MATCH($AX$1,$A$1:$O$1,0))/INDEX('PROCV Prod.Total'!$BJ$2:$CB$15,MATCH('BD. graf. km rodado'!AL4,'PROCV Prod.Total'!$BJ$2:$BJ$15,0),MATCH('BD. graf. km rodado'!$AX$1,'PROCV Prod.Total'!$BJ$2:$CB$2,0))</f>
        <v>#DIV/0!</v>
      </c>
      <c r="AY4" s="122">
        <f>INDEX($A$1:$O$27,MATCH(AL4,$A$1:$A$27,0),MATCH($AY$1,$A$1:$O$1,0))/INDEX('PROCV Prod.Total'!$BJ$2:$CB$15,MATCH('BD. graf. km rodado'!AL4,'PROCV Prod.Total'!$BJ$2:$BJ$15,0),MATCH('BD. graf. km rodado'!$AY$1,'PROCV Prod.Total'!$BJ$2:$CB$2,0))</f>
        <v>6.0337078651685392</v>
      </c>
      <c r="BA4" s="167">
        <f t="shared" si="1"/>
        <v>42430</v>
      </c>
      <c r="BB4" s="167">
        <f>BA12</f>
        <v>42186</v>
      </c>
      <c r="BC4" s="122" t="e">
        <f>BE12</f>
        <v>#N/A</v>
      </c>
      <c r="BD4" t="e">
        <f t="shared" si="2"/>
        <v>#N/A</v>
      </c>
      <c r="BE4" s="122">
        <f t="shared" si="3"/>
        <v>7.0381679389312977</v>
      </c>
    </row>
    <row r="5" spans="1:57" x14ac:dyDescent="0.2">
      <c r="A5" s="159">
        <v>42401</v>
      </c>
      <c r="B5" s="78">
        <f>SUMIFS('BD. km rodado'!$B:$B,'BD. km rodado'!$A:$A,"&gt;="&amp;A5,'BD. km rodado'!$A:$A,"&lt;"&amp;A6)</f>
        <v>178</v>
      </c>
      <c r="C5" s="78">
        <f>SUMIFS('BD. km rodado'!$C:$C,'BD. km rodado'!$A:$A,"&gt;="&amp;A5,'BD. km rodado'!$A:$A,"&lt;"&amp;A6)</f>
        <v>1601</v>
      </c>
      <c r="D5" s="78">
        <f>SUMIFS('BD. km rodado'!$D:$D,'BD. km rodado'!$A:$A,"&gt;="&amp;A5,'BD. km rodado'!$A:$A,"&lt;"&amp;A6)</f>
        <v>1544</v>
      </c>
      <c r="E5" s="78">
        <f>SUMIFS('BD. km rodado'!$E:$E,'BD. km rodado'!$A:$A,"&gt;="&amp;A5,'BD. km rodado'!$A:$A,"&lt;"&amp;A6)</f>
        <v>1322</v>
      </c>
      <c r="F5" s="78">
        <f>SUMIFS('BD. km rodado'!$F:$F,'BD. km rodado'!$A:$A,"&gt;="&amp;A5,'BD. km rodado'!$A:$A,"&lt;"&amp;A6)</f>
        <v>0</v>
      </c>
      <c r="G5" s="78">
        <f>SUMIFS('BD. km rodado'!$G:$G,'BD. km rodado'!$A:$A,"&gt;="&amp;A5,'BD. km rodado'!$A:$A,"&lt;"&amp;A6)</f>
        <v>1324</v>
      </c>
      <c r="H5" s="78">
        <f>SUMIFS('BD. km rodado'!$H:$H,'BD. km rodado'!$A:$A,"&gt;="&amp;A5,'BD. km rodado'!$A:$A,"&lt;"&amp;A6)</f>
        <v>1686</v>
      </c>
      <c r="I5" s="78">
        <f>SUMIFS('BD. km rodado'!$I:$I,'BD. km rodado'!$A:$A,"&gt;="&amp;A5,'BD. km rodado'!$A:$A,"&lt;"&amp;A6)</f>
        <v>1962</v>
      </c>
      <c r="J5" s="78">
        <f>SUMIFS('BD. km rodado'!$J:$J,'BD. km rodado'!$A:$A,"&gt;="&amp;A5,'BD. km rodado'!$A:$A,"&lt;"&amp;A6)</f>
        <v>1343</v>
      </c>
      <c r="K5" s="78">
        <f>SUMIFS('BD. km rodado'!$K:$K,'BD. km rodado'!$A:$A,"&gt;="&amp;A5,'BD. km rodado'!$A:$A,"&lt;"&amp;A6)</f>
        <v>1171</v>
      </c>
      <c r="L5" s="78">
        <f>SUMIFS('BD. km rodado'!$L:$L,'BD. km rodado'!$A:$A,"&gt;="&amp;A5,'BD. km rodado'!$A:$A,"&lt;"&amp;A6)</f>
        <v>104</v>
      </c>
      <c r="M5" s="78">
        <f>SUMIFS('BD. km rodado'!$M:$M,'BD. km rodado'!$A:$A,"&gt;="&amp;A5,'BD. km rodado'!$A:$A,"&lt;"&amp;A6)</f>
        <v>0</v>
      </c>
      <c r="N5" s="78">
        <f>SUMIFS('BD. km rodado'!$N:$N,'BD. km rodado'!$A:$A,"&gt;="&amp;A5,'BD. km rodado'!$A:$A,"&lt;"&amp;A6)</f>
        <v>216</v>
      </c>
      <c r="O5" s="78">
        <f>SUMIFS('BD. km rodado'!$O:$O,'BD. km rodado'!$A:$A,"&gt;="&amp;A5,'BD. km rodado'!$A:$A,"&lt;"&amp;A6)</f>
        <v>1630</v>
      </c>
      <c r="P5">
        <f t="shared" si="4"/>
        <v>14081</v>
      </c>
      <c r="Q5">
        <f>SUMIFS(BD.OS!$X:$X,BD.OS!$A:$A,"&gt;="&amp;'BD. graf. km rodado'!A5,BD.OS!$A:$A,"&lt;"&amp;A6)</f>
        <v>1736</v>
      </c>
      <c r="R5" s="16">
        <f t="shared" si="5"/>
        <v>8.1111751152073737</v>
      </c>
      <c r="T5" s="78" t="s">
        <v>293</v>
      </c>
      <c r="U5" s="78"/>
      <c r="V5" s="78">
        <f>INDEX('PROCV Prod.Total'!$BJ$2:$CB$15,MATCH('BD. graf. km rodado'!$T$2,'PROCV Prod.Total'!$BJ$2:$BJ$15,0),MATCH('BD. graf. km rodado'!V1,'PROCV Prod.Total'!$BJ$2:$CB$2,0))</f>
        <v>34</v>
      </c>
      <c r="W5" s="78">
        <f>INDEX('PROCV Prod.Total'!$BJ$2:$CB$15,MATCH('BD. graf. km rodado'!$T$2,'PROCV Prod.Total'!$BJ$2:$BJ$15,0),MATCH('BD. graf. km rodado'!W1,'PROCV Prod.Total'!$BJ$2:$CB$2,0))</f>
        <v>26</v>
      </c>
      <c r="X5" s="78">
        <f>INDEX('PROCV Prod.Total'!$BJ$2:$CB$15,MATCH('BD. graf. km rodado'!$T$2,'PROCV Prod.Total'!$BJ$2:$BJ$15,0),MATCH('BD. graf. km rodado'!X1,'PROCV Prod.Total'!$BJ$2:$CB$2,0))</f>
        <v>0</v>
      </c>
      <c r="Y5" s="78">
        <f>INDEX('PROCV Prod.Total'!$BJ$2:$CB$15,MATCH('BD. graf. km rodado'!$T$2,'PROCV Prod.Total'!$BJ$2:$BJ$15,0),MATCH('BD. graf. km rodado'!Y1,'PROCV Prod.Total'!$BJ$2:$CB$2,0))</f>
        <v>0</v>
      </c>
      <c r="Z5" s="78">
        <f>INDEX('PROCV Prod.Total'!$BJ$2:$CB$15,MATCH('BD. graf. km rodado'!$T$2,'PROCV Prod.Total'!$BJ$2:$BJ$15,0),MATCH('BD. graf. km rodado'!Z1,'PROCV Prod.Total'!$BJ$2:$CB$2,0))</f>
        <v>0</v>
      </c>
      <c r="AA5" s="78">
        <f>INDEX('PROCV Prod.Total'!$BJ$2:$CB$15,MATCH('BD. graf. km rodado'!$T$2,'PROCV Prod.Total'!$BJ$2:$BJ$15,0),MATCH('BD. graf. km rodado'!AA1,'PROCV Prod.Total'!$BJ$2:$CB$2,0))</f>
        <v>102</v>
      </c>
      <c r="AB5" s="78">
        <f>INDEX('PROCV Prod.Total'!$BJ$2:$CB$15,MATCH('BD. graf. km rodado'!$T$2,'PROCV Prod.Total'!$BJ$2:$BJ$15,0),MATCH('BD. graf. km rodado'!AB1,'PROCV Prod.Total'!$BJ$2:$CB$2,0))</f>
        <v>2</v>
      </c>
      <c r="AC5" s="78">
        <f>INDEX('PROCV Prod.Total'!$BJ$2:$CB$15,MATCH('BD. graf. km rodado'!$T$2,'PROCV Prod.Total'!$BJ$2:$BJ$15,0),MATCH('BD. graf. km rodado'!AC1,'PROCV Prod.Total'!$BJ$2:$CB$2,0))</f>
        <v>47</v>
      </c>
      <c r="AD5" s="78">
        <f>INDEX('PROCV Prod.Total'!$BJ$2:$CB$15,MATCH('BD. graf. km rodado'!$T$2,'PROCV Prod.Total'!$BJ$2:$BJ$15,0),MATCH('BD. graf. km rodado'!AD1,'PROCV Prod.Total'!$BJ$2:$CB$2,0))</f>
        <v>16</v>
      </c>
      <c r="AE5" s="78">
        <f>INDEX('PROCV Prod.Total'!$BJ$2:$CB$15,MATCH('BD. graf. km rodado'!$T$2,'PROCV Prod.Total'!$BJ$2:$BJ$15,0),MATCH('BD. graf. km rodado'!AE1,'PROCV Prod.Total'!$BJ$2:$CB$2,0))</f>
        <v>51</v>
      </c>
      <c r="AF5" s="78">
        <f>INDEX('PROCV Prod.Total'!$BJ$2:$CB$15,MATCH('BD. graf. km rodado'!$T$2,'PROCV Prod.Total'!$BJ$2:$BJ$15,0),MATCH('BD. graf. km rodado'!AF1,'PROCV Prod.Total'!$BJ$2:$CB$2,0))</f>
        <v>36</v>
      </c>
      <c r="AG5" s="78">
        <f>INDEX('PROCV Prod.Total'!$BJ$2:$CB$15,MATCH('BD. graf. km rodado'!$T$2,'PROCV Prod.Total'!$BJ$2:$BJ$15,0),MATCH('BD. graf. km rodado'!AG1,'PROCV Prod.Total'!$BJ$2:$CB$2,0))</f>
        <v>1</v>
      </c>
      <c r="AH5" s="78">
        <f>INDEX('PROCV Prod.Total'!$BJ$2:$CB$15,MATCH('BD. graf. km rodado'!$T$2,'PROCV Prod.Total'!$BJ$2:$BJ$15,0),MATCH('BD. graf. km rodado'!AH1,'PROCV Prod.Total'!$BJ$2:$CB$2,0))</f>
        <v>73</v>
      </c>
      <c r="AI5" s="78">
        <f>INDEX(A:Q,MATCH(T2,A:A,0),MATCH(T5,A1:Q1,0))</f>
        <v>617</v>
      </c>
      <c r="AJ5" s="78"/>
      <c r="AL5" s="159">
        <f>DATE(ANOPROD.,'Prod. e Improd'!$F$8-3,1)</f>
        <v>42401</v>
      </c>
      <c r="AM5" s="122">
        <f>INDEX($A$1:$O$27,MATCH(AL5,$A$1:$A$27,0),MATCH($AM$1,$A$1:$O$1,0))/INDEX('PROCV Prod.Total'!$BJ$2:$CB$15,MATCH('BD. graf. km rodado'!AL5,'PROCV Prod.Total'!$BJ$2:$BJ$15,0),MATCH('BD. graf. km rodado'!$AM$1,'PROCV Prod.Total'!$BJ$2:$CB$2,0))</f>
        <v>5.2960000000000003</v>
      </c>
      <c r="AN5" s="122">
        <f>INDEX($A$1:$O$27,MATCH(AL5,$A$1:$A$27,0),MATCH($AN$1,$A$1:$O$1,0))/INDEX('PROCV Prod.Total'!$BJ$2:$CB$15,MATCH('BD. graf. km rodado'!AL5,'PROCV Prod.Total'!$BJ$2:$BJ$15,0),MATCH('BD. graf. km rodado'!$AN$1,'PROCV Prod.Total'!$BJ$2:$CB$2,0))</f>
        <v>10.658730158730158</v>
      </c>
      <c r="AO5" s="122">
        <f>INDEX($A$1:$O$27,MATCH(AL5,$A$1:$A$27,0),MATCH($AO$1,$A$1:$O$1,0))/INDEX('PROCV Prod.Total'!$BJ$2:$CB$15,MATCH('BD. graf. km rodado'!AL5,'PROCV Prod.Total'!$BJ$2:$BJ$15,0),MATCH('BD. graf. km rodado'!$AO$1,'PROCV Prod.Total'!$BJ$2:$CB$2,0))</f>
        <v>9.7456647398843934</v>
      </c>
      <c r="AP5" s="122">
        <f>INDEX($A$1:$O$27,MATCH(AL5,$A$1:$A$27,0),MATCH($AP$1,$A$1:$O$1,0))/INDEX('PROCV Prod.Total'!$BJ$2:$CB$15,MATCH('BD. graf. km rodado'!AL5,'PROCV Prod.Total'!$BJ$2:$BJ$15,0),MATCH('BD. graf. km rodado'!$AP$1,'PROCV Prod.Total'!$BJ$2:$CB$2,0))</f>
        <v>0</v>
      </c>
      <c r="AQ5" s="78" t="e">
        <f>INDEX($A$1:$O$27,MATCH(AL5,$A$1:$A$27,0),MATCH($AQ$1,$A$1:$O$1,0))/INDEX('PROCV Prod.Total'!$BJ$2:$CB$15,MATCH('BD. graf. km rodado'!AL5,'PROCV Prod.Total'!$BJ$2:$BJ$15,0),MATCH('BD. graf. km rodado'!$AQ$1,'PROCV Prod.Total'!$BJ$2:$CB$2,0))</f>
        <v>#DIV/0!</v>
      </c>
      <c r="AR5" s="122">
        <f>INDEX($A$1:$O$27,MATCH(AL5,$A$1:$A$27,0),MATCH($AR$1,$A$1:$O$1,0))/INDEX('PROCV Prod.Total'!$BJ$2:$CB$15,MATCH('BD. graf. km rodado'!AL5,'PROCV Prod.Total'!$BJ$2:$BJ$15,0),MATCH('BD. graf. km rodado'!$AR$1,'PROCV Prod.Total'!$BJ$2:$CB$2,0))</f>
        <v>6.5418994413407825</v>
      </c>
      <c r="AS5" s="78">
        <f>INDEX($A$1:$O$27,MATCH(AL5,$A$1:$A$27,0),MATCH($AS$1,$A$1:$O$1,0))/INDEX('PROCV Prod.Total'!$BJ$2:$CB$15,MATCH('BD. graf. km rodado'!AL5,'PROCV Prod.Total'!$BJ$2:$BJ$15,0),MATCH('BD. graf. km rodado'!$AS$1,'PROCV Prod.Total'!$BJ$2:$CB$2,0))</f>
        <v>5.3939393939393936</v>
      </c>
      <c r="AT5" s="122">
        <f>INDEX($A$1:$O$27,MATCH(AL5,$A$1:$A$27,0),MATCH($AT$1,$A$1:$O$1,0))/INDEX('PROCV Prod.Total'!$BJ$2:$CB$15,MATCH('BD. graf. km rodado'!AL5,'PROCV Prod.Total'!$BJ$2:$BJ$15,0),MATCH('BD. graf. km rodado'!$AT$1,'PROCV Prod.Total'!$BJ$2:$CB$2,0))</f>
        <v>20.4375</v>
      </c>
      <c r="AU5" s="78">
        <f>INDEX($A$1:$O$27,MATCH(AL5,$A$1:$A$27,0),MATCH($AU$1,$A$1:$O$1,0))/INDEX('PROCV Prod.Total'!$BJ$2:$CB$15,MATCH('BD. graf. km rodado'!AL5,'PROCV Prod.Total'!$BJ$2:$BJ$15,0),MATCH('BD. graf. km rodado'!$AU$1,'PROCV Prod.Total'!$BJ$2:$CB$2,0))</f>
        <v>0</v>
      </c>
      <c r="AV5" s="122">
        <f>INDEX($A$1:$O$27,MATCH(AL5,$A$1:$A$27,0),MATCH($AV$1,$A$1:$O$1,0))/INDEX('PROCV Prod.Total'!$BJ$2:$CB$15,MATCH('BD. graf. km rodado'!AL5,'PROCV Prod.Total'!$BJ$2:$BJ$15,0),MATCH('BD. graf. km rodado'!$AV$1,'PROCV Prod.Total'!$BJ$2:$CB$2,0))</f>
        <v>6.3921568627450984</v>
      </c>
      <c r="AW5" s="122">
        <f>INDEX($A$1:$O$27,MATCH(AL5,$A$1:$A$27,0),MATCH($AW$1,$A$1:$O$1,0))/INDEX('PROCV Prod.Total'!$BJ$2:$CB$15,MATCH('BD. graf. km rodado'!AL5,'PROCV Prod.Total'!$BJ$2:$BJ$15,0),MATCH('BD. graf. km rodado'!$AW$1,'PROCV Prod.Total'!$BJ$2:$CB$2,0))</f>
        <v>7.5876777251184837</v>
      </c>
      <c r="AX5" s="78">
        <f>INDEX($A$1:$O$27,MATCH(AL5,$A$1:$A$27,0),MATCH($AX$1,$A$1:$O$1,0))/INDEX('PROCV Prod.Total'!$BJ$2:$CB$15,MATCH('BD. graf. km rodado'!AL5,'PROCV Prod.Total'!$BJ$2:$BJ$15,0),MATCH('BD. graf. km rodado'!$AX$1,'PROCV Prod.Total'!$BJ$2:$CB$2,0))</f>
        <v>6.5454545454545459</v>
      </c>
      <c r="AY5" s="122">
        <f>INDEX($A$1:$O$27,MATCH(AL5,$A$1:$A$27,0),MATCH($AY$1,$A$1:$O$1,0))/INDEX('PROCV Prod.Total'!$BJ$2:$CB$15,MATCH('BD. graf. km rodado'!AL5,'PROCV Prod.Total'!$BJ$2:$BJ$15,0),MATCH('BD. graf. km rodado'!$AY$1,'PROCV Prod.Total'!$BJ$2:$CB$2,0))</f>
        <v>7.4269662921348312</v>
      </c>
      <c r="BA5" s="167">
        <f t="shared" si="1"/>
        <v>42401</v>
      </c>
      <c r="BB5" s="167">
        <f>BA11</f>
        <v>42217</v>
      </c>
      <c r="BC5" s="122" t="e">
        <f>BE11</f>
        <v>#N/A</v>
      </c>
      <c r="BD5" t="e">
        <f t="shared" si="2"/>
        <v>#N/A</v>
      </c>
      <c r="BE5" s="122">
        <f t="shared" si="3"/>
        <v>6.5418994413407825</v>
      </c>
    </row>
    <row r="6" spans="1:57" x14ac:dyDescent="0.2">
      <c r="A6" s="159">
        <v>42430</v>
      </c>
      <c r="B6" s="78">
        <f>SUMIFS('BD. km rodado'!$B:$B,'BD. km rodado'!$A:$A,"&gt;="&amp;A6,'BD. km rodado'!$A:$A,"&lt;"&amp;A7)</f>
        <v>143</v>
      </c>
      <c r="C6" s="78">
        <f>SUMIFS('BD. km rodado'!$C:$C,'BD. km rodado'!$A:$A,"&gt;="&amp;A6,'BD. km rodado'!$A:$A,"&lt;"&amp;A7)</f>
        <v>1432</v>
      </c>
      <c r="D6" s="78">
        <f>SUMIFS('BD. km rodado'!$D:$D,'BD. km rodado'!$A:$A,"&gt;="&amp;A6,'BD. km rodado'!$A:$A,"&lt;"&amp;A7)</f>
        <v>1835</v>
      </c>
      <c r="E6" s="78">
        <f>SUMIFS('BD. km rodado'!$E:$E,'BD. km rodado'!$A:$A,"&gt;="&amp;A6,'BD. km rodado'!$A:$A,"&lt;"&amp;A7)</f>
        <v>537</v>
      </c>
      <c r="F6" s="78">
        <f>SUMIFS('BD. km rodado'!$F:$F,'BD. km rodado'!$A:$A,"&gt;="&amp;A6,'BD. km rodado'!$A:$A,"&lt;"&amp;A7)</f>
        <v>142</v>
      </c>
      <c r="G6" s="78">
        <f>SUMIFS('BD. km rodado'!$G:$G,'BD. km rodado'!$A:$A,"&gt;="&amp;A6,'BD. km rodado'!$A:$A,"&lt;"&amp;A7)</f>
        <v>1898</v>
      </c>
      <c r="H6" s="78">
        <f>SUMIFS('BD. km rodado'!$H:$H,'BD. km rodado'!$A:$A,"&gt;="&amp;A6,'BD. km rodado'!$A:$A,"&lt;"&amp;A7)</f>
        <v>1740</v>
      </c>
      <c r="I6" s="78">
        <f>SUMIFS('BD. km rodado'!$I:$I,'BD. km rodado'!$A:$A,"&gt;="&amp;A6,'BD. km rodado'!$A:$A,"&lt;"&amp;A7)</f>
        <v>2342</v>
      </c>
      <c r="J6" s="78">
        <f>SUMIFS('BD. km rodado'!$J:$J,'BD. km rodado'!$A:$A,"&gt;="&amp;A6,'BD. km rodado'!$A:$A,"&lt;"&amp;A7)</f>
        <v>1557</v>
      </c>
      <c r="K6" s="78">
        <f>SUMIFS('BD. km rodado'!$K:$K,'BD. km rodado'!$A:$A,"&gt;="&amp;A6,'BD. km rodado'!$A:$A,"&lt;"&amp;A7)</f>
        <v>1844</v>
      </c>
      <c r="L6" s="78">
        <f>SUMIFS('BD. km rodado'!$L:$L,'BD. km rodado'!$A:$A,"&gt;="&amp;A6,'BD. km rodado'!$A:$A,"&lt;"&amp;A7)</f>
        <v>1020</v>
      </c>
      <c r="M6" s="78">
        <f>SUMIFS('BD. km rodado'!$M:$M,'BD. km rodado'!$A:$A,"&gt;="&amp;A6,'BD. km rodado'!$A:$A,"&lt;"&amp;A7)</f>
        <v>212</v>
      </c>
      <c r="N6" s="78">
        <f>SUMIFS('BD. km rodado'!$N:$N,'BD. km rodado'!$A:$A,"&gt;="&amp;A6,'BD. km rodado'!$A:$A,"&lt;"&amp;A7)</f>
        <v>0</v>
      </c>
      <c r="O6" s="78">
        <f>SUMIFS('BD. km rodado'!$O:$O,'BD. km rodado'!$A:$A,"&gt;="&amp;A6,'BD. km rodado'!$A:$A,"&lt;"&amp;A7)</f>
        <v>1946</v>
      </c>
      <c r="P6">
        <f t="shared" si="4"/>
        <v>16648</v>
      </c>
      <c r="Q6">
        <f>SUMIFS(BD.OS!$X:$X,BD.OS!$A:$A,"&gt;="&amp;'BD. graf. km rodado'!A6,BD.OS!$A:$A,"&lt;"&amp;A7)</f>
        <v>1679</v>
      </c>
      <c r="R6" s="16">
        <f t="shared" si="5"/>
        <v>9.915425848719476</v>
      </c>
      <c r="T6" t="s">
        <v>297</v>
      </c>
      <c r="V6" s="78">
        <f>SUMIFS('Relatório GERAL'!BE:BE,'Relatório GERAL'!$AX:$AX,"&gt;="&amp;'BD. graf. km rodado'!$T$3,'Relatório GERAL'!$AX:$AX,"&lt;="&amp;'BD. graf. km rodado'!$T$1)</f>
        <v>80</v>
      </c>
      <c r="W6" s="78">
        <f>SUMIFS('Relatório GERAL'!BI:BI,'Relatório GERAL'!$AX:$AX,"&gt;="&amp;'BD. graf. km rodado'!$T$3,'Relatório GERAL'!$AX:$AX,"&lt;="&amp;'BD. graf. km rodado'!$T$1)</f>
        <v>76</v>
      </c>
      <c r="X6" s="78">
        <f>SUMIFS('Relatório GERAL'!BG:BG,'Relatório GERAL'!$AX:$AX,"&gt;="&amp;'BD. graf. km rodado'!$T$3,'Relatório GERAL'!$AX:$AX,"&lt;="&amp;'BD. graf. km rodado'!$T$1)</f>
        <v>8</v>
      </c>
      <c r="Y6" s="78">
        <f>SUMIFS('Relatório GERAL'!BM:BM,'Relatório GERAL'!$AX:$AX,"&gt;="&amp;'BD. graf. km rodado'!$T$3,'Relatório GERAL'!$AX:$AX,"&lt;="&amp;'BD. graf. km rodado'!$T$1)</f>
        <v>68</v>
      </c>
      <c r="Z6" s="78">
        <f>SUMIFS('Relatório GERAL'!BL:BL,'Relatório GERAL'!$AX:$AX,"&gt;="&amp;'BD. graf. km rodado'!$T$3,'Relatório GERAL'!$AX:$AX,"&lt;="&amp;'BD. graf. km rodado'!$T$1)</f>
        <v>68</v>
      </c>
      <c r="AA6" s="78">
        <f>SUMIFS('Relatório GERAL'!BK:BK,'Relatório GERAL'!$AX:$AX,"&gt;="&amp;'BD. graf. km rodado'!$T$3,'Relatório GERAL'!$AX:$AX,"&lt;="&amp;'BD. graf. km rodado'!$T$1)</f>
        <v>76</v>
      </c>
      <c r="AB6" s="78">
        <f>SUMIFS('Relatório GERAL'!AZ:AZ,'Relatório GERAL'!$AX:$AX,"&gt;="&amp;'BD. graf. km rodado'!$T$3,'Relatório GERAL'!$AX:$AX,"&lt;="&amp;'BD. graf. km rodado'!$T$1)</f>
        <v>76</v>
      </c>
      <c r="AC6" s="78">
        <f>SUMIFS('Relatório GERAL'!BH:BH,'Relatório GERAL'!$AX:$AX,"&gt;="&amp;'BD. graf. km rodado'!$T$3,'Relatório GERAL'!$AX:$AX,"&lt;="&amp;'BD. graf. km rodado'!$T$1)</f>
        <v>76</v>
      </c>
      <c r="AD6" s="78">
        <f>SUMIFS('Relatório GERAL'!BD:BD,'Relatório GERAL'!$AX:$AX,"&gt;="&amp;'BD. graf. km rodado'!$T$3,'Relatório GERAL'!$AX:$AX,"&lt;="&amp;'BD. graf. km rodado'!$T$1)</f>
        <v>76</v>
      </c>
      <c r="AE6" s="78">
        <f>SUMIFS('Relatório GERAL'!BP:BP,'Relatório GERAL'!$AX:$AX,"&gt;="&amp;'BD. graf. km rodado'!$T$3,'Relatório GERAL'!$AX:$AX,"&lt;="&amp;'BD. graf. km rodado'!$T$1)</f>
        <v>76</v>
      </c>
      <c r="AF6" s="78">
        <f>SUMIFS('Relatório GERAL'!BA:BA,'Relatório GERAL'!$AX:$AX,"&gt;="&amp;'BD. graf. km rodado'!$T$3,'Relatório GERAL'!$AX:$AX,"&lt;="&amp;'BD. graf. km rodado'!$T$1)</f>
        <v>76</v>
      </c>
      <c r="AG6" s="78">
        <f>SUMIFS('Relatório GERAL'!BN:BN,'Relatório GERAL'!$AX:$AX,"&gt;="&amp;'BD. graf. km rodado'!$T$3,'Relatório GERAL'!$AX:$AX,"&lt;="&amp;'BD. graf. km rodado'!$T$1)</f>
        <v>76</v>
      </c>
      <c r="AH6" s="78">
        <f>SUMIFS('Relatório GERAL'!BC:BC,'Relatório GERAL'!$AX:$AX,"&gt;="&amp;'BD. graf. km rodado'!$T$3,'Relatório GERAL'!$AX:$AX,"&lt;="&amp;'BD. graf. km rodado'!$T$1)</f>
        <v>76</v>
      </c>
      <c r="AI6" s="78">
        <f>SUM(V6:AH6)</f>
        <v>908</v>
      </c>
      <c r="AJ6" s="78"/>
      <c r="AL6" s="159">
        <f>DATE(ANOPROD.,'Prod. e Improd'!$F$8-4,1)</f>
        <v>42370</v>
      </c>
      <c r="AM6" s="122">
        <f>INDEX($A$1:$O$27,MATCH(AL6,$A$1:$A$27,0),MATCH($AM$1,$A$1:$O$1,0))/INDEX('PROCV Prod.Total'!$BJ$2:$CB$15,MATCH('BD. graf. km rodado'!AL6,'PROCV Prod.Total'!$BJ$2:$BJ$15,0),MATCH('BD. graf. km rodado'!$AM$1,'PROCV Prod.Total'!$BJ$2:$CB$2,0))</f>
        <v>0</v>
      </c>
      <c r="AN6" s="122">
        <f>INDEX($A$1:$O$27,MATCH(AL6,$A$1:$A$27,0),MATCH($AN$1,$A$1:$O$1,0))/INDEX('PROCV Prod.Total'!$BJ$2:$CB$15,MATCH('BD. graf. km rodado'!AL6,'PROCV Prod.Total'!$BJ$2:$BJ$15,0),MATCH('BD. graf. km rodado'!$AN$1,'PROCV Prod.Total'!$BJ$2:$CB$2,0))</f>
        <v>12.808510638297872</v>
      </c>
      <c r="AO6" s="122">
        <f>INDEX($A$1:$O$27,MATCH(AL6,$A$1:$A$27,0),MATCH($AO$1,$A$1:$O$1,0))/INDEX('PROCV Prod.Total'!$BJ$2:$CB$15,MATCH('BD. graf. km rodado'!AL6,'PROCV Prod.Total'!$BJ$2:$BJ$15,0),MATCH('BD. graf. km rodado'!$AO$1,'PROCV Prod.Total'!$BJ$2:$CB$2,0))</f>
        <v>14.401273885350319</v>
      </c>
      <c r="AP6" s="122">
        <f>INDEX($A$1:$O$27,MATCH(AL6,$A$1:$A$27,0),MATCH($AP$1,$A$1:$O$1,0))/INDEX('PROCV Prod.Total'!$BJ$2:$CB$15,MATCH('BD. graf. km rodado'!AL6,'PROCV Prod.Total'!$BJ$2:$BJ$15,0),MATCH('BD. graf. km rodado'!$AP$1,'PROCV Prod.Total'!$BJ$2:$CB$2,0))</f>
        <v>0</v>
      </c>
      <c r="AQ6" s="78" t="e">
        <f>INDEX($A$1:$O$27,MATCH(AL6,$A$1:$A$27,0),MATCH($AQ$1,$A$1:$O$1,0))/INDEX('PROCV Prod.Total'!$BJ$2:$CB$15,MATCH('BD. graf. km rodado'!AL6,'PROCV Prod.Total'!$BJ$2:$BJ$15,0),MATCH('BD. graf. km rodado'!$AQ$1,'PROCV Prod.Total'!$BJ$2:$CB$2,0))</f>
        <v>#DIV/0!</v>
      </c>
      <c r="AR6" s="122">
        <f>INDEX($A$1:$O$27,MATCH(AL6,$A$1:$A$27,0),MATCH($AR$1,$A$1:$O$1,0))/INDEX('PROCV Prod.Total'!$BJ$2:$CB$15,MATCH('BD. graf. km rodado'!AL6,'PROCV Prod.Total'!$BJ$2:$BJ$15,0),MATCH('BD. graf. km rodado'!$AR$1,'PROCV Prod.Total'!$BJ$2:$CB$2,0))</f>
        <v>7.3969465648854964</v>
      </c>
      <c r="AS6" s="78" t="e">
        <f>INDEX($A$1:$O$27,MATCH(AL6,$A$1:$A$27,0),MATCH($AS$1,$A$1:$O$1,0))/INDEX('PROCV Prod.Total'!$BJ$2:$CB$15,MATCH('BD. graf. km rodado'!AL6,'PROCV Prod.Total'!$BJ$2:$BJ$15,0),MATCH('BD. graf. km rodado'!$AS$1,'PROCV Prod.Total'!$BJ$2:$CB$2,0))</f>
        <v>#DIV/0!</v>
      </c>
      <c r="AT6" s="122">
        <f>INDEX($A$1:$O$27,MATCH(AL6,$A$1:$A$27,0),MATCH($AT$1,$A$1:$O$1,0))/INDEX('PROCV Prod.Total'!$BJ$2:$CB$15,MATCH('BD. graf. km rodado'!AL6,'PROCV Prod.Total'!$BJ$2:$BJ$15,0),MATCH('BD. graf. km rodado'!$AT$1,'PROCV Prod.Total'!$BJ$2:$CB$2,0))</f>
        <v>0</v>
      </c>
      <c r="AU6" s="78">
        <f>INDEX($A$1:$O$27,MATCH(AL6,$A$1:$A$27,0),MATCH($AU$1,$A$1:$O$1,0))/INDEX('PROCV Prod.Total'!$BJ$2:$CB$15,MATCH('BD. graf. km rodado'!AL6,'PROCV Prod.Total'!$BJ$2:$BJ$15,0),MATCH('BD. graf. km rodado'!$AU$1,'PROCV Prod.Total'!$BJ$2:$CB$2,0))</f>
        <v>14.375</v>
      </c>
      <c r="AV6" s="122">
        <f>INDEX($A$1:$O$27,MATCH(AL6,$A$1:$A$27,0),MATCH($AV$1,$A$1:$O$1,0))/INDEX('PROCV Prod.Total'!$BJ$2:$CB$15,MATCH('BD. graf. km rodado'!AL6,'PROCV Prod.Total'!$BJ$2:$BJ$15,0),MATCH('BD. graf. km rodado'!$AV$1,'PROCV Prod.Total'!$BJ$2:$CB$2,0))</f>
        <v>7.1938775510204085</v>
      </c>
      <c r="AW6" s="122">
        <f>INDEX($A$1:$O$27,MATCH(AL6,$A$1:$A$27,0),MATCH($AW$1,$A$1:$O$1,0))/INDEX('PROCV Prod.Total'!$BJ$2:$CB$15,MATCH('BD. graf. km rodado'!AL6,'PROCV Prod.Total'!$BJ$2:$BJ$15,0),MATCH('BD. graf. km rodado'!$AW$1,'PROCV Prod.Total'!$BJ$2:$CB$2,0))</f>
        <v>9.017094017094017</v>
      </c>
      <c r="AX6" s="78" t="e">
        <f>INDEX($A$1:$O$27,MATCH(AL6,$A$1:$A$27,0),MATCH($AX$1,$A$1:$O$1,0))/INDEX('PROCV Prod.Total'!$BJ$2:$CB$15,MATCH('BD. graf. km rodado'!AL6,'PROCV Prod.Total'!$BJ$2:$BJ$15,0),MATCH('BD. graf. km rodado'!$AX$1,'PROCV Prod.Total'!$BJ$2:$CB$2,0))</f>
        <v>#DIV/0!</v>
      </c>
      <c r="AY6" s="122">
        <f>INDEX($A$1:$O$27,MATCH(AL6,$A$1:$A$27,0),MATCH($AY$1,$A$1:$O$1,0))/INDEX('PROCV Prod.Total'!$BJ$2:$CB$15,MATCH('BD. graf. km rodado'!AL6,'PROCV Prod.Total'!$BJ$2:$BJ$15,0),MATCH('BD. graf. km rodado'!$AY$1,'PROCV Prod.Total'!$BJ$2:$CB$2,0))</f>
        <v>4.2222222222222223</v>
      </c>
      <c r="BA6" s="167">
        <f t="shared" si="1"/>
        <v>42370</v>
      </c>
      <c r="BB6" s="167">
        <f>BA10</f>
        <v>42248</v>
      </c>
      <c r="BC6" s="122" t="e">
        <f>BE10</f>
        <v>#N/A</v>
      </c>
      <c r="BD6" t="e">
        <f t="shared" si="2"/>
        <v>#N/A</v>
      </c>
      <c r="BE6" s="122">
        <f t="shared" si="3"/>
        <v>7.3969465648854964</v>
      </c>
    </row>
    <row r="7" spans="1:57" x14ac:dyDescent="0.2">
      <c r="A7" s="159">
        <v>42461</v>
      </c>
      <c r="B7" s="78">
        <f>SUMIFS('BD. km rodado'!$B:$B,'BD. km rodado'!$A:$A,"&gt;="&amp;A7,'BD. km rodado'!$A:$A,"&lt;"&amp;A8)</f>
        <v>15</v>
      </c>
      <c r="C7" s="78">
        <f>SUMIFS('BD. km rodado'!$C:$C,'BD. km rodado'!$A:$A,"&gt;="&amp;A7,'BD. km rodado'!$A:$A,"&lt;"&amp;A8)</f>
        <v>1206</v>
      </c>
      <c r="D7" s="78">
        <f>SUMIFS('BD. km rodado'!$D:$D,'BD. km rodado'!$A:$A,"&gt;="&amp;A7,'BD. km rodado'!$A:$A,"&lt;"&amp;A8)</f>
        <v>1740</v>
      </c>
      <c r="E7" s="78">
        <f>SUMIFS('BD. km rodado'!$E:$E,'BD. km rodado'!$A:$A,"&gt;="&amp;A7,'BD. km rodado'!$A:$A,"&lt;"&amp;A8)</f>
        <v>780</v>
      </c>
      <c r="F7" s="78">
        <f>SUMIFS('BD. km rodado'!$F:$F,'BD. km rodado'!$A:$A,"&gt;="&amp;A7,'BD. km rodado'!$A:$A,"&lt;"&amp;A8)</f>
        <v>745</v>
      </c>
      <c r="G7" s="78">
        <f>SUMIFS('BD. km rodado'!$G:$G,'BD. km rodado'!$A:$A,"&gt;="&amp;A7,'BD. km rodado'!$A:$A,"&lt;"&amp;A8)</f>
        <v>2158</v>
      </c>
      <c r="H7" s="78">
        <f>SUMIFS('BD. km rodado'!$H:$H,'BD. km rodado'!$A:$A,"&gt;="&amp;A7,'BD. km rodado'!$A:$A,"&lt;"&amp;A8)</f>
        <v>1304</v>
      </c>
      <c r="I7" s="78">
        <f>SUMIFS('BD. km rodado'!$I:$I,'BD. km rodado'!$A:$A,"&gt;="&amp;A7,'BD. km rodado'!$A:$A,"&lt;"&amp;A8)</f>
        <v>2322</v>
      </c>
      <c r="J7" s="78">
        <f>SUMIFS('BD. km rodado'!$J:$J,'BD. km rodado'!$A:$A,"&gt;="&amp;A7,'BD. km rodado'!$A:$A,"&lt;"&amp;A8)</f>
        <v>1552</v>
      </c>
      <c r="K7" s="78">
        <f>SUMIFS('BD. km rodado'!$K:$K,'BD. km rodado'!$A:$A,"&gt;="&amp;A7,'BD. km rodado'!$A:$A,"&lt;"&amp;A8)</f>
        <v>1724</v>
      </c>
      <c r="L7" s="78">
        <f>SUMIFS('BD. km rodado'!$L:$L,'BD. km rodado'!$A:$A,"&gt;="&amp;A7,'BD. km rodado'!$A:$A,"&lt;"&amp;A8)</f>
        <v>1156</v>
      </c>
      <c r="M7" s="78">
        <f>SUMIFS('BD. km rodado'!$M:$M,'BD. km rodado'!$A:$A,"&gt;="&amp;A7,'BD. km rodado'!$A:$A,"&lt;"&amp;A8)</f>
        <v>0</v>
      </c>
      <c r="N7" s="78">
        <f>SUMIFS('BD. km rodado'!$N:$N,'BD. km rodado'!$A:$A,"&gt;="&amp;A7,'BD. km rodado'!$A:$A,"&lt;"&amp;A8)</f>
        <v>0</v>
      </c>
      <c r="O7" s="78">
        <f>SUMIFS('BD. km rodado'!$O:$O,'BD. km rodado'!$A:$A,"&gt;="&amp;A7,'BD. km rodado'!$A:$A,"&lt;"&amp;A8)</f>
        <v>1066</v>
      </c>
      <c r="P7">
        <f t="shared" si="4"/>
        <v>15768</v>
      </c>
      <c r="Q7">
        <f>SUMIFS(BD.OS!$X:$X,BD.OS!$A:$A,"&gt;="&amp;'BD. graf. km rodado'!A7,BD.OS!$A:$A,"&lt;"&amp;A8)</f>
        <v>1813</v>
      </c>
      <c r="R7" s="16">
        <f t="shared" si="5"/>
        <v>8.6971869829012682</v>
      </c>
      <c r="U7" t="s">
        <v>298</v>
      </c>
      <c r="V7" s="16">
        <f>$AI$2</f>
        <v>0</v>
      </c>
      <c r="W7" s="16">
        <f t="shared" ref="W7:AH7" si="7">$AI$2</f>
        <v>0</v>
      </c>
      <c r="X7" s="16">
        <f t="shared" si="7"/>
        <v>0</v>
      </c>
      <c r="Y7" s="16">
        <f t="shared" si="7"/>
        <v>0</v>
      </c>
      <c r="Z7" s="16">
        <f t="shared" si="7"/>
        <v>0</v>
      </c>
      <c r="AA7" s="16">
        <f t="shared" si="7"/>
        <v>0</v>
      </c>
      <c r="AB7" s="16">
        <f t="shared" si="7"/>
        <v>0</v>
      </c>
      <c r="AC7" s="16">
        <f t="shared" si="7"/>
        <v>0</v>
      </c>
      <c r="AD7" s="16">
        <f t="shared" si="7"/>
        <v>0</v>
      </c>
      <c r="AE7" s="16">
        <f t="shared" si="7"/>
        <v>0</v>
      </c>
      <c r="AF7" s="16">
        <f t="shared" si="7"/>
        <v>0</v>
      </c>
      <c r="AG7" s="16">
        <f t="shared" si="7"/>
        <v>0</v>
      </c>
      <c r="AH7" s="16">
        <f t="shared" si="7"/>
        <v>0</v>
      </c>
      <c r="AL7" s="159">
        <f>DATE(ANOPROD.,'Prod. e Improd'!$F$8-5,1)</f>
        <v>42339</v>
      </c>
      <c r="AM7" s="122">
        <f>INDEX($A$1:$O$27,MATCH(AL7,$A$1:$A$27,0),MATCH($AM$1,$A$1:$O$1,0))/INDEX('PROCV Prod.Total'!$BJ$2:$CB$15,MATCH('BD. graf. km rodado'!AL7,'PROCV Prod.Total'!$BJ$2:$BJ$15,0),MATCH('BD. graf. km rodado'!$AM$1,'PROCV Prod.Total'!$BJ$2:$CB$2,0))</f>
        <v>5.3809523809523814</v>
      </c>
      <c r="AN7" s="122">
        <f>INDEX($A$1:$O$27,MATCH(AL7,$A$1:$A$27,0),MATCH($AN$1,$A$1:$O$1,0))/INDEX('PROCV Prod.Total'!$BJ$2:$CB$15,MATCH('BD. graf. km rodado'!AL7,'PROCV Prod.Total'!$BJ$2:$BJ$15,0),MATCH('BD. graf. km rodado'!$AN$1,'PROCV Prod.Total'!$BJ$2:$CB$2,0))</f>
        <v>14.011627906976743</v>
      </c>
      <c r="AO7" s="122">
        <f>INDEX($A$1:$O$27,MATCH(AL7,$A$1:$A$27,0),MATCH($AO$1,$A$1:$O$1,0))/INDEX('PROCV Prod.Total'!$BJ$2:$CB$15,MATCH('BD. graf. km rodado'!AL7,'PROCV Prod.Total'!$BJ$2:$BJ$15,0),MATCH('BD. graf. km rodado'!$AO$1,'PROCV Prod.Total'!$BJ$2:$CB$2,0))</f>
        <v>9.6644295302013425</v>
      </c>
      <c r="AP7" s="122">
        <f>INDEX($A$1:$O$27,MATCH(AL7,$A$1:$A$27,0),MATCH($AP$1,$A$1:$O$1,0))/INDEX('PROCV Prod.Total'!$BJ$2:$CB$15,MATCH('BD. graf. km rodado'!AL7,'PROCV Prod.Total'!$BJ$2:$BJ$15,0),MATCH('BD. graf. km rodado'!$AP$1,'PROCV Prod.Total'!$BJ$2:$CB$2,0))</f>
        <v>0</v>
      </c>
      <c r="AQ7" s="78" t="e">
        <f>INDEX($A$1:$O$27,MATCH(AL7,$A$1:$A$27,0),MATCH($AQ$1,$A$1:$O$1,0))/INDEX('PROCV Prod.Total'!$BJ$2:$CB$15,MATCH('BD. graf. km rodado'!AL7,'PROCV Prod.Total'!$BJ$2:$BJ$15,0),MATCH('BD. graf. km rodado'!$AQ$1,'PROCV Prod.Total'!$BJ$2:$CB$2,0))</f>
        <v>#DIV/0!</v>
      </c>
      <c r="AR7" s="122">
        <f>INDEX($A$1:$O$27,MATCH(AL7,$A$1:$A$27,0),MATCH($AR$1,$A$1:$O$1,0))/INDEX('PROCV Prod.Total'!$BJ$2:$CB$15,MATCH('BD. graf. km rodado'!AL7,'PROCV Prod.Total'!$BJ$2:$BJ$15,0),MATCH('BD. graf. km rodado'!$AR$1,'PROCV Prod.Total'!$BJ$2:$CB$2,0))</f>
        <v>4.8445229681978796</v>
      </c>
      <c r="AS7" s="78">
        <f>INDEX($A$1:$O$27,MATCH(AL7,$A$1:$A$27,0),MATCH($AS$1,$A$1:$O$1,0))/INDEX('PROCV Prod.Total'!$BJ$2:$CB$15,MATCH('BD. graf. km rodado'!AL7,'PROCV Prod.Total'!$BJ$2:$BJ$15,0),MATCH('BD. graf. km rodado'!$AS$1,'PROCV Prod.Total'!$BJ$2:$CB$2,0))</f>
        <v>96.857142857142861</v>
      </c>
      <c r="AT7" s="122">
        <f>INDEX($A$1:$O$27,MATCH(AL7,$A$1:$A$27,0),MATCH($AT$1,$A$1:$O$1,0))/INDEX('PROCV Prod.Total'!$BJ$2:$CB$15,MATCH('BD. graf. km rodado'!AL7,'PROCV Prod.Total'!$BJ$2:$BJ$15,0),MATCH('BD. graf. km rodado'!$AT$1,'PROCV Prod.Total'!$BJ$2:$CB$2,0))</f>
        <v>106.41666666666667</v>
      </c>
      <c r="AU7" s="78" t="e">
        <f>INDEX($A$1:$O$27,MATCH(AL7,$A$1:$A$27,0),MATCH($AU$1,$A$1:$O$1,0))/INDEX('PROCV Prod.Total'!$BJ$2:$CB$15,MATCH('BD. graf. km rodado'!AL7,'PROCV Prod.Total'!$BJ$2:$BJ$15,0),MATCH('BD. graf. km rodado'!$AU$1,'PROCV Prod.Total'!$BJ$2:$CB$2,0))</f>
        <v>#DIV/0!</v>
      </c>
      <c r="AV7" s="122">
        <f>INDEX($A$1:$O$27,MATCH(AL7,$A$1:$A$27,0),MATCH($AV$1,$A$1:$O$1,0))/INDEX('PROCV Prod.Total'!$BJ$2:$CB$15,MATCH('BD. graf. km rodado'!AL7,'PROCV Prod.Total'!$BJ$2:$BJ$15,0),MATCH('BD. graf. km rodado'!$AV$1,'PROCV Prod.Total'!$BJ$2:$CB$2,0))</f>
        <v>9.1212121212121211</v>
      </c>
      <c r="AW7" s="122">
        <f>INDEX($A$1:$O$27,MATCH(AL7,$A$1:$A$27,0),MATCH($AW$1,$A$1:$O$1,0))/INDEX('PROCV Prod.Total'!$BJ$2:$CB$15,MATCH('BD. graf. km rodado'!AL7,'PROCV Prod.Total'!$BJ$2:$BJ$15,0),MATCH('BD. graf. km rodado'!$AW$1,'PROCV Prod.Total'!$BJ$2:$CB$2,0))</f>
        <v>11.075757575757576</v>
      </c>
      <c r="AX7" s="78" t="e">
        <f>INDEX($A$1:$O$27,MATCH(AL7,$A$1:$A$27,0),MATCH($AX$1,$A$1:$O$1,0))/INDEX('PROCV Prod.Total'!$BJ$2:$CB$15,MATCH('BD. graf. km rodado'!AL7,'PROCV Prod.Total'!$BJ$2:$BJ$15,0),MATCH('BD. graf. km rodado'!$AX$1,'PROCV Prod.Total'!$BJ$2:$CB$2,0))</f>
        <v>#DIV/0!</v>
      </c>
      <c r="AY7" s="122">
        <f>INDEX($A$1:$O$27,MATCH(AL7,$A$1:$A$27,0),MATCH($AY$1,$A$1:$O$1,0))/INDEX('PROCV Prod.Total'!$BJ$2:$CB$15,MATCH('BD. graf. km rodado'!AL7,'PROCV Prod.Total'!$BJ$2:$BJ$15,0),MATCH('BD. graf. km rodado'!$AY$1,'PROCV Prod.Total'!$BJ$2:$CB$2,0))</f>
        <v>5.588541666666667</v>
      </c>
      <c r="BA7" s="167">
        <f t="shared" si="1"/>
        <v>42339</v>
      </c>
      <c r="BB7" s="167">
        <f>BA9</f>
        <v>42278</v>
      </c>
      <c r="BC7" s="122" t="e">
        <f>BE9</f>
        <v>#N/A</v>
      </c>
      <c r="BD7" t="e">
        <f t="shared" si="2"/>
        <v>#N/A</v>
      </c>
      <c r="BE7" s="122">
        <f t="shared" si="3"/>
        <v>4.8445229681978796</v>
      </c>
    </row>
    <row r="8" spans="1:57" x14ac:dyDescent="0.2">
      <c r="A8" s="159">
        <v>42491</v>
      </c>
      <c r="B8" s="78">
        <f>SUMIFS('BD. km rodado'!$B:$B,'BD. km rodado'!$A:$A,"&gt;="&amp;A8,'BD. km rodado'!$A:$A,"&lt;"&amp;A9)</f>
        <v>0</v>
      </c>
      <c r="C8" s="78">
        <f>SUMIFS('BD. km rodado'!$C:$C,'BD. km rodado'!$A:$A,"&gt;="&amp;A8,'BD. km rodado'!$A:$A,"&lt;"&amp;A9)</f>
        <v>0</v>
      </c>
      <c r="D8" s="78">
        <f>SUMIFS('BD. km rodado'!$D:$D,'BD. km rodado'!$A:$A,"&gt;="&amp;A8,'BD. km rodado'!$A:$A,"&lt;"&amp;A9)</f>
        <v>0</v>
      </c>
      <c r="E8" s="78">
        <f>SUMIFS('BD. km rodado'!$E:$E,'BD. km rodado'!$A:$A,"&gt;="&amp;A8,'BD. km rodado'!$A:$A,"&lt;"&amp;A9)</f>
        <v>0</v>
      </c>
      <c r="F8" s="78">
        <f>SUMIFS('BD. km rodado'!$F:$F,'BD. km rodado'!$A:$A,"&gt;="&amp;A8,'BD. km rodado'!$A:$A,"&lt;"&amp;A9)</f>
        <v>0</v>
      </c>
      <c r="G8" s="78">
        <f>SUMIFS('BD. km rodado'!$G:$G,'BD. km rodado'!$A:$A,"&gt;="&amp;A8,'BD. km rodado'!$A:$A,"&lt;"&amp;A9)</f>
        <v>0</v>
      </c>
      <c r="H8" s="78">
        <f>SUMIFS('BD. km rodado'!$H:$H,'BD. km rodado'!$A:$A,"&gt;="&amp;A8,'BD. km rodado'!$A:$A,"&lt;"&amp;A9)</f>
        <v>0</v>
      </c>
      <c r="I8" s="78">
        <f>SUMIFS('BD. km rodado'!$I:$I,'BD. km rodado'!$A:$A,"&gt;="&amp;A8,'BD. km rodado'!$A:$A,"&lt;"&amp;A9)</f>
        <v>0</v>
      </c>
      <c r="J8" s="78">
        <f>SUMIFS('BD. km rodado'!$J:$J,'BD. km rodado'!$A:$A,"&gt;="&amp;A8,'BD. km rodado'!$A:$A,"&lt;"&amp;A9)</f>
        <v>0</v>
      </c>
      <c r="K8" s="78">
        <f>SUMIFS('BD. km rodado'!$K:$K,'BD. km rodado'!$A:$A,"&gt;="&amp;A8,'BD. km rodado'!$A:$A,"&lt;"&amp;A9)</f>
        <v>0</v>
      </c>
      <c r="L8" s="78">
        <f>SUMIFS('BD. km rodado'!$L:$L,'BD. km rodado'!$A:$A,"&gt;="&amp;A8,'BD. km rodado'!$A:$A,"&lt;"&amp;A9)</f>
        <v>0</v>
      </c>
      <c r="M8" s="78">
        <f>SUMIFS('BD. km rodado'!$M:$M,'BD. km rodado'!$A:$A,"&gt;="&amp;A8,'BD. km rodado'!$A:$A,"&lt;"&amp;A9)</f>
        <v>0</v>
      </c>
      <c r="N8" s="78">
        <f>SUMIFS('BD. km rodado'!$N:$N,'BD. km rodado'!$A:$A,"&gt;="&amp;A8,'BD. km rodado'!$A:$A,"&lt;"&amp;A9)</f>
        <v>0</v>
      </c>
      <c r="O8" s="78">
        <f>SUMIFS('BD. km rodado'!$O:$O,'BD. km rodado'!$A:$A,"&gt;="&amp;A8,'BD. km rodado'!$A:$A,"&lt;"&amp;A9)</f>
        <v>0</v>
      </c>
      <c r="P8">
        <f t="shared" si="4"/>
        <v>0</v>
      </c>
      <c r="Q8">
        <f>SUMIFS(BD.OS!$X:$X,BD.OS!$A:$A,"&gt;="&amp;'BD. graf. km rodado'!A8,BD.OS!$A:$A,"&lt;"&amp;A9)</f>
        <v>617</v>
      </c>
      <c r="R8" s="16">
        <f t="shared" si="5"/>
        <v>0</v>
      </c>
      <c r="U8" t="str">
        <f>CONCATENATE("Média OS/",'Prod. e Improd'!K49," HORAS")</f>
        <v>Média OS/5 HORAS</v>
      </c>
      <c r="V8" s="16">
        <f>$AI$3</f>
        <v>3.3975770925110131</v>
      </c>
      <c r="W8" s="16">
        <f t="shared" ref="W8:AH8" si="8">$AI$3</f>
        <v>3.3975770925110131</v>
      </c>
      <c r="X8" s="16">
        <f t="shared" si="8"/>
        <v>3.3975770925110131</v>
      </c>
      <c r="Y8" s="16">
        <f t="shared" si="8"/>
        <v>3.3975770925110131</v>
      </c>
      <c r="Z8" s="16">
        <f t="shared" si="8"/>
        <v>3.3975770925110131</v>
      </c>
      <c r="AA8" s="16">
        <f t="shared" si="8"/>
        <v>3.3975770925110131</v>
      </c>
      <c r="AB8" s="16">
        <f t="shared" si="8"/>
        <v>3.3975770925110131</v>
      </c>
      <c r="AC8" s="16">
        <f t="shared" si="8"/>
        <v>3.3975770925110131</v>
      </c>
      <c r="AD8" s="16">
        <f t="shared" si="8"/>
        <v>3.3975770925110131</v>
      </c>
      <c r="AE8" s="16">
        <f t="shared" si="8"/>
        <v>3.3975770925110131</v>
      </c>
      <c r="AF8" s="16">
        <f t="shared" si="8"/>
        <v>3.3975770925110131</v>
      </c>
      <c r="AG8" s="16">
        <f t="shared" si="8"/>
        <v>3.3975770925110131</v>
      </c>
      <c r="AH8" s="16">
        <f t="shared" si="8"/>
        <v>3.3975770925110131</v>
      </c>
      <c r="AL8" s="159">
        <f>DATE(ANOPROD.,'Prod. e Improd'!$F$8-6,1)</f>
        <v>42309</v>
      </c>
      <c r="AM8" s="122">
        <f>INDEX($A$1:$O$27,MATCH(AL8,$A$1:$A$27,0),MATCH($AM$1,$A$1:$O$1,0))/INDEX('PROCV Prod.Total'!$BJ$2:$CB$15,MATCH('BD. graf. km rodado'!AL8,'PROCV Prod.Total'!$BJ$2:$BJ$15,0),MATCH('BD. graf. km rodado'!$AM$1,'PROCV Prod.Total'!$BJ$2:$CB$2,0))</f>
        <v>5.1993670886075947</v>
      </c>
      <c r="AN8" s="122">
        <f>INDEX($A$1:$O$27,MATCH(AL8,$A$1:$A$27,0),MATCH($AN$1,$A$1:$O$1,0))/INDEX('PROCV Prod.Total'!$BJ$2:$CB$15,MATCH('BD. graf. km rodado'!AL8,'PROCV Prod.Total'!$BJ$2:$BJ$15,0),MATCH('BD. graf. km rodado'!$AN$1,'PROCV Prod.Total'!$BJ$2:$CB$2,0))</f>
        <v>22.183098591549296</v>
      </c>
      <c r="AO8" s="122">
        <f>INDEX($A$1:$O$27,MATCH(AL8,$A$1:$A$27,0),MATCH($AO$1,$A$1:$O$1,0))/INDEX('PROCV Prod.Total'!$BJ$2:$CB$15,MATCH('BD. graf. km rodado'!AL8,'PROCV Prod.Total'!$BJ$2:$BJ$15,0),MATCH('BD. graf. km rodado'!$AO$1,'PROCV Prod.Total'!$BJ$2:$CB$2,0))</f>
        <v>14.302013422818792</v>
      </c>
      <c r="AP8" s="122">
        <f>INDEX($A$1:$O$27,MATCH(AL8,$A$1:$A$27,0),MATCH($AP$1,$A$1:$O$1,0))/INDEX('PROCV Prod.Total'!$BJ$2:$CB$15,MATCH('BD. graf. km rodado'!AL8,'PROCV Prod.Total'!$BJ$2:$BJ$15,0),MATCH('BD. graf. km rodado'!$AP$1,'PROCV Prod.Total'!$BJ$2:$CB$2,0))</f>
        <v>0</v>
      </c>
      <c r="AQ8" s="78" t="e">
        <f>INDEX($A$1:$O$27,MATCH(AL8,$A$1:$A$27,0),MATCH($AQ$1,$A$1:$O$1,0))/INDEX('PROCV Prod.Total'!$BJ$2:$CB$15,MATCH('BD. graf. km rodado'!AL8,'PROCV Prod.Total'!$BJ$2:$BJ$15,0),MATCH('BD. graf. km rodado'!$AQ$1,'PROCV Prod.Total'!$BJ$2:$CB$2,0))</f>
        <v>#DIV/0!</v>
      </c>
      <c r="AR8" s="122">
        <f>INDEX($A$1:$O$27,MATCH(AL8,$A$1:$A$27,0),MATCH($AR$1,$A$1:$O$1,0))/INDEX('PROCV Prod.Total'!$BJ$2:$CB$15,MATCH('BD. graf. km rodado'!AL8,'PROCV Prod.Total'!$BJ$2:$BJ$15,0),MATCH('BD. graf. km rodado'!$AR$1,'PROCV Prod.Total'!$BJ$2:$CB$2,0))</f>
        <v>6.333333333333333</v>
      </c>
      <c r="AS8" s="78" t="e">
        <f>INDEX($A$1:$O$27,MATCH(AL8,$A$1:$A$27,0),MATCH($AS$1,$A$1:$O$1,0))/INDEX('PROCV Prod.Total'!$BJ$2:$CB$15,MATCH('BD. graf. km rodado'!AL8,'PROCV Prod.Total'!$BJ$2:$BJ$15,0),MATCH('BD. graf. km rodado'!$AS$1,'PROCV Prod.Total'!$BJ$2:$CB$2,0))</f>
        <v>#DIV/0!</v>
      </c>
      <c r="AT8" s="122">
        <f>INDEX($A$1:$O$27,MATCH(AL8,$A$1:$A$27,0),MATCH($AT$1,$A$1:$O$1,0))/INDEX('PROCV Prod.Total'!$BJ$2:$CB$15,MATCH('BD. graf. km rodado'!AL8,'PROCV Prod.Total'!$BJ$2:$BJ$15,0),MATCH('BD. graf. km rodado'!$AT$1,'PROCV Prod.Total'!$BJ$2:$CB$2,0))</f>
        <v>110.59090909090909</v>
      </c>
      <c r="AU8" s="78" t="e">
        <f>INDEX($A$1:$O$27,MATCH(AL8,$A$1:$A$27,0),MATCH($AU$1,$A$1:$O$1,0))/INDEX('PROCV Prod.Total'!$BJ$2:$CB$15,MATCH('BD. graf. km rodado'!AL8,'PROCV Prod.Total'!$BJ$2:$BJ$15,0),MATCH('BD. graf. km rodado'!$AU$1,'PROCV Prod.Total'!$BJ$2:$CB$2,0))</f>
        <v>#DIV/0!</v>
      </c>
      <c r="AV8" s="122">
        <f>INDEX($A$1:$O$27,MATCH(AL8,$A$1:$A$27,0),MATCH($AV$1,$A$1:$O$1,0))/INDEX('PROCV Prod.Total'!$BJ$2:$CB$15,MATCH('BD. graf. km rodado'!AL8,'PROCV Prod.Total'!$BJ$2:$BJ$15,0),MATCH('BD. graf. km rodado'!$AV$1,'PROCV Prod.Total'!$BJ$2:$CB$2,0))</f>
        <v>10.972375690607734</v>
      </c>
      <c r="AW8" s="122">
        <f>INDEX($A$1:$O$27,MATCH(AL8,$A$1:$A$27,0),MATCH($AW$1,$A$1:$O$1,0))/INDEX('PROCV Prod.Total'!$BJ$2:$CB$15,MATCH('BD. graf. km rodado'!AL8,'PROCV Prod.Total'!$BJ$2:$BJ$15,0),MATCH('BD. graf. km rodado'!$AW$1,'PROCV Prod.Total'!$BJ$2:$CB$2,0))</f>
        <v>7.4342105263157894</v>
      </c>
      <c r="AX8" s="78" t="e">
        <f>INDEX($A$1:$O$27,MATCH(AL8,$A$1:$A$27,0),MATCH($AX$1,$A$1:$O$1,0))/INDEX('PROCV Prod.Total'!$BJ$2:$CB$15,MATCH('BD. graf. km rodado'!AL8,'PROCV Prod.Total'!$BJ$2:$BJ$15,0),MATCH('BD. graf. km rodado'!$AX$1,'PROCV Prod.Total'!$BJ$2:$CB$2,0))</f>
        <v>#DIV/0!</v>
      </c>
      <c r="AY8" s="122">
        <f>INDEX($A$1:$O$27,MATCH(AL8,$A$1:$A$27,0),MATCH($AY$1,$A$1:$O$1,0))/INDEX('PROCV Prod.Total'!$BJ$2:$CB$15,MATCH('BD. graf. km rodado'!AL8,'PROCV Prod.Total'!$BJ$2:$BJ$15,0),MATCH('BD. graf. km rodado'!$AY$1,'PROCV Prod.Total'!$BJ$2:$CB$2,0))</f>
        <v>6.7184466019417473</v>
      </c>
      <c r="BA8" s="167">
        <f t="shared" si="1"/>
        <v>42309</v>
      </c>
      <c r="BB8" s="167">
        <f>BA8</f>
        <v>42309</v>
      </c>
      <c r="BC8" s="122">
        <f>BE8</f>
        <v>6.333333333333333</v>
      </c>
      <c r="BD8">
        <f t="shared" si="2"/>
        <v>9.8219484882418815</v>
      </c>
      <c r="BE8" s="122">
        <f t="shared" si="3"/>
        <v>6.333333333333333</v>
      </c>
    </row>
    <row r="9" spans="1:57" x14ac:dyDescent="0.2">
      <c r="A9" s="159">
        <v>42522</v>
      </c>
      <c r="B9" s="78">
        <f>SUMIFS('BD. km rodado'!$B:$B,'BD. km rodado'!$A:$A,"&gt;="&amp;A9,'BD. km rodado'!$A:$A,"&lt;"&amp;A10)</f>
        <v>0</v>
      </c>
      <c r="C9" s="78">
        <f>SUMIFS('BD. km rodado'!$C:$C,'BD. km rodado'!$A:$A,"&gt;="&amp;A9,'BD. km rodado'!$A:$A,"&lt;"&amp;A10)</f>
        <v>0</v>
      </c>
      <c r="D9" s="78">
        <f>SUMIFS('BD. km rodado'!$D:$D,'BD. km rodado'!$A:$A,"&gt;="&amp;A9,'BD. km rodado'!$A:$A,"&lt;"&amp;A10)</f>
        <v>0</v>
      </c>
      <c r="E9" s="78">
        <f>SUMIFS('BD. km rodado'!$E:$E,'BD. km rodado'!$A:$A,"&gt;="&amp;A9,'BD. km rodado'!$A:$A,"&lt;"&amp;A10)</f>
        <v>0</v>
      </c>
      <c r="F9" s="78">
        <f>SUMIFS('BD. km rodado'!$F:$F,'BD. km rodado'!$A:$A,"&gt;="&amp;A9,'BD. km rodado'!$A:$A,"&lt;"&amp;A10)</f>
        <v>0</v>
      </c>
      <c r="G9" s="78">
        <f>SUMIFS('BD. km rodado'!$G:$G,'BD. km rodado'!$A:$A,"&gt;="&amp;A9,'BD. km rodado'!$A:$A,"&lt;"&amp;A10)</f>
        <v>0</v>
      </c>
      <c r="H9" s="78">
        <f>SUMIFS('BD. km rodado'!$H:$H,'BD. km rodado'!$A:$A,"&gt;="&amp;A9,'BD. km rodado'!$A:$A,"&lt;"&amp;A10)</f>
        <v>0</v>
      </c>
      <c r="I9" s="78">
        <f>SUMIFS('BD. km rodado'!$I:$I,'BD. km rodado'!$A:$A,"&gt;="&amp;A9,'BD. km rodado'!$A:$A,"&lt;"&amp;A10)</f>
        <v>0</v>
      </c>
      <c r="J9" s="78">
        <f>SUMIFS('BD. km rodado'!$J:$J,'BD. km rodado'!$A:$A,"&gt;="&amp;A9,'BD. km rodado'!$A:$A,"&lt;"&amp;A10)</f>
        <v>0</v>
      </c>
      <c r="K9" s="78">
        <f>SUMIFS('BD. km rodado'!$K:$K,'BD. km rodado'!$A:$A,"&gt;="&amp;A9,'BD. km rodado'!$A:$A,"&lt;"&amp;A10)</f>
        <v>0</v>
      </c>
      <c r="L9" s="78">
        <f>SUMIFS('BD. km rodado'!$L:$L,'BD. km rodado'!$A:$A,"&gt;="&amp;A9,'BD. km rodado'!$A:$A,"&lt;"&amp;A10)</f>
        <v>0</v>
      </c>
      <c r="M9" s="78">
        <f>SUMIFS('BD. km rodado'!$M:$M,'BD. km rodado'!$A:$A,"&gt;="&amp;A9,'BD. km rodado'!$A:$A,"&lt;"&amp;A10)</f>
        <v>0</v>
      </c>
      <c r="N9" s="78">
        <f>SUMIFS('BD. km rodado'!$N:$N,'BD. km rodado'!$A:$A,"&gt;="&amp;A9,'BD. km rodado'!$A:$A,"&lt;"&amp;A10)</f>
        <v>0</v>
      </c>
      <c r="O9" s="78">
        <f>SUMIFS('BD. km rodado'!$O:$O,'BD. km rodado'!$A:$A,"&gt;="&amp;A9,'BD. km rodado'!$A:$A,"&lt;"&amp;A10)</f>
        <v>0</v>
      </c>
      <c r="P9">
        <f t="shared" si="4"/>
        <v>0</v>
      </c>
      <c r="Q9">
        <f>SUMIFS(BD.OS!$X:$X,BD.OS!$A:$A,"&gt;="&amp;'BD. graf. km rodado'!A9,BD.OS!$A:$A,"&lt;"&amp;A10)</f>
        <v>0</v>
      </c>
      <c r="R9" s="16" t="e">
        <f t="shared" si="5"/>
        <v>#DIV/0!</v>
      </c>
      <c r="AL9" s="159">
        <f>DATE(ANOPROD.,'Prod. e Improd'!$F$8-7,1)</f>
        <v>42278</v>
      </c>
      <c r="AM9" s="122" t="e">
        <f>INDEX($A$1:$O$27,MATCH(AL9,$A$1:$A$27,0),MATCH($AM$1,$A$1:$O$1,0))/INDEX('PROCV Prod.Total'!$BJ$2:$CB$15,MATCH('BD. graf. km rodado'!AL9,'PROCV Prod.Total'!$BJ$2:$BJ$15,0),MATCH('BD. graf. km rodado'!$AM$1,'PROCV Prod.Total'!$BJ$2:$CB$2,0))</f>
        <v>#N/A</v>
      </c>
      <c r="AN9" s="122" t="e">
        <f>INDEX($A$1:$O$27,MATCH(AL9,$A$1:$A$27,0),MATCH($AN$1,$A$1:$O$1,0))/INDEX('PROCV Prod.Total'!$BJ$2:$CB$15,MATCH('BD. graf. km rodado'!AL9,'PROCV Prod.Total'!$BJ$2:$BJ$15,0),MATCH('BD. graf. km rodado'!$AN$1,'PROCV Prod.Total'!$BJ$2:$CB$2,0))</f>
        <v>#N/A</v>
      </c>
      <c r="AO9" s="122" t="e">
        <f>INDEX($A$1:$O$27,MATCH(AL9,$A$1:$A$27,0),MATCH($AO$1,$A$1:$O$1,0))/INDEX('PROCV Prod.Total'!$BJ$2:$CB$15,MATCH('BD. graf. km rodado'!AL9,'PROCV Prod.Total'!$BJ$2:$BJ$15,0),MATCH('BD. graf. km rodado'!$AO$1,'PROCV Prod.Total'!$BJ$2:$CB$2,0))</f>
        <v>#N/A</v>
      </c>
      <c r="AP9" s="122" t="e">
        <f>INDEX($A$1:$O$27,MATCH(AL9,$A$1:$A$27,0),MATCH($AP$1,$A$1:$O$1,0))/INDEX('PROCV Prod.Total'!$BJ$2:$CB$15,MATCH('BD. graf. km rodado'!AL9,'PROCV Prod.Total'!$BJ$2:$BJ$15,0),MATCH('BD. graf. km rodado'!$AP$1,'PROCV Prod.Total'!$BJ$2:$CB$2,0))</f>
        <v>#N/A</v>
      </c>
      <c r="AQ9" s="78" t="e">
        <f>INDEX($A$1:$O$27,MATCH(AL9,$A$1:$A$27,0),MATCH($AQ$1,$A$1:$O$1,0))/INDEX('PROCV Prod.Total'!$BJ$2:$CB$15,MATCH('BD. graf. km rodado'!AL9,'PROCV Prod.Total'!$BJ$2:$BJ$15,0),MATCH('BD. graf. km rodado'!$AQ$1,'PROCV Prod.Total'!$BJ$2:$CB$2,0))</f>
        <v>#N/A</v>
      </c>
      <c r="AR9" s="122" t="e">
        <f>INDEX($A$1:$O$27,MATCH(AL9,$A$1:$A$27,0),MATCH($AR$1,$A$1:$O$1,0))/INDEX('PROCV Prod.Total'!$BJ$2:$CB$15,MATCH('BD. graf. km rodado'!AL9,'PROCV Prod.Total'!$BJ$2:$BJ$15,0),MATCH('BD. graf. km rodado'!$AR$1,'PROCV Prod.Total'!$BJ$2:$CB$2,0))</f>
        <v>#N/A</v>
      </c>
      <c r="AS9" s="78" t="e">
        <f>INDEX($A$1:$O$27,MATCH(AL9,$A$1:$A$27,0),MATCH($AS$1,$A$1:$O$1,0))/INDEX('PROCV Prod.Total'!$BJ$2:$CB$15,MATCH('BD. graf. km rodado'!AL9,'PROCV Prod.Total'!$BJ$2:$BJ$15,0),MATCH('BD. graf. km rodado'!$AS$1,'PROCV Prod.Total'!$BJ$2:$CB$2,0))</f>
        <v>#N/A</v>
      </c>
      <c r="AT9" s="122" t="e">
        <f>INDEX($A$1:$O$27,MATCH(AL9,$A$1:$A$27,0),MATCH($AT$1,$A$1:$O$1,0))/INDEX('PROCV Prod.Total'!$BJ$2:$CB$15,MATCH('BD. graf. km rodado'!AL9,'PROCV Prod.Total'!$BJ$2:$BJ$15,0),MATCH('BD. graf. km rodado'!$AT$1,'PROCV Prod.Total'!$BJ$2:$CB$2,0))</f>
        <v>#N/A</v>
      </c>
      <c r="AU9" s="78" t="e">
        <f>INDEX($A$1:$O$27,MATCH(AL9,$A$1:$A$27,0),MATCH($AU$1,$A$1:$O$1,0))/INDEX('PROCV Prod.Total'!$BJ$2:$CB$15,MATCH('BD. graf. km rodado'!AL9,'PROCV Prod.Total'!$BJ$2:$BJ$15,0),MATCH('BD. graf. km rodado'!$AU$1,'PROCV Prod.Total'!$BJ$2:$CB$2,0))</f>
        <v>#N/A</v>
      </c>
      <c r="AV9" s="122" t="e">
        <f>INDEX($A$1:$O$27,MATCH(AL9,$A$1:$A$27,0),MATCH($AV$1,$A$1:$O$1,0))/INDEX('PROCV Prod.Total'!$BJ$2:$CB$15,MATCH('BD. graf. km rodado'!AL9,'PROCV Prod.Total'!$BJ$2:$BJ$15,0),MATCH('BD. graf. km rodado'!$AV$1,'PROCV Prod.Total'!$BJ$2:$CB$2,0))</f>
        <v>#N/A</v>
      </c>
      <c r="AW9" s="122" t="e">
        <f>INDEX($A$1:$O$27,MATCH(AL9,$A$1:$A$27,0),MATCH($AW$1,$A$1:$O$1,0))/INDEX('PROCV Prod.Total'!$BJ$2:$CB$15,MATCH('BD. graf. km rodado'!AL9,'PROCV Prod.Total'!$BJ$2:$BJ$15,0),MATCH('BD. graf. km rodado'!$AW$1,'PROCV Prod.Total'!$BJ$2:$CB$2,0))</f>
        <v>#N/A</v>
      </c>
      <c r="AX9" s="78" t="e">
        <f>INDEX($A$1:$O$27,MATCH(AL9,$A$1:$A$27,0),MATCH($AX$1,$A$1:$O$1,0))/INDEX('PROCV Prod.Total'!$BJ$2:$CB$15,MATCH('BD. graf. km rodado'!AL9,'PROCV Prod.Total'!$BJ$2:$BJ$15,0),MATCH('BD. graf. km rodado'!$AX$1,'PROCV Prod.Total'!$BJ$2:$CB$2,0))</f>
        <v>#N/A</v>
      </c>
      <c r="AY9" s="122" t="e">
        <f>INDEX($A$1:$O$27,MATCH(AL9,$A$1:$A$27,0),MATCH($AY$1,$A$1:$O$1,0))/INDEX('PROCV Prod.Total'!$BJ$2:$CB$15,MATCH('BD. graf. km rodado'!AL9,'PROCV Prod.Total'!$BJ$2:$BJ$15,0),MATCH('BD. graf. km rodado'!$AY$1,'PROCV Prod.Total'!$BJ$2:$CB$2,0))</f>
        <v>#N/A</v>
      </c>
      <c r="BA9" s="167">
        <f t="shared" si="1"/>
        <v>42278</v>
      </c>
      <c r="BB9" s="167">
        <f>BA7</f>
        <v>42339</v>
      </c>
      <c r="BC9" s="122">
        <f>BE7</f>
        <v>4.8445229681978796</v>
      </c>
      <c r="BD9">
        <f t="shared" si="2"/>
        <v>8.8478260869565215</v>
      </c>
      <c r="BE9" s="122" t="e">
        <f t="shared" si="3"/>
        <v>#N/A</v>
      </c>
    </row>
    <row r="10" spans="1:57" x14ac:dyDescent="0.2">
      <c r="A10" s="159">
        <v>42552</v>
      </c>
      <c r="B10" s="78">
        <f>SUMIFS('BD. km rodado'!$B:$B,'BD. km rodado'!$A:$A,"&gt;="&amp;A10,'BD. km rodado'!$A:$A,"&lt;"&amp;A11)</f>
        <v>0</v>
      </c>
      <c r="C10" s="78">
        <f>SUMIFS('BD. km rodado'!$C:$C,'BD. km rodado'!$A:$A,"&gt;="&amp;A10,'BD. km rodado'!$A:$A,"&lt;"&amp;A11)</f>
        <v>0</v>
      </c>
      <c r="D10" s="78">
        <f>SUMIFS('BD. km rodado'!$D:$D,'BD. km rodado'!$A:$A,"&gt;="&amp;A10,'BD. km rodado'!$A:$A,"&lt;"&amp;A11)</f>
        <v>0</v>
      </c>
      <c r="E10" s="78">
        <f>SUMIFS('BD. km rodado'!$E:$E,'BD. km rodado'!$A:$A,"&gt;="&amp;A10,'BD. km rodado'!$A:$A,"&lt;"&amp;A11)</f>
        <v>0</v>
      </c>
      <c r="F10" s="78">
        <f>SUMIFS('BD. km rodado'!$F:$F,'BD. km rodado'!$A:$A,"&gt;="&amp;A10,'BD. km rodado'!$A:$A,"&lt;"&amp;A11)</f>
        <v>0</v>
      </c>
      <c r="G10" s="78">
        <f>SUMIFS('BD. km rodado'!$G:$G,'BD. km rodado'!$A:$A,"&gt;="&amp;A10,'BD. km rodado'!$A:$A,"&lt;"&amp;A11)</f>
        <v>0</v>
      </c>
      <c r="H10" s="78">
        <f>SUMIFS('BD. km rodado'!$H:$H,'BD. km rodado'!$A:$A,"&gt;="&amp;A10,'BD. km rodado'!$A:$A,"&lt;"&amp;A11)</f>
        <v>0</v>
      </c>
      <c r="I10" s="78">
        <f>SUMIFS('BD. km rodado'!$I:$I,'BD. km rodado'!$A:$A,"&gt;="&amp;A10,'BD. km rodado'!$A:$A,"&lt;"&amp;A11)</f>
        <v>0</v>
      </c>
      <c r="J10" s="78">
        <f>SUMIFS('BD. km rodado'!$J:$J,'BD. km rodado'!$A:$A,"&gt;="&amp;A10,'BD. km rodado'!$A:$A,"&lt;"&amp;A11)</f>
        <v>0</v>
      </c>
      <c r="K10" s="78">
        <f>SUMIFS('BD. km rodado'!$K:$K,'BD. km rodado'!$A:$A,"&gt;="&amp;A10,'BD. km rodado'!$A:$A,"&lt;"&amp;A11)</f>
        <v>0</v>
      </c>
      <c r="L10" s="78">
        <f>SUMIFS('BD. km rodado'!$L:$L,'BD. km rodado'!$A:$A,"&gt;="&amp;A10,'BD. km rodado'!$A:$A,"&lt;"&amp;A11)</f>
        <v>0</v>
      </c>
      <c r="M10" s="78">
        <f>SUMIFS('BD. km rodado'!$M:$M,'BD. km rodado'!$A:$A,"&gt;="&amp;A10,'BD. km rodado'!$A:$A,"&lt;"&amp;A11)</f>
        <v>0</v>
      </c>
      <c r="N10" s="78">
        <f>SUMIFS('BD. km rodado'!$N:$N,'BD. km rodado'!$A:$A,"&gt;="&amp;A10,'BD. km rodado'!$A:$A,"&lt;"&amp;A11)</f>
        <v>0</v>
      </c>
      <c r="O10" s="78">
        <f>SUMIFS('BD. km rodado'!$O:$O,'BD. km rodado'!$A:$A,"&gt;="&amp;A10,'BD. km rodado'!$A:$A,"&lt;"&amp;A11)</f>
        <v>0</v>
      </c>
      <c r="P10">
        <f t="shared" si="4"/>
        <v>0</v>
      </c>
      <c r="Q10">
        <f>SUMIFS(BD.OS!$X:$X,BD.OS!$A:$A,"&gt;="&amp;'BD. graf. km rodado'!A10,BD.OS!$A:$A,"&lt;"&amp;A11)</f>
        <v>0</v>
      </c>
      <c r="R10" s="16" t="e">
        <f t="shared" si="5"/>
        <v>#DIV/0!</v>
      </c>
      <c r="AL10" s="159">
        <f>DATE(ANOPROD.,'Prod. e Improd'!$F$8-8,1)</f>
        <v>42248</v>
      </c>
      <c r="AM10" s="122" t="e">
        <f>INDEX($A$1:$O$27,MATCH(AL10,$A$1:$A$27,0),MATCH($AM$1,$A$1:$O$1,0))/INDEX('PROCV Prod.Total'!$BJ$2:$CB$15,MATCH('BD. graf. km rodado'!AL10,'PROCV Prod.Total'!$BJ$2:$BJ$15,0),MATCH('BD. graf. km rodado'!$AM$1,'PROCV Prod.Total'!$BJ$2:$CB$2,0))</f>
        <v>#N/A</v>
      </c>
      <c r="AN10" s="122" t="e">
        <f>INDEX($A$1:$O$27,MATCH(AL10,$A$1:$A$27,0),MATCH($AN$1,$A$1:$O$1,0))/INDEX('PROCV Prod.Total'!$BJ$2:$CB$15,MATCH('BD. graf. km rodado'!AL10,'PROCV Prod.Total'!$BJ$2:$BJ$15,0),MATCH('BD. graf. km rodado'!$AN$1,'PROCV Prod.Total'!$BJ$2:$CB$2,0))</f>
        <v>#N/A</v>
      </c>
      <c r="AO10" s="122" t="e">
        <f>INDEX($A$1:$O$27,MATCH(AL10,$A$1:$A$27,0),MATCH($AO$1,$A$1:$O$1,0))/INDEX('PROCV Prod.Total'!$BJ$2:$CB$15,MATCH('BD. graf. km rodado'!AL10,'PROCV Prod.Total'!$BJ$2:$BJ$15,0),MATCH('BD. graf. km rodado'!$AO$1,'PROCV Prod.Total'!$BJ$2:$CB$2,0))</f>
        <v>#N/A</v>
      </c>
      <c r="AP10" s="122" t="e">
        <f>INDEX($A$1:$O$27,MATCH(AL10,$A$1:$A$27,0),MATCH($AP$1,$A$1:$O$1,0))/INDEX('PROCV Prod.Total'!$BJ$2:$CB$15,MATCH('BD. graf. km rodado'!AL10,'PROCV Prod.Total'!$BJ$2:$BJ$15,0),MATCH('BD. graf. km rodado'!$AP$1,'PROCV Prod.Total'!$BJ$2:$CB$2,0))</f>
        <v>#N/A</v>
      </c>
      <c r="AQ10" s="78" t="e">
        <f>INDEX($A$1:$O$27,MATCH(AL10,$A$1:$A$27,0),MATCH($AQ$1,$A$1:$O$1,0))/INDEX('PROCV Prod.Total'!$BJ$2:$CB$15,MATCH('BD. graf. km rodado'!AL10,'PROCV Prod.Total'!$BJ$2:$BJ$15,0),MATCH('BD. graf. km rodado'!$AQ$1,'PROCV Prod.Total'!$BJ$2:$CB$2,0))</f>
        <v>#N/A</v>
      </c>
      <c r="AR10" s="122" t="e">
        <f>INDEX($A$1:$O$27,MATCH(AL10,$A$1:$A$27,0),MATCH($AR$1,$A$1:$O$1,0))/INDEX('PROCV Prod.Total'!$BJ$2:$CB$15,MATCH('BD. graf. km rodado'!AL10,'PROCV Prod.Total'!$BJ$2:$BJ$15,0),MATCH('BD. graf. km rodado'!$AR$1,'PROCV Prod.Total'!$BJ$2:$CB$2,0))</f>
        <v>#N/A</v>
      </c>
      <c r="AS10" s="78" t="e">
        <f>INDEX($A$1:$O$27,MATCH(AL10,$A$1:$A$27,0),MATCH($AS$1,$A$1:$O$1,0))/INDEX('PROCV Prod.Total'!$BJ$2:$CB$15,MATCH('BD. graf. km rodado'!AL10,'PROCV Prod.Total'!$BJ$2:$BJ$15,0),MATCH('BD. graf. km rodado'!$AS$1,'PROCV Prod.Total'!$BJ$2:$CB$2,0))</f>
        <v>#N/A</v>
      </c>
      <c r="AT10" s="122" t="e">
        <f>INDEX($A$1:$O$27,MATCH(AL10,$A$1:$A$27,0),MATCH($AT$1,$A$1:$O$1,0))/INDEX('PROCV Prod.Total'!$BJ$2:$CB$15,MATCH('BD. graf. km rodado'!AL10,'PROCV Prod.Total'!$BJ$2:$BJ$15,0),MATCH('BD. graf. km rodado'!$AT$1,'PROCV Prod.Total'!$BJ$2:$CB$2,0))</f>
        <v>#N/A</v>
      </c>
      <c r="AU10" s="78" t="e">
        <f>INDEX($A$1:$O$27,MATCH(AL10,$A$1:$A$27,0),MATCH($AU$1,$A$1:$O$1,0))/INDEX('PROCV Prod.Total'!$BJ$2:$CB$15,MATCH('BD. graf. km rodado'!AL10,'PROCV Prod.Total'!$BJ$2:$BJ$15,0),MATCH('BD. graf. km rodado'!$AU$1,'PROCV Prod.Total'!$BJ$2:$CB$2,0))</f>
        <v>#N/A</v>
      </c>
      <c r="AV10" s="122" t="e">
        <f>INDEX($A$1:$O$27,MATCH(AL10,$A$1:$A$27,0),MATCH($AV$1,$A$1:$O$1,0))/INDEX('PROCV Prod.Total'!$BJ$2:$CB$15,MATCH('BD. graf. km rodado'!AL10,'PROCV Prod.Total'!$BJ$2:$BJ$15,0),MATCH('BD. graf. km rodado'!$AV$1,'PROCV Prod.Total'!$BJ$2:$CB$2,0))</f>
        <v>#N/A</v>
      </c>
      <c r="AW10" s="122" t="e">
        <f>INDEX($A$1:$O$27,MATCH(AL10,$A$1:$A$27,0),MATCH($AW$1,$A$1:$O$1,0))/INDEX('PROCV Prod.Total'!$BJ$2:$CB$15,MATCH('BD. graf. km rodado'!AL10,'PROCV Prod.Total'!$BJ$2:$BJ$15,0),MATCH('BD. graf. km rodado'!$AW$1,'PROCV Prod.Total'!$BJ$2:$CB$2,0))</f>
        <v>#N/A</v>
      </c>
      <c r="AX10" s="78" t="e">
        <f>INDEX($A$1:$O$27,MATCH(AL10,$A$1:$A$27,0),MATCH($AX$1,$A$1:$O$1,0))/INDEX('PROCV Prod.Total'!$BJ$2:$CB$15,MATCH('BD. graf. km rodado'!AL10,'PROCV Prod.Total'!$BJ$2:$BJ$15,0),MATCH('BD. graf. km rodado'!$AX$1,'PROCV Prod.Total'!$BJ$2:$CB$2,0))</f>
        <v>#N/A</v>
      </c>
      <c r="AY10" s="122" t="e">
        <f>INDEX($A$1:$O$27,MATCH(AL10,$A$1:$A$27,0),MATCH($AY$1,$A$1:$O$1,0))/INDEX('PROCV Prod.Total'!$BJ$2:$CB$15,MATCH('BD. graf. km rodado'!AL10,'PROCV Prod.Total'!$BJ$2:$BJ$15,0),MATCH('BD. graf. km rodado'!$AY$1,'PROCV Prod.Total'!$BJ$2:$CB$2,0))</f>
        <v>#N/A</v>
      </c>
      <c r="BA10" s="167">
        <f t="shared" si="1"/>
        <v>42248</v>
      </c>
      <c r="BB10" s="167">
        <f>BA6</f>
        <v>42370</v>
      </c>
      <c r="BC10" s="122">
        <f>BE6</f>
        <v>7.3969465648854964</v>
      </c>
      <c r="BD10">
        <f t="shared" si="2"/>
        <v>8.6519736842105264</v>
      </c>
      <c r="BE10" s="122" t="e">
        <f t="shared" si="3"/>
        <v>#N/A</v>
      </c>
    </row>
    <row r="11" spans="1:57" x14ac:dyDescent="0.2">
      <c r="A11" s="159">
        <v>42583</v>
      </c>
      <c r="B11" s="78">
        <f>SUMIFS('BD. km rodado'!$B:$B,'BD. km rodado'!$A:$A,"&gt;="&amp;A11,'BD. km rodado'!$A:$A,"&lt;"&amp;A12)</f>
        <v>0</v>
      </c>
      <c r="C11" s="78">
        <f>SUMIFS('BD. km rodado'!$C:$C,'BD. km rodado'!$A:$A,"&gt;="&amp;A11,'BD. km rodado'!$A:$A,"&lt;"&amp;A12)</f>
        <v>0</v>
      </c>
      <c r="D11" s="78">
        <f>SUMIFS('BD. km rodado'!$D:$D,'BD. km rodado'!$A:$A,"&gt;="&amp;A11,'BD. km rodado'!$A:$A,"&lt;"&amp;A12)</f>
        <v>0</v>
      </c>
      <c r="E11" s="78">
        <f>SUMIFS('BD. km rodado'!$E:$E,'BD. km rodado'!$A:$A,"&gt;="&amp;A11,'BD. km rodado'!$A:$A,"&lt;"&amp;A12)</f>
        <v>0</v>
      </c>
      <c r="F11" s="78">
        <f>SUMIFS('BD. km rodado'!$F:$F,'BD. km rodado'!$A:$A,"&gt;="&amp;A11,'BD. km rodado'!$A:$A,"&lt;"&amp;A12)</f>
        <v>0</v>
      </c>
      <c r="G11" s="78">
        <f>SUMIFS('BD. km rodado'!$G:$G,'BD. km rodado'!$A:$A,"&gt;="&amp;A11,'BD. km rodado'!$A:$A,"&lt;"&amp;A12)</f>
        <v>0</v>
      </c>
      <c r="H11" s="78">
        <f>SUMIFS('BD. km rodado'!$H:$H,'BD. km rodado'!$A:$A,"&gt;="&amp;A11,'BD. km rodado'!$A:$A,"&lt;"&amp;A12)</f>
        <v>0</v>
      </c>
      <c r="I11" s="78">
        <f>SUMIFS('BD. km rodado'!$I:$I,'BD. km rodado'!$A:$A,"&gt;="&amp;A11,'BD. km rodado'!$A:$A,"&lt;"&amp;A12)</f>
        <v>0</v>
      </c>
      <c r="J11" s="78">
        <f>SUMIFS('BD. km rodado'!$J:$J,'BD. km rodado'!$A:$A,"&gt;="&amp;A11,'BD. km rodado'!$A:$A,"&lt;"&amp;A12)</f>
        <v>0</v>
      </c>
      <c r="K11" s="78">
        <f>SUMIFS('BD. km rodado'!$K:$K,'BD. km rodado'!$A:$A,"&gt;="&amp;A11,'BD. km rodado'!$A:$A,"&lt;"&amp;A12)</f>
        <v>0</v>
      </c>
      <c r="L11" s="78">
        <f>SUMIFS('BD. km rodado'!$L:$L,'BD. km rodado'!$A:$A,"&gt;="&amp;A11,'BD. km rodado'!$A:$A,"&lt;"&amp;A12)</f>
        <v>0</v>
      </c>
      <c r="M11" s="78">
        <f>SUMIFS('BD. km rodado'!$M:$M,'BD. km rodado'!$A:$A,"&gt;="&amp;A11,'BD. km rodado'!$A:$A,"&lt;"&amp;A12)</f>
        <v>0</v>
      </c>
      <c r="N11" s="78">
        <f>SUMIFS('BD. km rodado'!$N:$N,'BD. km rodado'!$A:$A,"&gt;="&amp;A11,'BD. km rodado'!$A:$A,"&lt;"&amp;A12)</f>
        <v>0</v>
      </c>
      <c r="O11" s="78">
        <f>SUMIFS('BD. km rodado'!$O:$O,'BD. km rodado'!$A:$A,"&gt;="&amp;A11,'BD. km rodado'!$A:$A,"&lt;"&amp;A12)</f>
        <v>0</v>
      </c>
      <c r="P11">
        <f t="shared" si="4"/>
        <v>0</v>
      </c>
      <c r="Q11">
        <f>SUMIFS(BD.OS!$X:$X,BD.OS!$A:$A,"&gt;="&amp;'BD. graf. km rodado'!A11,BD.OS!$A:$A,"&lt;"&amp;A12)</f>
        <v>0</v>
      </c>
      <c r="R11" s="16" t="e">
        <f t="shared" si="5"/>
        <v>#DIV/0!</v>
      </c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L11" s="159">
        <f>DATE(ANOPROD.,'Prod. e Improd'!$F$8-9,1)</f>
        <v>42217</v>
      </c>
      <c r="AM11" s="122" t="e">
        <f>INDEX($A$1:$O$27,MATCH(AL11,$A$1:$A$27,0),MATCH($AM$1,$A$1:$O$1,0))/INDEX('PROCV Prod.Total'!$BJ$2:$CB$15,MATCH('BD. graf. km rodado'!AL11,'PROCV Prod.Total'!$BJ$2:$BJ$15,0),MATCH('BD. graf. km rodado'!$AM$1,'PROCV Prod.Total'!$BJ$2:$CB$2,0))</f>
        <v>#N/A</v>
      </c>
      <c r="AN11" s="122" t="e">
        <f>INDEX($A$1:$O$27,MATCH(AL11,$A$1:$A$27,0),MATCH($AN$1,$A$1:$O$1,0))/INDEX('PROCV Prod.Total'!$BJ$2:$CB$15,MATCH('BD. graf. km rodado'!AL11,'PROCV Prod.Total'!$BJ$2:$BJ$15,0),MATCH('BD. graf. km rodado'!$AN$1,'PROCV Prod.Total'!$BJ$2:$CB$2,0))</f>
        <v>#N/A</v>
      </c>
      <c r="AO11" s="122" t="e">
        <f>INDEX($A$1:$O$27,MATCH(AL11,$A$1:$A$27,0),MATCH($AO$1,$A$1:$O$1,0))/INDEX('PROCV Prod.Total'!$BJ$2:$CB$15,MATCH('BD. graf. km rodado'!AL11,'PROCV Prod.Total'!$BJ$2:$BJ$15,0),MATCH('BD. graf. km rodado'!$AO$1,'PROCV Prod.Total'!$BJ$2:$CB$2,0))</f>
        <v>#N/A</v>
      </c>
      <c r="AP11" s="122" t="e">
        <f>INDEX($A$1:$O$27,MATCH(AL11,$A$1:$A$27,0),MATCH($AP$1,$A$1:$O$1,0))/INDEX('PROCV Prod.Total'!$BJ$2:$CB$15,MATCH('BD. graf. km rodado'!AL11,'PROCV Prod.Total'!$BJ$2:$BJ$15,0),MATCH('BD. graf. km rodado'!$AP$1,'PROCV Prod.Total'!$BJ$2:$CB$2,0))</f>
        <v>#N/A</v>
      </c>
      <c r="AQ11" s="78" t="e">
        <f>INDEX($A$1:$O$27,MATCH(AL11,$A$1:$A$27,0),MATCH($AQ$1,$A$1:$O$1,0))/INDEX('PROCV Prod.Total'!$BJ$2:$CB$15,MATCH('BD. graf. km rodado'!AL11,'PROCV Prod.Total'!$BJ$2:$BJ$15,0),MATCH('BD. graf. km rodado'!$AQ$1,'PROCV Prod.Total'!$BJ$2:$CB$2,0))</f>
        <v>#N/A</v>
      </c>
      <c r="AR11" s="122" t="e">
        <f>INDEX($A$1:$O$27,MATCH(AL11,$A$1:$A$27,0),MATCH($AR$1,$A$1:$O$1,0))/INDEX('PROCV Prod.Total'!$BJ$2:$CB$15,MATCH('BD. graf. km rodado'!AL11,'PROCV Prod.Total'!$BJ$2:$BJ$15,0),MATCH('BD. graf. km rodado'!$AR$1,'PROCV Prod.Total'!$BJ$2:$CB$2,0))</f>
        <v>#N/A</v>
      </c>
      <c r="AS11" s="78" t="e">
        <f>INDEX($A$1:$O$27,MATCH(AL11,$A$1:$A$27,0),MATCH($AS$1,$A$1:$O$1,0))/INDEX('PROCV Prod.Total'!$BJ$2:$CB$15,MATCH('BD. graf. km rodado'!AL11,'PROCV Prod.Total'!$BJ$2:$BJ$15,0),MATCH('BD. graf. km rodado'!$AS$1,'PROCV Prod.Total'!$BJ$2:$CB$2,0))</f>
        <v>#N/A</v>
      </c>
      <c r="AT11" s="122" t="e">
        <f>INDEX($A$1:$O$27,MATCH(AL11,$A$1:$A$27,0),MATCH($AT$1,$A$1:$O$1,0))/INDEX('PROCV Prod.Total'!$BJ$2:$CB$15,MATCH('BD. graf. km rodado'!AL11,'PROCV Prod.Total'!$BJ$2:$BJ$15,0),MATCH('BD. graf. km rodado'!$AT$1,'PROCV Prod.Total'!$BJ$2:$CB$2,0))</f>
        <v>#N/A</v>
      </c>
      <c r="AU11" s="78" t="e">
        <f>INDEX($A$1:$O$27,MATCH(AL11,$A$1:$A$27,0),MATCH($AU$1,$A$1:$O$1,0))/INDEX('PROCV Prod.Total'!$BJ$2:$CB$15,MATCH('BD. graf. km rodado'!AL11,'PROCV Prod.Total'!$BJ$2:$BJ$15,0),MATCH('BD. graf. km rodado'!$AU$1,'PROCV Prod.Total'!$BJ$2:$CB$2,0))</f>
        <v>#N/A</v>
      </c>
      <c r="AV11" s="122" t="e">
        <f>INDEX($A$1:$O$27,MATCH(AL11,$A$1:$A$27,0),MATCH($AV$1,$A$1:$O$1,0))/INDEX('PROCV Prod.Total'!$BJ$2:$CB$15,MATCH('BD. graf. km rodado'!AL11,'PROCV Prod.Total'!$BJ$2:$BJ$15,0),MATCH('BD. graf. km rodado'!$AV$1,'PROCV Prod.Total'!$BJ$2:$CB$2,0))</f>
        <v>#N/A</v>
      </c>
      <c r="AW11" s="122" t="e">
        <f>INDEX($A$1:$O$27,MATCH(AL11,$A$1:$A$27,0),MATCH($AW$1,$A$1:$O$1,0))/INDEX('PROCV Prod.Total'!$BJ$2:$CB$15,MATCH('BD. graf. km rodado'!AL11,'PROCV Prod.Total'!$BJ$2:$BJ$15,0),MATCH('BD. graf. km rodado'!$AW$1,'PROCV Prod.Total'!$BJ$2:$CB$2,0))</f>
        <v>#N/A</v>
      </c>
      <c r="AX11" s="78" t="e">
        <f>INDEX($A$1:$O$27,MATCH(AL11,$A$1:$A$27,0),MATCH($AX$1,$A$1:$O$1,0))/INDEX('PROCV Prod.Total'!$BJ$2:$CB$15,MATCH('BD. graf. km rodado'!AL11,'PROCV Prod.Total'!$BJ$2:$BJ$15,0),MATCH('BD. graf. km rodado'!$AX$1,'PROCV Prod.Total'!$BJ$2:$CB$2,0))</f>
        <v>#N/A</v>
      </c>
      <c r="AY11" s="122" t="e">
        <f>INDEX($A$1:$O$27,MATCH(AL11,$A$1:$A$27,0),MATCH($AY$1,$A$1:$O$1,0))/INDEX('PROCV Prod.Total'!$BJ$2:$CB$15,MATCH('BD. graf. km rodado'!AL11,'PROCV Prod.Total'!$BJ$2:$BJ$15,0),MATCH('BD. graf. km rodado'!$AY$1,'PROCV Prod.Total'!$BJ$2:$CB$2,0))</f>
        <v>#N/A</v>
      </c>
      <c r="BA11" s="167">
        <f t="shared" si="1"/>
        <v>42217</v>
      </c>
      <c r="BB11" s="167">
        <f>BA5</f>
        <v>42401</v>
      </c>
      <c r="BC11" s="122">
        <f>BE5</f>
        <v>6.5418994413407825</v>
      </c>
      <c r="BD11">
        <f t="shared" si="2"/>
        <v>8.1111751152073737</v>
      </c>
      <c r="BE11" s="122" t="e">
        <f t="shared" si="3"/>
        <v>#N/A</v>
      </c>
    </row>
    <row r="12" spans="1:57" x14ac:dyDescent="0.2">
      <c r="A12" s="159">
        <v>42614</v>
      </c>
      <c r="B12" s="78">
        <f>SUMIFS('BD. km rodado'!$B:$B,'BD. km rodado'!$A:$A,"&gt;="&amp;A12,'BD. km rodado'!$A:$A,"&lt;"&amp;A13)</f>
        <v>0</v>
      </c>
      <c r="C12" s="78">
        <f>SUMIFS('BD. km rodado'!$C:$C,'BD. km rodado'!$A:$A,"&gt;="&amp;A12,'BD. km rodado'!$A:$A,"&lt;"&amp;A13)</f>
        <v>0</v>
      </c>
      <c r="D12" s="78">
        <f>SUMIFS('BD. km rodado'!$D:$D,'BD. km rodado'!$A:$A,"&gt;="&amp;A12,'BD. km rodado'!$A:$A,"&lt;"&amp;A13)</f>
        <v>0</v>
      </c>
      <c r="E12" s="78">
        <f>SUMIFS('BD. km rodado'!$E:$E,'BD. km rodado'!$A:$A,"&gt;="&amp;A12,'BD. km rodado'!$A:$A,"&lt;"&amp;A13)</f>
        <v>0</v>
      </c>
      <c r="F12" s="78">
        <f>SUMIFS('BD. km rodado'!$F:$F,'BD. km rodado'!$A:$A,"&gt;="&amp;A12,'BD. km rodado'!$A:$A,"&lt;"&amp;A13)</f>
        <v>0</v>
      </c>
      <c r="G12" s="78">
        <f>SUMIFS('BD. km rodado'!$G:$G,'BD. km rodado'!$A:$A,"&gt;="&amp;A12,'BD. km rodado'!$A:$A,"&lt;"&amp;A13)</f>
        <v>0</v>
      </c>
      <c r="H12" s="78">
        <f>SUMIFS('BD. km rodado'!$H:$H,'BD. km rodado'!$A:$A,"&gt;="&amp;A12,'BD. km rodado'!$A:$A,"&lt;"&amp;A13)</f>
        <v>0</v>
      </c>
      <c r="I12" s="78">
        <f>SUMIFS('BD. km rodado'!$I:$I,'BD. km rodado'!$A:$A,"&gt;="&amp;A12,'BD. km rodado'!$A:$A,"&lt;"&amp;A13)</f>
        <v>0</v>
      </c>
      <c r="J12" s="78">
        <f>SUMIFS('BD. km rodado'!$J:$J,'BD. km rodado'!$A:$A,"&gt;="&amp;A12,'BD. km rodado'!$A:$A,"&lt;"&amp;A13)</f>
        <v>0</v>
      </c>
      <c r="K12" s="78">
        <f>SUMIFS('BD. km rodado'!$K:$K,'BD. km rodado'!$A:$A,"&gt;="&amp;A12,'BD. km rodado'!$A:$A,"&lt;"&amp;A13)</f>
        <v>0</v>
      </c>
      <c r="L12" s="78">
        <f>SUMIFS('BD. km rodado'!$L:$L,'BD. km rodado'!$A:$A,"&gt;="&amp;A12,'BD. km rodado'!$A:$A,"&lt;"&amp;A13)</f>
        <v>0</v>
      </c>
      <c r="M12" s="78">
        <f>SUMIFS('BD. km rodado'!$M:$M,'BD. km rodado'!$A:$A,"&gt;="&amp;A12,'BD. km rodado'!$A:$A,"&lt;"&amp;A13)</f>
        <v>0</v>
      </c>
      <c r="N12" s="78">
        <f>SUMIFS('BD. km rodado'!$N:$N,'BD. km rodado'!$A:$A,"&gt;="&amp;A12,'BD. km rodado'!$A:$A,"&lt;"&amp;A13)</f>
        <v>0</v>
      </c>
      <c r="O12" s="78">
        <f>SUMIFS('BD. km rodado'!$O:$O,'BD. km rodado'!$A:$A,"&gt;="&amp;A12,'BD. km rodado'!$A:$A,"&lt;"&amp;A13)</f>
        <v>0</v>
      </c>
      <c r="P12">
        <f t="shared" si="4"/>
        <v>0</v>
      </c>
      <c r="Q12">
        <f>SUMIFS(BD.OS!$X:$X,BD.OS!$A:$A,"&gt;="&amp;'BD. graf. km rodado'!A12,BD.OS!$A:$A,"&lt;"&amp;A13)</f>
        <v>0</v>
      </c>
      <c r="R12" s="16" t="e">
        <f t="shared" si="5"/>
        <v>#DIV/0!</v>
      </c>
      <c r="AL12" s="159">
        <f>DATE(ANOPROD.,'Prod. e Improd'!$F$8-10,1)</f>
        <v>42186</v>
      </c>
      <c r="AM12" s="122" t="e">
        <f>INDEX($A$1:$O$27,MATCH(AL12,$A$1:$A$27,0),MATCH($AM$1,$A$1:$O$1,0))/INDEX('PROCV Prod.Total'!$BJ$2:$CB$15,MATCH('BD. graf. km rodado'!AL12,'PROCV Prod.Total'!$BJ$2:$BJ$15,0),MATCH('BD. graf. km rodado'!$AM$1,'PROCV Prod.Total'!$BJ$2:$CB$2,0))</f>
        <v>#N/A</v>
      </c>
      <c r="AN12" s="122" t="e">
        <f>INDEX($A$1:$O$27,MATCH(AL12,$A$1:$A$27,0),MATCH($AN$1,$A$1:$O$1,0))/INDEX('PROCV Prod.Total'!$BJ$2:$CB$15,MATCH('BD. graf. km rodado'!AL12,'PROCV Prod.Total'!$BJ$2:$BJ$15,0),MATCH('BD. graf. km rodado'!$AN$1,'PROCV Prod.Total'!$BJ$2:$CB$2,0))</f>
        <v>#N/A</v>
      </c>
      <c r="AO12" s="122" t="e">
        <f>INDEX($A$1:$O$27,MATCH(AL12,$A$1:$A$27,0),MATCH($AO$1,$A$1:$O$1,0))/INDEX('PROCV Prod.Total'!$BJ$2:$CB$15,MATCH('BD. graf. km rodado'!AL12,'PROCV Prod.Total'!$BJ$2:$BJ$15,0),MATCH('BD. graf. km rodado'!$AO$1,'PROCV Prod.Total'!$BJ$2:$CB$2,0))</f>
        <v>#N/A</v>
      </c>
      <c r="AP12" s="122" t="e">
        <f>INDEX($A$1:$O$27,MATCH(AL12,$A$1:$A$27,0),MATCH($AP$1,$A$1:$O$1,0))/INDEX('PROCV Prod.Total'!$BJ$2:$CB$15,MATCH('BD. graf. km rodado'!AL12,'PROCV Prod.Total'!$BJ$2:$BJ$15,0),MATCH('BD. graf. km rodado'!$AP$1,'PROCV Prod.Total'!$BJ$2:$CB$2,0))</f>
        <v>#N/A</v>
      </c>
      <c r="AQ12" s="78" t="e">
        <f>INDEX($A$1:$O$27,MATCH(AL12,$A$1:$A$27,0),MATCH($AQ$1,$A$1:$O$1,0))/INDEX('PROCV Prod.Total'!$BJ$2:$CB$15,MATCH('BD. graf. km rodado'!AL12,'PROCV Prod.Total'!$BJ$2:$BJ$15,0),MATCH('BD. graf. km rodado'!$AQ$1,'PROCV Prod.Total'!$BJ$2:$CB$2,0))</f>
        <v>#N/A</v>
      </c>
      <c r="AR12" s="122" t="e">
        <f>INDEX($A$1:$O$27,MATCH(AL12,$A$1:$A$27,0),MATCH($AR$1,$A$1:$O$1,0))/INDEX('PROCV Prod.Total'!$BJ$2:$CB$15,MATCH('BD. graf. km rodado'!AL12,'PROCV Prod.Total'!$BJ$2:$BJ$15,0),MATCH('BD. graf. km rodado'!$AR$1,'PROCV Prod.Total'!$BJ$2:$CB$2,0))</f>
        <v>#N/A</v>
      </c>
      <c r="AS12" s="78" t="e">
        <f>INDEX($A$1:$O$27,MATCH(AL12,$A$1:$A$27,0),MATCH($AS$1,$A$1:$O$1,0))/INDEX('PROCV Prod.Total'!$BJ$2:$CB$15,MATCH('BD. graf. km rodado'!AL12,'PROCV Prod.Total'!$BJ$2:$BJ$15,0),MATCH('BD. graf. km rodado'!$AS$1,'PROCV Prod.Total'!$BJ$2:$CB$2,0))</f>
        <v>#N/A</v>
      </c>
      <c r="AT12" s="122" t="e">
        <f>INDEX($A$1:$O$27,MATCH(AL12,$A$1:$A$27,0),MATCH($AT$1,$A$1:$O$1,0))/INDEX('PROCV Prod.Total'!$BJ$2:$CB$15,MATCH('BD. graf. km rodado'!AL12,'PROCV Prod.Total'!$BJ$2:$BJ$15,0),MATCH('BD. graf. km rodado'!$AT$1,'PROCV Prod.Total'!$BJ$2:$CB$2,0))</f>
        <v>#N/A</v>
      </c>
      <c r="AU12" s="78" t="e">
        <f>INDEX($A$1:$O$27,MATCH(AL12,$A$1:$A$27,0),MATCH($AU$1,$A$1:$O$1,0))/INDEX('PROCV Prod.Total'!$BJ$2:$CB$15,MATCH('BD. graf. km rodado'!AL12,'PROCV Prod.Total'!$BJ$2:$BJ$15,0),MATCH('BD. graf. km rodado'!$AU$1,'PROCV Prod.Total'!$BJ$2:$CB$2,0))</f>
        <v>#N/A</v>
      </c>
      <c r="AV12" s="122" t="e">
        <f>INDEX($A$1:$O$27,MATCH(AL12,$A$1:$A$27,0),MATCH($AV$1,$A$1:$O$1,0))/INDEX('PROCV Prod.Total'!$BJ$2:$CB$15,MATCH('BD. graf. km rodado'!AL12,'PROCV Prod.Total'!$BJ$2:$BJ$15,0),MATCH('BD. graf. km rodado'!$AV$1,'PROCV Prod.Total'!$BJ$2:$CB$2,0))</f>
        <v>#N/A</v>
      </c>
      <c r="AW12" s="122" t="e">
        <f>INDEX($A$1:$O$27,MATCH(AL12,$A$1:$A$27,0),MATCH($AW$1,$A$1:$O$1,0))/INDEX('PROCV Prod.Total'!$BJ$2:$CB$15,MATCH('BD. graf. km rodado'!AL12,'PROCV Prod.Total'!$BJ$2:$BJ$15,0),MATCH('BD. graf. km rodado'!$AW$1,'PROCV Prod.Total'!$BJ$2:$CB$2,0))</f>
        <v>#N/A</v>
      </c>
      <c r="AX12" s="78" t="e">
        <f>INDEX($A$1:$O$27,MATCH(AL12,$A$1:$A$27,0),MATCH($AX$1,$A$1:$O$1,0))/INDEX('PROCV Prod.Total'!$BJ$2:$CB$15,MATCH('BD. graf. km rodado'!AL12,'PROCV Prod.Total'!$BJ$2:$BJ$15,0),MATCH('BD. graf. km rodado'!$AX$1,'PROCV Prod.Total'!$BJ$2:$CB$2,0))</f>
        <v>#N/A</v>
      </c>
      <c r="AY12" s="122" t="e">
        <f>INDEX($A$1:$O$27,MATCH(AL12,$A$1:$A$27,0),MATCH($AY$1,$A$1:$O$1,0))/INDEX('PROCV Prod.Total'!$BJ$2:$CB$15,MATCH('BD. graf. km rodado'!AL12,'PROCV Prod.Total'!$BJ$2:$BJ$15,0),MATCH('BD. graf. km rodado'!$AY$1,'PROCV Prod.Total'!$BJ$2:$CB$2,0))</f>
        <v>#N/A</v>
      </c>
      <c r="BA12" s="167">
        <f t="shared" si="1"/>
        <v>42186</v>
      </c>
      <c r="BB12" s="167">
        <f>BA4</f>
        <v>42430</v>
      </c>
      <c r="BC12" s="122">
        <f>BE4</f>
        <v>7.0381679389312977</v>
      </c>
      <c r="BD12" s="16">
        <f t="shared" si="2"/>
        <v>9.915425848719476</v>
      </c>
      <c r="BE12" s="122" t="e">
        <f t="shared" si="3"/>
        <v>#N/A</v>
      </c>
    </row>
    <row r="13" spans="1:57" x14ac:dyDescent="0.2">
      <c r="A13" s="159">
        <v>42644</v>
      </c>
      <c r="B13" s="78">
        <f>SUMIFS('BD. km rodado'!$B:$B,'BD. km rodado'!$A:$A,"&gt;="&amp;A13,'BD. km rodado'!$A:$A,"&lt;"&amp;A14)</f>
        <v>0</v>
      </c>
      <c r="C13" s="78">
        <f>SUMIFS('BD. km rodado'!$C:$C,'BD. km rodado'!$A:$A,"&gt;="&amp;A13,'BD. km rodado'!$A:$A,"&lt;"&amp;A14)</f>
        <v>0</v>
      </c>
      <c r="D13" s="78">
        <f>SUMIFS('BD. km rodado'!$D:$D,'BD. km rodado'!$A:$A,"&gt;="&amp;A13,'BD. km rodado'!$A:$A,"&lt;"&amp;A14)</f>
        <v>0</v>
      </c>
      <c r="E13" s="78">
        <f>SUMIFS('BD. km rodado'!$E:$E,'BD. km rodado'!$A:$A,"&gt;="&amp;A13,'BD. km rodado'!$A:$A,"&lt;"&amp;A14)</f>
        <v>0</v>
      </c>
      <c r="F13" s="78">
        <f>SUMIFS('BD. km rodado'!$F:$F,'BD. km rodado'!$A:$A,"&gt;="&amp;A13,'BD. km rodado'!$A:$A,"&lt;"&amp;A14)</f>
        <v>0</v>
      </c>
      <c r="G13" s="78">
        <f>SUMIFS('BD. km rodado'!$G:$G,'BD. km rodado'!$A:$A,"&gt;="&amp;A13,'BD. km rodado'!$A:$A,"&lt;"&amp;A14)</f>
        <v>0</v>
      </c>
      <c r="H13" s="78">
        <f>SUMIFS('BD. km rodado'!$H:$H,'BD. km rodado'!$A:$A,"&gt;="&amp;A13,'BD. km rodado'!$A:$A,"&lt;"&amp;A14)</f>
        <v>0</v>
      </c>
      <c r="I13" s="78">
        <f>SUMIFS('BD. km rodado'!$I:$I,'BD. km rodado'!$A:$A,"&gt;="&amp;A13,'BD. km rodado'!$A:$A,"&lt;"&amp;A14)</f>
        <v>0</v>
      </c>
      <c r="J13" s="78">
        <f>SUMIFS('BD. km rodado'!$J:$J,'BD. km rodado'!$A:$A,"&gt;="&amp;A13,'BD. km rodado'!$A:$A,"&lt;"&amp;A14)</f>
        <v>0</v>
      </c>
      <c r="K13" s="78">
        <f>SUMIFS('BD. km rodado'!$K:$K,'BD. km rodado'!$A:$A,"&gt;="&amp;A13,'BD. km rodado'!$A:$A,"&lt;"&amp;A14)</f>
        <v>0</v>
      </c>
      <c r="L13" s="78">
        <f>SUMIFS('BD. km rodado'!$L:$L,'BD. km rodado'!$A:$A,"&gt;="&amp;A13,'BD. km rodado'!$A:$A,"&lt;"&amp;A14)</f>
        <v>0</v>
      </c>
      <c r="M13" s="78">
        <f>SUMIFS('BD. km rodado'!$M:$M,'BD. km rodado'!$A:$A,"&gt;="&amp;A13,'BD. km rodado'!$A:$A,"&lt;"&amp;A14)</f>
        <v>0</v>
      </c>
      <c r="N13" s="78">
        <f>SUMIFS('BD. km rodado'!$N:$N,'BD. km rodado'!$A:$A,"&gt;="&amp;A13,'BD. km rodado'!$A:$A,"&lt;"&amp;A14)</f>
        <v>0</v>
      </c>
      <c r="O13" s="78">
        <f>SUMIFS('BD. km rodado'!$O:$O,'BD. km rodado'!$A:$A,"&gt;="&amp;A13,'BD. km rodado'!$A:$A,"&lt;"&amp;A14)</f>
        <v>0</v>
      </c>
      <c r="P13">
        <f t="shared" si="4"/>
        <v>0</v>
      </c>
      <c r="Q13">
        <f>SUMIFS(BD.OS!$X:$X,BD.OS!$A:$A,"&gt;="&amp;'BD. graf. km rodado'!A13,BD.OS!$A:$A,"&lt;"&amp;A14)</f>
        <v>0</v>
      </c>
      <c r="R13" s="16" t="e">
        <f t="shared" si="5"/>
        <v>#DIV/0!</v>
      </c>
      <c r="AL13" s="159">
        <f>DATE(ANOPROD.,'Prod. e Improd'!$F$8-11,1)</f>
        <v>42156</v>
      </c>
      <c r="AM13" s="122" t="e">
        <f>INDEX($A$1:$O$27,MATCH(AL13,$A$1:$A$27,0),MATCH($AM$1,$A$1:$O$1,0))/INDEX('PROCV Prod.Total'!$BJ$2:$CB$15,MATCH('BD. graf. km rodado'!AL13,'PROCV Prod.Total'!$BJ$2:$BJ$15,0),MATCH('BD. graf. km rodado'!$AM$1,'PROCV Prod.Total'!$BJ$2:$CB$2,0))</f>
        <v>#N/A</v>
      </c>
      <c r="AN13" s="122" t="e">
        <f>INDEX($A$1:$O$27,MATCH(AL13,$A$1:$A$27,0),MATCH($AN$1,$A$1:$O$1,0))/INDEX('PROCV Prod.Total'!$BJ$2:$CB$15,MATCH('BD. graf. km rodado'!AL13,'PROCV Prod.Total'!$BJ$2:$BJ$15,0),MATCH('BD. graf. km rodado'!$AN$1,'PROCV Prod.Total'!$BJ$2:$CB$2,0))</f>
        <v>#N/A</v>
      </c>
      <c r="AO13" s="122" t="e">
        <f>INDEX($A$1:$O$27,MATCH(AL13,$A$1:$A$27,0),MATCH($AO$1,$A$1:$O$1,0))/INDEX('PROCV Prod.Total'!$BJ$2:$CB$15,MATCH('BD. graf. km rodado'!AL13,'PROCV Prod.Total'!$BJ$2:$BJ$15,0),MATCH('BD. graf. km rodado'!$AO$1,'PROCV Prod.Total'!$BJ$2:$CB$2,0))</f>
        <v>#N/A</v>
      </c>
      <c r="AP13" s="122" t="e">
        <f>INDEX($A$1:$O$27,MATCH(AL13,$A$1:$A$27,0),MATCH($AP$1,$A$1:$O$1,0))/INDEX('PROCV Prod.Total'!$BJ$2:$CB$15,MATCH('BD. graf. km rodado'!AL13,'PROCV Prod.Total'!$BJ$2:$BJ$15,0),MATCH('BD. graf. km rodado'!$AP$1,'PROCV Prod.Total'!$BJ$2:$CB$2,0))</f>
        <v>#N/A</v>
      </c>
      <c r="AQ13" s="78" t="e">
        <f>INDEX($A$1:$O$27,MATCH(AL13,$A$1:$A$27,0),MATCH($AQ$1,$A$1:$O$1,0))/INDEX('PROCV Prod.Total'!$BJ$2:$CB$15,MATCH('BD. graf. km rodado'!AL13,'PROCV Prod.Total'!$BJ$2:$BJ$15,0),MATCH('BD. graf. km rodado'!$AQ$1,'PROCV Prod.Total'!$BJ$2:$CB$2,0))</f>
        <v>#N/A</v>
      </c>
      <c r="AR13" s="122" t="e">
        <f>INDEX($A$1:$O$27,MATCH(AL13,$A$1:$A$27,0),MATCH($AR$1,$A$1:$O$1,0))/INDEX('PROCV Prod.Total'!$BJ$2:$CB$15,MATCH('BD. graf. km rodado'!AL13,'PROCV Prod.Total'!$BJ$2:$BJ$15,0),MATCH('BD. graf. km rodado'!$AR$1,'PROCV Prod.Total'!$BJ$2:$CB$2,0))</f>
        <v>#N/A</v>
      </c>
      <c r="AS13" s="78" t="e">
        <f>INDEX($A$1:$O$27,MATCH(AL13,$A$1:$A$27,0),MATCH($AS$1,$A$1:$O$1,0))/INDEX('PROCV Prod.Total'!$BJ$2:$CB$15,MATCH('BD. graf. km rodado'!AL13,'PROCV Prod.Total'!$BJ$2:$BJ$15,0),MATCH('BD. graf. km rodado'!$AS$1,'PROCV Prod.Total'!$BJ$2:$CB$2,0))</f>
        <v>#N/A</v>
      </c>
      <c r="AT13" s="122" t="e">
        <f>INDEX($A$1:$O$27,MATCH(AL13,$A$1:$A$27,0),MATCH($AT$1,$A$1:$O$1,0))/INDEX('PROCV Prod.Total'!$BJ$2:$CB$15,MATCH('BD. graf. km rodado'!AL13,'PROCV Prod.Total'!$BJ$2:$BJ$15,0),MATCH('BD. graf. km rodado'!$AT$1,'PROCV Prod.Total'!$BJ$2:$CB$2,0))</f>
        <v>#N/A</v>
      </c>
      <c r="AU13" s="78" t="e">
        <f>INDEX($A$1:$O$27,MATCH(AL13,$A$1:$A$27,0),MATCH($AU$1,$A$1:$O$1,0))/INDEX('PROCV Prod.Total'!$BJ$2:$CB$15,MATCH('BD. graf. km rodado'!AL13,'PROCV Prod.Total'!$BJ$2:$BJ$15,0),MATCH('BD. graf. km rodado'!$AU$1,'PROCV Prod.Total'!$BJ$2:$CB$2,0))</f>
        <v>#N/A</v>
      </c>
      <c r="AV13" s="122" t="e">
        <f>INDEX($A$1:$O$27,MATCH(AL13,$A$1:$A$27,0),MATCH($AV$1,$A$1:$O$1,0))/INDEX('PROCV Prod.Total'!$BJ$2:$CB$15,MATCH('BD. graf. km rodado'!AL13,'PROCV Prod.Total'!$BJ$2:$BJ$15,0),MATCH('BD. graf. km rodado'!$AV$1,'PROCV Prod.Total'!$BJ$2:$CB$2,0))</f>
        <v>#N/A</v>
      </c>
      <c r="AW13" s="122" t="e">
        <f>INDEX($A$1:$O$27,MATCH(AL13,$A$1:$A$27,0),MATCH($AW$1,$A$1:$O$1,0))/INDEX('PROCV Prod.Total'!$BJ$2:$CB$15,MATCH('BD. graf. km rodado'!AL13,'PROCV Prod.Total'!$BJ$2:$BJ$15,0),MATCH('BD. graf. km rodado'!$AW$1,'PROCV Prod.Total'!$BJ$2:$CB$2,0))</f>
        <v>#N/A</v>
      </c>
      <c r="AX13" s="78" t="e">
        <f>INDEX($A$1:$O$27,MATCH(AL13,$A$1:$A$27,0),MATCH($AX$1,$A$1:$O$1,0))/INDEX('PROCV Prod.Total'!$BJ$2:$CB$15,MATCH('BD. graf. km rodado'!AL13,'PROCV Prod.Total'!$BJ$2:$BJ$15,0),MATCH('BD. graf. km rodado'!$AX$1,'PROCV Prod.Total'!$BJ$2:$CB$2,0))</f>
        <v>#N/A</v>
      </c>
      <c r="AY13" s="122" t="e">
        <f>INDEX($A$1:$O$27,MATCH(AL13,$A$1:$A$27,0),MATCH($AY$1,$A$1:$O$1,0))/INDEX('PROCV Prod.Total'!$BJ$2:$CB$15,MATCH('BD. graf. km rodado'!AL13,'PROCV Prod.Total'!$BJ$2:$BJ$15,0),MATCH('BD. graf. km rodado'!$AY$1,'PROCV Prod.Total'!$BJ$2:$CB$2,0))</f>
        <v>#N/A</v>
      </c>
      <c r="BA13" s="167">
        <f t="shared" si="1"/>
        <v>42156</v>
      </c>
      <c r="BB13" s="167">
        <f>BA3</f>
        <v>42461</v>
      </c>
      <c r="BC13" s="122">
        <f>BE3</f>
        <v>6.4328358208955221</v>
      </c>
      <c r="BD13" s="16">
        <f t="shared" si="2"/>
        <v>8.6971869829012682</v>
      </c>
      <c r="BE13" s="122" t="e">
        <f t="shared" si="3"/>
        <v>#N/A</v>
      </c>
    </row>
    <row r="14" spans="1:57" x14ac:dyDescent="0.2">
      <c r="A14" s="159">
        <v>42675</v>
      </c>
      <c r="B14" s="78">
        <f>SUMIFS('BD. km rodado'!$B:$B,'BD. km rodado'!$A:$A,"&gt;="&amp;A14,'BD. km rodado'!$A:$A,"&lt;"&amp;A15)</f>
        <v>0</v>
      </c>
      <c r="C14" s="78">
        <f>SUMIFS('BD. km rodado'!$C:$C,'BD. km rodado'!$A:$A,"&gt;="&amp;A14,'BD. km rodado'!$A:$A,"&lt;"&amp;A15)</f>
        <v>0</v>
      </c>
      <c r="D14" s="78">
        <f>SUMIFS('BD. km rodado'!$D:$D,'BD. km rodado'!$A:$A,"&gt;="&amp;A14,'BD. km rodado'!$A:$A,"&lt;"&amp;A15)</f>
        <v>0</v>
      </c>
      <c r="E14" s="78">
        <f>SUMIFS('BD. km rodado'!$E:$E,'BD. km rodado'!$A:$A,"&gt;="&amp;A14,'BD. km rodado'!$A:$A,"&lt;"&amp;A15)</f>
        <v>0</v>
      </c>
      <c r="F14" s="78">
        <f>SUMIFS('BD. km rodado'!$F:$F,'BD. km rodado'!$A:$A,"&gt;="&amp;A14,'BD. km rodado'!$A:$A,"&lt;"&amp;A15)</f>
        <v>0</v>
      </c>
      <c r="G14" s="78">
        <f>SUMIFS('BD. km rodado'!$G:$G,'BD. km rodado'!$A:$A,"&gt;="&amp;A14,'BD. km rodado'!$A:$A,"&lt;"&amp;A15)</f>
        <v>0</v>
      </c>
      <c r="H14" s="78">
        <f>SUMIFS('BD. km rodado'!$H:$H,'BD. km rodado'!$A:$A,"&gt;="&amp;A14,'BD. km rodado'!$A:$A,"&lt;"&amp;A15)</f>
        <v>0</v>
      </c>
      <c r="I14" s="78">
        <f>SUMIFS('BD. km rodado'!$I:$I,'BD. km rodado'!$A:$A,"&gt;="&amp;A14,'BD. km rodado'!$A:$A,"&lt;"&amp;A15)</f>
        <v>0</v>
      </c>
      <c r="J14" s="78">
        <f>SUMIFS('BD. km rodado'!$J:$J,'BD. km rodado'!$A:$A,"&gt;="&amp;A14,'BD. km rodado'!$A:$A,"&lt;"&amp;A15)</f>
        <v>0</v>
      </c>
      <c r="K14" s="78">
        <f>SUMIFS('BD. km rodado'!$K:$K,'BD. km rodado'!$A:$A,"&gt;="&amp;A14,'BD. km rodado'!$A:$A,"&lt;"&amp;A15)</f>
        <v>0</v>
      </c>
      <c r="L14" s="78">
        <f>SUMIFS('BD. km rodado'!$L:$L,'BD. km rodado'!$A:$A,"&gt;="&amp;A14,'BD. km rodado'!$A:$A,"&lt;"&amp;A15)</f>
        <v>0</v>
      </c>
      <c r="M14" s="78">
        <f>SUMIFS('BD. km rodado'!$M:$M,'BD. km rodado'!$A:$A,"&gt;="&amp;A14,'BD. km rodado'!$A:$A,"&lt;"&amp;A15)</f>
        <v>0</v>
      </c>
      <c r="N14" s="78">
        <f>SUMIFS('BD. km rodado'!$N:$N,'BD. km rodado'!$A:$A,"&gt;="&amp;A14,'BD. km rodado'!$A:$A,"&lt;"&amp;A15)</f>
        <v>0</v>
      </c>
      <c r="O14" s="78">
        <f>SUMIFS('BD. km rodado'!$O:$O,'BD. km rodado'!$A:$A,"&gt;="&amp;A14,'BD. km rodado'!$A:$A,"&lt;"&amp;A15)</f>
        <v>0</v>
      </c>
      <c r="P14">
        <f t="shared" si="4"/>
        <v>0</v>
      </c>
      <c r="Q14">
        <f>SUMIFS(BD.OS!$X:$X,BD.OS!$A:$A,"&gt;="&amp;'BD. graf. km rodado'!A14,BD.OS!$A:$A,"&lt;"&amp;A15)</f>
        <v>0</v>
      </c>
      <c r="R14" s="16" t="e">
        <f t="shared" si="5"/>
        <v>#DIV/0!</v>
      </c>
      <c r="AL14" s="159">
        <f>DATE(ANOPROD.,'Prod. e Improd'!$F$8-12,1)</f>
        <v>42125</v>
      </c>
      <c r="AM14" s="122" t="e">
        <f>INDEX($A$1:$O$27,MATCH(AL14,$A$1:$A$27,0),MATCH($AM$1,$A$1:$O$1,0))/INDEX('PROCV Prod.Total'!$BJ$2:$CB$15,MATCH('BD. graf. km rodado'!AL14,'PROCV Prod.Total'!$BJ$2:$BJ$15,0),MATCH('BD. graf. km rodado'!$AM$1,'PROCV Prod.Total'!$BJ$2:$CB$2,0))</f>
        <v>#N/A</v>
      </c>
      <c r="AN14" s="122" t="e">
        <f>INDEX($A$1:$O$27,MATCH(AL14,$A$1:$A$27,0),MATCH($AN$1,$A$1:$O$1,0))/INDEX('PROCV Prod.Total'!$BJ$2:$CB$15,MATCH('BD. graf. km rodado'!AL14,'PROCV Prod.Total'!$BJ$2:$BJ$15,0),MATCH('BD. graf. km rodado'!$AN$1,'PROCV Prod.Total'!$BJ$2:$CB$2,0))</f>
        <v>#N/A</v>
      </c>
      <c r="AO14" s="122" t="e">
        <f>INDEX($A$1:$O$27,MATCH(AL14,$A$1:$A$27,0),MATCH($AO$1,$A$1:$O$1,0))/INDEX('PROCV Prod.Total'!$BJ$2:$CB$15,MATCH('BD. graf. km rodado'!AL14,'PROCV Prod.Total'!$BJ$2:$BJ$15,0),MATCH('BD. graf. km rodado'!$AO$1,'PROCV Prod.Total'!$BJ$2:$CB$2,0))</f>
        <v>#N/A</v>
      </c>
      <c r="AP14" s="122" t="e">
        <f>INDEX($A$1:$O$27,MATCH(AL14,$A$1:$A$27,0),MATCH($AP$1,$A$1:$O$1,0))/INDEX('PROCV Prod.Total'!$BJ$2:$CB$15,MATCH('BD. graf. km rodado'!AL14,'PROCV Prod.Total'!$BJ$2:$BJ$15,0),MATCH('BD. graf. km rodado'!$AP$1,'PROCV Prod.Total'!$BJ$2:$CB$2,0))</f>
        <v>#N/A</v>
      </c>
      <c r="AQ14" s="78" t="e">
        <f>INDEX($A$1:$O$27,MATCH(AL14,$A$1:$A$27,0),MATCH($AQ$1,$A$1:$O$1,0))/INDEX('PROCV Prod.Total'!$BJ$2:$CB$15,MATCH('BD. graf. km rodado'!AL14,'PROCV Prod.Total'!$BJ$2:$BJ$15,0),MATCH('BD. graf. km rodado'!$AQ$1,'PROCV Prod.Total'!$BJ$2:$CB$2,0))</f>
        <v>#N/A</v>
      </c>
      <c r="AR14" s="122" t="e">
        <f>INDEX($A$1:$O$27,MATCH(AL14,$A$1:$A$27,0),MATCH($AR$1,$A$1:$O$1,0))/INDEX('PROCV Prod.Total'!$BJ$2:$CB$15,MATCH('BD. graf. km rodado'!AL14,'PROCV Prod.Total'!$BJ$2:$BJ$15,0),MATCH('BD. graf. km rodado'!$AR$1,'PROCV Prod.Total'!$BJ$2:$CB$2,0))</f>
        <v>#N/A</v>
      </c>
      <c r="AS14" s="78" t="e">
        <f>INDEX($A$1:$O$27,MATCH(AL14,$A$1:$A$27,0),MATCH($AS$1,$A$1:$O$1,0))/INDEX('PROCV Prod.Total'!$BJ$2:$CB$15,MATCH('BD. graf. km rodado'!AL14,'PROCV Prod.Total'!$BJ$2:$BJ$15,0),MATCH('BD. graf. km rodado'!$AS$1,'PROCV Prod.Total'!$BJ$2:$CB$2,0))</f>
        <v>#N/A</v>
      </c>
      <c r="AT14" s="122" t="e">
        <f>INDEX($A$1:$O$27,MATCH(AL14,$A$1:$A$27,0),MATCH($AT$1,$A$1:$O$1,0))/INDEX('PROCV Prod.Total'!$BJ$2:$CB$15,MATCH('BD. graf. km rodado'!AL14,'PROCV Prod.Total'!$BJ$2:$BJ$15,0),MATCH('BD. graf. km rodado'!$AT$1,'PROCV Prod.Total'!$BJ$2:$CB$2,0))</f>
        <v>#N/A</v>
      </c>
      <c r="AU14" s="78" t="e">
        <f>INDEX($A$1:$O$27,MATCH(AL14,$A$1:$A$27,0),MATCH($AU$1,$A$1:$O$1,0))/INDEX('PROCV Prod.Total'!$BJ$2:$CB$15,MATCH('BD. graf. km rodado'!AL14,'PROCV Prod.Total'!$BJ$2:$BJ$15,0),MATCH('BD. graf. km rodado'!$AU$1,'PROCV Prod.Total'!$BJ$2:$CB$2,0))</f>
        <v>#N/A</v>
      </c>
      <c r="AV14" s="122" t="e">
        <f>INDEX($A$1:$O$27,MATCH(AL14,$A$1:$A$27,0),MATCH($AV$1,$A$1:$O$1,0))/INDEX('PROCV Prod.Total'!$BJ$2:$CB$15,MATCH('BD. graf. km rodado'!AL14,'PROCV Prod.Total'!$BJ$2:$BJ$15,0),MATCH('BD. graf. km rodado'!$AV$1,'PROCV Prod.Total'!$BJ$2:$CB$2,0))</f>
        <v>#N/A</v>
      </c>
      <c r="AW14" s="122" t="e">
        <f>INDEX($A$1:$O$27,MATCH(AL14,$A$1:$A$27,0),MATCH($AW$1,$A$1:$O$1,0))/INDEX('PROCV Prod.Total'!$BJ$2:$CB$15,MATCH('BD. graf. km rodado'!AL14,'PROCV Prod.Total'!$BJ$2:$BJ$15,0),MATCH('BD. graf. km rodado'!$AW$1,'PROCV Prod.Total'!$BJ$2:$CB$2,0))</f>
        <v>#N/A</v>
      </c>
      <c r="AX14" s="78" t="e">
        <f>INDEX($A$1:$O$27,MATCH(AL14,$A$1:$A$27,0),MATCH($AX$1,$A$1:$O$1,0))/INDEX('PROCV Prod.Total'!$BJ$2:$CB$15,MATCH('BD. graf. km rodado'!AL14,'PROCV Prod.Total'!$BJ$2:$BJ$15,0),MATCH('BD. graf. km rodado'!$AX$1,'PROCV Prod.Total'!$BJ$2:$CB$2,0))</f>
        <v>#N/A</v>
      </c>
      <c r="AY14" s="122" t="e">
        <f>INDEX($A$1:$O$27,MATCH(AL14,$A$1:$A$27,0),MATCH($AY$1,$A$1:$O$1,0))/INDEX('PROCV Prod.Total'!$BJ$2:$CB$15,MATCH('BD. graf. km rodado'!AL14,'PROCV Prod.Total'!$BJ$2:$BJ$15,0),MATCH('BD. graf. km rodado'!$AY$1,'PROCV Prod.Total'!$BJ$2:$CB$2,0))</f>
        <v>#N/A</v>
      </c>
      <c r="BA14" s="167">
        <f t="shared" si="1"/>
        <v>42125</v>
      </c>
      <c r="BB14" s="167">
        <f>BA2</f>
        <v>42491</v>
      </c>
      <c r="BC14" s="122">
        <f>BE2</f>
        <v>0</v>
      </c>
      <c r="BD14" s="16">
        <f t="shared" si="2"/>
        <v>0</v>
      </c>
      <c r="BE14" s="122" t="e">
        <f t="shared" si="3"/>
        <v>#N/A</v>
      </c>
    </row>
    <row r="15" spans="1:57" x14ac:dyDescent="0.2">
      <c r="A15" s="159">
        <v>42705</v>
      </c>
      <c r="B15" s="78">
        <f>SUMIFS('BD. km rodado'!$B:$B,'BD. km rodado'!$A:$A,"&gt;="&amp;A15,'BD. km rodado'!$A:$A,"&lt;"&amp;A16)</f>
        <v>0</v>
      </c>
      <c r="C15" s="78">
        <f>SUMIFS('BD. km rodado'!$C:$C,'BD. km rodado'!$A:$A,"&gt;="&amp;A15,'BD. km rodado'!$A:$A,"&lt;"&amp;A16)</f>
        <v>0</v>
      </c>
      <c r="D15" s="78">
        <f>SUMIFS('BD. km rodado'!$D:$D,'BD. km rodado'!$A:$A,"&gt;="&amp;A15,'BD. km rodado'!$A:$A,"&lt;"&amp;A16)</f>
        <v>0</v>
      </c>
      <c r="E15" s="78">
        <f>SUMIFS('BD. km rodado'!$E:$E,'BD. km rodado'!$A:$A,"&gt;="&amp;A15,'BD. km rodado'!$A:$A,"&lt;"&amp;A16)</f>
        <v>0</v>
      </c>
      <c r="F15" s="78">
        <f>SUMIFS('BD. km rodado'!$F:$F,'BD. km rodado'!$A:$A,"&gt;="&amp;A15,'BD. km rodado'!$A:$A,"&lt;"&amp;A16)</f>
        <v>0</v>
      </c>
      <c r="G15" s="78">
        <f>SUMIFS('BD. km rodado'!$G:$G,'BD. km rodado'!$A:$A,"&gt;="&amp;A15,'BD. km rodado'!$A:$A,"&lt;"&amp;A16)</f>
        <v>0</v>
      </c>
      <c r="H15" s="78">
        <f>SUMIFS('BD. km rodado'!$H:$H,'BD. km rodado'!$A:$A,"&gt;="&amp;A15,'BD. km rodado'!$A:$A,"&lt;"&amp;A16)</f>
        <v>0</v>
      </c>
      <c r="I15" s="78">
        <f>SUMIFS('BD. km rodado'!$I:$I,'BD. km rodado'!$A:$A,"&gt;="&amp;A15,'BD. km rodado'!$A:$A,"&lt;"&amp;A16)</f>
        <v>0</v>
      </c>
      <c r="J15" s="78">
        <f>SUMIFS('BD. km rodado'!$J:$J,'BD. km rodado'!$A:$A,"&gt;="&amp;A15,'BD. km rodado'!$A:$A,"&lt;"&amp;A16)</f>
        <v>0</v>
      </c>
      <c r="K15" s="78">
        <f>SUMIFS('BD. km rodado'!$K:$K,'BD. km rodado'!$A:$A,"&gt;="&amp;A15,'BD. km rodado'!$A:$A,"&lt;"&amp;A16)</f>
        <v>0</v>
      </c>
      <c r="L15" s="78">
        <f>SUMIFS('BD. km rodado'!$L:$L,'BD. km rodado'!$A:$A,"&gt;="&amp;A15,'BD. km rodado'!$A:$A,"&lt;"&amp;A16)</f>
        <v>0</v>
      </c>
      <c r="M15" s="78">
        <f>SUMIFS('BD. km rodado'!$M:$M,'BD. km rodado'!$A:$A,"&gt;="&amp;A15,'BD. km rodado'!$A:$A,"&lt;"&amp;A16)</f>
        <v>0</v>
      </c>
      <c r="N15" s="78">
        <f>SUMIFS('BD. km rodado'!$N:$N,'BD. km rodado'!$A:$A,"&gt;="&amp;A15,'BD. km rodado'!$A:$A,"&lt;"&amp;A16)</f>
        <v>0</v>
      </c>
      <c r="O15" s="78">
        <f>SUMIFS('BD. km rodado'!$O:$O,'BD. km rodado'!$A:$A,"&gt;="&amp;A15,'BD. km rodado'!$A:$A,"&lt;"&amp;A16)</f>
        <v>0</v>
      </c>
      <c r="P15">
        <f t="shared" si="4"/>
        <v>0</v>
      </c>
      <c r="Q15">
        <f>SUMIFS(BD.OS!$X:$X,BD.OS!$A:$A,"&gt;="&amp;'BD. graf. km rodado'!A15,BD.OS!$A:$A,"&lt;"&amp;A16)</f>
        <v>0</v>
      </c>
      <c r="R15" s="16" t="e">
        <f t="shared" si="5"/>
        <v>#DIV/0!</v>
      </c>
      <c r="AL15" s="159"/>
    </row>
    <row r="16" spans="1:57" x14ac:dyDescent="0.2">
      <c r="A16" s="159">
        <v>42736</v>
      </c>
      <c r="B16" s="78">
        <f>SUMIFS('BD. km rodado'!$B:$B,'BD. km rodado'!$A:$A,"&gt;="&amp;A16,'BD. km rodado'!$A:$A,"&lt;"&amp;A17)</f>
        <v>0</v>
      </c>
      <c r="C16" s="78">
        <f>SUMIFS('BD. km rodado'!$C:$C,'BD. km rodado'!$A:$A,"&gt;="&amp;A16,'BD. km rodado'!$A:$A,"&lt;"&amp;A17)</f>
        <v>0</v>
      </c>
      <c r="D16" s="78">
        <f>SUMIFS('BD. km rodado'!$D:$D,'BD. km rodado'!$A:$A,"&gt;="&amp;A16,'BD. km rodado'!$A:$A,"&lt;"&amp;A17)</f>
        <v>0</v>
      </c>
      <c r="E16" s="78">
        <f>SUMIFS('BD. km rodado'!$E:$E,'BD. km rodado'!$A:$A,"&gt;="&amp;A16,'BD. km rodado'!$A:$A,"&lt;"&amp;A17)</f>
        <v>0</v>
      </c>
      <c r="F16" s="78">
        <f>SUMIFS('BD. km rodado'!$F:$F,'BD. km rodado'!$A:$A,"&gt;="&amp;A16,'BD. km rodado'!$A:$A,"&lt;"&amp;A17)</f>
        <v>0</v>
      </c>
      <c r="G16" s="78">
        <f>SUMIFS('BD. km rodado'!$G:$G,'BD. km rodado'!$A:$A,"&gt;="&amp;A16,'BD. km rodado'!$A:$A,"&lt;"&amp;A17)</f>
        <v>0</v>
      </c>
      <c r="H16" s="78">
        <f>SUMIFS('BD. km rodado'!$H:$H,'BD. km rodado'!$A:$A,"&gt;="&amp;A16,'BD. km rodado'!$A:$A,"&lt;"&amp;A17)</f>
        <v>0</v>
      </c>
      <c r="I16" s="78">
        <f>SUMIFS('BD. km rodado'!$I:$I,'BD. km rodado'!$A:$A,"&gt;="&amp;A16,'BD. km rodado'!$A:$A,"&lt;"&amp;A17)</f>
        <v>0</v>
      </c>
      <c r="J16" s="78">
        <f>SUMIFS('BD. km rodado'!$J:$J,'BD. km rodado'!$A:$A,"&gt;="&amp;A16,'BD. km rodado'!$A:$A,"&lt;"&amp;A17)</f>
        <v>0</v>
      </c>
      <c r="K16" s="78">
        <f>SUMIFS('BD. km rodado'!$K:$K,'BD. km rodado'!$A:$A,"&gt;="&amp;A16,'BD. km rodado'!$A:$A,"&lt;"&amp;A17)</f>
        <v>0</v>
      </c>
      <c r="L16" s="78">
        <f>SUMIFS('BD. km rodado'!$L:$L,'BD. km rodado'!$A:$A,"&gt;="&amp;A16,'BD. km rodado'!$A:$A,"&lt;"&amp;A17)</f>
        <v>0</v>
      </c>
      <c r="M16" s="78">
        <f>SUMIFS('BD. km rodado'!$M:$M,'BD. km rodado'!$A:$A,"&gt;="&amp;A16,'BD. km rodado'!$A:$A,"&lt;"&amp;A17)</f>
        <v>0</v>
      </c>
      <c r="N16" s="78">
        <f>SUMIFS('BD. km rodado'!$N:$N,'BD. km rodado'!$A:$A,"&gt;="&amp;A16,'BD. km rodado'!$A:$A,"&lt;"&amp;A17)</f>
        <v>0</v>
      </c>
      <c r="O16" s="78">
        <f>SUMIFS('BD. km rodado'!$O:$O,'BD. km rodado'!$A:$A,"&gt;="&amp;A16,'BD. km rodado'!$A:$A,"&lt;"&amp;A17)</f>
        <v>0</v>
      </c>
      <c r="P16">
        <f t="shared" si="4"/>
        <v>0</v>
      </c>
      <c r="Q16">
        <f>SUMIFS(BD.OS!$X:$X,BD.OS!$A:$A,"&gt;="&amp;'BD. graf. km rodado'!A16,BD.OS!$A:$A,"&lt;"&amp;A17)</f>
        <v>0</v>
      </c>
      <c r="R16" s="16" t="e">
        <f t="shared" si="5"/>
        <v>#DIV/0!</v>
      </c>
      <c r="AL16" s="159"/>
    </row>
    <row r="17" spans="1:38" x14ac:dyDescent="0.2">
      <c r="A17" s="159">
        <v>42767</v>
      </c>
      <c r="B17" s="78">
        <f>SUMIFS('BD. km rodado'!$B:$B,'BD. km rodado'!$A:$A,"&gt;="&amp;A17,'BD. km rodado'!$A:$A,"&lt;"&amp;A18)</f>
        <v>0</v>
      </c>
      <c r="C17" s="78">
        <f>SUMIFS('BD. km rodado'!$C:$C,'BD. km rodado'!$A:$A,"&gt;="&amp;A17,'BD. km rodado'!$A:$A,"&lt;"&amp;A18)</f>
        <v>0</v>
      </c>
      <c r="D17" s="78">
        <f>SUMIFS('BD. km rodado'!$D:$D,'BD. km rodado'!$A:$A,"&gt;="&amp;A17,'BD. km rodado'!$A:$A,"&lt;"&amp;A18)</f>
        <v>0</v>
      </c>
      <c r="E17" s="78">
        <f>SUMIFS('BD. km rodado'!$E:$E,'BD. km rodado'!$A:$A,"&gt;="&amp;A17,'BD. km rodado'!$A:$A,"&lt;"&amp;A18)</f>
        <v>0</v>
      </c>
      <c r="F17" s="78">
        <f>SUMIFS('BD. km rodado'!$F:$F,'BD. km rodado'!$A:$A,"&gt;="&amp;A17,'BD. km rodado'!$A:$A,"&lt;"&amp;A18)</f>
        <v>0</v>
      </c>
      <c r="G17" s="78">
        <f>SUMIFS('BD. km rodado'!$G:$G,'BD. km rodado'!$A:$A,"&gt;="&amp;A17,'BD. km rodado'!$A:$A,"&lt;"&amp;A18)</f>
        <v>0</v>
      </c>
      <c r="H17" s="78">
        <f>SUMIFS('BD. km rodado'!$H:$H,'BD. km rodado'!$A:$A,"&gt;="&amp;A17,'BD. km rodado'!$A:$A,"&lt;"&amp;A18)</f>
        <v>0</v>
      </c>
      <c r="I17" s="78">
        <f>SUMIFS('BD. km rodado'!$I:$I,'BD. km rodado'!$A:$A,"&gt;="&amp;A17,'BD. km rodado'!$A:$A,"&lt;"&amp;A18)</f>
        <v>0</v>
      </c>
      <c r="J17" s="78">
        <f>SUMIFS('BD. km rodado'!$J:$J,'BD. km rodado'!$A:$A,"&gt;="&amp;A17,'BD. km rodado'!$A:$A,"&lt;"&amp;A18)</f>
        <v>0</v>
      </c>
      <c r="K17" s="78">
        <f>SUMIFS('BD. km rodado'!$K:$K,'BD. km rodado'!$A:$A,"&gt;="&amp;A17,'BD. km rodado'!$A:$A,"&lt;"&amp;A18)</f>
        <v>0</v>
      </c>
      <c r="L17" s="78">
        <f>SUMIFS('BD. km rodado'!$L:$L,'BD. km rodado'!$A:$A,"&gt;="&amp;A17,'BD. km rodado'!$A:$A,"&lt;"&amp;A18)</f>
        <v>0</v>
      </c>
      <c r="M17" s="78">
        <f>SUMIFS('BD. km rodado'!$M:$M,'BD. km rodado'!$A:$A,"&gt;="&amp;A17,'BD. km rodado'!$A:$A,"&lt;"&amp;A18)</f>
        <v>0</v>
      </c>
      <c r="N17" s="78">
        <f>SUMIFS('BD. km rodado'!$N:$N,'BD. km rodado'!$A:$A,"&gt;="&amp;A17,'BD. km rodado'!$A:$A,"&lt;"&amp;A18)</f>
        <v>0</v>
      </c>
      <c r="O17" s="78">
        <f>SUMIFS('BD. km rodado'!$O:$O,'BD. km rodado'!$A:$A,"&gt;="&amp;A17,'BD. km rodado'!$A:$A,"&lt;"&amp;A18)</f>
        <v>0</v>
      </c>
      <c r="P17">
        <f t="shared" si="4"/>
        <v>0</v>
      </c>
      <c r="Q17">
        <f>SUMIFS(BD.OS!$X:$X,BD.OS!$A:$A,"&gt;="&amp;'BD. graf. km rodado'!A17,BD.OS!$A:$A,"&lt;"&amp;A18)</f>
        <v>0</v>
      </c>
      <c r="R17" s="16" t="e">
        <f t="shared" si="5"/>
        <v>#DIV/0!</v>
      </c>
      <c r="AL17" s="159"/>
    </row>
    <row r="18" spans="1:38" x14ac:dyDescent="0.2">
      <c r="A18" s="159">
        <v>42795</v>
      </c>
      <c r="B18" s="78">
        <f>SUMIFS('BD. km rodado'!$B:$B,'BD. km rodado'!$A:$A,"&gt;="&amp;A18,'BD. km rodado'!$A:$A,"&lt;"&amp;A19)</f>
        <v>0</v>
      </c>
      <c r="C18" s="78">
        <f>SUMIFS('BD. km rodado'!$C:$C,'BD. km rodado'!$A:$A,"&gt;="&amp;A18,'BD. km rodado'!$A:$A,"&lt;"&amp;A19)</f>
        <v>0</v>
      </c>
      <c r="D18" s="78">
        <f>SUMIFS('BD. km rodado'!$D:$D,'BD. km rodado'!$A:$A,"&gt;="&amp;A18,'BD. km rodado'!$A:$A,"&lt;"&amp;A19)</f>
        <v>0</v>
      </c>
      <c r="E18" s="78">
        <f>SUMIFS('BD. km rodado'!$E:$E,'BD. km rodado'!$A:$A,"&gt;="&amp;A18,'BD. km rodado'!$A:$A,"&lt;"&amp;A19)</f>
        <v>0</v>
      </c>
      <c r="F18" s="78">
        <f>SUMIFS('BD. km rodado'!$F:$F,'BD. km rodado'!$A:$A,"&gt;="&amp;A18,'BD. km rodado'!$A:$A,"&lt;"&amp;A19)</f>
        <v>0</v>
      </c>
      <c r="G18" s="78">
        <f>SUMIFS('BD. km rodado'!$G:$G,'BD. km rodado'!$A:$A,"&gt;="&amp;A18,'BD. km rodado'!$A:$A,"&lt;"&amp;A19)</f>
        <v>0</v>
      </c>
      <c r="H18" s="78">
        <f>SUMIFS('BD. km rodado'!$H:$H,'BD. km rodado'!$A:$A,"&gt;="&amp;A18,'BD. km rodado'!$A:$A,"&lt;"&amp;A19)</f>
        <v>0</v>
      </c>
      <c r="I18" s="78">
        <f>SUMIFS('BD. km rodado'!$I:$I,'BD. km rodado'!$A:$A,"&gt;="&amp;A18,'BD. km rodado'!$A:$A,"&lt;"&amp;A19)</f>
        <v>0</v>
      </c>
      <c r="J18" s="78">
        <f>SUMIFS('BD. km rodado'!$J:$J,'BD. km rodado'!$A:$A,"&gt;="&amp;A18,'BD. km rodado'!$A:$A,"&lt;"&amp;A19)</f>
        <v>0</v>
      </c>
      <c r="K18" s="78">
        <f>SUMIFS('BD. km rodado'!$K:$K,'BD. km rodado'!$A:$A,"&gt;="&amp;A18,'BD. km rodado'!$A:$A,"&lt;"&amp;A19)</f>
        <v>0</v>
      </c>
      <c r="L18" s="78">
        <f>SUMIFS('BD. km rodado'!$L:$L,'BD. km rodado'!$A:$A,"&gt;="&amp;A18,'BD. km rodado'!$A:$A,"&lt;"&amp;A19)</f>
        <v>0</v>
      </c>
      <c r="M18" s="78">
        <f>SUMIFS('BD. km rodado'!$M:$M,'BD. km rodado'!$A:$A,"&gt;="&amp;A18,'BD. km rodado'!$A:$A,"&lt;"&amp;A19)</f>
        <v>0</v>
      </c>
      <c r="N18" s="78">
        <f>SUMIFS('BD. km rodado'!$N:$N,'BD. km rodado'!$A:$A,"&gt;="&amp;A18,'BD. km rodado'!$A:$A,"&lt;"&amp;A19)</f>
        <v>0</v>
      </c>
      <c r="O18" s="78">
        <f>SUMIFS('BD. km rodado'!$O:$O,'BD. km rodado'!$A:$A,"&gt;="&amp;A18,'BD. km rodado'!$A:$A,"&lt;"&amp;A19)</f>
        <v>0</v>
      </c>
      <c r="P18">
        <f t="shared" si="4"/>
        <v>0</v>
      </c>
      <c r="Q18">
        <f>SUMIFS(BD.OS!$X:$X,BD.OS!$A:$A,"&gt;="&amp;'BD. graf. km rodado'!A18,BD.OS!$A:$A,"&lt;"&amp;A19)</f>
        <v>0</v>
      </c>
      <c r="R18" s="16" t="e">
        <f t="shared" si="5"/>
        <v>#DIV/0!</v>
      </c>
    </row>
    <row r="19" spans="1:38" x14ac:dyDescent="0.2">
      <c r="A19" s="159">
        <v>42826</v>
      </c>
      <c r="B19" s="78">
        <f>SUMIFS('BD. km rodado'!$B:$B,'BD. km rodado'!$A:$A,"&gt;="&amp;A19,'BD. km rodado'!$A:$A,"&lt;"&amp;A20)</f>
        <v>0</v>
      </c>
      <c r="C19" s="78">
        <f>SUMIFS('BD. km rodado'!$C:$C,'BD. km rodado'!$A:$A,"&gt;="&amp;A19,'BD. km rodado'!$A:$A,"&lt;"&amp;A20)</f>
        <v>0</v>
      </c>
      <c r="D19" s="78">
        <f>SUMIFS('BD. km rodado'!$D:$D,'BD. km rodado'!$A:$A,"&gt;="&amp;A19,'BD. km rodado'!$A:$A,"&lt;"&amp;A20)</f>
        <v>0</v>
      </c>
      <c r="E19" s="78">
        <f>SUMIFS('BD. km rodado'!$E:$E,'BD. km rodado'!$A:$A,"&gt;="&amp;A19,'BD. km rodado'!$A:$A,"&lt;"&amp;A20)</f>
        <v>0</v>
      </c>
      <c r="F19" s="78">
        <f>SUMIFS('BD. km rodado'!$F:$F,'BD. km rodado'!$A:$A,"&gt;="&amp;A19,'BD. km rodado'!$A:$A,"&lt;"&amp;A20)</f>
        <v>0</v>
      </c>
      <c r="G19" s="78">
        <f>SUMIFS('BD. km rodado'!$G:$G,'BD. km rodado'!$A:$A,"&gt;="&amp;A19,'BD. km rodado'!$A:$A,"&lt;"&amp;A20)</f>
        <v>0</v>
      </c>
      <c r="H19" s="78">
        <f>SUMIFS('BD. km rodado'!$H:$H,'BD. km rodado'!$A:$A,"&gt;="&amp;A19,'BD. km rodado'!$A:$A,"&lt;"&amp;A20)</f>
        <v>0</v>
      </c>
      <c r="I19" s="78">
        <f>SUMIFS('BD. km rodado'!$I:$I,'BD. km rodado'!$A:$A,"&gt;="&amp;A19,'BD. km rodado'!$A:$A,"&lt;"&amp;A20)</f>
        <v>0</v>
      </c>
      <c r="J19" s="78">
        <f>SUMIFS('BD. km rodado'!$J:$J,'BD. km rodado'!$A:$A,"&gt;="&amp;A19,'BD. km rodado'!$A:$A,"&lt;"&amp;A20)</f>
        <v>0</v>
      </c>
      <c r="K19" s="78">
        <f>SUMIFS('BD. km rodado'!$K:$K,'BD. km rodado'!$A:$A,"&gt;="&amp;A19,'BD. km rodado'!$A:$A,"&lt;"&amp;A20)</f>
        <v>0</v>
      </c>
      <c r="L19" s="78">
        <f>SUMIFS('BD. km rodado'!$L:$L,'BD. km rodado'!$A:$A,"&gt;="&amp;A19,'BD. km rodado'!$A:$A,"&lt;"&amp;A20)</f>
        <v>0</v>
      </c>
      <c r="M19" s="78">
        <f>SUMIFS('BD. km rodado'!$M:$M,'BD. km rodado'!$A:$A,"&gt;="&amp;A19,'BD. km rodado'!$A:$A,"&lt;"&amp;A20)</f>
        <v>0</v>
      </c>
      <c r="N19" s="78">
        <f>SUMIFS('BD. km rodado'!$N:$N,'BD. km rodado'!$A:$A,"&gt;="&amp;A19,'BD. km rodado'!$A:$A,"&lt;"&amp;A20)</f>
        <v>0</v>
      </c>
      <c r="O19" s="78">
        <f>SUMIFS('BD. km rodado'!$O:$O,'BD. km rodado'!$A:$A,"&gt;="&amp;A19,'BD. km rodado'!$A:$A,"&lt;"&amp;A20)</f>
        <v>0</v>
      </c>
      <c r="P19">
        <f t="shared" si="4"/>
        <v>0</v>
      </c>
      <c r="Q19">
        <f>SUMIFS(BD.OS!$X:$X,BD.OS!$A:$A,"&gt;="&amp;'BD. graf. km rodado'!A19,BD.OS!$A:$A,"&lt;"&amp;A20)</f>
        <v>0</v>
      </c>
      <c r="R19" s="16" t="e">
        <f t="shared" si="5"/>
        <v>#DIV/0!</v>
      </c>
    </row>
    <row r="20" spans="1:38" x14ac:dyDescent="0.2">
      <c r="A20" s="159">
        <v>42856</v>
      </c>
      <c r="B20" s="78">
        <f>SUMIFS('BD. km rodado'!$B:$B,'BD. km rodado'!$A:$A,"&gt;="&amp;A20,'BD. km rodado'!$A:$A,"&lt;"&amp;A21)</f>
        <v>0</v>
      </c>
      <c r="C20" s="78">
        <f>SUMIFS('BD. km rodado'!$C:$C,'BD. km rodado'!$A:$A,"&gt;="&amp;A20,'BD. km rodado'!$A:$A,"&lt;"&amp;A21)</f>
        <v>0</v>
      </c>
      <c r="D20" s="78">
        <f>SUMIFS('BD. km rodado'!$D:$D,'BD. km rodado'!$A:$A,"&gt;="&amp;A20,'BD. km rodado'!$A:$A,"&lt;"&amp;A21)</f>
        <v>0</v>
      </c>
      <c r="E20" s="78">
        <f>SUMIFS('BD. km rodado'!$E:$E,'BD. km rodado'!$A:$A,"&gt;="&amp;A20,'BD. km rodado'!$A:$A,"&lt;"&amp;A21)</f>
        <v>0</v>
      </c>
      <c r="F20" s="78">
        <f>SUMIFS('BD. km rodado'!$F:$F,'BD. km rodado'!$A:$A,"&gt;="&amp;A20,'BD. km rodado'!$A:$A,"&lt;"&amp;A21)</f>
        <v>0</v>
      </c>
      <c r="G20" s="78">
        <f>SUMIFS('BD. km rodado'!$G:$G,'BD. km rodado'!$A:$A,"&gt;="&amp;A20,'BD. km rodado'!$A:$A,"&lt;"&amp;A21)</f>
        <v>0</v>
      </c>
      <c r="H20" s="78">
        <f>SUMIFS('BD. km rodado'!$H:$H,'BD. km rodado'!$A:$A,"&gt;="&amp;A20,'BD. km rodado'!$A:$A,"&lt;"&amp;A21)</f>
        <v>0</v>
      </c>
      <c r="I20" s="78">
        <f>SUMIFS('BD. km rodado'!$I:$I,'BD. km rodado'!$A:$A,"&gt;="&amp;A20,'BD. km rodado'!$A:$A,"&lt;"&amp;A21)</f>
        <v>0</v>
      </c>
      <c r="J20" s="78">
        <f>SUMIFS('BD. km rodado'!$J:$J,'BD. km rodado'!$A:$A,"&gt;="&amp;A20,'BD. km rodado'!$A:$A,"&lt;"&amp;A21)</f>
        <v>0</v>
      </c>
      <c r="K20" s="78">
        <f>SUMIFS('BD. km rodado'!$K:$K,'BD. km rodado'!$A:$A,"&gt;="&amp;A20,'BD. km rodado'!$A:$A,"&lt;"&amp;A21)</f>
        <v>0</v>
      </c>
      <c r="L20" s="78">
        <f>SUMIFS('BD. km rodado'!$L:$L,'BD. km rodado'!$A:$A,"&gt;="&amp;A20,'BD. km rodado'!$A:$A,"&lt;"&amp;A21)</f>
        <v>0</v>
      </c>
      <c r="M20" s="78">
        <f>SUMIFS('BD. km rodado'!$M:$M,'BD. km rodado'!$A:$A,"&gt;="&amp;A20,'BD. km rodado'!$A:$A,"&lt;"&amp;A21)</f>
        <v>0</v>
      </c>
      <c r="N20" s="78">
        <f>SUMIFS('BD. km rodado'!$N:$N,'BD. km rodado'!$A:$A,"&gt;="&amp;A20,'BD. km rodado'!$A:$A,"&lt;"&amp;A21)</f>
        <v>0</v>
      </c>
      <c r="O20" s="78">
        <f>SUMIFS('BD. km rodado'!$O:$O,'BD. km rodado'!$A:$A,"&gt;="&amp;A20,'BD. km rodado'!$A:$A,"&lt;"&amp;A21)</f>
        <v>0</v>
      </c>
      <c r="P20">
        <f t="shared" si="4"/>
        <v>0</v>
      </c>
      <c r="Q20">
        <f>SUMIFS(BD.OS!$X:$X,BD.OS!$A:$A,"&gt;="&amp;'BD. graf. km rodado'!A20,BD.OS!$A:$A,"&lt;"&amp;A21)</f>
        <v>0</v>
      </c>
      <c r="R20" s="16" t="e">
        <f t="shared" si="5"/>
        <v>#DIV/0!</v>
      </c>
    </row>
    <row r="21" spans="1:38" x14ac:dyDescent="0.2">
      <c r="A21" s="159">
        <v>42887</v>
      </c>
      <c r="B21" s="78">
        <f>SUMIFS('BD. km rodado'!$B:$B,'BD. km rodado'!$A:$A,"&gt;="&amp;A21,'BD. km rodado'!$A:$A,"&lt;"&amp;A22)</f>
        <v>0</v>
      </c>
      <c r="C21" s="78">
        <f>SUMIFS('BD. km rodado'!$C:$C,'BD. km rodado'!$A:$A,"&gt;="&amp;A21,'BD. km rodado'!$A:$A,"&lt;"&amp;A22)</f>
        <v>0</v>
      </c>
      <c r="D21" s="78">
        <f>SUMIFS('BD. km rodado'!$D:$D,'BD. km rodado'!$A:$A,"&gt;="&amp;A21,'BD. km rodado'!$A:$A,"&lt;"&amp;A22)</f>
        <v>0</v>
      </c>
      <c r="E21" s="78">
        <f>SUMIFS('BD. km rodado'!$E:$E,'BD. km rodado'!$A:$A,"&gt;="&amp;A21,'BD. km rodado'!$A:$A,"&lt;"&amp;A22)</f>
        <v>0</v>
      </c>
      <c r="F21" s="78">
        <f>SUMIFS('BD. km rodado'!$F:$F,'BD. km rodado'!$A:$A,"&gt;="&amp;A21,'BD. km rodado'!$A:$A,"&lt;"&amp;A22)</f>
        <v>0</v>
      </c>
      <c r="G21" s="78">
        <f>SUMIFS('BD. km rodado'!$G:$G,'BD. km rodado'!$A:$A,"&gt;="&amp;A21,'BD. km rodado'!$A:$A,"&lt;"&amp;A22)</f>
        <v>0</v>
      </c>
      <c r="H21" s="78">
        <f>SUMIFS('BD. km rodado'!$H:$H,'BD. km rodado'!$A:$A,"&gt;="&amp;A21,'BD. km rodado'!$A:$A,"&lt;"&amp;A22)</f>
        <v>0</v>
      </c>
      <c r="I21" s="78">
        <f>SUMIFS('BD. km rodado'!$I:$I,'BD. km rodado'!$A:$A,"&gt;="&amp;A21,'BD. km rodado'!$A:$A,"&lt;"&amp;A22)</f>
        <v>0</v>
      </c>
      <c r="J21" s="78">
        <f>SUMIFS('BD. km rodado'!$J:$J,'BD. km rodado'!$A:$A,"&gt;="&amp;A21,'BD. km rodado'!$A:$A,"&lt;"&amp;A22)</f>
        <v>0</v>
      </c>
      <c r="K21" s="78">
        <f>SUMIFS('BD. km rodado'!$K:$K,'BD. km rodado'!$A:$A,"&gt;="&amp;A21,'BD. km rodado'!$A:$A,"&lt;"&amp;A22)</f>
        <v>0</v>
      </c>
      <c r="L21" s="78">
        <f>SUMIFS('BD. km rodado'!$L:$L,'BD. km rodado'!$A:$A,"&gt;="&amp;A21,'BD. km rodado'!$A:$A,"&lt;"&amp;A22)</f>
        <v>0</v>
      </c>
      <c r="M21" s="78">
        <f>SUMIFS('BD. km rodado'!$M:$M,'BD. km rodado'!$A:$A,"&gt;="&amp;A21,'BD. km rodado'!$A:$A,"&lt;"&amp;A22)</f>
        <v>0</v>
      </c>
      <c r="N21" s="78">
        <f>SUMIFS('BD. km rodado'!$N:$N,'BD. km rodado'!$A:$A,"&gt;="&amp;A21,'BD. km rodado'!$A:$A,"&lt;"&amp;A22)</f>
        <v>0</v>
      </c>
      <c r="O21" s="78">
        <f>SUMIFS('BD. km rodado'!$O:$O,'BD. km rodado'!$A:$A,"&gt;="&amp;A21,'BD. km rodado'!$A:$A,"&lt;"&amp;A22)</f>
        <v>0</v>
      </c>
      <c r="P21">
        <f t="shared" si="4"/>
        <v>0</v>
      </c>
      <c r="Q21">
        <f>SUMIFS(BD.OS!$X:$X,BD.OS!$A:$A,"&gt;="&amp;'BD. graf. km rodado'!A21,BD.OS!$A:$A,"&lt;"&amp;A22)</f>
        <v>0</v>
      </c>
      <c r="R21" s="16" t="e">
        <f t="shared" si="5"/>
        <v>#DIV/0!</v>
      </c>
    </row>
    <row r="22" spans="1:38" x14ac:dyDescent="0.2">
      <c r="A22" s="159">
        <v>42917</v>
      </c>
      <c r="B22" s="78">
        <f>SUMIFS('BD. km rodado'!$B:$B,'BD. km rodado'!$A:$A,"&gt;="&amp;A22,'BD. km rodado'!$A:$A,"&lt;"&amp;A23)</f>
        <v>0</v>
      </c>
      <c r="C22" s="78">
        <f>SUMIFS('BD. km rodado'!$C:$C,'BD. km rodado'!$A:$A,"&gt;="&amp;A22,'BD. km rodado'!$A:$A,"&lt;"&amp;A23)</f>
        <v>0</v>
      </c>
      <c r="D22" s="78">
        <f>SUMIFS('BD. km rodado'!$D:$D,'BD. km rodado'!$A:$A,"&gt;="&amp;A22,'BD. km rodado'!$A:$A,"&lt;"&amp;A23)</f>
        <v>0</v>
      </c>
      <c r="E22" s="78">
        <f>SUMIFS('BD. km rodado'!$E:$E,'BD. km rodado'!$A:$A,"&gt;="&amp;A22,'BD. km rodado'!$A:$A,"&lt;"&amp;A23)</f>
        <v>0</v>
      </c>
      <c r="F22" s="78">
        <f>SUMIFS('BD. km rodado'!$F:$F,'BD. km rodado'!$A:$A,"&gt;="&amp;A22,'BD. km rodado'!$A:$A,"&lt;"&amp;A23)</f>
        <v>0</v>
      </c>
      <c r="G22" s="78">
        <f>SUMIFS('BD. km rodado'!$G:$G,'BD. km rodado'!$A:$A,"&gt;="&amp;A22,'BD. km rodado'!$A:$A,"&lt;"&amp;A23)</f>
        <v>0</v>
      </c>
      <c r="H22" s="78">
        <f>SUMIFS('BD. km rodado'!$H:$H,'BD. km rodado'!$A:$A,"&gt;="&amp;A22,'BD. km rodado'!$A:$A,"&lt;"&amp;A23)</f>
        <v>0</v>
      </c>
      <c r="I22" s="78">
        <f>SUMIFS('BD. km rodado'!$I:$I,'BD. km rodado'!$A:$A,"&gt;="&amp;A22,'BD. km rodado'!$A:$A,"&lt;"&amp;A23)</f>
        <v>0</v>
      </c>
      <c r="J22" s="78">
        <f>SUMIFS('BD. km rodado'!$J:$J,'BD. km rodado'!$A:$A,"&gt;="&amp;A22,'BD. km rodado'!$A:$A,"&lt;"&amp;A23)</f>
        <v>0</v>
      </c>
      <c r="K22" s="78">
        <f>SUMIFS('BD. km rodado'!$K:$K,'BD. km rodado'!$A:$A,"&gt;="&amp;A22,'BD. km rodado'!$A:$A,"&lt;"&amp;A23)</f>
        <v>0</v>
      </c>
      <c r="L22" s="78">
        <f>SUMIFS('BD. km rodado'!$L:$L,'BD. km rodado'!$A:$A,"&gt;="&amp;A22,'BD. km rodado'!$A:$A,"&lt;"&amp;A23)</f>
        <v>0</v>
      </c>
      <c r="M22" s="78">
        <f>SUMIFS('BD. km rodado'!$M:$M,'BD. km rodado'!$A:$A,"&gt;="&amp;A22,'BD. km rodado'!$A:$A,"&lt;"&amp;A23)</f>
        <v>0</v>
      </c>
      <c r="N22" s="78">
        <f>SUMIFS('BD. km rodado'!$N:$N,'BD. km rodado'!$A:$A,"&gt;="&amp;A22,'BD. km rodado'!$A:$A,"&lt;"&amp;A23)</f>
        <v>0</v>
      </c>
      <c r="O22" s="78">
        <f>SUMIFS('BD. km rodado'!$O:$O,'BD. km rodado'!$A:$A,"&gt;="&amp;A22,'BD. km rodado'!$A:$A,"&lt;"&amp;A23)</f>
        <v>0</v>
      </c>
      <c r="P22">
        <f t="shared" si="4"/>
        <v>0</v>
      </c>
      <c r="Q22">
        <f>SUMIFS(BD.OS!$X:$X,BD.OS!$A:$A,"&gt;="&amp;'BD. graf. km rodado'!A22,BD.OS!$A:$A,"&lt;"&amp;A23)</f>
        <v>0</v>
      </c>
      <c r="R22" s="16" t="e">
        <f t="shared" si="5"/>
        <v>#DIV/0!</v>
      </c>
    </row>
    <row r="23" spans="1:38" x14ac:dyDescent="0.2">
      <c r="A23" s="159">
        <v>42948</v>
      </c>
      <c r="B23" s="78">
        <f>SUMIFS('BD. km rodado'!$B:$B,'BD. km rodado'!$A:$A,"&gt;="&amp;A23,'BD. km rodado'!$A:$A,"&lt;"&amp;A24)</f>
        <v>0</v>
      </c>
      <c r="C23" s="78">
        <f>SUMIFS('BD. km rodado'!$C:$C,'BD. km rodado'!$A:$A,"&gt;="&amp;A23,'BD. km rodado'!$A:$A,"&lt;"&amp;A24)</f>
        <v>0</v>
      </c>
      <c r="D23" s="78">
        <f>SUMIFS('BD. km rodado'!$D:$D,'BD. km rodado'!$A:$A,"&gt;="&amp;A23,'BD. km rodado'!$A:$A,"&lt;"&amp;A24)</f>
        <v>0</v>
      </c>
      <c r="E23" s="78">
        <f>SUMIFS('BD. km rodado'!$E:$E,'BD. km rodado'!$A:$A,"&gt;="&amp;A23,'BD. km rodado'!$A:$A,"&lt;"&amp;A24)</f>
        <v>0</v>
      </c>
      <c r="F23" s="78">
        <f>SUMIFS('BD. km rodado'!$F:$F,'BD. km rodado'!$A:$A,"&gt;="&amp;A23,'BD. km rodado'!$A:$A,"&lt;"&amp;A24)</f>
        <v>0</v>
      </c>
      <c r="G23" s="78">
        <f>SUMIFS('BD. km rodado'!$G:$G,'BD. km rodado'!$A:$A,"&gt;="&amp;A23,'BD. km rodado'!$A:$A,"&lt;"&amp;A24)</f>
        <v>0</v>
      </c>
      <c r="H23" s="78">
        <f>SUMIFS('BD. km rodado'!$H:$H,'BD. km rodado'!$A:$A,"&gt;="&amp;A23,'BD. km rodado'!$A:$A,"&lt;"&amp;A24)</f>
        <v>0</v>
      </c>
      <c r="I23" s="78">
        <f>SUMIFS('BD. km rodado'!$I:$I,'BD. km rodado'!$A:$A,"&gt;="&amp;A23,'BD. km rodado'!$A:$A,"&lt;"&amp;A24)</f>
        <v>0</v>
      </c>
      <c r="J23" s="78">
        <f>SUMIFS('BD. km rodado'!$J:$J,'BD. km rodado'!$A:$A,"&gt;="&amp;A23,'BD. km rodado'!$A:$A,"&lt;"&amp;A24)</f>
        <v>0</v>
      </c>
      <c r="K23" s="78">
        <f>SUMIFS('BD. km rodado'!$K:$K,'BD. km rodado'!$A:$A,"&gt;="&amp;A23,'BD. km rodado'!$A:$A,"&lt;"&amp;A24)</f>
        <v>0</v>
      </c>
      <c r="L23" s="78">
        <f>SUMIFS('BD. km rodado'!$L:$L,'BD. km rodado'!$A:$A,"&gt;="&amp;A23,'BD. km rodado'!$A:$A,"&lt;"&amp;A24)</f>
        <v>0</v>
      </c>
      <c r="M23" s="78">
        <f>SUMIFS('BD. km rodado'!$M:$M,'BD. km rodado'!$A:$A,"&gt;="&amp;A23,'BD. km rodado'!$A:$A,"&lt;"&amp;A24)</f>
        <v>0</v>
      </c>
      <c r="N23" s="78">
        <f>SUMIFS('BD. km rodado'!$N:$N,'BD. km rodado'!$A:$A,"&gt;="&amp;A23,'BD. km rodado'!$A:$A,"&lt;"&amp;A24)</f>
        <v>0</v>
      </c>
      <c r="O23" s="78">
        <f>SUMIFS('BD. km rodado'!$O:$O,'BD. km rodado'!$A:$A,"&gt;="&amp;A23,'BD. km rodado'!$A:$A,"&lt;"&amp;A24)</f>
        <v>0</v>
      </c>
      <c r="P23">
        <f t="shared" si="4"/>
        <v>0</v>
      </c>
      <c r="Q23">
        <f>SUMIFS(BD.OS!$X:$X,BD.OS!$A:$A,"&gt;="&amp;'BD. graf. km rodado'!A23,BD.OS!$A:$A,"&lt;"&amp;A24)</f>
        <v>0</v>
      </c>
      <c r="R23" s="16" t="e">
        <f t="shared" si="5"/>
        <v>#DIV/0!</v>
      </c>
    </row>
    <row r="24" spans="1:38" x14ac:dyDescent="0.2">
      <c r="A24" s="159">
        <v>42979</v>
      </c>
      <c r="B24" s="78">
        <f>SUMIFS('BD. km rodado'!$B:$B,'BD. km rodado'!$A:$A,"&gt;="&amp;A24,'BD. km rodado'!$A:$A,"&lt;"&amp;A25)</f>
        <v>0</v>
      </c>
      <c r="C24" s="78">
        <f>SUMIFS('BD. km rodado'!$C:$C,'BD. km rodado'!$A:$A,"&gt;="&amp;A24,'BD. km rodado'!$A:$A,"&lt;"&amp;A25)</f>
        <v>0</v>
      </c>
      <c r="D24" s="78">
        <f>SUMIFS('BD. km rodado'!$D:$D,'BD. km rodado'!$A:$A,"&gt;="&amp;A24,'BD. km rodado'!$A:$A,"&lt;"&amp;A25)</f>
        <v>0</v>
      </c>
      <c r="E24" s="78">
        <f>SUMIFS('BD. km rodado'!$E:$E,'BD. km rodado'!$A:$A,"&gt;="&amp;A24,'BD. km rodado'!$A:$A,"&lt;"&amp;A25)</f>
        <v>0</v>
      </c>
      <c r="F24" s="78">
        <f>SUMIFS('BD. km rodado'!$F:$F,'BD. km rodado'!$A:$A,"&gt;="&amp;A24,'BD. km rodado'!$A:$A,"&lt;"&amp;A25)</f>
        <v>0</v>
      </c>
      <c r="G24" s="78">
        <f>SUMIFS('BD. km rodado'!$G:$G,'BD. km rodado'!$A:$A,"&gt;="&amp;A24,'BD. km rodado'!$A:$A,"&lt;"&amp;A25)</f>
        <v>0</v>
      </c>
      <c r="H24" s="78">
        <f>SUMIFS('BD. km rodado'!$H:$H,'BD. km rodado'!$A:$A,"&gt;="&amp;A24,'BD. km rodado'!$A:$A,"&lt;"&amp;A25)</f>
        <v>0</v>
      </c>
      <c r="I24" s="78">
        <f>SUMIFS('BD. km rodado'!$I:$I,'BD. km rodado'!$A:$A,"&gt;="&amp;A24,'BD. km rodado'!$A:$A,"&lt;"&amp;A25)</f>
        <v>0</v>
      </c>
      <c r="J24" s="78">
        <f>SUMIFS('BD. km rodado'!$J:$J,'BD. km rodado'!$A:$A,"&gt;="&amp;A24,'BD. km rodado'!$A:$A,"&lt;"&amp;A25)</f>
        <v>0</v>
      </c>
      <c r="K24" s="78">
        <f>SUMIFS('BD. km rodado'!$K:$K,'BD. km rodado'!$A:$A,"&gt;="&amp;A24,'BD. km rodado'!$A:$A,"&lt;"&amp;A25)</f>
        <v>0</v>
      </c>
      <c r="L24" s="78">
        <f>SUMIFS('BD. km rodado'!$L:$L,'BD. km rodado'!$A:$A,"&gt;="&amp;A24,'BD. km rodado'!$A:$A,"&lt;"&amp;A25)</f>
        <v>0</v>
      </c>
      <c r="M24" s="78">
        <f>SUMIFS('BD. km rodado'!$M:$M,'BD. km rodado'!$A:$A,"&gt;="&amp;A24,'BD. km rodado'!$A:$A,"&lt;"&amp;A25)</f>
        <v>0</v>
      </c>
      <c r="N24" s="78">
        <f>SUMIFS('BD. km rodado'!$N:$N,'BD. km rodado'!$A:$A,"&gt;="&amp;A24,'BD. km rodado'!$A:$A,"&lt;"&amp;A25)</f>
        <v>0</v>
      </c>
      <c r="O24" s="78">
        <f>SUMIFS('BD. km rodado'!$O:$O,'BD. km rodado'!$A:$A,"&gt;="&amp;A24,'BD. km rodado'!$A:$A,"&lt;"&amp;A25)</f>
        <v>0</v>
      </c>
      <c r="P24">
        <f t="shared" si="4"/>
        <v>0</v>
      </c>
      <c r="Q24">
        <f>SUMIFS(BD.OS!$X:$X,BD.OS!$A:$A,"&gt;="&amp;'BD. graf. km rodado'!A24,BD.OS!$A:$A,"&lt;"&amp;A25)</f>
        <v>0</v>
      </c>
      <c r="R24" s="16" t="e">
        <f t="shared" si="5"/>
        <v>#DIV/0!</v>
      </c>
    </row>
    <row r="25" spans="1:38" x14ac:dyDescent="0.2">
      <c r="A25" s="159">
        <v>43009</v>
      </c>
      <c r="B25" s="78">
        <f>SUMIFS('BD. km rodado'!$B:$B,'BD. km rodado'!$A:$A,"&gt;="&amp;A25,'BD. km rodado'!$A:$A,"&lt;"&amp;A26)</f>
        <v>0</v>
      </c>
      <c r="C25" s="78">
        <f>SUMIFS('BD. km rodado'!$C:$C,'BD. km rodado'!$A:$A,"&gt;="&amp;A25,'BD. km rodado'!$A:$A,"&lt;"&amp;A26)</f>
        <v>0</v>
      </c>
      <c r="D25" s="78">
        <f>SUMIFS('BD. km rodado'!$D:$D,'BD. km rodado'!$A:$A,"&gt;="&amp;A25,'BD. km rodado'!$A:$A,"&lt;"&amp;A26)</f>
        <v>0</v>
      </c>
      <c r="E25" s="78">
        <f>SUMIFS('BD. km rodado'!$E:$E,'BD. km rodado'!$A:$A,"&gt;="&amp;A25,'BD. km rodado'!$A:$A,"&lt;"&amp;A26)</f>
        <v>0</v>
      </c>
      <c r="F25" s="78">
        <f>SUMIFS('BD. km rodado'!$F:$F,'BD. km rodado'!$A:$A,"&gt;="&amp;A25,'BD. km rodado'!$A:$A,"&lt;"&amp;A26)</f>
        <v>0</v>
      </c>
      <c r="G25" s="78">
        <f>SUMIFS('BD. km rodado'!$G:$G,'BD. km rodado'!$A:$A,"&gt;="&amp;A25,'BD. km rodado'!$A:$A,"&lt;"&amp;A26)</f>
        <v>0</v>
      </c>
      <c r="H25" s="78">
        <f>SUMIFS('BD. km rodado'!$H:$H,'BD. km rodado'!$A:$A,"&gt;="&amp;A25,'BD. km rodado'!$A:$A,"&lt;"&amp;A26)</f>
        <v>0</v>
      </c>
      <c r="I25" s="78">
        <f>SUMIFS('BD. km rodado'!$I:$I,'BD. km rodado'!$A:$A,"&gt;="&amp;A25,'BD. km rodado'!$A:$A,"&lt;"&amp;A26)</f>
        <v>0</v>
      </c>
      <c r="J25" s="78">
        <f>SUMIFS('BD. km rodado'!$J:$J,'BD. km rodado'!$A:$A,"&gt;="&amp;A25,'BD. km rodado'!$A:$A,"&lt;"&amp;A26)</f>
        <v>0</v>
      </c>
      <c r="K25" s="78">
        <f>SUMIFS('BD. km rodado'!$K:$K,'BD. km rodado'!$A:$A,"&gt;="&amp;A25,'BD. km rodado'!$A:$A,"&lt;"&amp;A26)</f>
        <v>0</v>
      </c>
      <c r="L25" s="78">
        <f>SUMIFS('BD. km rodado'!$L:$L,'BD. km rodado'!$A:$A,"&gt;="&amp;A25,'BD. km rodado'!$A:$A,"&lt;"&amp;A26)</f>
        <v>0</v>
      </c>
      <c r="M25" s="78">
        <f>SUMIFS('BD. km rodado'!$M:$M,'BD. km rodado'!$A:$A,"&gt;="&amp;A25,'BD. km rodado'!$A:$A,"&lt;"&amp;A26)</f>
        <v>0</v>
      </c>
      <c r="N25" s="78">
        <f>SUMIFS('BD. km rodado'!$N:$N,'BD. km rodado'!$A:$A,"&gt;="&amp;A25,'BD. km rodado'!$A:$A,"&lt;"&amp;A26)</f>
        <v>0</v>
      </c>
      <c r="O25" s="78">
        <f>SUMIFS('BD. km rodado'!$O:$O,'BD. km rodado'!$A:$A,"&gt;="&amp;A25,'BD. km rodado'!$A:$A,"&lt;"&amp;A26)</f>
        <v>0</v>
      </c>
      <c r="P25">
        <f t="shared" si="4"/>
        <v>0</v>
      </c>
      <c r="Q25">
        <f>SUMIFS(BD.OS!$X:$X,BD.OS!$A:$A,"&gt;="&amp;'BD. graf. km rodado'!A25,BD.OS!$A:$A,"&lt;"&amp;A26)</f>
        <v>0</v>
      </c>
      <c r="R25" s="16" t="e">
        <f t="shared" si="5"/>
        <v>#DIV/0!</v>
      </c>
    </row>
    <row r="26" spans="1:38" x14ac:dyDescent="0.2">
      <c r="A26" s="159">
        <v>43040</v>
      </c>
      <c r="B26" s="78">
        <f>SUMIFS('BD. km rodado'!$B:$B,'BD. km rodado'!$A:$A,"&gt;="&amp;A26,'BD. km rodado'!$A:$A,"&lt;"&amp;A27)</f>
        <v>0</v>
      </c>
      <c r="C26" s="78">
        <f>SUMIFS('BD. km rodado'!$C:$C,'BD. km rodado'!$A:$A,"&gt;="&amp;A26,'BD. km rodado'!$A:$A,"&lt;"&amp;A27)</f>
        <v>0</v>
      </c>
      <c r="D26" s="78">
        <f>SUMIFS('BD. km rodado'!$D:$D,'BD. km rodado'!$A:$A,"&gt;="&amp;A26,'BD. km rodado'!$A:$A,"&lt;"&amp;A27)</f>
        <v>0</v>
      </c>
      <c r="E26" s="78">
        <f>SUMIFS('BD. km rodado'!$E:$E,'BD. km rodado'!$A:$A,"&gt;="&amp;A26,'BD. km rodado'!$A:$A,"&lt;"&amp;A27)</f>
        <v>0</v>
      </c>
      <c r="F26" s="78">
        <f>SUMIFS('BD. km rodado'!$F:$F,'BD. km rodado'!$A:$A,"&gt;="&amp;A26,'BD. km rodado'!$A:$A,"&lt;"&amp;A27)</f>
        <v>0</v>
      </c>
      <c r="G26" s="78">
        <f>SUMIFS('BD. km rodado'!$G:$G,'BD. km rodado'!$A:$A,"&gt;="&amp;A26,'BD. km rodado'!$A:$A,"&lt;"&amp;A27)</f>
        <v>0</v>
      </c>
      <c r="H26" s="78">
        <f>SUMIFS('BD. km rodado'!$H:$H,'BD. km rodado'!$A:$A,"&gt;="&amp;A26,'BD. km rodado'!$A:$A,"&lt;"&amp;A27)</f>
        <v>0</v>
      </c>
      <c r="I26" s="78">
        <f>SUMIFS('BD. km rodado'!$I:$I,'BD. km rodado'!$A:$A,"&gt;="&amp;A26,'BD. km rodado'!$A:$A,"&lt;"&amp;A27)</f>
        <v>0</v>
      </c>
      <c r="J26" s="78">
        <f>SUMIFS('BD. km rodado'!$J:$J,'BD. km rodado'!$A:$A,"&gt;="&amp;A26,'BD. km rodado'!$A:$A,"&lt;"&amp;A27)</f>
        <v>0</v>
      </c>
      <c r="K26" s="78">
        <f>SUMIFS('BD. km rodado'!$K:$K,'BD. km rodado'!$A:$A,"&gt;="&amp;A26,'BD. km rodado'!$A:$A,"&lt;"&amp;A27)</f>
        <v>0</v>
      </c>
      <c r="L26" s="78">
        <f>SUMIFS('BD. km rodado'!$L:$L,'BD. km rodado'!$A:$A,"&gt;="&amp;A26,'BD. km rodado'!$A:$A,"&lt;"&amp;A27)</f>
        <v>0</v>
      </c>
      <c r="M26" s="78">
        <f>SUMIFS('BD. km rodado'!$M:$M,'BD. km rodado'!$A:$A,"&gt;="&amp;A26,'BD. km rodado'!$A:$A,"&lt;"&amp;A27)</f>
        <v>0</v>
      </c>
      <c r="N26" s="78">
        <f>SUMIFS('BD. km rodado'!$N:$N,'BD. km rodado'!$A:$A,"&gt;="&amp;A26,'BD. km rodado'!$A:$A,"&lt;"&amp;A27)</f>
        <v>0</v>
      </c>
      <c r="O26" s="78">
        <f>SUMIFS('BD. km rodado'!$O:$O,'BD. km rodado'!$A:$A,"&gt;="&amp;A26,'BD. km rodado'!$A:$A,"&lt;"&amp;A27)</f>
        <v>0</v>
      </c>
      <c r="P26">
        <f t="shared" si="4"/>
        <v>0</v>
      </c>
      <c r="Q26">
        <f>SUMIFS(BD.OS!$X:$X,BD.OS!$A:$A,"&gt;="&amp;'BD. graf. km rodado'!A26,BD.OS!$A:$A,"&lt;"&amp;A27)</f>
        <v>0</v>
      </c>
      <c r="R26" s="16" t="e">
        <f t="shared" si="5"/>
        <v>#DIV/0!</v>
      </c>
    </row>
    <row r="27" spans="1:38" x14ac:dyDescent="0.2">
      <c r="A27" s="159">
        <v>43070</v>
      </c>
      <c r="B27" s="78">
        <f>SUMIFS('BD. km rodado'!$B:$B,'BD. km rodado'!$A:$A,"&gt;="&amp;A27,'BD. km rodado'!$A:$A,"&lt;"&amp;'BD. km rodado'!Q28)</f>
        <v>0</v>
      </c>
      <c r="C27" s="78">
        <f>SUMIFS('BD. km rodado'!$C:$C,'BD. km rodado'!$A:$A,"&gt;="&amp;A27,'BD. km rodado'!$A:$A,"&lt;"&amp;'BD. km rodado'!Q28)</f>
        <v>0</v>
      </c>
      <c r="D27" s="78">
        <f>SUMIFS('BD. km rodado'!$D:$D,'BD. km rodado'!$A:$A,"&gt;="&amp;A27,'BD. km rodado'!$A:$A,"&lt;"&amp;'BD. km rodado'!Q28)</f>
        <v>0</v>
      </c>
      <c r="E27" s="78">
        <f>SUMIFS('BD. km rodado'!$E:$E,'BD. km rodado'!$A:$A,"&gt;="&amp;A27,'BD. km rodado'!$A:$A,"&lt;"&amp;'BD. km rodado'!Q28)</f>
        <v>0</v>
      </c>
      <c r="F27" s="78">
        <f>SUMIFS('BD. km rodado'!$F:$F,'BD. km rodado'!$A:$A,"&gt;="&amp;A27,'BD. km rodado'!$A:$A,"&lt;"&amp;'BD. km rodado'!Q28)</f>
        <v>0</v>
      </c>
      <c r="G27" s="78">
        <f>SUMIFS('BD. km rodado'!$G:$G,'BD. km rodado'!$A:$A,"&gt;="&amp;A27,'BD. km rodado'!$A:$A,"&lt;"&amp;'BD. km rodado'!Q28)</f>
        <v>0</v>
      </c>
      <c r="H27" s="78">
        <f>SUMIFS('BD. km rodado'!$H:$H,'BD. km rodado'!$A:$A,"&gt;="&amp;A27,'BD. km rodado'!$A:$A,"&lt;"&amp;'BD. km rodado'!Q28)</f>
        <v>0</v>
      </c>
      <c r="I27" s="78">
        <f>SUMIFS('BD. km rodado'!$I:$I,'BD. km rodado'!$A:$A,"&gt;="&amp;A27,'BD. km rodado'!$A:$A,"&lt;"&amp;'BD. km rodado'!Q28)</f>
        <v>0</v>
      </c>
      <c r="J27" s="78">
        <f>SUMIFS('BD. km rodado'!$J:$J,'BD. km rodado'!$A:$A,"&gt;="&amp;A27,'BD. km rodado'!$A:$A,"&lt;"&amp;'BD. km rodado'!Q28)</f>
        <v>0</v>
      </c>
      <c r="K27" s="78">
        <f>SUMIFS('BD. km rodado'!$K:$K,'BD. km rodado'!$A:$A,"&gt;="&amp;A27,'BD. km rodado'!$A:$A,"&lt;"&amp;'BD. km rodado'!Q28)</f>
        <v>0</v>
      </c>
      <c r="L27" s="78">
        <f>SUMIFS('BD. km rodado'!$L:$L,'BD. km rodado'!$A:$A,"&gt;="&amp;A27,'BD. km rodado'!$A:$A,"&lt;"&amp;'BD. km rodado'!Q28)</f>
        <v>0</v>
      </c>
      <c r="M27" s="78">
        <f>SUMIFS('BD. km rodado'!$M:$M,'BD. km rodado'!$A:$A,"&gt;="&amp;A27,'BD. km rodado'!$A:$A,"&lt;"&amp;'BD. km rodado'!Q28)</f>
        <v>0</v>
      </c>
      <c r="N27" s="78">
        <f>SUMIFS('BD. km rodado'!$N:$N,'BD. km rodado'!$A:$A,"&gt;="&amp;A27,'BD. km rodado'!$A:$A,"&lt;"&amp;'BD. km rodado'!Q28)</f>
        <v>0</v>
      </c>
      <c r="O27" s="78">
        <f>SUMIFS('BD. km rodado'!$O:$O,'BD. km rodado'!$A:$A,"&gt;="&amp;A27,'BD. km rodado'!$A:$A,"&lt;"&amp;'BD. km rodado'!Q28)</f>
        <v>0</v>
      </c>
      <c r="P27">
        <f t="shared" si="4"/>
        <v>0</v>
      </c>
      <c r="Q27">
        <f>SUMIFS(BD.OS!$X:$X,BD.OS!$A:$A,"&gt;="&amp;'BD. graf. km rodado'!A27,BD.OS!$A:$A,"&lt;"&amp;A28)</f>
        <v>0</v>
      </c>
      <c r="R27" s="16" t="e">
        <f t="shared" si="5"/>
        <v>#DIV/0!</v>
      </c>
    </row>
  </sheetData>
  <customSheetViews>
    <customSheetView guid="{FC643F0B-3E44-4304-9C6C-EBD35A45B8FD}" state="hidden" topLeftCell="S1">
      <selection activeCell="BB12" sqref="BB12"/>
      <pageMargins left="0" right="0" top="0" bottom="0" header="0" footer="0"/>
    </customSheetView>
    <customSheetView guid="{ECC56881-4CE2-4FBF-815D-85F544F885E8}" topLeftCell="AF1">
      <selection activeCell="AZ20" sqref="AZ20"/>
      <pageMargins left="0" right="0" top="0" bottom="0" header="0" footer="0"/>
    </customSheetView>
    <customSheetView guid="{40F11FFD-627B-4157-AFFE-E57E44CED524}" state="hidden" topLeftCell="S1">
      <selection activeCell="BB12" sqref="BB12"/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5">
    <tabColor theme="6" tint="0.39997558519241921"/>
  </sheetPr>
  <dimension ref="B1:X55"/>
  <sheetViews>
    <sheetView zoomScaleNormal="100" workbookViewId="0">
      <selection activeCell="M2" sqref="M2:M54"/>
    </sheetView>
  </sheetViews>
  <sheetFormatPr defaultRowHeight="12.75" x14ac:dyDescent="0.2"/>
  <cols>
    <col min="2" max="2" width="10.42578125" bestFit="1" customWidth="1"/>
    <col min="3" max="3" width="3" bestFit="1" customWidth="1"/>
    <col min="4" max="4" width="13.85546875" customWidth="1"/>
    <col min="5" max="5" width="17.5703125" customWidth="1"/>
    <col min="6" max="6" width="17" customWidth="1"/>
    <col min="7" max="8" width="11.28515625" hidden="1" customWidth="1"/>
    <col min="9" max="9" width="18.85546875" customWidth="1"/>
    <col min="11" max="11" width="10.42578125" bestFit="1" customWidth="1"/>
    <col min="12" max="12" width="3" bestFit="1" customWidth="1"/>
    <col min="13" max="13" width="13.85546875" customWidth="1"/>
    <col min="14" max="15" width="19.42578125" customWidth="1"/>
    <col min="16" max="17" width="19.42578125" hidden="1" customWidth="1"/>
    <col min="18" max="18" width="19.42578125" customWidth="1"/>
    <col min="20" max="20" width="3" bestFit="1" customWidth="1"/>
    <col min="21" max="22" width="19.42578125" bestFit="1" customWidth="1"/>
    <col min="23" max="24" width="15.7109375" customWidth="1"/>
  </cols>
  <sheetData>
    <row r="1" spans="2:24" ht="30" customHeight="1" x14ac:dyDescent="0.2">
      <c r="B1">
        <v>2016</v>
      </c>
      <c r="D1" s="78" t="s">
        <v>139</v>
      </c>
      <c r="E1" s="78" t="s">
        <v>299</v>
      </c>
      <c r="F1" s="102" t="s">
        <v>300</v>
      </c>
      <c r="G1" s="102" t="s">
        <v>301</v>
      </c>
      <c r="H1" s="102" t="s">
        <v>15</v>
      </c>
      <c r="I1" s="102" t="s">
        <v>302</v>
      </c>
      <c r="K1">
        <v>2015</v>
      </c>
      <c r="L1" s="78"/>
      <c r="M1" s="78" t="s">
        <v>139</v>
      </c>
      <c r="N1" s="78" t="s">
        <v>299</v>
      </c>
      <c r="O1" s="102" t="s">
        <v>300</v>
      </c>
      <c r="P1" s="102" t="s">
        <v>301</v>
      </c>
      <c r="Q1" s="102" t="s">
        <v>15</v>
      </c>
      <c r="R1" s="102" t="s">
        <v>302</v>
      </c>
      <c r="U1" s="102" t="str">
        <f>CONCATENATE("Quantidade de OS / Horas Semanais", " - ",ANOPRODTOT.)</f>
        <v>Quantidade de OS / Horas Semanais - 2016</v>
      </c>
      <c r="V1" s="102" t="str">
        <f>CONCATENATE("Quantidade de OS / Horas Semanais"," - ", ANOPRODTOT.-1)</f>
        <v>Quantidade de OS / Horas Semanais - 2015</v>
      </c>
      <c r="W1" s="102" t="str">
        <f>CONCATENATE("Os Sábado/ Hora Extra", " - ",ANOPROD.)</f>
        <v>Os Sábado/ Hora Extra - 2016</v>
      </c>
      <c r="X1" s="102" t="str">
        <f>CONCATENATE("Os Sábado/ Hora Extra", " - ",ANOPROD.-1)</f>
        <v>Os Sábado/ Hora Extra - 2015</v>
      </c>
    </row>
    <row r="2" spans="2:24" x14ac:dyDescent="0.2">
      <c r="B2" s="26">
        <f>DATE(ANOPROD.,1,1)</f>
        <v>42370</v>
      </c>
      <c r="C2">
        <v>1</v>
      </c>
      <c r="D2" s="122">
        <f>SUMIFS(BD.OS!$Y:$Y,BD.OS!$A:$A,"&gt;="&amp;B2,BD.OS!$A:$A,"&lt;"&amp;B3)</f>
        <v>257</v>
      </c>
      <c r="E2" s="122">
        <f>SUMIFS('Relatório GERAL'!$BR:$BR,'Relatório GERAL'!$AX:$AX,"&gt;="&amp;'Horario de campo e Prod.TOTAL'!B2,'Relatório GERAL'!$AX:$AX,"&lt;"&amp;B3)+SUMIFS('Relatório Extra'!$W:$W,'Relatório Extra'!$A:$A,"&gt;="&amp;'Horario de campo e Prod.TOTAL'!B2,'Relatório Extra'!$A:$A,"&lt;"&amp;'Horario de campo e Prod.TOTAL'!B3)</f>
        <v>392</v>
      </c>
      <c r="F2" s="122">
        <f>D2/E2</f>
        <v>0.65561224489795922</v>
      </c>
      <c r="G2">
        <f>IF(B2&lt;DATE(2016,3,1),0,SUMIFS(BD.OS!$Z:$Z,BD.OS!$A:$A,"&gt;="&amp;'Horario de campo e Prod.TOTAL'!B2,BD.OS!$A:$A,"&lt;"&amp;'Horario de campo e Prod.TOTAL'!B3))</f>
        <v>0</v>
      </c>
      <c r="H2">
        <f>IF(B2&lt;DATE(2016,3,1),0,SUMIFS('Relatório Extra'!$W:$W,'Relatório Extra'!$A:$A,"&gt;="&amp;'Horario de campo e Prod.TOTAL'!B2,'Relatório Extra'!$A:$A,"&lt;"&amp;'Horario de campo e Prod.TOTAL'!B3))</f>
        <v>0</v>
      </c>
      <c r="I2" s="122" t="e">
        <f>G2/H2</f>
        <v>#DIV/0!</v>
      </c>
      <c r="K2" s="26">
        <f>DATE(ANOPROD.-1,1,1)</f>
        <v>42005</v>
      </c>
      <c r="L2" s="78">
        <v>1</v>
      </c>
      <c r="M2" s="122">
        <f>IF(K2&lt;DATE(2015,5,4),0,SUMIFS(BD.OS!$X:$X,BD.OS!$A:$A,"&gt;="&amp;K2,BD.OS!$A:$A,"&lt;"&amp;K3))</f>
        <v>0</v>
      </c>
      <c r="N2" s="122">
        <f>SUMIFS('Relatório GERAL'!$BR:$BR,'Relatório GERAL'!$AX:$AX,"&gt;="&amp;'Horario de campo e Prod.TOTAL'!K2,'Relatório GERAL'!$AX:$AX,"&lt;"&amp;K3)+SUMIFS('Relatório Extra'!$W:$W,'Relatório Extra'!$A:$A,"&gt;="&amp;'Horario de campo e Prod.TOTAL'!K2,'Relatório Extra'!$A:$A,"&lt;"&amp;'Horario de campo e Prod.TOTAL'!K3)</f>
        <v>0</v>
      </c>
      <c r="O2" s="122" t="e">
        <f>M2/N2</f>
        <v>#DIV/0!</v>
      </c>
      <c r="P2">
        <f>IF(K2&lt;DATE(2016,3,1),0,SUMIFS(BD.OS!$Z:$Z,BD.OS!$A:$A,"&gt;="&amp;'Horario de campo e Prod.TOTAL'!K2,BD.OS!$A:$A,"&lt;"&amp;'Horario de campo e Prod.TOTAL'!K3))</f>
        <v>0</v>
      </c>
      <c r="Q2">
        <f>IF(K2&lt;DATE(2016,3,1),0,SUMIFS('Relatório Extra'!$W:$W,'Relatório Extra'!$A:$A,"&gt;="&amp;'Horario de campo e Prod.TOTAL'!K2,'Relatório Extra'!$A:$A,"&lt;"&amp;'Horario de campo e Prod.TOTAL'!K3))</f>
        <v>0</v>
      </c>
      <c r="R2" s="122" t="e">
        <f>P2/Q2</f>
        <v>#DIV/0!</v>
      </c>
      <c r="T2">
        <v>1</v>
      </c>
      <c r="U2" s="16">
        <f>F2</f>
        <v>0.65561224489795922</v>
      </c>
      <c r="V2" s="16" t="e">
        <f>O2</f>
        <v>#DIV/0!</v>
      </c>
      <c r="W2" s="122" t="e">
        <f>I2</f>
        <v>#DIV/0!</v>
      </c>
      <c r="X2" s="122" t="e">
        <f>R2</f>
        <v>#DIV/0!</v>
      </c>
    </row>
    <row r="3" spans="2:24" x14ac:dyDescent="0.2">
      <c r="B3" s="26">
        <f>B2+7</f>
        <v>42377</v>
      </c>
      <c r="C3">
        <v>2</v>
      </c>
      <c r="D3" s="122">
        <f>SUMIFS(BD.OS!$Y:$Y,BD.OS!$A:$A,"&gt;="&amp;B3,BD.OS!$A:$A,"&lt;"&amp;B4)</f>
        <v>236</v>
      </c>
      <c r="E3" s="122">
        <f>SUMIFS('Relatório GERAL'!$BR:$BR,'Relatório GERAL'!$AX:$AX,"&gt;="&amp;'Horario de campo e Prod.TOTAL'!B3,'Relatório GERAL'!$AX:$AX,"&lt;"&amp;B4)+SUMIFS('Relatório Extra'!$W:$W,'Relatório Extra'!$A:$A,"&gt;="&amp;'Horario de campo e Prod.TOTAL'!B3,'Relatório Extra'!$A:$A,"&lt;"&amp;'Horario de campo e Prod.TOTAL'!B4)</f>
        <v>478</v>
      </c>
      <c r="F3" s="122">
        <f t="shared" ref="F3:F54" si="0">D3/E3</f>
        <v>0.49372384937238495</v>
      </c>
      <c r="G3">
        <f>IF(B3&lt;DATE(2016,3,1),0,SUMIFS(BD.OS!$Z:$Z,BD.OS!$A:$A,"&gt;="&amp;'Horario de campo e Prod.TOTAL'!B3,BD.OS!$A:$A,"&lt;"&amp;'Horario de campo e Prod.TOTAL'!B4))</f>
        <v>0</v>
      </c>
      <c r="H3">
        <f>IF(B3&lt;DATE(2016,3,1),0,SUMIFS('Relatório Extra'!$W:$W,'Relatório Extra'!$A:$A,"&gt;="&amp;'Horario de campo e Prod.TOTAL'!B3,'Relatório Extra'!$A:$A,"&lt;"&amp;'Horario de campo e Prod.TOTAL'!B4))</f>
        <v>0</v>
      </c>
      <c r="I3" s="122" t="e">
        <f t="shared" ref="I3:I55" si="1">G3/H3</f>
        <v>#DIV/0!</v>
      </c>
      <c r="K3" s="26">
        <f>K2+7</f>
        <v>42012</v>
      </c>
      <c r="L3" s="78">
        <v>2</v>
      </c>
      <c r="M3" s="122">
        <f>IF(K3&lt;DATE(2015,5,4),0,SUMIFS(BD.OS!$X:$X,BD.OS!$A:$A,"&gt;="&amp;K3,BD.OS!$A:$A,"&lt;"&amp;K4))</f>
        <v>0</v>
      </c>
      <c r="N3" s="122">
        <f>SUMIFS('Relatório GERAL'!$BR:$BR,'Relatório GERAL'!$AX:$AX,"&gt;="&amp;'Horario de campo e Prod.TOTAL'!K3,'Relatório GERAL'!$AX:$AX,"&lt;"&amp;K4)+SUMIFS('Relatório Extra'!$W:$W,'Relatório Extra'!$A:$A,"&gt;="&amp;'Horario de campo e Prod.TOTAL'!K3,'Relatório Extra'!$A:$A,"&lt;"&amp;'Horario de campo e Prod.TOTAL'!K4)</f>
        <v>0</v>
      </c>
      <c r="O3" s="122" t="e">
        <f t="shared" ref="O3:O54" si="2">M3/N3</f>
        <v>#DIV/0!</v>
      </c>
      <c r="P3">
        <f>IF(K3&lt;DATE(2016,3,1),0,SUMIFS(BD.OS!$Z:$Z,BD.OS!$A:$A,"&gt;="&amp;'Horario de campo e Prod.TOTAL'!K3,BD.OS!$A:$A,"&lt;"&amp;'Horario de campo e Prod.TOTAL'!K4))</f>
        <v>0</v>
      </c>
      <c r="Q3">
        <f>IF(K3&lt;DATE(2016,3,1),0,SUMIFS('Relatório Extra'!$W:$W,'Relatório Extra'!$A:$A,"&gt;="&amp;'Horario de campo e Prod.TOTAL'!K3,'Relatório Extra'!$A:$A,"&lt;"&amp;'Horario de campo e Prod.TOTAL'!K4))</f>
        <v>0</v>
      </c>
      <c r="R3" s="122" t="e">
        <f t="shared" ref="R3:R54" si="3">P3/Q3</f>
        <v>#DIV/0!</v>
      </c>
      <c r="T3">
        <v>2</v>
      </c>
      <c r="U3" s="16">
        <f t="shared" ref="U3:U54" si="4">F3</f>
        <v>0.49372384937238495</v>
      </c>
      <c r="V3" s="16" t="e">
        <f t="shared" ref="V3:V54" si="5">O3</f>
        <v>#DIV/0!</v>
      </c>
      <c r="W3" s="122" t="e">
        <f t="shared" ref="W3:W54" si="6">I3</f>
        <v>#DIV/0!</v>
      </c>
      <c r="X3" s="122" t="e">
        <f t="shared" ref="X3:X54" si="7">R3</f>
        <v>#DIV/0!</v>
      </c>
    </row>
    <row r="4" spans="2:24" x14ac:dyDescent="0.2">
      <c r="B4" s="26">
        <f t="shared" ref="B4:B54" si="8">B3+7</f>
        <v>42384</v>
      </c>
      <c r="C4">
        <v>3</v>
      </c>
      <c r="D4" s="122">
        <f>SUMIFS(BD.OS!$Y:$Y,BD.OS!$A:$A,"&gt;="&amp;B4,BD.OS!$A:$A,"&lt;"&amp;B5)</f>
        <v>298</v>
      </c>
      <c r="E4" s="122">
        <f>SUMIFS('Relatório GERAL'!$BR:$BR,'Relatório GERAL'!$AX:$AX,"&gt;="&amp;'Horario de campo e Prod.TOTAL'!B4,'Relatório GERAL'!$AX:$AX,"&lt;"&amp;B5)+SUMIFS('Relatório Extra'!$W:$W,'Relatório Extra'!$A:$A,"&gt;="&amp;'Horario de campo e Prod.TOTAL'!B4,'Relatório Extra'!$A:$A,"&lt;"&amp;'Horario de campo e Prod.TOTAL'!B5)</f>
        <v>656</v>
      </c>
      <c r="F4" s="122">
        <f t="shared" si="0"/>
        <v>0.45426829268292684</v>
      </c>
      <c r="G4">
        <f>IF(B4&lt;DATE(2016,3,1),0,SUMIFS(BD.OS!$Z:$Z,BD.OS!$A:$A,"&gt;="&amp;'Horario de campo e Prod.TOTAL'!B4,BD.OS!$A:$A,"&lt;"&amp;'Horario de campo e Prod.TOTAL'!B5))</f>
        <v>0</v>
      </c>
      <c r="H4">
        <f>IF(B4&lt;DATE(2016,3,1),0,SUMIFS('Relatório Extra'!$W:$W,'Relatório Extra'!$A:$A,"&gt;="&amp;'Horario de campo e Prod.TOTAL'!B4,'Relatório Extra'!$A:$A,"&lt;"&amp;'Horario de campo e Prod.TOTAL'!B5))</f>
        <v>0</v>
      </c>
      <c r="I4" s="122" t="e">
        <f t="shared" si="1"/>
        <v>#DIV/0!</v>
      </c>
      <c r="K4" s="26">
        <f t="shared" ref="K4:K54" si="9">K3+7</f>
        <v>42019</v>
      </c>
      <c r="L4" s="78">
        <v>3</v>
      </c>
      <c r="M4" s="122">
        <f>IF(K4&lt;DATE(2015,5,4),0,SUMIFS(BD.OS!$X:$X,BD.OS!$A:$A,"&gt;="&amp;K4,BD.OS!$A:$A,"&lt;"&amp;K5))</f>
        <v>0</v>
      </c>
      <c r="N4" s="122">
        <f>SUMIFS('Relatório GERAL'!$BR:$BR,'Relatório GERAL'!$AX:$AX,"&gt;="&amp;'Horario de campo e Prod.TOTAL'!K4,'Relatório GERAL'!$AX:$AX,"&lt;"&amp;K5)+SUMIFS('Relatório Extra'!$W:$W,'Relatório Extra'!$A:$A,"&gt;="&amp;'Horario de campo e Prod.TOTAL'!K4,'Relatório Extra'!$A:$A,"&lt;"&amp;'Horario de campo e Prod.TOTAL'!K5)</f>
        <v>0</v>
      </c>
      <c r="O4" s="122" t="e">
        <f t="shared" si="2"/>
        <v>#DIV/0!</v>
      </c>
      <c r="P4">
        <f>IF(K4&lt;DATE(2016,3,1),0,SUMIFS(BD.OS!$Z:$Z,BD.OS!$A:$A,"&gt;="&amp;'Horario de campo e Prod.TOTAL'!K4,BD.OS!$A:$A,"&lt;"&amp;'Horario de campo e Prod.TOTAL'!K5))</f>
        <v>0</v>
      </c>
      <c r="Q4">
        <f>IF(K4&lt;DATE(2016,3,1),0,SUMIFS('Relatório Extra'!$W:$W,'Relatório Extra'!$A:$A,"&gt;="&amp;'Horario de campo e Prod.TOTAL'!K4,'Relatório Extra'!$A:$A,"&lt;"&amp;'Horario de campo e Prod.TOTAL'!K5))</f>
        <v>0</v>
      </c>
      <c r="R4" s="122" t="e">
        <f t="shared" si="3"/>
        <v>#DIV/0!</v>
      </c>
      <c r="T4">
        <v>3</v>
      </c>
      <c r="U4" s="16">
        <f t="shared" si="4"/>
        <v>0.45426829268292684</v>
      </c>
      <c r="V4" s="16" t="e">
        <f t="shared" si="5"/>
        <v>#DIV/0!</v>
      </c>
      <c r="W4" s="122" t="e">
        <f t="shared" si="6"/>
        <v>#DIV/0!</v>
      </c>
      <c r="X4" s="122" t="e">
        <f t="shared" si="7"/>
        <v>#DIV/0!</v>
      </c>
    </row>
    <row r="5" spans="2:24" x14ac:dyDescent="0.2">
      <c r="B5" s="26">
        <f t="shared" si="8"/>
        <v>42391</v>
      </c>
      <c r="C5">
        <v>4</v>
      </c>
      <c r="D5" s="122">
        <f>SUMIFS(BD.OS!$Y:$Y,BD.OS!$A:$A,"&gt;="&amp;B5,BD.OS!$A:$A,"&lt;"&amp;B6)</f>
        <v>365</v>
      </c>
      <c r="E5" s="122">
        <f>SUMIFS('Relatório GERAL'!$BR:$BR,'Relatório GERAL'!$AX:$AX,"&gt;="&amp;'Horario de campo e Prod.TOTAL'!B5,'Relatório GERAL'!$AX:$AX,"&lt;"&amp;B6)+SUMIFS('Relatório Extra'!$W:$W,'Relatório Extra'!$A:$A,"&gt;="&amp;'Horario de campo e Prod.TOTAL'!B5,'Relatório Extra'!$A:$A,"&lt;"&amp;'Horario de campo e Prod.TOTAL'!B6)</f>
        <v>658</v>
      </c>
      <c r="F5" s="122">
        <f t="shared" si="0"/>
        <v>0.55471124620060785</v>
      </c>
      <c r="G5">
        <f>IF(B5&lt;DATE(2016,3,1),0,SUMIFS(BD.OS!$Z:$Z,BD.OS!$A:$A,"&gt;="&amp;'Horario de campo e Prod.TOTAL'!B5,BD.OS!$A:$A,"&lt;"&amp;'Horario de campo e Prod.TOTAL'!B6))</f>
        <v>0</v>
      </c>
      <c r="H5">
        <f>IF(B5&lt;DATE(2016,3,1),0,SUMIFS('Relatório Extra'!$W:$W,'Relatório Extra'!$A:$A,"&gt;="&amp;'Horario de campo e Prod.TOTAL'!B5,'Relatório Extra'!$A:$A,"&lt;"&amp;'Horario de campo e Prod.TOTAL'!B6))</f>
        <v>0</v>
      </c>
      <c r="I5" s="122" t="e">
        <f t="shared" si="1"/>
        <v>#DIV/0!</v>
      </c>
      <c r="K5" s="26">
        <f t="shared" si="9"/>
        <v>42026</v>
      </c>
      <c r="L5" s="78">
        <v>4</v>
      </c>
      <c r="M5" s="122">
        <f>IF(K5&lt;DATE(2015,5,4),0,SUMIFS(BD.OS!$X:$X,BD.OS!$A:$A,"&gt;="&amp;K5,BD.OS!$A:$A,"&lt;"&amp;K6))</f>
        <v>0</v>
      </c>
      <c r="N5" s="122">
        <f>SUMIFS('Relatório GERAL'!$BR:$BR,'Relatório GERAL'!$AX:$AX,"&gt;="&amp;'Horario de campo e Prod.TOTAL'!K5,'Relatório GERAL'!$AX:$AX,"&lt;"&amp;K6)+SUMIFS('Relatório Extra'!$W:$W,'Relatório Extra'!$A:$A,"&gt;="&amp;'Horario de campo e Prod.TOTAL'!K5,'Relatório Extra'!$A:$A,"&lt;"&amp;'Horario de campo e Prod.TOTAL'!K6)</f>
        <v>0</v>
      </c>
      <c r="O5" s="122" t="e">
        <f t="shared" si="2"/>
        <v>#DIV/0!</v>
      </c>
      <c r="P5">
        <f>IF(K5&lt;DATE(2016,3,1),0,SUMIFS(BD.OS!$Z:$Z,BD.OS!$A:$A,"&gt;="&amp;'Horario de campo e Prod.TOTAL'!K5,BD.OS!$A:$A,"&lt;"&amp;'Horario de campo e Prod.TOTAL'!K6))</f>
        <v>0</v>
      </c>
      <c r="Q5">
        <f>IF(K5&lt;DATE(2016,3,1),0,SUMIFS('Relatório Extra'!$W:$W,'Relatório Extra'!$A:$A,"&gt;="&amp;'Horario de campo e Prod.TOTAL'!K5,'Relatório Extra'!$A:$A,"&lt;"&amp;'Horario de campo e Prod.TOTAL'!K6))</f>
        <v>0</v>
      </c>
      <c r="R5" s="122" t="e">
        <f t="shared" si="3"/>
        <v>#DIV/0!</v>
      </c>
      <c r="T5">
        <v>4</v>
      </c>
      <c r="U5" s="16">
        <f t="shared" si="4"/>
        <v>0.55471124620060785</v>
      </c>
      <c r="V5" s="16" t="e">
        <f t="shared" si="5"/>
        <v>#DIV/0!</v>
      </c>
      <c r="W5" s="122" t="e">
        <f t="shared" si="6"/>
        <v>#DIV/0!</v>
      </c>
      <c r="X5" s="122" t="e">
        <f t="shared" si="7"/>
        <v>#DIV/0!</v>
      </c>
    </row>
    <row r="6" spans="2:24" x14ac:dyDescent="0.2">
      <c r="B6" s="26">
        <f t="shared" si="8"/>
        <v>42398</v>
      </c>
      <c r="C6">
        <v>5</v>
      </c>
      <c r="D6" s="122">
        <f>SUMIFS(BD.OS!$Y:$Y,BD.OS!$A:$A,"&gt;="&amp;B6,BD.OS!$A:$A,"&lt;"&amp;B7)</f>
        <v>331</v>
      </c>
      <c r="E6" s="122">
        <f>SUMIFS('Relatório GERAL'!$BR:$BR,'Relatório GERAL'!$AX:$AX,"&gt;="&amp;'Horario de campo e Prod.TOTAL'!B6,'Relatório GERAL'!$AX:$AX,"&lt;"&amp;B7)+SUMIFS('Relatório Extra'!$W:$W,'Relatório Extra'!$A:$A,"&gt;="&amp;'Horario de campo e Prod.TOTAL'!B6,'Relatório Extra'!$A:$A,"&lt;"&amp;'Horario de campo e Prod.TOTAL'!B7)</f>
        <v>598</v>
      </c>
      <c r="F6" s="122">
        <f t="shared" si="0"/>
        <v>0.55351170568561869</v>
      </c>
      <c r="G6">
        <f>IF(B6&lt;DATE(2016,3,1),0,SUMIFS(BD.OS!$Z:$Z,BD.OS!$A:$A,"&gt;="&amp;'Horario de campo e Prod.TOTAL'!B6,BD.OS!$A:$A,"&lt;"&amp;'Horario de campo e Prod.TOTAL'!B7))</f>
        <v>0</v>
      </c>
      <c r="H6">
        <f>IF(B6&lt;DATE(2016,3,1),0,SUMIFS('Relatório Extra'!$W:$W,'Relatório Extra'!$A:$A,"&gt;="&amp;'Horario de campo e Prod.TOTAL'!B6,'Relatório Extra'!$A:$A,"&lt;"&amp;'Horario de campo e Prod.TOTAL'!B7))</f>
        <v>0</v>
      </c>
      <c r="I6" s="122" t="e">
        <f t="shared" si="1"/>
        <v>#DIV/0!</v>
      </c>
      <c r="K6" s="26">
        <f t="shared" si="9"/>
        <v>42033</v>
      </c>
      <c r="L6" s="78">
        <v>5</v>
      </c>
      <c r="M6" s="122">
        <f>IF(K6&lt;DATE(2015,5,4),0,SUMIFS(BD.OS!$X:$X,BD.OS!$A:$A,"&gt;="&amp;K6,BD.OS!$A:$A,"&lt;"&amp;K7))</f>
        <v>0</v>
      </c>
      <c r="N6" s="122">
        <f>SUMIFS('Relatório GERAL'!$BR:$BR,'Relatório GERAL'!$AX:$AX,"&gt;="&amp;'Horario de campo e Prod.TOTAL'!K6,'Relatório GERAL'!$AX:$AX,"&lt;"&amp;K7)+SUMIFS('Relatório Extra'!$W:$W,'Relatório Extra'!$A:$A,"&gt;="&amp;'Horario de campo e Prod.TOTAL'!K6,'Relatório Extra'!$A:$A,"&lt;"&amp;'Horario de campo e Prod.TOTAL'!K7)</f>
        <v>0</v>
      </c>
      <c r="O6" s="122" t="e">
        <f t="shared" si="2"/>
        <v>#DIV/0!</v>
      </c>
      <c r="P6">
        <f>IF(K6&lt;DATE(2016,3,1),0,SUMIFS(BD.OS!$Z:$Z,BD.OS!$A:$A,"&gt;="&amp;'Horario de campo e Prod.TOTAL'!K6,BD.OS!$A:$A,"&lt;"&amp;'Horario de campo e Prod.TOTAL'!K7))</f>
        <v>0</v>
      </c>
      <c r="Q6">
        <f>IF(K6&lt;DATE(2016,3,1),0,SUMIFS('Relatório Extra'!$W:$W,'Relatório Extra'!$A:$A,"&gt;="&amp;'Horario de campo e Prod.TOTAL'!K6,'Relatório Extra'!$A:$A,"&lt;"&amp;'Horario de campo e Prod.TOTAL'!K7))</f>
        <v>0</v>
      </c>
      <c r="R6" s="122" t="e">
        <f t="shared" si="3"/>
        <v>#DIV/0!</v>
      </c>
      <c r="T6">
        <v>5</v>
      </c>
      <c r="U6" s="16">
        <f t="shared" si="4"/>
        <v>0.55351170568561869</v>
      </c>
      <c r="V6" s="16" t="e">
        <f t="shared" si="5"/>
        <v>#DIV/0!</v>
      </c>
      <c r="W6" s="122" t="e">
        <f t="shared" si="6"/>
        <v>#DIV/0!</v>
      </c>
      <c r="X6" s="122" t="e">
        <f t="shared" si="7"/>
        <v>#DIV/0!</v>
      </c>
    </row>
    <row r="7" spans="2:24" x14ac:dyDescent="0.2">
      <c r="B7" s="26">
        <f t="shared" si="8"/>
        <v>42405</v>
      </c>
      <c r="C7">
        <v>6</v>
      </c>
      <c r="D7" s="122">
        <f>SUMIFS(BD.OS!$Y:$Y,BD.OS!$A:$A,"&gt;="&amp;B7,BD.OS!$A:$A,"&lt;"&amp;B8)</f>
        <v>137</v>
      </c>
      <c r="E7" s="122">
        <f>SUMIFS('Relatório GERAL'!$BR:$BR,'Relatório GERAL'!$AX:$AX,"&gt;="&amp;'Horario de campo e Prod.TOTAL'!B7,'Relatório GERAL'!$AX:$AX,"&lt;"&amp;B8)+SUMIFS('Relatório Extra'!$W:$W,'Relatório Extra'!$A:$A,"&gt;="&amp;'Horario de campo e Prod.TOTAL'!B7,'Relatório Extra'!$A:$A,"&lt;"&amp;'Horario de campo e Prod.TOTAL'!B8)</f>
        <v>344</v>
      </c>
      <c r="F7" s="122">
        <f t="shared" si="0"/>
        <v>0.39825581395348836</v>
      </c>
      <c r="G7">
        <f>IF(B7&lt;DATE(2016,3,1),0,SUMIFS(BD.OS!$Z:$Z,BD.OS!$A:$A,"&gt;="&amp;'Horario de campo e Prod.TOTAL'!B7,BD.OS!$A:$A,"&lt;"&amp;'Horario de campo e Prod.TOTAL'!B8))</f>
        <v>0</v>
      </c>
      <c r="H7">
        <f>IF(B7&lt;DATE(2016,3,1),0,SUMIFS('Relatório Extra'!$W:$W,'Relatório Extra'!$A:$A,"&gt;="&amp;'Horario de campo e Prod.TOTAL'!B7,'Relatório Extra'!$A:$A,"&lt;"&amp;'Horario de campo e Prod.TOTAL'!B8))</f>
        <v>0</v>
      </c>
      <c r="I7" s="122" t="e">
        <f t="shared" si="1"/>
        <v>#DIV/0!</v>
      </c>
      <c r="K7" s="26">
        <f t="shared" si="9"/>
        <v>42040</v>
      </c>
      <c r="L7" s="78">
        <v>6</v>
      </c>
      <c r="M7" s="122">
        <f>IF(K7&lt;DATE(2015,5,4),0,SUMIFS(BD.OS!$X:$X,BD.OS!$A:$A,"&gt;="&amp;K7,BD.OS!$A:$A,"&lt;"&amp;K8))</f>
        <v>0</v>
      </c>
      <c r="N7" s="122">
        <f>SUMIFS('Relatório GERAL'!$BR:$BR,'Relatório GERAL'!$AX:$AX,"&gt;="&amp;'Horario de campo e Prod.TOTAL'!K7,'Relatório GERAL'!$AX:$AX,"&lt;"&amp;K8)+SUMIFS('Relatório Extra'!$W:$W,'Relatório Extra'!$A:$A,"&gt;="&amp;'Horario de campo e Prod.TOTAL'!K7,'Relatório Extra'!$A:$A,"&lt;"&amp;'Horario de campo e Prod.TOTAL'!K8)</f>
        <v>0</v>
      </c>
      <c r="O7" s="122" t="e">
        <f t="shared" si="2"/>
        <v>#DIV/0!</v>
      </c>
      <c r="P7">
        <f>IF(K7&lt;DATE(2016,3,1),0,SUMIFS(BD.OS!$Z:$Z,BD.OS!$A:$A,"&gt;="&amp;'Horario de campo e Prod.TOTAL'!K7,BD.OS!$A:$A,"&lt;"&amp;'Horario de campo e Prod.TOTAL'!K8))</f>
        <v>0</v>
      </c>
      <c r="Q7">
        <f>IF(K7&lt;DATE(2016,3,1),0,SUMIFS('Relatório Extra'!$W:$W,'Relatório Extra'!$A:$A,"&gt;="&amp;'Horario de campo e Prod.TOTAL'!K7,'Relatório Extra'!$A:$A,"&lt;"&amp;'Horario de campo e Prod.TOTAL'!K8))</f>
        <v>0</v>
      </c>
      <c r="R7" s="122" t="e">
        <f t="shared" si="3"/>
        <v>#DIV/0!</v>
      </c>
      <c r="T7">
        <v>6</v>
      </c>
      <c r="U7" s="16">
        <f t="shared" si="4"/>
        <v>0.39825581395348836</v>
      </c>
      <c r="V7" s="16" t="e">
        <f t="shared" si="5"/>
        <v>#DIV/0!</v>
      </c>
      <c r="W7" s="122" t="e">
        <f t="shared" si="6"/>
        <v>#DIV/0!</v>
      </c>
      <c r="X7" s="122" t="e">
        <f t="shared" si="7"/>
        <v>#DIV/0!</v>
      </c>
    </row>
    <row r="8" spans="2:24" x14ac:dyDescent="0.2">
      <c r="B8" s="26">
        <f t="shared" si="8"/>
        <v>42412</v>
      </c>
      <c r="C8">
        <v>7</v>
      </c>
      <c r="D8" s="122">
        <f>SUMIFS(BD.OS!$Y:$Y,BD.OS!$A:$A,"&gt;="&amp;B8,BD.OS!$A:$A,"&lt;"&amp;B9)</f>
        <v>401</v>
      </c>
      <c r="E8" s="122">
        <f>SUMIFS('Relatório GERAL'!$BR:$BR,'Relatório GERAL'!$AX:$AX,"&gt;="&amp;'Horario de campo e Prod.TOTAL'!B8,'Relatório GERAL'!$AX:$AX,"&lt;"&amp;B9)+SUMIFS('Relatório Extra'!$W:$W,'Relatório Extra'!$A:$A,"&gt;="&amp;'Horario de campo e Prod.TOTAL'!B8,'Relatório Extra'!$A:$A,"&lt;"&amp;'Horario de campo e Prod.TOTAL'!B9)</f>
        <v>530</v>
      </c>
      <c r="F8" s="122">
        <f t="shared" si="0"/>
        <v>0.75660377358490571</v>
      </c>
      <c r="G8">
        <f>IF(B8&lt;DATE(2016,3,1),0,SUMIFS(BD.OS!$Z:$Z,BD.OS!$A:$A,"&gt;="&amp;'Horario de campo e Prod.TOTAL'!B8,BD.OS!$A:$A,"&lt;"&amp;'Horario de campo e Prod.TOTAL'!B9))</f>
        <v>0</v>
      </c>
      <c r="H8">
        <f>IF(B8&lt;DATE(2016,3,1),0,SUMIFS('Relatório Extra'!$W:$W,'Relatório Extra'!$A:$A,"&gt;="&amp;'Horario de campo e Prod.TOTAL'!B8,'Relatório Extra'!$A:$A,"&lt;"&amp;'Horario de campo e Prod.TOTAL'!B9))</f>
        <v>0</v>
      </c>
      <c r="I8" s="122" t="e">
        <f t="shared" si="1"/>
        <v>#DIV/0!</v>
      </c>
      <c r="K8" s="26">
        <f t="shared" si="9"/>
        <v>42047</v>
      </c>
      <c r="L8" s="78">
        <v>7</v>
      </c>
      <c r="M8" s="122">
        <f>IF(K8&lt;DATE(2015,5,4),0,SUMIFS(BD.OS!$X:$X,BD.OS!$A:$A,"&gt;="&amp;K8,BD.OS!$A:$A,"&lt;"&amp;K9))</f>
        <v>0</v>
      </c>
      <c r="N8" s="122">
        <f>SUMIFS('Relatório GERAL'!$BR:$BR,'Relatório GERAL'!$AX:$AX,"&gt;="&amp;'Horario de campo e Prod.TOTAL'!K8,'Relatório GERAL'!$AX:$AX,"&lt;"&amp;K9)+SUMIFS('Relatório Extra'!$W:$W,'Relatório Extra'!$A:$A,"&gt;="&amp;'Horario de campo e Prod.TOTAL'!K8,'Relatório Extra'!$A:$A,"&lt;"&amp;'Horario de campo e Prod.TOTAL'!K9)</f>
        <v>0</v>
      </c>
      <c r="O8" s="122" t="e">
        <f t="shared" si="2"/>
        <v>#DIV/0!</v>
      </c>
      <c r="P8">
        <f>IF(K8&lt;DATE(2016,3,1),0,SUMIFS(BD.OS!$Z:$Z,BD.OS!$A:$A,"&gt;="&amp;'Horario de campo e Prod.TOTAL'!K8,BD.OS!$A:$A,"&lt;"&amp;'Horario de campo e Prod.TOTAL'!K9))</f>
        <v>0</v>
      </c>
      <c r="Q8">
        <f>IF(K8&lt;DATE(2016,3,1),0,SUMIFS('Relatório Extra'!$W:$W,'Relatório Extra'!$A:$A,"&gt;="&amp;'Horario de campo e Prod.TOTAL'!K8,'Relatório Extra'!$A:$A,"&lt;"&amp;'Horario de campo e Prod.TOTAL'!K9))</f>
        <v>0</v>
      </c>
      <c r="R8" s="122" t="e">
        <f t="shared" si="3"/>
        <v>#DIV/0!</v>
      </c>
      <c r="T8">
        <v>7</v>
      </c>
      <c r="U8" s="16">
        <f t="shared" si="4"/>
        <v>0.75660377358490571</v>
      </c>
      <c r="V8" s="16" t="e">
        <f t="shared" si="5"/>
        <v>#DIV/0!</v>
      </c>
      <c r="W8" s="122" t="e">
        <f t="shared" si="6"/>
        <v>#DIV/0!</v>
      </c>
      <c r="X8" s="122" t="e">
        <f t="shared" si="7"/>
        <v>#DIV/0!</v>
      </c>
    </row>
    <row r="9" spans="2:24" x14ac:dyDescent="0.2">
      <c r="B9" s="26">
        <f t="shared" si="8"/>
        <v>42419</v>
      </c>
      <c r="C9">
        <v>8</v>
      </c>
      <c r="D9" s="122">
        <f>SUMIFS(BD.OS!$Y:$Y,BD.OS!$A:$A,"&gt;="&amp;B9,BD.OS!$A:$A,"&lt;"&amp;B10)</f>
        <v>552</v>
      </c>
      <c r="E9" s="122">
        <f>SUMIFS('Relatório GERAL'!$BR:$BR,'Relatório GERAL'!$AX:$AX,"&gt;="&amp;'Horario de campo e Prod.TOTAL'!B9,'Relatório GERAL'!$AX:$AX,"&lt;"&amp;B10)+SUMIFS('Relatório Extra'!$W:$W,'Relatório Extra'!$A:$A,"&gt;="&amp;'Horario de campo e Prod.TOTAL'!B9,'Relatório Extra'!$A:$A,"&lt;"&amp;'Horario de campo e Prod.TOTAL'!B10)</f>
        <v>544</v>
      </c>
      <c r="F9" s="122">
        <f t="shared" si="0"/>
        <v>1.0147058823529411</v>
      </c>
      <c r="G9">
        <f>IF(B9&lt;DATE(2016,3,1),0,SUMIFS(BD.OS!$Z:$Z,BD.OS!$A:$A,"&gt;="&amp;'Horario de campo e Prod.TOTAL'!B9,BD.OS!$A:$A,"&lt;"&amp;'Horario de campo e Prod.TOTAL'!B10))</f>
        <v>0</v>
      </c>
      <c r="H9">
        <f>IF(B9&lt;DATE(2016,3,1),0,SUMIFS('Relatório Extra'!$W:$W,'Relatório Extra'!$A:$A,"&gt;="&amp;'Horario de campo e Prod.TOTAL'!B9,'Relatório Extra'!$A:$A,"&lt;"&amp;'Horario de campo e Prod.TOTAL'!B10))</f>
        <v>0</v>
      </c>
      <c r="I9" s="122" t="e">
        <f t="shared" si="1"/>
        <v>#DIV/0!</v>
      </c>
      <c r="K9" s="26">
        <f t="shared" si="9"/>
        <v>42054</v>
      </c>
      <c r="L9" s="78">
        <v>8</v>
      </c>
      <c r="M9" s="122">
        <f>IF(K9&lt;DATE(2015,5,4),0,SUMIFS(BD.OS!$X:$X,BD.OS!$A:$A,"&gt;="&amp;K9,BD.OS!$A:$A,"&lt;"&amp;K10))</f>
        <v>0</v>
      </c>
      <c r="N9" s="122">
        <f>SUMIFS('Relatório GERAL'!$BR:$BR,'Relatório GERAL'!$AX:$AX,"&gt;="&amp;'Horario de campo e Prod.TOTAL'!K9,'Relatório GERAL'!$AX:$AX,"&lt;"&amp;K10)+SUMIFS('Relatório Extra'!$W:$W,'Relatório Extra'!$A:$A,"&gt;="&amp;'Horario de campo e Prod.TOTAL'!K9,'Relatório Extra'!$A:$A,"&lt;"&amp;'Horario de campo e Prod.TOTAL'!K10)</f>
        <v>0</v>
      </c>
      <c r="O9" s="122" t="e">
        <f t="shared" si="2"/>
        <v>#DIV/0!</v>
      </c>
      <c r="P9">
        <f>IF(K9&lt;DATE(2016,3,1),0,SUMIFS(BD.OS!$Z:$Z,BD.OS!$A:$A,"&gt;="&amp;'Horario de campo e Prod.TOTAL'!K9,BD.OS!$A:$A,"&lt;"&amp;'Horario de campo e Prod.TOTAL'!K10))</f>
        <v>0</v>
      </c>
      <c r="Q9">
        <f>IF(K9&lt;DATE(2016,3,1),0,SUMIFS('Relatório Extra'!$W:$W,'Relatório Extra'!$A:$A,"&gt;="&amp;'Horario de campo e Prod.TOTAL'!K9,'Relatório Extra'!$A:$A,"&lt;"&amp;'Horario de campo e Prod.TOTAL'!K10))</f>
        <v>0</v>
      </c>
      <c r="R9" s="122" t="e">
        <f t="shared" si="3"/>
        <v>#DIV/0!</v>
      </c>
      <c r="T9">
        <v>8</v>
      </c>
      <c r="U9" s="16">
        <f t="shared" si="4"/>
        <v>1.0147058823529411</v>
      </c>
      <c r="V9" s="16" t="e">
        <f t="shared" si="5"/>
        <v>#DIV/0!</v>
      </c>
      <c r="W9" s="122" t="e">
        <f t="shared" si="6"/>
        <v>#DIV/0!</v>
      </c>
      <c r="X9" s="122" t="e">
        <f t="shared" si="7"/>
        <v>#DIV/0!</v>
      </c>
    </row>
    <row r="10" spans="2:24" x14ac:dyDescent="0.2">
      <c r="B10" s="26">
        <f t="shared" si="8"/>
        <v>42426</v>
      </c>
      <c r="C10">
        <v>9</v>
      </c>
      <c r="D10" s="122">
        <f>SUMIFS(BD.OS!$Y:$Y,BD.OS!$A:$A,"&gt;="&amp;B10,BD.OS!$A:$A,"&lt;"&amp;B11)</f>
        <v>432</v>
      </c>
      <c r="E10" s="122">
        <f>SUMIFS('Relatório GERAL'!$BR:$BR,'Relatório GERAL'!$AX:$AX,"&gt;="&amp;'Horario de campo e Prod.TOTAL'!B10,'Relatório GERAL'!$AX:$AX,"&lt;"&amp;B11)+SUMIFS('Relatório Extra'!$W:$W,'Relatório Extra'!$A:$A,"&gt;="&amp;'Horario de campo e Prod.TOTAL'!B10,'Relatório Extra'!$A:$A,"&lt;"&amp;'Horario de campo e Prod.TOTAL'!B11)</f>
        <v>550</v>
      </c>
      <c r="F10" s="122">
        <f t="shared" si="0"/>
        <v>0.78545454545454541</v>
      </c>
      <c r="G10">
        <f>IF(B10&lt;DATE(2016,3,1),0,SUMIFS(BD.OS!$Z:$Z,BD.OS!$A:$A,"&gt;="&amp;'Horario de campo e Prod.TOTAL'!B10,BD.OS!$A:$A,"&lt;"&amp;'Horario de campo e Prod.TOTAL'!B11))</f>
        <v>0</v>
      </c>
      <c r="H10">
        <f>IF(B10&lt;DATE(2016,3,1),0,SUMIFS('Relatório Extra'!$W:$W,'Relatório Extra'!$A:$A,"&gt;="&amp;'Horario de campo e Prod.TOTAL'!B10,'Relatório Extra'!$A:$A,"&lt;"&amp;'Horario de campo e Prod.TOTAL'!B11))</f>
        <v>0</v>
      </c>
      <c r="I10" s="122" t="e">
        <f t="shared" si="1"/>
        <v>#DIV/0!</v>
      </c>
      <c r="K10" s="26">
        <f t="shared" si="9"/>
        <v>42061</v>
      </c>
      <c r="L10" s="78">
        <v>9</v>
      </c>
      <c r="M10" s="122">
        <f>IF(K10&lt;DATE(2015,5,4),0,SUMIFS(BD.OS!$X:$X,BD.OS!$A:$A,"&gt;="&amp;K10,BD.OS!$A:$A,"&lt;"&amp;K11))</f>
        <v>0</v>
      </c>
      <c r="N10" s="122">
        <f>SUMIFS('Relatório GERAL'!$BR:$BR,'Relatório GERAL'!$AX:$AX,"&gt;="&amp;'Horario de campo e Prod.TOTAL'!K10,'Relatório GERAL'!$AX:$AX,"&lt;"&amp;K11)+SUMIFS('Relatório Extra'!$W:$W,'Relatório Extra'!$A:$A,"&gt;="&amp;'Horario de campo e Prod.TOTAL'!K10,'Relatório Extra'!$A:$A,"&lt;"&amp;'Horario de campo e Prod.TOTAL'!K11)</f>
        <v>0</v>
      </c>
      <c r="O10" s="122" t="e">
        <f t="shared" si="2"/>
        <v>#DIV/0!</v>
      </c>
      <c r="P10">
        <f>IF(K10&lt;DATE(2016,3,1),0,SUMIFS(BD.OS!$Z:$Z,BD.OS!$A:$A,"&gt;="&amp;'Horario de campo e Prod.TOTAL'!K10,BD.OS!$A:$A,"&lt;"&amp;'Horario de campo e Prod.TOTAL'!K11))</f>
        <v>0</v>
      </c>
      <c r="Q10">
        <f>IF(K10&lt;DATE(2016,3,1),0,SUMIFS('Relatório Extra'!$W:$W,'Relatório Extra'!$A:$A,"&gt;="&amp;'Horario de campo e Prod.TOTAL'!K10,'Relatório Extra'!$A:$A,"&lt;"&amp;'Horario de campo e Prod.TOTAL'!K11))</f>
        <v>0</v>
      </c>
      <c r="R10" s="122" t="e">
        <f t="shared" si="3"/>
        <v>#DIV/0!</v>
      </c>
      <c r="T10">
        <v>9</v>
      </c>
      <c r="U10" s="16">
        <f t="shared" si="4"/>
        <v>0.78545454545454541</v>
      </c>
      <c r="V10" s="16" t="e">
        <f t="shared" si="5"/>
        <v>#DIV/0!</v>
      </c>
      <c r="W10" s="122" t="e">
        <f t="shared" si="6"/>
        <v>#DIV/0!</v>
      </c>
      <c r="X10" s="122" t="e">
        <f t="shared" si="7"/>
        <v>#DIV/0!</v>
      </c>
    </row>
    <row r="11" spans="2:24" x14ac:dyDescent="0.2">
      <c r="B11" s="26">
        <f t="shared" si="8"/>
        <v>42433</v>
      </c>
      <c r="C11">
        <v>10</v>
      </c>
      <c r="D11" s="122">
        <f>SUMIFS(BD.OS!$Y:$Y,BD.OS!$A:$A,"&gt;="&amp;B11,BD.OS!$A:$A,"&lt;"&amp;B12)</f>
        <v>404</v>
      </c>
      <c r="E11" s="122">
        <f>SUMIFS('Relatório GERAL'!$BR:$BR,'Relatório GERAL'!$AX:$AX,"&gt;="&amp;'Horario de campo e Prod.TOTAL'!B11,'Relatório GERAL'!$AX:$AX,"&lt;"&amp;B12)+SUMIFS('Relatório Extra'!$W:$W,'Relatório Extra'!$A:$A,"&gt;="&amp;'Horario de campo e Prod.TOTAL'!B11,'Relatório Extra'!$A:$A,"&lt;"&amp;'Horario de campo e Prod.TOTAL'!B12)</f>
        <v>598</v>
      </c>
      <c r="F11" s="122">
        <f t="shared" si="0"/>
        <v>0.67558528428093645</v>
      </c>
      <c r="G11">
        <f>IF(B11&lt;DATE(2016,3,1),0,SUMIFS(BD.OS!$Z:$Z,BD.OS!$A:$A,"&gt;="&amp;'Horario de campo e Prod.TOTAL'!B11,BD.OS!$A:$A,"&lt;"&amp;'Horario de campo e Prod.TOTAL'!B12))</f>
        <v>22</v>
      </c>
      <c r="H11">
        <f>IF(B11&lt;DATE(2016,3,1),0,SUMIFS('Relatório Extra'!$W:$W,'Relatório Extra'!$A:$A,"&gt;="&amp;'Horario de campo e Prod.TOTAL'!B11,'Relatório Extra'!$A:$A,"&lt;"&amp;'Horario de campo e Prod.TOTAL'!B12))</f>
        <v>24</v>
      </c>
      <c r="I11" s="122">
        <f t="shared" si="1"/>
        <v>0.91666666666666663</v>
      </c>
      <c r="K11" s="26">
        <f t="shared" si="9"/>
        <v>42068</v>
      </c>
      <c r="L11" s="78">
        <v>10</v>
      </c>
      <c r="M11" s="122">
        <f>IF(K11&lt;DATE(2015,5,4),0,SUMIFS(BD.OS!$X:$X,BD.OS!$A:$A,"&gt;="&amp;K11,BD.OS!$A:$A,"&lt;"&amp;K12))</f>
        <v>0</v>
      </c>
      <c r="N11" s="122">
        <f>SUMIFS('Relatório GERAL'!$BR:$BR,'Relatório GERAL'!$AX:$AX,"&gt;="&amp;'Horario de campo e Prod.TOTAL'!K11,'Relatório GERAL'!$AX:$AX,"&lt;"&amp;K12)+SUMIFS('Relatório Extra'!$W:$W,'Relatório Extra'!$A:$A,"&gt;="&amp;'Horario de campo e Prod.TOTAL'!K11,'Relatório Extra'!$A:$A,"&lt;"&amp;'Horario de campo e Prod.TOTAL'!K12)</f>
        <v>0</v>
      </c>
      <c r="O11" s="122" t="e">
        <f t="shared" si="2"/>
        <v>#DIV/0!</v>
      </c>
      <c r="P11">
        <f>IF(K11&lt;DATE(2016,3,1),0,SUMIFS(BD.OS!$Z:$Z,BD.OS!$A:$A,"&gt;="&amp;'Horario de campo e Prod.TOTAL'!K11,BD.OS!$A:$A,"&lt;"&amp;'Horario de campo e Prod.TOTAL'!K12))</f>
        <v>0</v>
      </c>
      <c r="Q11">
        <f>IF(K11&lt;DATE(2016,3,1),0,SUMIFS('Relatório Extra'!$W:$W,'Relatório Extra'!$A:$A,"&gt;="&amp;'Horario de campo e Prod.TOTAL'!K11,'Relatório Extra'!$A:$A,"&lt;"&amp;'Horario de campo e Prod.TOTAL'!K12))</f>
        <v>0</v>
      </c>
      <c r="R11" s="122" t="e">
        <f t="shared" si="3"/>
        <v>#DIV/0!</v>
      </c>
      <c r="T11">
        <v>10</v>
      </c>
      <c r="U11" s="16">
        <f t="shared" si="4"/>
        <v>0.67558528428093645</v>
      </c>
      <c r="V11" s="16" t="e">
        <f t="shared" si="5"/>
        <v>#DIV/0!</v>
      </c>
      <c r="W11" s="122">
        <f t="shared" si="6"/>
        <v>0.91666666666666663</v>
      </c>
      <c r="X11" s="122" t="e">
        <f t="shared" si="7"/>
        <v>#DIV/0!</v>
      </c>
    </row>
    <row r="12" spans="2:24" x14ac:dyDescent="0.2">
      <c r="B12" s="26">
        <f t="shared" si="8"/>
        <v>42440</v>
      </c>
      <c r="C12">
        <v>11</v>
      </c>
      <c r="D12" s="122">
        <f>SUMIFS(BD.OS!$Y:$Y,BD.OS!$A:$A,"&gt;="&amp;B12,BD.OS!$A:$A,"&lt;"&amp;B13)</f>
        <v>349</v>
      </c>
      <c r="E12" s="122">
        <f>SUMIFS('Relatório GERAL'!$BR:$BR,'Relatório GERAL'!$AX:$AX,"&gt;="&amp;'Horario de campo e Prod.TOTAL'!B12,'Relatório GERAL'!$AX:$AX,"&lt;"&amp;B13)+SUMIFS('Relatório Extra'!$W:$W,'Relatório Extra'!$A:$A,"&gt;="&amp;'Horario de campo e Prod.TOTAL'!B12,'Relatório Extra'!$A:$A,"&lt;"&amp;'Horario de campo e Prod.TOTAL'!B13)</f>
        <v>510</v>
      </c>
      <c r="F12" s="122">
        <f t="shared" si="0"/>
        <v>0.68431372549019609</v>
      </c>
      <c r="G12">
        <f>IF(B12&lt;DATE(2016,3,1),0,SUMIFS(BD.OS!$Z:$Z,BD.OS!$A:$A,"&gt;="&amp;'Horario de campo e Prod.TOTAL'!B12,BD.OS!$A:$A,"&lt;"&amp;'Horario de campo e Prod.TOTAL'!B13))</f>
        <v>0</v>
      </c>
      <c r="H12">
        <f>IF(B12&lt;DATE(2016,3,1),0,SUMIFS('Relatório Extra'!$W:$W,'Relatório Extra'!$A:$A,"&gt;="&amp;'Horario de campo e Prod.TOTAL'!B12,'Relatório Extra'!$A:$A,"&lt;"&amp;'Horario de campo e Prod.TOTAL'!B13))</f>
        <v>0</v>
      </c>
      <c r="I12" s="122" t="e">
        <f t="shared" si="1"/>
        <v>#DIV/0!</v>
      </c>
      <c r="K12" s="26">
        <f t="shared" si="9"/>
        <v>42075</v>
      </c>
      <c r="L12" s="78">
        <v>11</v>
      </c>
      <c r="M12" s="122">
        <f>IF(K12&lt;DATE(2015,5,4),0,SUMIFS(BD.OS!$X:$X,BD.OS!$A:$A,"&gt;="&amp;K12,BD.OS!$A:$A,"&lt;"&amp;K13))</f>
        <v>0</v>
      </c>
      <c r="N12" s="122">
        <f>SUMIFS('Relatório GERAL'!$BR:$BR,'Relatório GERAL'!$AX:$AX,"&gt;="&amp;'Horario de campo e Prod.TOTAL'!K12,'Relatório GERAL'!$AX:$AX,"&lt;"&amp;K13)+SUMIFS('Relatório Extra'!$W:$W,'Relatório Extra'!$A:$A,"&gt;="&amp;'Horario de campo e Prod.TOTAL'!K12,'Relatório Extra'!$A:$A,"&lt;"&amp;'Horario de campo e Prod.TOTAL'!K13)</f>
        <v>0</v>
      </c>
      <c r="O12" s="122" t="e">
        <f t="shared" si="2"/>
        <v>#DIV/0!</v>
      </c>
      <c r="P12">
        <f>IF(K12&lt;DATE(2016,3,1),0,SUMIFS(BD.OS!$Z:$Z,BD.OS!$A:$A,"&gt;="&amp;'Horario de campo e Prod.TOTAL'!K12,BD.OS!$A:$A,"&lt;"&amp;'Horario de campo e Prod.TOTAL'!K13))</f>
        <v>0</v>
      </c>
      <c r="Q12">
        <f>IF(K12&lt;DATE(2016,3,1),0,SUMIFS('Relatório Extra'!$W:$W,'Relatório Extra'!$A:$A,"&gt;="&amp;'Horario de campo e Prod.TOTAL'!K12,'Relatório Extra'!$A:$A,"&lt;"&amp;'Horario de campo e Prod.TOTAL'!K13))</f>
        <v>0</v>
      </c>
      <c r="R12" s="122" t="e">
        <f t="shared" si="3"/>
        <v>#DIV/0!</v>
      </c>
      <c r="T12">
        <v>11</v>
      </c>
      <c r="U12" s="16">
        <f t="shared" si="4"/>
        <v>0.68431372549019609</v>
      </c>
      <c r="V12" s="16" t="e">
        <f t="shared" si="5"/>
        <v>#DIV/0!</v>
      </c>
      <c r="W12" s="122" t="e">
        <f t="shared" si="6"/>
        <v>#DIV/0!</v>
      </c>
      <c r="X12" s="122" t="e">
        <f t="shared" si="7"/>
        <v>#DIV/0!</v>
      </c>
    </row>
    <row r="13" spans="2:24" x14ac:dyDescent="0.2">
      <c r="B13" s="26">
        <f t="shared" si="8"/>
        <v>42447</v>
      </c>
      <c r="C13">
        <v>12</v>
      </c>
      <c r="D13" s="122">
        <f>SUMIFS(BD.OS!$Y:$Y,BD.OS!$A:$A,"&gt;="&amp;B13,BD.OS!$A:$A,"&lt;"&amp;B14)</f>
        <v>306</v>
      </c>
      <c r="E13" s="122">
        <f>SUMIFS('Relatório GERAL'!$BR:$BR,'Relatório GERAL'!$AX:$AX,"&gt;="&amp;'Horario de campo e Prod.TOTAL'!B13,'Relatório GERAL'!$AX:$AX,"&lt;"&amp;B14)+SUMIFS('Relatório Extra'!$W:$W,'Relatório Extra'!$A:$A,"&gt;="&amp;'Horario de campo e Prod.TOTAL'!B13,'Relatório Extra'!$A:$A,"&lt;"&amp;'Horario de campo e Prod.TOTAL'!B14)</f>
        <v>512</v>
      </c>
      <c r="F13" s="122">
        <f t="shared" si="0"/>
        <v>0.59765625</v>
      </c>
      <c r="G13">
        <f>IF(B13&lt;DATE(2016,3,1),0,SUMIFS(BD.OS!$Z:$Z,BD.OS!$A:$A,"&gt;="&amp;'Horario de campo e Prod.TOTAL'!B13,BD.OS!$A:$A,"&lt;"&amp;'Horario de campo e Prod.TOTAL'!B14))</f>
        <v>28</v>
      </c>
      <c r="H13">
        <f>IF(B13&lt;DATE(2016,3,1),0,SUMIFS('Relatório Extra'!$W:$W,'Relatório Extra'!$A:$A,"&gt;="&amp;'Horario de campo e Prod.TOTAL'!B13,'Relatório Extra'!$A:$A,"&lt;"&amp;'Horario de campo e Prod.TOTAL'!B14))</f>
        <v>30</v>
      </c>
      <c r="I13" s="122">
        <f t="shared" si="1"/>
        <v>0.93333333333333335</v>
      </c>
      <c r="K13" s="26">
        <f t="shared" si="9"/>
        <v>42082</v>
      </c>
      <c r="L13" s="78">
        <v>12</v>
      </c>
      <c r="M13" s="122">
        <f>IF(K13&lt;DATE(2015,5,4),0,SUMIFS(BD.OS!$X:$X,BD.OS!$A:$A,"&gt;="&amp;K13,BD.OS!$A:$A,"&lt;"&amp;K14))</f>
        <v>0</v>
      </c>
      <c r="N13" s="122">
        <f>SUMIFS('Relatório GERAL'!$BR:$BR,'Relatório GERAL'!$AX:$AX,"&gt;="&amp;'Horario de campo e Prod.TOTAL'!K13,'Relatório GERAL'!$AX:$AX,"&lt;"&amp;K14)+SUMIFS('Relatório Extra'!$W:$W,'Relatório Extra'!$A:$A,"&gt;="&amp;'Horario de campo e Prod.TOTAL'!K13,'Relatório Extra'!$A:$A,"&lt;"&amp;'Horario de campo e Prod.TOTAL'!K14)</f>
        <v>0</v>
      </c>
      <c r="O13" s="122" t="e">
        <f t="shared" si="2"/>
        <v>#DIV/0!</v>
      </c>
      <c r="P13">
        <f>IF(K13&lt;DATE(2016,3,1),0,SUMIFS(BD.OS!$Z:$Z,BD.OS!$A:$A,"&gt;="&amp;'Horario de campo e Prod.TOTAL'!K13,BD.OS!$A:$A,"&lt;"&amp;'Horario de campo e Prod.TOTAL'!K14))</f>
        <v>0</v>
      </c>
      <c r="Q13">
        <f>IF(K13&lt;DATE(2016,3,1),0,SUMIFS('Relatório Extra'!$W:$W,'Relatório Extra'!$A:$A,"&gt;="&amp;'Horario de campo e Prod.TOTAL'!K13,'Relatório Extra'!$A:$A,"&lt;"&amp;'Horario de campo e Prod.TOTAL'!K14))</f>
        <v>0</v>
      </c>
      <c r="R13" s="122" t="e">
        <f t="shared" si="3"/>
        <v>#DIV/0!</v>
      </c>
      <c r="T13">
        <v>12</v>
      </c>
      <c r="U13" s="16">
        <f t="shared" si="4"/>
        <v>0.59765625</v>
      </c>
      <c r="V13" s="16" t="e">
        <f t="shared" si="5"/>
        <v>#DIV/0!</v>
      </c>
      <c r="W13" s="122">
        <f t="shared" si="6"/>
        <v>0.93333333333333335</v>
      </c>
      <c r="X13" s="122" t="e">
        <f t="shared" si="7"/>
        <v>#DIV/0!</v>
      </c>
    </row>
    <row r="14" spans="2:24" x14ac:dyDescent="0.2">
      <c r="B14" s="26">
        <f t="shared" si="8"/>
        <v>42454</v>
      </c>
      <c r="C14">
        <v>13</v>
      </c>
      <c r="D14" s="122">
        <f>SUMIFS(BD.OS!$Y:$Y,BD.OS!$A:$A,"&gt;="&amp;B14,BD.OS!$A:$A,"&lt;"&amp;B15)</f>
        <v>299</v>
      </c>
      <c r="E14" s="122">
        <f>SUMIFS('Relatório GERAL'!$BR:$BR,'Relatório GERAL'!$AX:$AX,"&gt;="&amp;'Horario de campo e Prod.TOTAL'!B14,'Relatório GERAL'!$AX:$AX,"&lt;"&amp;B15)+SUMIFS('Relatório Extra'!$W:$W,'Relatório Extra'!$A:$A,"&gt;="&amp;'Horario de campo e Prod.TOTAL'!B14,'Relatório Extra'!$A:$A,"&lt;"&amp;'Horario de campo e Prod.TOTAL'!B15)</f>
        <v>464</v>
      </c>
      <c r="F14" s="122">
        <f t="shared" si="0"/>
        <v>0.6443965517241379</v>
      </c>
      <c r="G14">
        <f>IF(B14&lt;DATE(2016,3,1),0,SUMIFS(BD.OS!$Z:$Z,BD.OS!$A:$A,"&gt;="&amp;'Horario de campo e Prod.TOTAL'!B14,BD.OS!$A:$A,"&lt;"&amp;'Horario de campo e Prod.TOTAL'!B15))</f>
        <v>0</v>
      </c>
      <c r="H14">
        <f>IF(B14&lt;DATE(2016,3,1),0,SUMIFS('Relatório Extra'!$W:$W,'Relatório Extra'!$A:$A,"&gt;="&amp;'Horario de campo e Prod.TOTAL'!B14,'Relatório Extra'!$A:$A,"&lt;"&amp;'Horario de campo e Prod.TOTAL'!B15))</f>
        <v>0</v>
      </c>
      <c r="I14" s="122" t="e">
        <f t="shared" si="1"/>
        <v>#DIV/0!</v>
      </c>
      <c r="K14" s="26">
        <f t="shared" si="9"/>
        <v>42089</v>
      </c>
      <c r="L14" s="78">
        <v>13</v>
      </c>
      <c r="M14" s="122">
        <f>IF(K14&lt;DATE(2015,5,4),0,SUMIFS(BD.OS!$X:$X,BD.OS!$A:$A,"&gt;="&amp;K14,BD.OS!$A:$A,"&lt;"&amp;K15))</f>
        <v>0</v>
      </c>
      <c r="N14" s="122">
        <f>SUMIFS('Relatório GERAL'!$BR:$BR,'Relatório GERAL'!$AX:$AX,"&gt;="&amp;'Horario de campo e Prod.TOTAL'!K14,'Relatório GERAL'!$AX:$AX,"&lt;"&amp;K15)+SUMIFS('Relatório Extra'!$W:$W,'Relatório Extra'!$A:$A,"&gt;="&amp;'Horario de campo e Prod.TOTAL'!K14,'Relatório Extra'!$A:$A,"&lt;"&amp;'Horario de campo e Prod.TOTAL'!K15)</f>
        <v>0</v>
      </c>
      <c r="O14" s="122" t="e">
        <f t="shared" si="2"/>
        <v>#DIV/0!</v>
      </c>
      <c r="P14">
        <f>IF(K14&lt;DATE(2016,3,1),0,SUMIFS(BD.OS!$Z:$Z,BD.OS!$A:$A,"&gt;="&amp;'Horario de campo e Prod.TOTAL'!K14,BD.OS!$A:$A,"&lt;"&amp;'Horario de campo e Prod.TOTAL'!K15))</f>
        <v>0</v>
      </c>
      <c r="Q14">
        <f>IF(K14&lt;DATE(2016,3,1),0,SUMIFS('Relatório Extra'!$W:$W,'Relatório Extra'!$A:$A,"&gt;="&amp;'Horario de campo e Prod.TOTAL'!K14,'Relatório Extra'!$A:$A,"&lt;"&amp;'Horario de campo e Prod.TOTAL'!K15))</f>
        <v>0</v>
      </c>
      <c r="R14" s="122" t="e">
        <f t="shared" si="3"/>
        <v>#DIV/0!</v>
      </c>
      <c r="T14">
        <v>13</v>
      </c>
      <c r="U14" s="16">
        <f t="shared" si="4"/>
        <v>0.6443965517241379</v>
      </c>
      <c r="V14" s="16" t="e">
        <f t="shared" si="5"/>
        <v>#DIV/0!</v>
      </c>
      <c r="W14" s="122" t="e">
        <f t="shared" si="6"/>
        <v>#DIV/0!</v>
      </c>
      <c r="X14" s="122" t="e">
        <f t="shared" si="7"/>
        <v>#DIV/0!</v>
      </c>
    </row>
    <row r="15" spans="2:24" x14ac:dyDescent="0.2">
      <c r="B15" s="26">
        <f t="shared" si="8"/>
        <v>42461</v>
      </c>
      <c r="C15">
        <v>14</v>
      </c>
      <c r="D15" s="122">
        <f>SUMIFS(BD.OS!$Y:$Y,BD.OS!$A:$A,"&gt;="&amp;B15,BD.OS!$A:$A,"&lt;"&amp;B16)</f>
        <v>466</v>
      </c>
      <c r="E15" s="122">
        <f>SUMIFS('Relatório GERAL'!$BR:$BR,'Relatório GERAL'!$AX:$AX,"&gt;="&amp;'Horario de campo e Prod.TOTAL'!B15,'Relatório GERAL'!$AX:$AX,"&lt;"&amp;B16)+SUMIFS('Relatório Extra'!$W:$W,'Relatório Extra'!$A:$A,"&gt;="&amp;'Horario de campo e Prod.TOTAL'!B15,'Relatório Extra'!$A:$A,"&lt;"&amp;'Horario de campo e Prod.TOTAL'!B16)</f>
        <v>604</v>
      </c>
      <c r="F15" s="122">
        <f t="shared" si="0"/>
        <v>0.77152317880794707</v>
      </c>
      <c r="G15">
        <f>IF(B15&lt;DATE(2016,3,1),0,SUMIFS(BD.OS!$Z:$Z,BD.OS!$A:$A,"&gt;="&amp;'Horario de campo e Prod.TOTAL'!B15,BD.OS!$A:$A,"&lt;"&amp;'Horario de campo e Prod.TOTAL'!B16))</f>
        <v>17</v>
      </c>
      <c r="H15">
        <f>IF(B15&lt;DATE(2016,3,1),0,SUMIFS('Relatório Extra'!$W:$W,'Relatório Extra'!$A:$A,"&gt;="&amp;'Horario de campo e Prod.TOTAL'!B15,'Relatório Extra'!$A:$A,"&lt;"&amp;'Horario de campo e Prod.TOTAL'!B16))</f>
        <v>6</v>
      </c>
      <c r="I15" s="122">
        <f t="shared" si="1"/>
        <v>2.8333333333333335</v>
      </c>
      <c r="K15" s="26">
        <f t="shared" si="9"/>
        <v>42096</v>
      </c>
      <c r="L15" s="78">
        <v>14</v>
      </c>
      <c r="M15" s="122">
        <f>IF(K15&lt;DATE(2015,5,4),0,SUMIFS(BD.OS!$X:$X,BD.OS!$A:$A,"&gt;="&amp;K15,BD.OS!$A:$A,"&lt;"&amp;K16))</f>
        <v>0</v>
      </c>
      <c r="N15" s="122">
        <f>SUMIFS('Relatório GERAL'!$BR:$BR,'Relatório GERAL'!$AX:$AX,"&gt;="&amp;'Horario de campo e Prod.TOTAL'!K15,'Relatório GERAL'!$AX:$AX,"&lt;"&amp;K16)+SUMIFS('Relatório Extra'!$W:$W,'Relatório Extra'!$A:$A,"&gt;="&amp;'Horario de campo e Prod.TOTAL'!K15,'Relatório Extra'!$A:$A,"&lt;"&amp;'Horario de campo e Prod.TOTAL'!K16)</f>
        <v>0</v>
      </c>
      <c r="O15" s="122" t="e">
        <f t="shared" si="2"/>
        <v>#DIV/0!</v>
      </c>
      <c r="P15">
        <f>IF(K15&lt;DATE(2016,3,1),0,SUMIFS(BD.OS!$Z:$Z,BD.OS!$A:$A,"&gt;="&amp;'Horario de campo e Prod.TOTAL'!K15,BD.OS!$A:$A,"&lt;"&amp;'Horario de campo e Prod.TOTAL'!K16))</f>
        <v>0</v>
      </c>
      <c r="Q15">
        <f>IF(K15&lt;DATE(2016,3,1),0,SUMIFS('Relatório Extra'!$W:$W,'Relatório Extra'!$A:$A,"&gt;="&amp;'Horario de campo e Prod.TOTAL'!K15,'Relatório Extra'!$A:$A,"&lt;"&amp;'Horario de campo e Prod.TOTAL'!K16))</f>
        <v>0</v>
      </c>
      <c r="R15" s="122" t="e">
        <f t="shared" si="3"/>
        <v>#DIV/0!</v>
      </c>
      <c r="T15">
        <v>14</v>
      </c>
      <c r="U15" s="16">
        <f t="shared" si="4"/>
        <v>0.77152317880794707</v>
      </c>
      <c r="V15" s="16" t="e">
        <f t="shared" si="5"/>
        <v>#DIV/0!</v>
      </c>
      <c r="W15" s="122">
        <f t="shared" si="6"/>
        <v>2.8333333333333335</v>
      </c>
      <c r="X15" s="122" t="e">
        <f t="shared" si="7"/>
        <v>#DIV/0!</v>
      </c>
    </row>
    <row r="16" spans="2:24" x14ac:dyDescent="0.2">
      <c r="B16" s="26">
        <f t="shared" si="8"/>
        <v>42468</v>
      </c>
      <c r="C16">
        <v>15</v>
      </c>
      <c r="D16" s="122">
        <f>SUMIFS(BD.OS!$Y:$Y,BD.OS!$A:$A,"&gt;="&amp;B16,BD.OS!$A:$A,"&lt;"&amp;B17)</f>
        <v>461</v>
      </c>
      <c r="E16" s="122">
        <f>SUMIFS('Relatório GERAL'!$BR:$BR,'Relatório GERAL'!$AX:$AX,"&gt;="&amp;'Horario de campo e Prod.TOTAL'!B16,'Relatório GERAL'!$AX:$AX,"&lt;"&amp;B17)+SUMIFS('Relatório Extra'!$W:$W,'Relatório Extra'!$A:$A,"&gt;="&amp;'Horario de campo e Prod.TOTAL'!B16,'Relatório Extra'!$A:$A,"&lt;"&amp;'Horario de campo e Prod.TOTAL'!B17)</f>
        <v>642</v>
      </c>
      <c r="F16" s="122">
        <f t="shared" si="0"/>
        <v>0.7180685358255452</v>
      </c>
      <c r="G16">
        <f>IF(B16&lt;DATE(2016,3,1),0,SUMIFS(BD.OS!$Z:$Z,BD.OS!$A:$A,"&gt;="&amp;'Horario de campo e Prod.TOTAL'!B16,BD.OS!$A:$A,"&lt;"&amp;'Horario de campo e Prod.TOTAL'!B17))</f>
        <v>37</v>
      </c>
      <c r="H16">
        <f>IF(B16&lt;DATE(2016,3,1),0,SUMIFS('Relatório Extra'!$W:$W,'Relatório Extra'!$A:$A,"&gt;="&amp;'Horario de campo e Prod.TOTAL'!B16,'Relatório Extra'!$A:$A,"&lt;"&amp;'Horario de campo e Prod.TOTAL'!B17))</f>
        <v>36</v>
      </c>
      <c r="I16" s="122">
        <f t="shared" si="1"/>
        <v>1.0277777777777777</v>
      </c>
      <c r="K16" s="26">
        <f t="shared" si="9"/>
        <v>42103</v>
      </c>
      <c r="L16" s="78">
        <v>15</v>
      </c>
      <c r="M16" s="122">
        <f>IF(K16&lt;DATE(2015,5,4),0,SUMIFS(BD.OS!$X:$X,BD.OS!$A:$A,"&gt;="&amp;K16,BD.OS!$A:$A,"&lt;"&amp;K17))</f>
        <v>0</v>
      </c>
      <c r="N16" s="122">
        <f>SUMIFS('Relatório GERAL'!$BR:$BR,'Relatório GERAL'!$AX:$AX,"&gt;="&amp;'Horario de campo e Prod.TOTAL'!K16,'Relatório GERAL'!$AX:$AX,"&lt;"&amp;K17)+SUMIFS('Relatório Extra'!$W:$W,'Relatório Extra'!$A:$A,"&gt;="&amp;'Horario de campo e Prod.TOTAL'!K16,'Relatório Extra'!$A:$A,"&lt;"&amp;'Horario de campo e Prod.TOTAL'!K17)</f>
        <v>0</v>
      </c>
      <c r="O16" s="122" t="e">
        <f t="shared" si="2"/>
        <v>#DIV/0!</v>
      </c>
      <c r="P16">
        <f>IF(K16&lt;DATE(2016,3,1),0,SUMIFS(BD.OS!$Z:$Z,BD.OS!$A:$A,"&gt;="&amp;'Horario de campo e Prod.TOTAL'!K16,BD.OS!$A:$A,"&lt;"&amp;'Horario de campo e Prod.TOTAL'!K17))</f>
        <v>0</v>
      </c>
      <c r="Q16">
        <f>IF(K16&lt;DATE(2016,3,1),0,SUMIFS('Relatório Extra'!$W:$W,'Relatório Extra'!$A:$A,"&gt;="&amp;'Horario de campo e Prod.TOTAL'!K16,'Relatório Extra'!$A:$A,"&lt;"&amp;'Horario de campo e Prod.TOTAL'!K17))</f>
        <v>0</v>
      </c>
      <c r="R16" s="122" t="e">
        <f t="shared" si="3"/>
        <v>#DIV/0!</v>
      </c>
      <c r="T16">
        <v>15</v>
      </c>
      <c r="U16" s="16">
        <f t="shared" si="4"/>
        <v>0.7180685358255452</v>
      </c>
      <c r="V16" s="16" t="e">
        <f t="shared" si="5"/>
        <v>#DIV/0!</v>
      </c>
      <c r="W16" s="122">
        <f t="shared" si="6"/>
        <v>1.0277777777777777</v>
      </c>
      <c r="X16" s="122" t="e">
        <f t="shared" si="7"/>
        <v>#DIV/0!</v>
      </c>
    </row>
    <row r="17" spans="2:24" x14ac:dyDescent="0.2">
      <c r="B17" s="26">
        <f t="shared" si="8"/>
        <v>42475</v>
      </c>
      <c r="C17">
        <v>16</v>
      </c>
      <c r="D17" s="122">
        <f>SUMIFS(BD.OS!$Y:$Y,BD.OS!$A:$A,"&gt;="&amp;B17,BD.OS!$A:$A,"&lt;"&amp;B18)</f>
        <v>307</v>
      </c>
      <c r="E17" s="122">
        <f>SUMIFS('Relatório GERAL'!$BR:$BR,'Relatório GERAL'!$AX:$AX,"&gt;="&amp;'Horario de campo e Prod.TOTAL'!B17,'Relatório GERAL'!$AX:$AX,"&lt;"&amp;B18)+SUMIFS('Relatório Extra'!$W:$W,'Relatório Extra'!$A:$A,"&gt;="&amp;'Horario de campo e Prod.TOTAL'!B17,'Relatório Extra'!$A:$A,"&lt;"&amp;'Horario de campo e Prod.TOTAL'!B18)</f>
        <v>518</v>
      </c>
      <c r="F17" s="122">
        <f t="shared" si="0"/>
        <v>0.5926640926640927</v>
      </c>
      <c r="G17">
        <f>IF(B17&lt;DATE(2016,3,1),0,SUMIFS(BD.OS!$Z:$Z,BD.OS!$A:$A,"&gt;="&amp;'Horario de campo e Prod.TOTAL'!B17,BD.OS!$A:$A,"&lt;"&amp;'Horario de campo e Prod.TOTAL'!B18))</f>
        <v>11</v>
      </c>
      <c r="H17">
        <f>IF(B17&lt;DATE(2016,3,1),0,SUMIFS('Relatório Extra'!$W:$W,'Relatório Extra'!$A:$A,"&gt;="&amp;'Horario de campo e Prod.TOTAL'!B17,'Relatório Extra'!$A:$A,"&lt;"&amp;'Horario de campo e Prod.TOTAL'!B18))</f>
        <v>18</v>
      </c>
      <c r="I17" s="122">
        <f t="shared" si="1"/>
        <v>0.61111111111111116</v>
      </c>
      <c r="K17" s="26">
        <f t="shared" si="9"/>
        <v>42110</v>
      </c>
      <c r="L17" s="78">
        <v>16</v>
      </c>
      <c r="M17" s="122">
        <f>IF(K17&lt;DATE(2015,5,4),0,SUMIFS(BD.OS!$X:$X,BD.OS!$A:$A,"&gt;="&amp;K17,BD.OS!$A:$A,"&lt;"&amp;K18))</f>
        <v>0</v>
      </c>
      <c r="N17" s="122">
        <f>SUMIFS('Relatório GERAL'!$BR:$BR,'Relatório GERAL'!$AX:$AX,"&gt;="&amp;'Horario de campo e Prod.TOTAL'!K17,'Relatório GERAL'!$AX:$AX,"&lt;"&amp;K18)+SUMIFS('Relatório Extra'!$W:$W,'Relatório Extra'!$A:$A,"&gt;="&amp;'Horario de campo e Prod.TOTAL'!K17,'Relatório Extra'!$A:$A,"&lt;"&amp;'Horario de campo e Prod.TOTAL'!K18)</f>
        <v>0</v>
      </c>
      <c r="O17" s="122" t="e">
        <f t="shared" si="2"/>
        <v>#DIV/0!</v>
      </c>
      <c r="P17">
        <f>IF(K17&lt;DATE(2016,3,1),0,SUMIFS(BD.OS!$Z:$Z,BD.OS!$A:$A,"&gt;="&amp;'Horario de campo e Prod.TOTAL'!K17,BD.OS!$A:$A,"&lt;"&amp;'Horario de campo e Prod.TOTAL'!K18))</f>
        <v>0</v>
      </c>
      <c r="Q17">
        <f>IF(K17&lt;DATE(2016,3,1),0,SUMIFS('Relatório Extra'!$W:$W,'Relatório Extra'!$A:$A,"&gt;="&amp;'Horario de campo e Prod.TOTAL'!K17,'Relatório Extra'!$A:$A,"&lt;"&amp;'Horario de campo e Prod.TOTAL'!K18))</f>
        <v>0</v>
      </c>
      <c r="R17" s="122" t="e">
        <f t="shared" si="3"/>
        <v>#DIV/0!</v>
      </c>
      <c r="T17">
        <v>16</v>
      </c>
      <c r="U17" s="16">
        <f t="shared" si="4"/>
        <v>0.5926640926640927</v>
      </c>
      <c r="V17" s="16" t="e">
        <f t="shared" si="5"/>
        <v>#DIV/0!</v>
      </c>
      <c r="W17" s="122">
        <f t="shared" si="6"/>
        <v>0.61111111111111116</v>
      </c>
      <c r="X17" s="122" t="e">
        <f t="shared" si="7"/>
        <v>#DIV/0!</v>
      </c>
    </row>
    <row r="18" spans="2:24" x14ac:dyDescent="0.2">
      <c r="B18" s="26">
        <f t="shared" si="8"/>
        <v>42482</v>
      </c>
      <c r="C18">
        <v>17</v>
      </c>
      <c r="D18" s="122">
        <f>SUMIFS(BD.OS!$Y:$Y,BD.OS!$A:$A,"&gt;="&amp;B18,BD.OS!$A:$A,"&lt;"&amp;B19)</f>
        <v>388</v>
      </c>
      <c r="E18" s="122">
        <f>SUMIFS('Relatório GERAL'!$BR:$BR,'Relatório GERAL'!$AX:$AX,"&gt;="&amp;'Horario de campo e Prod.TOTAL'!B18,'Relatório GERAL'!$AX:$AX,"&lt;"&amp;B19)+SUMIFS('Relatório Extra'!$W:$W,'Relatório Extra'!$A:$A,"&gt;="&amp;'Horario de campo e Prod.TOTAL'!B18,'Relatório Extra'!$A:$A,"&lt;"&amp;'Horario de campo e Prod.TOTAL'!B19)</f>
        <v>566</v>
      </c>
      <c r="F18" s="122">
        <f t="shared" si="0"/>
        <v>0.68551236749116606</v>
      </c>
      <c r="G18">
        <f>IF(B18&lt;DATE(2016,3,1),0,SUMIFS(BD.OS!$Z:$Z,BD.OS!$A:$A,"&gt;="&amp;'Horario de campo e Prod.TOTAL'!B18,BD.OS!$A:$A,"&lt;"&amp;'Horario de campo e Prod.TOTAL'!B19))</f>
        <v>0</v>
      </c>
      <c r="H18">
        <f>IF(B18&lt;DATE(2016,3,1),0,SUMIFS('Relatório Extra'!$W:$W,'Relatório Extra'!$A:$A,"&gt;="&amp;'Horario de campo e Prod.TOTAL'!B18,'Relatório Extra'!$A:$A,"&lt;"&amp;'Horario de campo e Prod.TOTAL'!B19))</f>
        <v>0</v>
      </c>
      <c r="I18" s="122" t="e">
        <f t="shared" si="1"/>
        <v>#DIV/0!</v>
      </c>
      <c r="K18" s="26">
        <f t="shared" si="9"/>
        <v>42117</v>
      </c>
      <c r="L18" s="78">
        <v>17</v>
      </c>
      <c r="M18" s="122">
        <f>IF(K18&lt;DATE(2015,5,4),0,SUMIFS(BD.OS!$X:$X,BD.OS!$A:$A,"&gt;="&amp;K18,BD.OS!$A:$A,"&lt;"&amp;K19))</f>
        <v>0</v>
      </c>
      <c r="N18" s="122">
        <f>SUMIFS('Relatório GERAL'!$BR:$BR,'Relatório GERAL'!$AX:$AX,"&gt;="&amp;'Horario de campo e Prod.TOTAL'!K18,'Relatório GERAL'!$AX:$AX,"&lt;"&amp;K19)+SUMIFS('Relatório Extra'!$W:$W,'Relatório Extra'!$A:$A,"&gt;="&amp;'Horario de campo e Prod.TOTAL'!K18,'Relatório Extra'!$A:$A,"&lt;"&amp;'Horario de campo e Prod.TOTAL'!K19)</f>
        <v>0</v>
      </c>
      <c r="O18" s="122" t="e">
        <f t="shared" si="2"/>
        <v>#DIV/0!</v>
      </c>
      <c r="P18">
        <f>IF(K18&lt;DATE(2016,3,1),0,SUMIFS(BD.OS!$Z:$Z,BD.OS!$A:$A,"&gt;="&amp;'Horario de campo e Prod.TOTAL'!K18,BD.OS!$A:$A,"&lt;"&amp;'Horario de campo e Prod.TOTAL'!K19))</f>
        <v>0</v>
      </c>
      <c r="Q18">
        <f>IF(K18&lt;DATE(2016,3,1),0,SUMIFS('Relatório Extra'!$W:$W,'Relatório Extra'!$A:$A,"&gt;="&amp;'Horario de campo e Prod.TOTAL'!K18,'Relatório Extra'!$A:$A,"&lt;"&amp;'Horario de campo e Prod.TOTAL'!K19))</f>
        <v>0</v>
      </c>
      <c r="R18" s="122" t="e">
        <f t="shared" si="3"/>
        <v>#DIV/0!</v>
      </c>
      <c r="T18">
        <v>17</v>
      </c>
      <c r="U18" s="16">
        <f t="shared" si="4"/>
        <v>0.68551236749116606</v>
      </c>
      <c r="V18" s="16" t="e">
        <f t="shared" si="5"/>
        <v>#DIV/0!</v>
      </c>
      <c r="W18" s="122" t="e">
        <f t="shared" si="6"/>
        <v>#DIV/0!</v>
      </c>
      <c r="X18" s="122" t="e">
        <f t="shared" si="7"/>
        <v>#DIV/0!</v>
      </c>
    </row>
    <row r="19" spans="2:24" x14ac:dyDescent="0.2">
      <c r="B19" s="26">
        <f t="shared" si="8"/>
        <v>42489</v>
      </c>
      <c r="C19">
        <v>18</v>
      </c>
      <c r="D19" s="122">
        <f>SUMIFS(BD.OS!$Y:$Y,BD.OS!$A:$A,"&gt;="&amp;B19,BD.OS!$A:$A,"&lt;"&amp;B20)</f>
        <v>377</v>
      </c>
      <c r="E19" s="122">
        <f>SUMIFS('Relatório GERAL'!$BR:$BR,'Relatório GERAL'!$AX:$AX,"&gt;="&amp;'Horario de campo e Prod.TOTAL'!B19,'Relatório GERAL'!$AX:$AX,"&lt;"&amp;B20)+SUMIFS('Relatório Extra'!$W:$W,'Relatório Extra'!$A:$A,"&gt;="&amp;'Horario de campo e Prod.TOTAL'!B19,'Relatório Extra'!$A:$A,"&lt;"&amp;'Horario de campo e Prod.TOTAL'!B20)</f>
        <v>600</v>
      </c>
      <c r="F19" s="122">
        <f t="shared" si="0"/>
        <v>0.6283333333333333</v>
      </c>
      <c r="G19">
        <f>IF(B19&lt;DATE(2016,3,1),0,SUMIFS(BD.OS!$Z:$Z,BD.OS!$A:$A,"&gt;="&amp;'Horario de campo e Prod.TOTAL'!B19,BD.OS!$A:$A,"&lt;"&amp;'Horario de campo e Prod.TOTAL'!B20))</f>
        <v>56</v>
      </c>
      <c r="H19">
        <f>IF(B19&lt;DATE(2016,3,1),0,SUMIFS('Relatório Extra'!$W:$W,'Relatório Extra'!$A:$A,"&gt;="&amp;'Horario de campo e Prod.TOTAL'!B19,'Relatório Extra'!$A:$A,"&lt;"&amp;'Horario de campo e Prod.TOTAL'!B20))</f>
        <v>30</v>
      </c>
      <c r="I19" s="122">
        <f t="shared" si="1"/>
        <v>1.8666666666666667</v>
      </c>
      <c r="K19" s="26">
        <f t="shared" si="9"/>
        <v>42124</v>
      </c>
      <c r="L19" s="78">
        <v>18</v>
      </c>
      <c r="M19" s="122">
        <f>IF(K19&lt;DATE(2015,5,4),0,SUMIFS(BD.OS!$X:$X,BD.OS!$A:$A,"&gt;="&amp;K19,BD.OS!$A:$A,"&lt;"&amp;K20))</f>
        <v>0</v>
      </c>
      <c r="N19" s="122">
        <f>SUMIFS('Relatório GERAL'!$BR:$BR,'Relatório GERAL'!$AX:$AX,"&gt;="&amp;'Horario de campo e Prod.TOTAL'!K19,'Relatório GERAL'!$AX:$AX,"&lt;"&amp;K20)+SUMIFS('Relatório Extra'!$W:$W,'Relatório Extra'!$A:$A,"&gt;="&amp;'Horario de campo e Prod.TOTAL'!K19,'Relatório Extra'!$A:$A,"&lt;"&amp;'Horario de campo e Prod.TOTAL'!K20)</f>
        <v>330</v>
      </c>
      <c r="O19" s="122">
        <f t="shared" si="2"/>
        <v>0</v>
      </c>
      <c r="P19">
        <f>IF(K19&lt;DATE(2016,3,1),0,SUMIFS(BD.OS!$Z:$Z,BD.OS!$A:$A,"&gt;="&amp;'Horario de campo e Prod.TOTAL'!K19,BD.OS!$A:$A,"&lt;"&amp;'Horario de campo e Prod.TOTAL'!K20))</f>
        <v>0</v>
      </c>
      <c r="Q19">
        <f>IF(K19&lt;DATE(2016,3,1),0,SUMIFS('Relatório Extra'!$W:$W,'Relatório Extra'!$A:$A,"&gt;="&amp;'Horario de campo e Prod.TOTAL'!K19,'Relatório Extra'!$A:$A,"&lt;"&amp;'Horario de campo e Prod.TOTAL'!K20))</f>
        <v>0</v>
      </c>
      <c r="R19" s="122" t="e">
        <f t="shared" si="3"/>
        <v>#DIV/0!</v>
      </c>
      <c r="T19">
        <v>18</v>
      </c>
      <c r="U19" s="16">
        <f t="shared" si="4"/>
        <v>0.6283333333333333</v>
      </c>
      <c r="V19" s="16">
        <f t="shared" si="5"/>
        <v>0</v>
      </c>
      <c r="W19" s="122">
        <f t="shared" si="6"/>
        <v>1.8666666666666667</v>
      </c>
      <c r="X19" s="122" t="e">
        <f t="shared" si="7"/>
        <v>#DIV/0!</v>
      </c>
    </row>
    <row r="20" spans="2:24" x14ac:dyDescent="0.2">
      <c r="B20" s="26">
        <f t="shared" si="8"/>
        <v>42496</v>
      </c>
      <c r="C20">
        <v>19</v>
      </c>
      <c r="D20" s="122">
        <f>SUMIFS(BD.OS!$Y:$Y,BD.OS!$A:$A,"&gt;="&amp;B20,BD.OS!$A:$A,"&lt;"&amp;B21)</f>
        <v>165</v>
      </c>
      <c r="E20" s="122">
        <f>SUMIFS('Relatório GERAL'!$BR:$BR,'Relatório GERAL'!$AX:$AX,"&gt;="&amp;'Horario de campo e Prod.TOTAL'!B20,'Relatório GERAL'!$AX:$AX,"&lt;"&amp;B21)+SUMIFS('Relatório Extra'!$W:$W,'Relatório Extra'!$A:$A,"&gt;="&amp;'Horario de campo e Prod.TOTAL'!B20,'Relatório Extra'!$A:$A,"&lt;"&amp;'Horario de campo e Prod.TOTAL'!B21)</f>
        <v>574</v>
      </c>
      <c r="F20" s="122">
        <f t="shared" si="0"/>
        <v>0.28745644599303138</v>
      </c>
      <c r="G20">
        <f>IF(B20&lt;DATE(2016,3,1),0,SUMIFS(BD.OS!$Z:$Z,BD.OS!$A:$A,"&gt;="&amp;'Horario de campo e Prod.TOTAL'!B20,BD.OS!$A:$A,"&lt;"&amp;'Horario de campo e Prod.TOTAL'!B21))</f>
        <v>34</v>
      </c>
      <c r="H20">
        <f>IF(B20&lt;DATE(2016,3,1),0,SUMIFS('Relatório Extra'!$W:$W,'Relatório Extra'!$A:$A,"&gt;="&amp;'Horario de campo e Prod.TOTAL'!B20,'Relatório Extra'!$A:$A,"&lt;"&amp;'Horario de campo e Prod.TOTAL'!B21))</f>
        <v>28</v>
      </c>
      <c r="I20" s="122">
        <f t="shared" si="1"/>
        <v>1.2142857142857142</v>
      </c>
      <c r="K20" s="26">
        <f t="shared" si="9"/>
        <v>42131</v>
      </c>
      <c r="L20" s="78">
        <v>19</v>
      </c>
      <c r="M20" s="122">
        <f>IF(K20&lt;DATE(2015,5,4),0,SUMIFS(BD.OS!$X:$X,BD.OS!$A:$A,"&gt;="&amp;K20,BD.OS!$A:$A,"&lt;"&amp;K21))</f>
        <v>234</v>
      </c>
      <c r="N20" s="122">
        <f>SUMIFS('Relatório GERAL'!$BR:$BR,'Relatório GERAL'!$AX:$AX,"&gt;="&amp;'Horario de campo e Prod.TOTAL'!K20,'Relatório GERAL'!$AX:$AX,"&lt;"&amp;K21)+SUMIFS('Relatório Extra'!$W:$W,'Relatório Extra'!$A:$A,"&gt;="&amp;'Horario de campo e Prod.TOTAL'!K20,'Relatório Extra'!$A:$A,"&lt;"&amp;'Horario de campo e Prod.TOTAL'!K21)</f>
        <v>534</v>
      </c>
      <c r="O20" s="122">
        <f t="shared" si="2"/>
        <v>0.43820224719101125</v>
      </c>
      <c r="P20">
        <f>IF(K20&lt;DATE(2016,3,1),0,SUMIFS(BD.OS!$Z:$Z,BD.OS!$A:$A,"&gt;="&amp;'Horario de campo e Prod.TOTAL'!K20,BD.OS!$A:$A,"&lt;"&amp;'Horario de campo e Prod.TOTAL'!K21))</f>
        <v>0</v>
      </c>
      <c r="Q20">
        <f>IF(K20&lt;DATE(2016,3,1),0,SUMIFS('Relatório Extra'!$W:$W,'Relatório Extra'!$A:$A,"&gt;="&amp;'Horario de campo e Prod.TOTAL'!K20,'Relatório Extra'!$A:$A,"&lt;"&amp;'Horario de campo e Prod.TOTAL'!K21))</f>
        <v>0</v>
      </c>
      <c r="R20" s="122" t="e">
        <f t="shared" si="3"/>
        <v>#DIV/0!</v>
      </c>
      <c r="T20">
        <v>19</v>
      </c>
      <c r="U20" s="16">
        <f t="shared" si="4"/>
        <v>0.28745644599303138</v>
      </c>
      <c r="V20" s="16">
        <f t="shared" si="5"/>
        <v>0.43820224719101125</v>
      </c>
      <c r="W20" s="122">
        <f t="shared" si="6"/>
        <v>1.2142857142857142</v>
      </c>
      <c r="X20" s="122" t="e">
        <f t="shared" si="7"/>
        <v>#DIV/0!</v>
      </c>
    </row>
    <row r="21" spans="2:24" x14ac:dyDescent="0.2">
      <c r="B21" s="26">
        <f t="shared" si="8"/>
        <v>42503</v>
      </c>
      <c r="C21">
        <v>20</v>
      </c>
      <c r="D21" s="122">
        <f>SUMIFS(BD.OS!$Y:$Y,BD.OS!$A:$A,"&gt;="&amp;B21,BD.OS!$A:$A,"&lt;"&amp;B22)</f>
        <v>0</v>
      </c>
      <c r="E21" s="122">
        <f>SUMIFS('Relatório GERAL'!$BR:$BR,'Relatório GERAL'!$AX:$AX,"&gt;="&amp;'Horario de campo e Prod.TOTAL'!B21,'Relatório GERAL'!$AX:$AX,"&lt;"&amp;B22)+SUMIFS('Relatório Extra'!$W:$W,'Relatório Extra'!$A:$A,"&gt;="&amp;'Horario de campo e Prod.TOTAL'!B21,'Relatório Extra'!$A:$A,"&lt;"&amp;'Horario de campo e Prod.TOTAL'!B22)</f>
        <v>156</v>
      </c>
      <c r="F21" s="122">
        <f t="shared" si="0"/>
        <v>0</v>
      </c>
      <c r="G21">
        <f>IF(B21&lt;DATE(2016,3,1),0,SUMIFS(BD.OS!$Z:$Z,BD.OS!$A:$A,"&gt;="&amp;'Horario de campo e Prod.TOTAL'!B21,BD.OS!$A:$A,"&lt;"&amp;'Horario de campo e Prod.TOTAL'!B22))</f>
        <v>0</v>
      </c>
      <c r="H21">
        <f>IF(B21&lt;DATE(2016,3,1),0,SUMIFS('Relatório Extra'!$W:$W,'Relatório Extra'!$A:$A,"&gt;="&amp;'Horario de campo e Prod.TOTAL'!B21,'Relatório Extra'!$A:$A,"&lt;"&amp;'Horario de campo e Prod.TOTAL'!B22))</f>
        <v>6</v>
      </c>
      <c r="I21" s="122">
        <f t="shared" si="1"/>
        <v>0</v>
      </c>
      <c r="K21" s="26">
        <f t="shared" si="9"/>
        <v>42138</v>
      </c>
      <c r="L21" s="78">
        <v>20</v>
      </c>
      <c r="M21" s="122">
        <f>IF(K21&lt;DATE(2015,5,4),0,SUMIFS(BD.OS!$X:$X,BD.OS!$A:$A,"&gt;="&amp;K21,BD.OS!$A:$A,"&lt;"&amp;K22))</f>
        <v>288</v>
      </c>
      <c r="N21" s="122">
        <f>SUMIFS('Relatório GERAL'!$BR:$BR,'Relatório GERAL'!$AX:$AX,"&gt;="&amp;'Horario de campo e Prod.TOTAL'!K21,'Relatório GERAL'!$AX:$AX,"&lt;"&amp;K22)+SUMIFS('Relatório Extra'!$W:$W,'Relatório Extra'!$A:$A,"&gt;="&amp;'Horario de campo e Prod.TOTAL'!K21,'Relatório Extra'!$A:$A,"&lt;"&amp;'Horario de campo e Prod.TOTAL'!K22)</f>
        <v>566</v>
      </c>
      <c r="O21" s="122">
        <f t="shared" si="2"/>
        <v>0.50883392226148405</v>
      </c>
      <c r="P21">
        <f>IF(K21&lt;DATE(2016,3,1),0,SUMIFS(BD.OS!$Z:$Z,BD.OS!$A:$A,"&gt;="&amp;'Horario de campo e Prod.TOTAL'!K21,BD.OS!$A:$A,"&lt;"&amp;'Horario de campo e Prod.TOTAL'!K22))</f>
        <v>0</v>
      </c>
      <c r="Q21">
        <f>IF(K21&lt;DATE(2016,3,1),0,SUMIFS('Relatório Extra'!$W:$W,'Relatório Extra'!$A:$A,"&gt;="&amp;'Horario de campo e Prod.TOTAL'!K21,'Relatório Extra'!$A:$A,"&lt;"&amp;'Horario de campo e Prod.TOTAL'!K22))</f>
        <v>0</v>
      </c>
      <c r="R21" s="122" t="e">
        <f t="shared" si="3"/>
        <v>#DIV/0!</v>
      </c>
      <c r="T21">
        <v>20</v>
      </c>
      <c r="U21" s="16">
        <f t="shared" si="4"/>
        <v>0</v>
      </c>
      <c r="V21" s="16">
        <f t="shared" si="5"/>
        <v>0.50883392226148405</v>
      </c>
      <c r="W21" s="122">
        <f t="shared" si="6"/>
        <v>0</v>
      </c>
      <c r="X21" s="122" t="e">
        <f t="shared" si="7"/>
        <v>#DIV/0!</v>
      </c>
    </row>
    <row r="22" spans="2:24" x14ac:dyDescent="0.2">
      <c r="B22" s="26">
        <f t="shared" si="8"/>
        <v>42510</v>
      </c>
      <c r="C22">
        <v>21</v>
      </c>
      <c r="D22" s="122">
        <f>SUMIFS(BD.OS!$Y:$Y,BD.OS!$A:$A,"&gt;="&amp;B22,BD.OS!$A:$A,"&lt;"&amp;B23)</f>
        <v>0</v>
      </c>
      <c r="E22" s="122">
        <f>SUMIFS('Relatório GERAL'!$BR:$BR,'Relatório GERAL'!$AX:$AX,"&gt;="&amp;'Horario de campo e Prod.TOTAL'!B22,'Relatório GERAL'!$AX:$AX,"&lt;"&amp;B23)+SUMIFS('Relatório Extra'!$W:$W,'Relatório Extra'!$A:$A,"&gt;="&amp;'Horario de campo e Prod.TOTAL'!B22,'Relatório Extra'!$A:$A,"&lt;"&amp;'Horario de campo e Prod.TOTAL'!B23)</f>
        <v>56</v>
      </c>
      <c r="F22" s="122">
        <f t="shared" si="0"/>
        <v>0</v>
      </c>
      <c r="G22">
        <f>IF(B22&lt;DATE(2016,3,1),0,SUMIFS(BD.OS!$Z:$Z,BD.OS!$A:$A,"&gt;="&amp;'Horario de campo e Prod.TOTAL'!B22,BD.OS!$A:$A,"&lt;"&amp;'Horario de campo e Prod.TOTAL'!B23))</f>
        <v>0</v>
      </c>
      <c r="H22">
        <f>IF(B22&lt;DATE(2016,3,1),0,SUMIFS('Relatório Extra'!$W:$W,'Relatório Extra'!$A:$A,"&gt;="&amp;'Horario de campo e Prod.TOTAL'!B22,'Relatório Extra'!$A:$A,"&lt;"&amp;'Horario de campo e Prod.TOTAL'!B23))</f>
        <v>0</v>
      </c>
      <c r="I22" s="122" t="e">
        <f t="shared" si="1"/>
        <v>#DIV/0!</v>
      </c>
      <c r="K22" s="26">
        <f t="shared" si="9"/>
        <v>42145</v>
      </c>
      <c r="L22" s="78">
        <v>21</v>
      </c>
      <c r="M22" s="122">
        <f>IF(K22&lt;DATE(2015,5,4),0,SUMIFS(BD.OS!$X:$X,BD.OS!$A:$A,"&gt;="&amp;K22,BD.OS!$A:$A,"&lt;"&amp;K23))</f>
        <v>273</v>
      </c>
      <c r="N22" s="122">
        <f>SUMIFS('Relatório GERAL'!$BR:$BR,'Relatório GERAL'!$AX:$AX,"&gt;="&amp;'Horario de campo e Prod.TOTAL'!K22,'Relatório GERAL'!$AX:$AX,"&lt;"&amp;K23)+SUMIFS('Relatório Extra'!$W:$W,'Relatório Extra'!$A:$A,"&gt;="&amp;'Horario de campo e Prod.TOTAL'!K22,'Relatório Extra'!$A:$A,"&lt;"&amp;'Horario de campo e Prod.TOTAL'!K23)</f>
        <v>550</v>
      </c>
      <c r="O22" s="122">
        <f t="shared" si="2"/>
        <v>0.49636363636363634</v>
      </c>
      <c r="P22">
        <f>IF(K22&lt;DATE(2016,3,1),0,SUMIFS(BD.OS!$Z:$Z,BD.OS!$A:$A,"&gt;="&amp;'Horario de campo e Prod.TOTAL'!K22,BD.OS!$A:$A,"&lt;"&amp;'Horario de campo e Prod.TOTAL'!K23))</f>
        <v>0</v>
      </c>
      <c r="Q22">
        <f>IF(K22&lt;DATE(2016,3,1),0,SUMIFS('Relatório Extra'!$W:$W,'Relatório Extra'!$A:$A,"&gt;="&amp;'Horario de campo e Prod.TOTAL'!K22,'Relatório Extra'!$A:$A,"&lt;"&amp;'Horario de campo e Prod.TOTAL'!K23))</f>
        <v>0</v>
      </c>
      <c r="R22" s="122" t="e">
        <f t="shared" si="3"/>
        <v>#DIV/0!</v>
      </c>
      <c r="T22">
        <v>21</v>
      </c>
      <c r="U22" s="16">
        <f t="shared" si="4"/>
        <v>0</v>
      </c>
      <c r="V22" s="16">
        <f t="shared" si="5"/>
        <v>0.49636363636363634</v>
      </c>
      <c r="W22" s="122" t="e">
        <f t="shared" si="6"/>
        <v>#DIV/0!</v>
      </c>
      <c r="X22" s="122" t="e">
        <f t="shared" si="7"/>
        <v>#DIV/0!</v>
      </c>
    </row>
    <row r="23" spans="2:24" x14ac:dyDescent="0.2">
      <c r="B23" s="26">
        <f t="shared" si="8"/>
        <v>42517</v>
      </c>
      <c r="C23">
        <v>22</v>
      </c>
      <c r="D23" s="122">
        <f>SUMIFS(BD.OS!$Y:$Y,BD.OS!$A:$A,"&gt;="&amp;B23,BD.OS!$A:$A,"&lt;"&amp;B24)</f>
        <v>0</v>
      </c>
      <c r="E23" s="122">
        <f>SUMIFS('Relatório GERAL'!$BR:$BR,'Relatório GERAL'!$AX:$AX,"&gt;="&amp;'Horario de campo e Prod.TOTAL'!B23,'Relatório GERAL'!$AX:$AX,"&lt;"&amp;B24)+SUMIFS('Relatório Extra'!$W:$W,'Relatório Extra'!$A:$A,"&gt;="&amp;'Horario de campo e Prod.TOTAL'!B23,'Relatório Extra'!$A:$A,"&lt;"&amp;'Horario de campo e Prod.TOTAL'!B24)</f>
        <v>68</v>
      </c>
      <c r="F23" s="122">
        <f t="shared" si="0"/>
        <v>0</v>
      </c>
      <c r="G23">
        <f>IF(B23&lt;DATE(2016,3,1),0,SUMIFS(BD.OS!$Z:$Z,BD.OS!$A:$A,"&gt;="&amp;'Horario de campo e Prod.TOTAL'!B23,BD.OS!$A:$A,"&lt;"&amp;'Horario de campo e Prod.TOTAL'!B24))</f>
        <v>0</v>
      </c>
      <c r="H23">
        <f>IF(B23&lt;DATE(2016,3,1),0,SUMIFS('Relatório Extra'!$W:$W,'Relatório Extra'!$A:$A,"&gt;="&amp;'Horario de campo e Prod.TOTAL'!B23,'Relatório Extra'!$A:$A,"&lt;"&amp;'Horario de campo e Prod.TOTAL'!B24))</f>
        <v>0</v>
      </c>
      <c r="I23" s="122" t="e">
        <f t="shared" si="1"/>
        <v>#DIV/0!</v>
      </c>
      <c r="K23" s="26">
        <f t="shared" si="9"/>
        <v>42152</v>
      </c>
      <c r="L23" s="78">
        <v>22</v>
      </c>
      <c r="M23" s="122">
        <f>IF(K23&lt;DATE(2015,5,4),0,SUMIFS(BD.OS!$X:$X,BD.OS!$A:$A,"&gt;="&amp;K23,BD.OS!$A:$A,"&lt;"&amp;K24))</f>
        <v>331</v>
      </c>
      <c r="N23" s="122">
        <f>SUMIFS('Relatório GERAL'!$BR:$BR,'Relatório GERAL'!$AX:$AX,"&gt;="&amp;'Horario de campo e Prod.TOTAL'!K23,'Relatório GERAL'!$AX:$AX,"&lt;"&amp;K24)+SUMIFS('Relatório Extra'!$W:$W,'Relatório Extra'!$A:$A,"&gt;="&amp;'Horario de campo e Prod.TOTAL'!K23,'Relatório Extra'!$A:$A,"&lt;"&amp;'Horario de campo e Prod.TOTAL'!K24)</f>
        <v>522</v>
      </c>
      <c r="O23" s="122">
        <f t="shared" si="2"/>
        <v>0.63409961685823757</v>
      </c>
      <c r="P23">
        <f>IF(K23&lt;DATE(2016,3,1),0,SUMIFS(BD.OS!$Z:$Z,BD.OS!$A:$A,"&gt;="&amp;'Horario de campo e Prod.TOTAL'!K23,BD.OS!$A:$A,"&lt;"&amp;'Horario de campo e Prod.TOTAL'!K24))</f>
        <v>0</v>
      </c>
      <c r="Q23">
        <f>IF(K23&lt;DATE(2016,3,1),0,SUMIFS('Relatório Extra'!$W:$W,'Relatório Extra'!$A:$A,"&gt;="&amp;'Horario de campo e Prod.TOTAL'!K23,'Relatório Extra'!$A:$A,"&lt;"&amp;'Horario de campo e Prod.TOTAL'!K24))</f>
        <v>0</v>
      </c>
      <c r="R23" s="122" t="e">
        <f t="shared" si="3"/>
        <v>#DIV/0!</v>
      </c>
      <c r="T23">
        <v>22</v>
      </c>
      <c r="U23" s="16">
        <f t="shared" si="4"/>
        <v>0</v>
      </c>
      <c r="V23" s="16">
        <f t="shared" si="5"/>
        <v>0.63409961685823757</v>
      </c>
      <c r="W23" s="122" t="e">
        <f t="shared" si="6"/>
        <v>#DIV/0!</v>
      </c>
      <c r="X23" s="122" t="e">
        <f t="shared" si="7"/>
        <v>#DIV/0!</v>
      </c>
    </row>
    <row r="24" spans="2:24" x14ac:dyDescent="0.2">
      <c r="B24" s="26">
        <f t="shared" si="8"/>
        <v>42524</v>
      </c>
      <c r="C24">
        <v>23</v>
      </c>
      <c r="D24" s="122">
        <f>SUMIFS(BD.OS!$Y:$Y,BD.OS!$A:$A,"&gt;="&amp;B24,BD.OS!$A:$A,"&lt;"&amp;B25)</f>
        <v>0</v>
      </c>
      <c r="E24" s="122">
        <f>SUMIFS('Relatório GERAL'!$BR:$BR,'Relatório GERAL'!$AX:$AX,"&gt;="&amp;'Horario de campo e Prod.TOTAL'!B24,'Relatório GERAL'!$AX:$AX,"&lt;"&amp;B25)+SUMIFS('Relatório Extra'!$W:$W,'Relatório Extra'!$A:$A,"&gt;="&amp;'Horario de campo e Prod.TOTAL'!B24,'Relatório Extra'!$A:$A,"&lt;"&amp;'Horario de campo e Prod.TOTAL'!B25)</f>
        <v>102</v>
      </c>
      <c r="F24" s="122">
        <f t="shared" si="0"/>
        <v>0</v>
      </c>
      <c r="G24">
        <f>IF(B24&lt;DATE(2016,3,1),0,SUMIFS(BD.OS!$Z:$Z,BD.OS!$A:$A,"&gt;="&amp;'Horario de campo e Prod.TOTAL'!B24,BD.OS!$A:$A,"&lt;"&amp;'Horario de campo e Prod.TOTAL'!B25))</f>
        <v>0</v>
      </c>
      <c r="H24">
        <f>IF(B24&lt;DATE(2016,3,1),0,SUMIFS('Relatório Extra'!$W:$W,'Relatório Extra'!$A:$A,"&gt;="&amp;'Horario de campo e Prod.TOTAL'!B24,'Relatório Extra'!$A:$A,"&lt;"&amp;'Horario de campo e Prod.TOTAL'!B25))</f>
        <v>0</v>
      </c>
      <c r="I24" s="122" t="e">
        <f t="shared" si="1"/>
        <v>#DIV/0!</v>
      </c>
      <c r="K24" s="26">
        <f t="shared" si="9"/>
        <v>42159</v>
      </c>
      <c r="L24" s="78">
        <v>23</v>
      </c>
      <c r="M24" s="122">
        <f>IF(K24&lt;DATE(2015,5,4),0,SUMIFS(BD.OS!$X:$X,BD.OS!$A:$A,"&gt;="&amp;K24,BD.OS!$A:$A,"&lt;"&amp;K25))</f>
        <v>368</v>
      </c>
      <c r="N24" s="122">
        <f>SUMIFS('Relatório GERAL'!$BR:$BR,'Relatório GERAL'!$AX:$AX,"&gt;="&amp;'Horario de campo e Prod.TOTAL'!K24,'Relatório GERAL'!$AX:$AX,"&lt;"&amp;K25)+SUMIFS('Relatório Extra'!$W:$W,'Relatório Extra'!$A:$A,"&gt;="&amp;'Horario de campo e Prod.TOTAL'!K24,'Relatório Extra'!$A:$A,"&lt;"&amp;'Horario de campo e Prod.TOTAL'!K25)</f>
        <v>496</v>
      </c>
      <c r="O24" s="122">
        <f t="shared" si="2"/>
        <v>0.74193548387096775</v>
      </c>
      <c r="P24">
        <f>IF(K24&lt;DATE(2016,3,1),0,SUMIFS(BD.OS!$Z:$Z,BD.OS!$A:$A,"&gt;="&amp;'Horario de campo e Prod.TOTAL'!K24,BD.OS!$A:$A,"&lt;"&amp;'Horario de campo e Prod.TOTAL'!K25))</f>
        <v>0</v>
      </c>
      <c r="Q24">
        <f>IF(K24&lt;DATE(2016,3,1),0,SUMIFS('Relatório Extra'!$W:$W,'Relatório Extra'!$A:$A,"&gt;="&amp;'Horario de campo e Prod.TOTAL'!K24,'Relatório Extra'!$A:$A,"&lt;"&amp;'Horario de campo e Prod.TOTAL'!K25))</f>
        <v>0</v>
      </c>
      <c r="R24" s="122" t="e">
        <f t="shared" si="3"/>
        <v>#DIV/0!</v>
      </c>
      <c r="T24">
        <v>23</v>
      </c>
      <c r="U24" s="16">
        <f t="shared" si="4"/>
        <v>0</v>
      </c>
      <c r="V24" s="16">
        <f t="shared" si="5"/>
        <v>0.74193548387096775</v>
      </c>
      <c r="W24" s="122" t="e">
        <f t="shared" si="6"/>
        <v>#DIV/0!</v>
      </c>
      <c r="X24" s="122" t="e">
        <f t="shared" si="7"/>
        <v>#DIV/0!</v>
      </c>
    </row>
    <row r="25" spans="2:24" x14ac:dyDescent="0.2">
      <c r="B25" s="26">
        <f t="shared" si="8"/>
        <v>42531</v>
      </c>
      <c r="C25">
        <v>24</v>
      </c>
      <c r="D25" s="122">
        <f>SUMIFS(BD.OS!$Y:$Y,BD.OS!$A:$A,"&gt;="&amp;B25,BD.OS!$A:$A,"&lt;"&amp;B26)</f>
        <v>0</v>
      </c>
      <c r="E25" s="122">
        <f>SUMIFS('Relatório GERAL'!$BR:$BR,'Relatório GERAL'!$AX:$AX,"&gt;="&amp;'Horario de campo e Prod.TOTAL'!B25,'Relatório GERAL'!$AX:$AX,"&lt;"&amp;B26)+SUMIFS('Relatório Extra'!$W:$W,'Relatório Extra'!$A:$A,"&gt;="&amp;'Horario de campo e Prod.TOTAL'!B25,'Relatório Extra'!$A:$A,"&lt;"&amp;'Horario de campo e Prod.TOTAL'!B26)</f>
        <v>118</v>
      </c>
      <c r="F25" s="122">
        <f t="shared" si="0"/>
        <v>0</v>
      </c>
      <c r="G25">
        <f>IF(B25&lt;DATE(2016,3,1),0,SUMIFS(BD.OS!$Z:$Z,BD.OS!$A:$A,"&gt;="&amp;'Horario de campo e Prod.TOTAL'!B25,BD.OS!$A:$A,"&lt;"&amp;'Horario de campo e Prod.TOTAL'!B26))</f>
        <v>0</v>
      </c>
      <c r="H25">
        <f>IF(B25&lt;DATE(2016,3,1),0,SUMIFS('Relatório Extra'!$W:$W,'Relatório Extra'!$A:$A,"&gt;="&amp;'Horario de campo e Prod.TOTAL'!B25,'Relatório Extra'!$A:$A,"&lt;"&amp;'Horario de campo e Prod.TOTAL'!B26))</f>
        <v>0</v>
      </c>
      <c r="I25" s="122" t="e">
        <f t="shared" si="1"/>
        <v>#DIV/0!</v>
      </c>
      <c r="K25" s="26">
        <f t="shared" si="9"/>
        <v>42166</v>
      </c>
      <c r="L25" s="78">
        <v>24</v>
      </c>
      <c r="M25" s="122">
        <f>IF(K25&lt;DATE(2015,5,4),0,SUMIFS(BD.OS!$X:$X,BD.OS!$A:$A,"&gt;="&amp;K25,BD.OS!$A:$A,"&lt;"&amp;K26))</f>
        <v>276</v>
      </c>
      <c r="N25" s="122">
        <f>SUMIFS('Relatório GERAL'!$BR:$BR,'Relatório GERAL'!$AX:$AX,"&gt;="&amp;'Horario de campo e Prod.TOTAL'!K25,'Relatório GERAL'!$AX:$AX,"&lt;"&amp;K26)+SUMIFS('Relatório Extra'!$W:$W,'Relatório Extra'!$A:$A,"&gt;="&amp;'Horario de campo e Prod.TOTAL'!K25,'Relatório Extra'!$A:$A,"&lt;"&amp;'Horario de campo e Prod.TOTAL'!K26)</f>
        <v>598</v>
      </c>
      <c r="O25" s="122">
        <f t="shared" si="2"/>
        <v>0.46153846153846156</v>
      </c>
      <c r="P25">
        <f>IF(K25&lt;DATE(2016,3,1),0,SUMIFS(BD.OS!$Z:$Z,BD.OS!$A:$A,"&gt;="&amp;'Horario de campo e Prod.TOTAL'!K25,BD.OS!$A:$A,"&lt;"&amp;'Horario de campo e Prod.TOTAL'!K26))</f>
        <v>0</v>
      </c>
      <c r="Q25">
        <f>IF(K25&lt;DATE(2016,3,1),0,SUMIFS('Relatório Extra'!$W:$W,'Relatório Extra'!$A:$A,"&gt;="&amp;'Horario de campo e Prod.TOTAL'!K25,'Relatório Extra'!$A:$A,"&lt;"&amp;'Horario de campo e Prod.TOTAL'!K26))</f>
        <v>0</v>
      </c>
      <c r="R25" s="122" t="e">
        <f t="shared" si="3"/>
        <v>#DIV/0!</v>
      </c>
      <c r="T25">
        <v>24</v>
      </c>
      <c r="U25" s="16">
        <f t="shared" si="4"/>
        <v>0</v>
      </c>
      <c r="V25" s="16">
        <f t="shared" si="5"/>
        <v>0.46153846153846156</v>
      </c>
      <c r="W25" s="122" t="e">
        <f t="shared" si="6"/>
        <v>#DIV/0!</v>
      </c>
      <c r="X25" s="122" t="e">
        <f t="shared" si="7"/>
        <v>#DIV/0!</v>
      </c>
    </row>
    <row r="26" spans="2:24" x14ac:dyDescent="0.2">
      <c r="B26" s="26">
        <f t="shared" si="8"/>
        <v>42538</v>
      </c>
      <c r="C26">
        <v>25</v>
      </c>
      <c r="D26" s="122">
        <f>SUMIFS(BD.OS!$Y:$Y,BD.OS!$A:$A,"&gt;="&amp;B26,BD.OS!$A:$A,"&lt;"&amp;B27)</f>
        <v>0</v>
      </c>
      <c r="E26" s="122">
        <f>SUMIFS('Relatório GERAL'!$BR:$BR,'Relatório GERAL'!$AX:$AX,"&gt;="&amp;'Horario de campo e Prod.TOTAL'!B26,'Relatório GERAL'!$AX:$AX,"&lt;"&amp;B27)+SUMIFS('Relatório Extra'!$W:$W,'Relatório Extra'!$A:$A,"&gt;="&amp;'Horario de campo e Prod.TOTAL'!B26,'Relatório Extra'!$A:$A,"&lt;"&amp;'Horario de campo e Prod.TOTAL'!B27)</f>
        <v>446</v>
      </c>
      <c r="F26" s="122">
        <f t="shared" si="0"/>
        <v>0</v>
      </c>
      <c r="G26">
        <f>IF(B26&lt;DATE(2016,3,1),0,SUMIFS(BD.OS!$Z:$Z,BD.OS!$A:$A,"&gt;="&amp;'Horario de campo e Prod.TOTAL'!B26,BD.OS!$A:$A,"&lt;"&amp;'Horario de campo e Prod.TOTAL'!B27))</f>
        <v>0</v>
      </c>
      <c r="H26">
        <f>IF(B26&lt;DATE(2016,3,1),0,SUMIFS('Relatório Extra'!$W:$W,'Relatório Extra'!$A:$A,"&gt;="&amp;'Horario de campo e Prod.TOTAL'!B26,'Relatório Extra'!$A:$A,"&lt;"&amp;'Horario de campo e Prod.TOTAL'!B27))</f>
        <v>0</v>
      </c>
      <c r="I26" s="122" t="e">
        <f t="shared" si="1"/>
        <v>#DIV/0!</v>
      </c>
      <c r="K26" s="26">
        <f t="shared" si="9"/>
        <v>42173</v>
      </c>
      <c r="L26" s="78">
        <v>25</v>
      </c>
      <c r="M26" s="122">
        <f>IF(K26&lt;DATE(2015,5,4),0,SUMIFS(BD.OS!$X:$X,BD.OS!$A:$A,"&gt;="&amp;K26,BD.OS!$A:$A,"&lt;"&amp;K27))</f>
        <v>205</v>
      </c>
      <c r="N26" s="122">
        <f>SUMIFS('Relatório GERAL'!$BR:$BR,'Relatório GERAL'!$AX:$AX,"&gt;="&amp;'Horario de campo e Prod.TOTAL'!K26,'Relatório GERAL'!$AX:$AX,"&lt;"&amp;K27)+SUMIFS('Relatório Extra'!$W:$W,'Relatório Extra'!$A:$A,"&gt;="&amp;'Horario de campo e Prod.TOTAL'!K26,'Relatório Extra'!$A:$A,"&lt;"&amp;'Horario de campo e Prod.TOTAL'!K27)</f>
        <v>598</v>
      </c>
      <c r="O26" s="122">
        <f t="shared" si="2"/>
        <v>0.34280936454849498</v>
      </c>
      <c r="P26">
        <f>IF(K26&lt;DATE(2016,3,1),0,SUMIFS(BD.OS!$Z:$Z,BD.OS!$A:$A,"&gt;="&amp;'Horario de campo e Prod.TOTAL'!K26,BD.OS!$A:$A,"&lt;"&amp;'Horario de campo e Prod.TOTAL'!K27))</f>
        <v>0</v>
      </c>
      <c r="Q26">
        <f>IF(K26&lt;DATE(2016,3,1),0,SUMIFS('Relatório Extra'!$W:$W,'Relatório Extra'!$A:$A,"&gt;="&amp;'Horario de campo e Prod.TOTAL'!K26,'Relatório Extra'!$A:$A,"&lt;"&amp;'Horario de campo e Prod.TOTAL'!K27))</f>
        <v>0</v>
      </c>
      <c r="R26" s="122" t="e">
        <f t="shared" si="3"/>
        <v>#DIV/0!</v>
      </c>
      <c r="T26">
        <v>25</v>
      </c>
      <c r="U26" s="16">
        <f t="shared" si="4"/>
        <v>0</v>
      </c>
      <c r="V26" s="16">
        <f t="shared" si="5"/>
        <v>0.34280936454849498</v>
      </c>
      <c r="W26" s="122" t="e">
        <f t="shared" si="6"/>
        <v>#DIV/0!</v>
      </c>
      <c r="X26" s="122" t="e">
        <f t="shared" si="7"/>
        <v>#DIV/0!</v>
      </c>
    </row>
    <row r="27" spans="2:24" x14ac:dyDescent="0.2">
      <c r="B27" s="26">
        <f t="shared" si="8"/>
        <v>42545</v>
      </c>
      <c r="C27">
        <v>26</v>
      </c>
      <c r="D27" s="122">
        <f>SUMIFS(BD.OS!$Y:$Y,BD.OS!$A:$A,"&gt;="&amp;B27,BD.OS!$A:$A,"&lt;"&amp;B28)</f>
        <v>0</v>
      </c>
      <c r="E27" s="122">
        <f>SUMIFS('Relatório GERAL'!$BR:$BR,'Relatório GERAL'!$AX:$AX,"&gt;="&amp;'Horario de campo e Prod.TOTAL'!B27,'Relatório GERAL'!$AX:$AX,"&lt;"&amp;B28)+SUMIFS('Relatório Extra'!$W:$W,'Relatório Extra'!$A:$A,"&gt;="&amp;'Horario de campo e Prod.TOTAL'!B27,'Relatório Extra'!$A:$A,"&lt;"&amp;'Horario de campo e Prod.TOTAL'!B28)</f>
        <v>646</v>
      </c>
      <c r="F27" s="122">
        <f t="shared" si="0"/>
        <v>0</v>
      </c>
      <c r="G27">
        <f>IF(B27&lt;DATE(2016,3,1),0,SUMIFS(BD.OS!$Z:$Z,BD.OS!$A:$A,"&gt;="&amp;'Horario de campo e Prod.TOTAL'!B27,BD.OS!$A:$A,"&lt;"&amp;'Horario de campo e Prod.TOTAL'!B28))</f>
        <v>0</v>
      </c>
      <c r="H27">
        <f>IF(B27&lt;DATE(2016,3,1),0,SUMIFS('Relatório Extra'!$W:$W,'Relatório Extra'!$A:$A,"&gt;="&amp;'Horario de campo e Prod.TOTAL'!B27,'Relatório Extra'!$A:$A,"&lt;"&amp;'Horario de campo e Prod.TOTAL'!B28))</f>
        <v>0</v>
      </c>
      <c r="I27" s="122" t="e">
        <f t="shared" si="1"/>
        <v>#DIV/0!</v>
      </c>
      <c r="K27" s="26">
        <f t="shared" si="9"/>
        <v>42180</v>
      </c>
      <c r="L27" s="78">
        <v>26</v>
      </c>
      <c r="M27" s="122">
        <f>IF(K27&lt;DATE(2015,5,4),0,SUMIFS(BD.OS!$X:$X,BD.OS!$A:$A,"&gt;="&amp;K27,BD.OS!$A:$A,"&lt;"&amp;K28))</f>
        <v>292</v>
      </c>
      <c r="N27" s="122">
        <f>SUMIFS('Relatório GERAL'!$BR:$BR,'Relatório GERAL'!$AX:$AX,"&gt;="&amp;'Horario de campo e Prod.TOTAL'!K27,'Relatório GERAL'!$AX:$AX,"&lt;"&amp;K28)+SUMIFS('Relatório Extra'!$W:$W,'Relatório Extra'!$A:$A,"&gt;="&amp;'Horario de campo e Prod.TOTAL'!K27,'Relatório Extra'!$A:$A,"&lt;"&amp;'Horario de campo e Prod.TOTAL'!K28)</f>
        <v>606</v>
      </c>
      <c r="O27" s="122">
        <f t="shared" si="2"/>
        <v>0.48184818481848185</v>
      </c>
      <c r="P27">
        <f>IF(K27&lt;DATE(2016,3,1),0,SUMIFS(BD.OS!$Z:$Z,BD.OS!$A:$A,"&gt;="&amp;'Horario de campo e Prod.TOTAL'!K27,BD.OS!$A:$A,"&lt;"&amp;'Horario de campo e Prod.TOTAL'!K28))</f>
        <v>0</v>
      </c>
      <c r="Q27">
        <f>IF(K27&lt;DATE(2016,3,1),0,SUMIFS('Relatório Extra'!$W:$W,'Relatório Extra'!$A:$A,"&gt;="&amp;'Horario de campo e Prod.TOTAL'!K27,'Relatório Extra'!$A:$A,"&lt;"&amp;'Horario de campo e Prod.TOTAL'!K28))</f>
        <v>0</v>
      </c>
      <c r="R27" s="122" t="e">
        <f t="shared" si="3"/>
        <v>#DIV/0!</v>
      </c>
      <c r="T27">
        <v>26</v>
      </c>
      <c r="U27" s="16">
        <f t="shared" si="4"/>
        <v>0</v>
      </c>
      <c r="V27" s="16">
        <f t="shared" si="5"/>
        <v>0.48184818481848185</v>
      </c>
      <c r="W27" s="122" t="e">
        <f t="shared" si="6"/>
        <v>#DIV/0!</v>
      </c>
      <c r="X27" s="122" t="e">
        <f t="shared" si="7"/>
        <v>#DIV/0!</v>
      </c>
    </row>
    <row r="28" spans="2:24" x14ac:dyDescent="0.2">
      <c r="B28" s="26">
        <f t="shared" si="8"/>
        <v>42552</v>
      </c>
      <c r="C28">
        <v>27</v>
      </c>
      <c r="D28" s="122">
        <f>SUMIFS(BD.OS!$Y:$Y,BD.OS!$A:$A,"&gt;="&amp;B28,BD.OS!$A:$A,"&lt;"&amp;B29)</f>
        <v>0</v>
      </c>
      <c r="E28" s="122">
        <f>SUMIFS('Relatório GERAL'!$BR:$BR,'Relatório GERAL'!$AX:$AX,"&gt;="&amp;'Horario de campo e Prod.TOTAL'!B28,'Relatório GERAL'!$AX:$AX,"&lt;"&amp;B29)+SUMIFS('Relatório Extra'!$W:$W,'Relatório Extra'!$A:$A,"&gt;="&amp;'Horario de campo e Prod.TOTAL'!B28,'Relatório Extra'!$A:$A,"&lt;"&amp;'Horario de campo e Prod.TOTAL'!B29)</f>
        <v>638</v>
      </c>
      <c r="F28" s="122">
        <f t="shared" si="0"/>
        <v>0</v>
      </c>
      <c r="G28">
        <f>IF(B28&lt;DATE(2016,3,1),0,SUMIFS(BD.OS!$Z:$Z,BD.OS!$A:$A,"&gt;="&amp;'Horario de campo e Prod.TOTAL'!B28,BD.OS!$A:$A,"&lt;"&amp;'Horario de campo e Prod.TOTAL'!B29))</f>
        <v>0</v>
      </c>
      <c r="H28">
        <f>IF(B28&lt;DATE(2016,3,1),0,SUMIFS('Relatório Extra'!$W:$W,'Relatório Extra'!$A:$A,"&gt;="&amp;'Horario de campo e Prod.TOTAL'!B28,'Relatório Extra'!$A:$A,"&lt;"&amp;'Horario de campo e Prod.TOTAL'!B29))</f>
        <v>0</v>
      </c>
      <c r="I28" s="122" t="e">
        <f t="shared" si="1"/>
        <v>#DIV/0!</v>
      </c>
      <c r="K28" s="26">
        <f t="shared" si="9"/>
        <v>42187</v>
      </c>
      <c r="L28" s="78">
        <v>27</v>
      </c>
      <c r="M28" s="122">
        <f>IF(K28&lt;DATE(2015,5,4),0,SUMIFS(BD.OS!$X:$X,BD.OS!$A:$A,"&gt;="&amp;K28,BD.OS!$A:$A,"&lt;"&amp;K29))</f>
        <v>346</v>
      </c>
      <c r="N28" s="122">
        <f>SUMIFS('Relatório GERAL'!$BR:$BR,'Relatório GERAL'!$AX:$AX,"&gt;="&amp;'Horario de campo e Prod.TOTAL'!K28,'Relatório GERAL'!$AX:$AX,"&lt;"&amp;K29)+SUMIFS('Relatório Extra'!$W:$W,'Relatório Extra'!$A:$A,"&gt;="&amp;'Horario de campo e Prod.TOTAL'!K28,'Relatório Extra'!$A:$A,"&lt;"&amp;'Horario de campo e Prod.TOTAL'!K29)</f>
        <v>550</v>
      </c>
      <c r="O28" s="122">
        <f t="shared" si="2"/>
        <v>0.62909090909090915</v>
      </c>
      <c r="P28">
        <f>IF(K28&lt;DATE(2016,3,1),0,SUMIFS(BD.OS!$Z:$Z,BD.OS!$A:$A,"&gt;="&amp;'Horario de campo e Prod.TOTAL'!K28,BD.OS!$A:$A,"&lt;"&amp;'Horario de campo e Prod.TOTAL'!K29))</f>
        <v>0</v>
      </c>
      <c r="Q28">
        <f>IF(K28&lt;DATE(2016,3,1),0,SUMIFS('Relatório Extra'!$W:$W,'Relatório Extra'!$A:$A,"&gt;="&amp;'Horario de campo e Prod.TOTAL'!K28,'Relatório Extra'!$A:$A,"&lt;"&amp;'Horario de campo e Prod.TOTAL'!K29))</f>
        <v>0</v>
      </c>
      <c r="R28" s="122" t="e">
        <f t="shared" si="3"/>
        <v>#DIV/0!</v>
      </c>
      <c r="T28">
        <v>27</v>
      </c>
      <c r="U28" s="16">
        <f t="shared" si="4"/>
        <v>0</v>
      </c>
      <c r="V28" s="16">
        <f t="shared" si="5"/>
        <v>0.62909090909090915</v>
      </c>
      <c r="W28" s="122" t="e">
        <f t="shared" si="6"/>
        <v>#DIV/0!</v>
      </c>
      <c r="X28" s="122" t="e">
        <f t="shared" si="7"/>
        <v>#DIV/0!</v>
      </c>
    </row>
    <row r="29" spans="2:24" x14ac:dyDescent="0.2">
      <c r="B29" s="26">
        <f t="shared" si="8"/>
        <v>42559</v>
      </c>
      <c r="C29">
        <v>28</v>
      </c>
      <c r="D29" s="122">
        <f>SUMIFS(BD.OS!$Y:$Y,BD.OS!$A:$A,"&gt;="&amp;B29,BD.OS!$A:$A,"&lt;"&amp;B30)</f>
        <v>0</v>
      </c>
      <c r="E29" s="122">
        <f>SUMIFS('Relatório GERAL'!$BR:$BR,'Relatório GERAL'!$AX:$AX,"&gt;="&amp;'Horario de campo e Prod.TOTAL'!B29,'Relatório GERAL'!$AX:$AX,"&lt;"&amp;B30)+SUMIFS('Relatório Extra'!$W:$W,'Relatório Extra'!$A:$A,"&gt;="&amp;'Horario de campo e Prod.TOTAL'!B29,'Relatório Extra'!$A:$A,"&lt;"&amp;'Horario de campo e Prod.TOTAL'!B30)</f>
        <v>598</v>
      </c>
      <c r="F29" s="122">
        <f t="shared" si="0"/>
        <v>0</v>
      </c>
      <c r="G29">
        <f>IF(B29&lt;DATE(2016,3,1),0,SUMIFS(BD.OS!$Z:$Z,BD.OS!$A:$A,"&gt;="&amp;'Horario de campo e Prod.TOTAL'!B29,BD.OS!$A:$A,"&lt;"&amp;'Horario de campo e Prod.TOTAL'!B30))</f>
        <v>0</v>
      </c>
      <c r="H29">
        <f>IF(B29&lt;DATE(2016,3,1),0,SUMIFS('Relatório Extra'!$W:$W,'Relatório Extra'!$A:$A,"&gt;="&amp;'Horario de campo e Prod.TOTAL'!B29,'Relatório Extra'!$A:$A,"&lt;"&amp;'Horario de campo e Prod.TOTAL'!B30))</f>
        <v>0</v>
      </c>
      <c r="I29" s="122" t="e">
        <f t="shared" si="1"/>
        <v>#DIV/0!</v>
      </c>
      <c r="K29" s="26">
        <f t="shared" si="9"/>
        <v>42194</v>
      </c>
      <c r="L29" s="78">
        <v>28</v>
      </c>
      <c r="M29" s="122">
        <f>IF(K29&lt;DATE(2015,5,4),0,SUMIFS(BD.OS!$X:$X,BD.OS!$A:$A,"&gt;="&amp;K29,BD.OS!$A:$A,"&lt;"&amp;K30))</f>
        <v>317</v>
      </c>
      <c r="N29" s="122">
        <f>SUMIFS('Relatório GERAL'!$BR:$BR,'Relatório GERAL'!$AX:$AX,"&gt;="&amp;'Horario de campo e Prod.TOTAL'!K29,'Relatório GERAL'!$AX:$AX,"&lt;"&amp;K30)+SUMIFS('Relatório Extra'!$W:$W,'Relatório Extra'!$A:$A,"&gt;="&amp;'Horario de campo e Prod.TOTAL'!K29,'Relatório Extra'!$A:$A,"&lt;"&amp;'Horario de campo e Prod.TOTAL'!K30)</f>
        <v>526</v>
      </c>
      <c r="O29" s="122">
        <f t="shared" si="2"/>
        <v>0.60266159695817489</v>
      </c>
      <c r="P29">
        <f>IF(K29&lt;DATE(2016,3,1),0,SUMIFS(BD.OS!$Z:$Z,BD.OS!$A:$A,"&gt;="&amp;'Horario de campo e Prod.TOTAL'!K29,BD.OS!$A:$A,"&lt;"&amp;'Horario de campo e Prod.TOTAL'!K30))</f>
        <v>0</v>
      </c>
      <c r="Q29">
        <f>IF(K29&lt;DATE(2016,3,1),0,SUMIFS('Relatório Extra'!$W:$W,'Relatório Extra'!$A:$A,"&gt;="&amp;'Horario de campo e Prod.TOTAL'!K29,'Relatório Extra'!$A:$A,"&lt;"&amp;'Horario de campo e Prod.TOTAL'!K30))</f>
        <v>0</v>
      </c>
      <c r="R29" s="122" t="e">
        <f t="shared" si="3"/>
        <v>#DIV/0!</v>
      </c>
      <c r="T29">
        <v>28</v>
      </c>
      <c r="U29" s="16">
        <f t="shared" si="4"/>
        <v>0</v>
      </c>
      <c r="V29" s="16">
        <f t="shared" si="5"/>
        <v>0.60266159695817489</v>
      </c>
      <c r="W29" s="122" t="e">
        <f t="shared" si="6"/>
        <v>#DIV/0!</v>
      </c>
      <c r="X29" s="122" t="e">
        <f t="shared" si="7"/>
        <v>#DIV/0!</v>
      </c>
    </row>
    <row r="30" spans="2:24" x14ac:dyDescent="0.2">
      <c r="B30" s="26">
        <f t="shared" si="8"/>
        <v>42566</v>
      </c>
      <c r="C30">
        <v>29</v>
      </c>
      <c r="D30" s="122">
        <f>SUMIFS(BD.OS!$Y:$Y,BD.OS!$A:$A,"&gt;="&amp;B30,BD.OS!$A:$A,"&lt;"&amp;B31)</f>
        <v>0</v>
      </c>
      <c r="E30" s="122">
        <f>SUMIFS('Relatório GERAL'!$BR:$BR,'Relatório GERAL'!$AX:$AX,"&gt;="&amp;'Horario de campo e Prod.TOTAL'!B30,'Relatório GERAL'!$AX:$AX,"&lt;"&amp;B31)+SUMIFS('Relatório Extra'!$W:$W,'Relatório Extra'!$A:$A,"&gt;="&amp;'Horario de campo e Prod.TOTAL'!B30,'Relatório Extra'!$A:$A,"&lt;"&amp;'Horario de campo e Prod.TOTAL'!B31)</f>
        <v>630</v>
      </c>
      <c r="F30" s="122">
        <f t="shared" si="0"/>
        <v>0</v>
      </c>
      <c r="G30">
        <f>IF(B30&lt;DATE(2016,3,1),0,SUMIFS(BD.OS!$Z:$Z,BD.OS!$A:$A,"&gt;="&amp;'Horario de campo e Prod.TOTAL'!B30,BD.OS!$A:$A,"&lt;"&amp;'Horario de campo e Prod.TOTAL'!B31))</f>
        <v>0</v>
      </c>
      <c r="H30">
        <f>IF(B30&lt;DATE(2016,3,1),0,SUMIFS('Relatório Extra'!$W:$W,'Relatório Extra'!$A:$A,"&gt;="&amp;'Horario de campo e Prod.TOTAL'!B30,'Relatório Extra'!$A:$A,"&lt;"&amp;'Horario de campo e Prod.TOTAL'!B31))</f>
        <v>0</v>
      </c>
      <c r="I30" s="122" t="e">
        <f t="shared" si="1"/>
        <v>#DIV/0!</v>
      </c>
      <c r="K30" s="26">
        <f t="shared" si="9"/>
        <v>42201</v>
      </c>
      <c r="L30" s="78">
        <v>29</v>
      </c>
      <c r="M30" s="122">
        <f>IF(K30&lt;DATE(2015,5,4),0,SUMIFS(BD.OS!$X:$X,BD.OS!$A:$A,"&gt;="&amp;K30,BD.OS!$A:$A,"&lt;"&amp;K31))</f>
        <v>288</v>
      </c>
      <c r="N30" s="122">
        <f>SUMIFS('Relatório GERAL'!$BR:$BR,'Relatório GERAL'!$AX:$AX,"&gt;="&amp;'Horario de campo e Prod.TOTAL'!K30,'Relatório GERAL'!$AX:$AX,"&lt;"&amp;K31)+SUMIFS('Relatório Extra'!$W:$W,'Relatório Extra'!$A:$A,"&gt;="&amp;'Horario de campo e Prod.TOTAL'!K30,'Relatório Extra'!$A:$A,"&lt;"&amp;'Horario de campo e Prod.TOTAL'!K31)</f>
        <v>486</v>
      </c>
      <c r="O30" s="122">
        <f t="shared" si="2"/>
        <v>0.59259259259259256</v>
      </c>
      <c r="P30">
        <f>IF(K30&lt;DATE(2016,3,1),0,SUMIFS(BD.OS!$Z:$Z,BD.OS!$A:$A,"&gt;="&amp;'Horario de campo e Prod.TOTAL'!K30,BD.OS!$A:$A,"&lt;"&amp;'Horario de campo e Prod.TOTAL'!K31))</f>
        <v>0</v>
      </c>
      <c r="Q30">
        <f>IF(K30&lt;DATE(2016,3,1),0,SUMIFS('Relatório Extra'!$W:$W,'Relatório Extra'!$A:$A,"&gt;="&amp;'Horario de campo e Prod.TOTAL'!K30,'Relatório Extra'!$A:$A,"&lt;"&amp;'Horario de campo e Prod.TOTAL'!K31))</f>
        <v>0</v>
      </c>
      <c r="R30" s="122" t="e">
        <f t="shared" si="3"/>
        <v>#DIV/0!</v>
      </c>
      <c r="T30">
        <v>29</v>
      </c>
      <c r="U30" s="16">
        <f t="shared" si="4"/>
        <v>0</v>
      </c>
      <c r="V30" s="16">
        <f t="shared" si="5"/>
        <v>0.59259259259259256</v>
      </c>
      <c r="W30" s="122" t="e">
        <f t="shared" si="6"/>
        <v>#DIV/0!</v>
      </c>
      <c r="X30" s="122" t="e">
        <f t="shared" si="7"/>
        <v>#DIV/0!</v>
      </c>
    </row>
    <row r="31" spans="2:24" x14ac:dyDescent="0.2">
      <c r="B31" s="26">
        <f t="shared" si="8"/>
        <v>42573</v>
      </c>
      <c r="C31">
        <v>30</v>
      </c>
      <c r="D31" s="122">
        <f>SUMIFS(BD.OS!$Y:$Y,BD.OS!$A:$A,"&gt;="&amp;B31,BD.OS!$A:$A,"&lt;"&amp;B32)</f>
        <v>0</v>
      </c>
      <c r="E31" s="122">
        <f>SUMIFS('Relatório GERAL'!$BR:$BR,'Relatório GERAL'!$AX:$AX,"&gt;="&amp;'Horario de campo e Prod.TOTAL'!B31,'Relatório GERAL'!$AX:$AX,"&lt;"&amp;B32)+SUMIFS('Relatório Extra'!$W:$W,'Relatório Extra'!$A:$A,"&gt;="&amp;'Horario de campo e Prod.TOTAL'!B31,'Relatório Extra'!$A:$A,"&lt;"&amp;'Horario de campo e Prod.TOTAL'!B32)</f>
        <v>638</v>
      </c>
      <c r="F31" s="122">
        <f t="shared" si="0"/>
        <v>0</v>
      </c>
      <c r="G31">
        <f>IF(B31&lt;DATE(2016,3,1),0,SUMIFS(BD.OS!$Z:$Z,BD.OS!$A:$A,"&gt;="&amp;'Horario de campo e Prod.TOTAL'!B31,BD.OS!$A:$A,"&lt;"&amp;'Horario de campo e Prod.TOTAL'!B32))</f>
        <v>0</v>
      </c>
      <c r="H31">
        <f>IF(B31&lt;DATE(2016,3,1),0,SUMIFS('Relatório Extra'!$W:$W,'Relatório Extra'!$A:$A,"&gt;="&amp;'Horario de campo e Prod.TOTAL'!B31,'Relatório Extra'!$A:$A,"&lt;"&amp;'Horario de campo e Prod.TOTAL'!B32))</f>
        <v>0</v>
      </c>
      <c r="I31" s="122" t="e">
        <f t="shared" si="1"/>
        <v>#DIV/0!</v>
      </c>
      <c r="K31" s="26">
        <f t="shared" si="9"/>
        <v>42208</v>
      </c>
      <c r="L31" s="78">
        <v>30</v>
      </c>
      <c r="M31" s="122">
        <f>IF(K31&lt;DATE(2015,5,4),0,SUMIFS(BD.OS!$X:$X,BD.OS!$A:$A,"&gt;="&amp;K31,BD.OS!$A:$A,"&lt;"&amp;K32))</f>
        <v>260</v>
      </c>
      <c r="N31" s="122">
        <f>SUMIFS('Relatório GERAL'!$BR:$BR,'Relatório GERAL'!$AX:$AX,"&gt;="&amp;'Horario de campo e Prod.TOTAL'!K31,'Relatório GERAL'!$AX:$AX,"&lt;"&amp;K32)+SUMIFS('Relatório Extra'!$W:$W,'Relatório Extra'!$A:$A,"&gt;="&amp;'Horario de campo e Prod.TOTAL'!K31,'Relatório Extra'!$A:$A,"&lt;"&amp;'Horario de campo e Prod.TOTAL'!K32)</f>
        <v>414</v>
      </c>
      <c r="O31" s="122">
        <f t="shared" si="2"/>
        <v>0.6280193236714976</v>
      </c>
      <c r="P31">
        <f>IF(K31&lt;DATE(2016,3,1),0,SUMIFS(BD.OS!$Z:$Z,BD.OS!$A:$A,"&gt;="&amp;'Horario de campo e Prod.TOTAL'!K31,BD.OS!$A:$A,"&lt;"&amp;'Horario de campo e Prod.TOTAL'!K32))</f>
        <v>0</v>
      </c>
      <c r="Q31">
        <f>IF(K31&lt;DATE(2016,3,1),0,SUMIFS('Relatório Extra'!$W:$W,'Relatório Extra'!$A:$A,"&gt;="&amp;'Horario de campo e Prod.TOTAL'!K31,'Relatório Extra'!$A:$A,"&lt;"&amp;'Horario de campo e Prod.TOTAL'!K32))</f>
        <v>0</v>
      </c>
      <c r="R31" s="122" t="e">
        <f t="shared" si="3"/>
        <v>#DIV/0!</v>
      </c>
      <c r="T31">
        <v>30</v>
      </c>
      <c r="U31" s="16">
        <f t="shared" si="4"/>
        <v>0</v>
      </c>
      <c r="V31" s="16">
        <f t="shared" si="5"/>
        <v>0.6280193236714976</v>
      </c>
      <c r="W31" s="122" t="e">
        <f t="shared" si="6"/>
        <v>#DIV/0!</v>
      </c>
      <c r="X31" s="122" t="e">
        <f t="shared" si="7"/>
        <v>#DIV/0!</v>
      </c>
    </row>
    <row r="32" spans="2:24" x14ac:dyDescent="0.2">
      <c r="B32" s="26">
        <f t="shared" si="8"/>
        <v>42580</v>
      </c>
      <c r="C32">
        <v>31</v>
      </c>
      <c r="D32" s="122">
        <f>SUMIFS(BD.OS!$Y:$Y,BD.OS!$A:$A,"&gt;="&amp;B32,BD.OS!$A:$A,"&lt;"&amp;B33)</f>
        <v>0</v>
      </c>
      <c r="E32" s="122">
        <f>SUMIFS('Relatório GERAL'!$BR:$BR,'Relatório GERAL'!$AX:$AX,"&gt;="&amp;'Horario de campo e Prod.TOTAL'!B32,'Relatório GERAL'!$AX:$AX,"&lt;"&amp;B33)+SUMIFS('Relatório Extra'!$W:$W,'Relatório Extra'!$A:$A,"&gt;="&amp;'Horario de campo e Prod.TOTAL'!B32,'Relatório Extra'!$A:$A,"&lt;"&amp;'Horario de campo e Prod.TOTAL'!B33)</f>
        <v>630</v>
      </c>
      <c r="F32" s="122">
        <f t="shared" si="0"/>
        <v>0</v>
      </c>
      <c r="G32">
        <f>IF(B32&lt;DATE(2016,3,1),0,SUMIFS(BD.OS!$Z:$Z,BD.OS!$A:$A,"&gt;="&amp;'Horario de campo e Prod.TOTAL'!B32,BD.OS!$A:$A,"&lt;"&amp;'Horario de campo e Prod.TOTAL'!B33))</f>
        <v>0</v>
      </c>
      <c r="H32">
        <f>IF(B32&lt;DATE(2016,3,1),0,SUMIFS('Relatório Extra'!$W:$W,'Relatório Extra'!$A:$A,"&gt;="&amp;'Horario de campo e Prod.TOTAL'!B32,'Relatório Extra'!$A:$A,"&lt;"&amp;'Horario de campo e Prod.TOTAL'!B33))</f>
        <v>0</v>
      </c>
      <c r="I32" s="122" t="e">
        <f t="shared" si="1"/>
        <v>#DIV/0!</v>
      </c>
      <c r="K32" s="26">
        <f t="shared" si="9"/>
        <v>42215</v>
      </c>
      <c r="L32" s="78">
        <v>31</v>
      </c>
      <c r="M32" s="122">
        <f>IF(K32&lt;DATE(2015,5,4),0,SUMIFS(BD.OS!$X:$X,BD.OS!$A:$A,"&gt;="&amp;K32,BD.OS!$A:$A,"&lt;"&amp;K33))</f>
        <v>160</v>
      </c>
      <c r="N32" s="122">
        <f>SUMIFS('Relatório GERAL'!$BR:$BR,'Relatório GERAL'!$AX:$AX,"&gt;="&amp;'Horario de campo e Prod.TOTAL'!K32,'Relatório GERAL'!$AX:$AX,"&lt;"&amp;K33)+SUMIFS('Relatório Extra'!$W:$W,'Relatório Extra'!$A:$A,"&gt;="&amp;'Horario de campo e Prod.TOTAL'!K32,'Relatório Extra'!$A:$A,"&lt;"&amp;'Horario de campo e Prod.TOTAL'!K33)</f>
        <v>366</v>
      </c>
      <c r="O32" s="122">
        <f t="shared" si="2"/>
        <v>0.43715846994535518</v>
      </c>
      <c r="P32">
        <f>IF(K32&lt;DATE(2016,3,1),0,SUMIFS(BD.OS!$Z:$Z,BD.OS!$A:$A,"&gt;="&amp;'Horario de campo e Prod.TOTAL'!K32,BD.OS!$A:$A,"&lt;"&amp;'Horario de campo e Prod.TOTAL'!K33))</f>
        <v>0</v>
      </c>
      <c r="Q32">
        <f>IF(K32&lt;DATE(2016,3,1),0,SUMIFS('Relatório Extra'!$W:$W,'Relatório Extra'!$A:$A,"&gt;="&amp;'Horario de campo e Prod.TOTAL'!K32,'Relatório Extra'!$A:$A,"&lt;"&amp;'Horario de campo e Prod.TOTAL'!K33))</f>
        <v>0</v>
      </c>
      <c r="R32" s="122" t="e">
        <f t="shared" si="3"/>
        <v>#DIV/0!</v>
      </c>
      <c r="T32">
        <v>31</v>
      </c>
      <c r="U32" s="16">
        <f t="shared" si="4"/>
        <v>0</v>
      </c>
      <c r="V32" s="16">
        <f t="shared" si="5"/>
        <v>0.43715846994535518</v>
      </c>
      <c r="W32" s="122" t="e">
        <f t="shared" si="6"/>
        <v>#DIV/0!</v>
      </c>
      <c r="X32" s="122" t="e">
        <f t="shared" si="7"/>
        <v>#DIV/0!</v>
      </c>
    </row>
    <row r="33" spans="2:24" x14ac:dyDescent="0.2">
      <c r="B33" s="26">
        <f t="shared" si="8"/>
        <v>42587</v>
      </c>
      <c r="C33">
        <v>32</v>
      </c>
      <c r="D33" s="122">
        <f>SUMIFS(BD.OS!$Y:$Y,BD.OS!$A:$A,"&gt;="&amp;B33,BD.OS!$A:$A,"&lt;"&amp;B34)</f>
        <v>0</v>
      </c>
      <c r="E33" s="122">
        <f>SUMIFS('Relatório GERAL'!$BR:$BR,'Relatório GERAL'!$AX:$AX,"&gt;="&amp;'Horario de campo e Prod.TOTAL'!B33,'Relatório GERAL'!$AX:$AX,"&lt;"&amp;B34)+SUMIFS('Relatório Extra'!$W:$W,'Relatório Extra'!$A:$A,"&gt;="&amp;'Horario de campo e Prod.TOTAL'!B33,'Relatório Extra'!$A:$A,"&lt;"&amp;'Horario de campo e Prod.TOTAL'!B34)</f>
        <v>566</v>
      </c>
      <c r="F33" s="122">
        <f t="shared" si="0"/>
        <v>0</v>
      </c>
      <c r="G33">
        <f>IF(B33&lt;DATE(2016,3,1),0,SUMIFS(BD.OS!$Z:$Z,BD.OS!$A:$A,"&gt;="&amp;'Horario de campo e Prod.TOTAL'!B33,BD.OS!$A:$A,"&lt;"&amp;'Horario de campo e Prod.TOTAL'!B34))</f>
        <v>0</v>
      </c>
      <c r="H33">
        <f>IF(B33&lt;DATE(2016,3,1),0,SUMIFS('Relatório Extra'!$W:$W,'Relatório Extra'!$A:$A,"&gt;="&amp;'Horario de campo e Prod.TOTAL'!B33,'Relatório Extra'!$A:$A,"&lt;"&amp;'Horario de campo e Prod.TOTAL'!B34))</f>
        <v>0</v>
      </c>
      <c r="I33" s="122" t="e">
        <f t="shared" si="1"/>
        <v>#DIV/0!</v>
      </c>
      <c r="K33" s="26">
        <f t="shared" si="9"/>
        <v>42222</v>
      </c>
      <c r="L33" s="78">
        <v>32</v>
      </c>
      <c r="M33" s="122">
        <f>IF(K33&lt;DATE(2015,5,4),0,SUMIFS(BD.OS!$X:$X,BD.OS!$A:$A,"&gt;="&amp;K33,BD.OS!$A:$A,"&lt;"&amp;K34))</f>
        <v>160</v>
      </c>
      <c r="N33" s="122">
        <f>SUMIFS('Relatório GERAL'!$BR:$BR,'Relatório GERAL'!$AX:$AX,"&gt;="&amp;'Horario de campo e Prod.TOTAL'!K33,'Relatório GERAL'!$AX:$AX,"&lt;"&amp;K34)+SUMIFS('Relatório Extra'!$W:$W,'Relatório Extra'!$A:$A,"&gt;="&amp;'Horario de campo e Prod.TOTAL'!K33,'Relatório Extra'!$A:$A,"&lt;"&amp;'Horario de campo e Prod.TOTAL'!K34)</f>
        <v>366</v>
      </c>
      <c r="O33" s="122">
        <f t="shared" si="2"/>
        <v>0.43715846994535518</v>
      </c>
      <c r="P33">
        <f>IF(K33&lt;DATE(2016,3,1),0,SUMIFS(BD.OS!$Z:$Z,BD.OS!$A:$A,"&gt;="&amp;'Horario de campo e Prod.TOTAL'!K33,BD.OS!$A:$A,"&lt;"&amp;'Horario de campo e Prod.TOTAL'!K34))</f>
        <v>0</v>
      </c>
      <c r="Q33">
        <f>IF(K33&lt;DATE(2016,3,1),0,SUMIFS('Relatório Extra'!$W:$W,'Relatório Extra'!$A:$A,"&gt;="&amp;'Horario de campo e Prod.TOTAL'!K33,'Relatório Extra'!$A:$A,"&lt;"&amp;'Horario de campo e Prod.TOTAL'!K34))</f>
        <v>0</v>
      </c>
      <c r="R33" s="122" t="e">
        <f t="shared" si="3"/>
        <v>#DIV/0!</v>
      </c>
      <c r="T33">
        <v>32</v>
      </c>
      <c r="U33" s="16">
        <f t="shared" si="4"/>
        <v>0</v>
      </c>
      <c r="V33" s="16">
        <f t="shared" si="5"/>
        <v>0.43715846994535518</v>
      </c>
      <c r="W33" s="122" t="e">
        <f t="shared" si="6"/>
        <v>#DIV/0!</v>
      </c>
      <c r="X33" s="122" t="e">
        <f t="shared" si="7"/>
        <v>#DIV/0!</v>
      </c>
    </row>
    <row r="34" spans="2:24" x14ac:dyDescent="0.2">
      <c r="B34" s="26">
        <f t="shared" si="8"/>
        <v>42594</v>
      </c>
      <c r="C34">
        <v>33</v>
      </c>
      <c r="D34" s="122">
        <f>SUMIFS(BD.OS!$Y:$Y,BD.OS!$A:$A,"&gt;="&amp;B34,BD.OS!$A:$A,"&lt;"&amp;B35)</f>
        <v>0</v>
      </c>
      <c r="E34" s="122">
        <f>SUMIFS('Relatório GERAL'!$BR:$BR,'Relatório GERAL'!$AX:$AX,"&gt;="&amp;'Horario de campo e Prod.TOTAL'!B34,'Relatório GERAL'!$AX:$AX,"&lt;"&amp;B35)+SUMIFS('Relatório Extra'!$W:$W,'Relatório Extra'!$A:$A,"&gt;="&amp;'Horario de campo e Prod.TOTAL'!B34,'Relatório Extra'!$A:$A,"&lt;"&amp;'Horario de campo e Prod.TOTAL'!B35)</f>
        <v>582</v>
      </c>
      <c r="F34" s="122">
        <f t="shared" si="0"/>
        <v>0</v>
      </c>
      <c r="G34">
        <f>IF(B34&lt;DATE(2016,3,1),0,SUMIFS(BD.OS!$Z:$Z,BD.OS!$A:$A,"&gt;="&amp;'Horario de campo e Prod.TOTAL'!B34,BD.OS!$A:$A,"&lt;"&amp;'Horario de campo e Prod.TOTAL'!B35))</f>
        <v>0</v>
      </c>
      <c r="H34">
        <f>IF(B34&lt;DATE(2016,3,1),0,SUMIFS('Relatório Extra'!$W:$W,'Relatório Extra'!$A:$A,"&gt;="&amp;'Horario de campo e Prod.TOTAL'!B34,'Relatório Extra'!$A:$A,"&lt;"&amp;'Horario de campo e Prod.TOTAL'!B35))</f>
        <v>0</v>
      </c>
      <c r="I34" s="122" t="e">
        <f t="shared" si="1"/>
        <v>#DIV/0!</v>
      </c>
      <c r="K34" s="26">
        <f t="shared" si="9"/>
        <v>42229</v>
      </c>
      <c r="L34" s="78">
        <v>33</v>
      </c>
      <c r="M34" s="122">
        <f>IF(K34&lt;DATE(2015,5,4),0,SUMIFS(BD.OS!$X:$X,BD.OS!$A:$A,"&gt;="&amp;K34,BD.OS!$A:$A,"&lt;"&amp;K35))</f>
        <v>251</v>
      </c>
      <c r="N34" s="122">
        <f>SUMIFS('Relatório GERAL'!$BR:$BR,'Relatório GERAL'!$AX:$AX,"&gt;="&amp;'Horario de campo e Prod.TOTAL'!K34,'Relatório GERAL'!$AX:$AX,"&lt;"&amp;K35)+SUMIFS('Relatório Extra'!$W:$W,'Relatório Extra'!$A:$A,"&gt;="&amp;'Horario de campo e Prod.TOTAL'!K34,'Relatório Extra'!$A:$A,"&lt;"&amp;'Horario de campo e Prod.TOTAL'!K35)</f>
        <v>438</v>
      </c>
      <c r="O34" s="122">
        <f t="shared" si="2"/>
        <v>0.5730593607305936</v>
      </c>
      <c r="P34">
        <f>IF(K34&lt;DATE(2016,3,1),0,SUMIFS(BD.OS!$Z:$Z,BD.OS!$A:$A,"&gt;="&amp;'Horario de campo e Prod.TOTAL'!K34,BD.OS!$A:$A,"&lt;"&amp;'Horario de campo e Prod.TOTAL'!K35))</f>
        <v>0</v>
      </c>
      <c r="Q34">
        <f>IF(K34&lt;DATE(2016,3,1),0,SUMIFS('Relatório Extra'!$W:$W,'Relatório Extra'!$A:$A,"&gt;="&amp;'Horario de campo e Prod.TOTAL'!K34,'Relatório Extra'!$A:$A,"&lt;"&amp;'Horario de campo e Prod.TOTAL'!K35))</f>
        <v>0</v>
      </c>
      <c r="R34" s="122" t="e">
        <f t="shared" si="3"/>
        <v>#DIV/0!</v>
      </c>
      <c r="T34">
        <v>33</v>
      </c>
      <c r="U34" s="16">
        <f t="shared" si="4"/>
        <v>0</v>
      </c>
      <c r="V34" s="16">
        <f t="shared" si="5"/>
        <v>0.5730593607305936</v>
      </c>
      <c r="W34" s="122" t="e">
        <f t="shared" si="6"/>
        <v>#DIV/0!</v>
      </c>
      <c r="X34" s="122" t="e">
        <f t="shared" si="7"/>
        <v>#DIV/0!</v>
      </c>
    </row>
    <row r="35" spans="2:24" x14ac:dyDescent="0.2">
      <c r="B35" s="26">
        <f t="shared" si="8"/>
        <v>42601</v>
      </c>
      <c r="C35">
        <v>34</v>
      </c>
      <c r="D35" s="122">
        <f>SUMIFS(BD.OS!$Y:$Y,BD.OS!$A:$A,"&gt;="&amp;B35,BD.OS!$A:$A,"&lt;"&amp;B36)</f>
        <v>0</v>
      </c>
      <c r="E35" s="122">
        <f>SUMIFS('Relatório GERAL'!$BR:$BR,'Relatório GERAL'!$AX:$AX,"&gt;="&amp;'Horario de campo e Prod.TOTAL'!B35,'Relatório GERAL'!$AX:$AX,"&lt;"&amp;B36)+SUMIFS('Relatório Extra'!$W:$W,'Relatório Extra'!$A:$A,"&gt;="&amp;'Horario de campo e Prod.TOTAL'!B35,'Relatório Extra'!$A:$A,"&lt;"&amp;'Horario de campo e Prod.TOTAL'!B36)</f>
        <v>590</v>
      </c>
      <c r="F35" s="122">
        <f t="shared" si="0"/>
        <v>0</v>
      </c>
      <c r="G35">
        <f>IF(B35&lt;DATE(2016,3,1),0,SUMIFS(BD.OS!$Z:$Z,BD.OS!$A:$A,"&gt;="&amp;'Horario de campo e Prod.TOTAL'!B35,BD.OS!$A:$A,"&lt;"&amp;'Horario de campo e Prod.TOTAL'!B36))</f>
        <v>0</v>
      </c>
      <c r="H35">
        <f>IF(B35&lt;DATE(2016,3,1),0,SUMIFS('Relatório Extra'!$W:$W,'Relatório Extra'!$A:$A,"&gt;="&amp;'Horario de campo e Prod.TOTAL'!B35,'Relatório Extra'!$A:$A,"&lt;"&amp;'Horario de campo e Prod.TOTAL'!B36))</f>
        <v>0</v>
      </c>
      <c r="I35" s="122" t="e">
        <f t="shared" si="1"/>
        <v>#DIV/0!</v>
      </c>
      <c r="K35" s="26">
        <f t="shared" si="9"/>
        <v>42236</v>
      </c>
      <c r="L35" s="78">
        <v>34</v>
      </c>
      <c r="M35" s="122">
        <f>IF(K35&lt;DATE(2015,5,4),0,SUMIFS(BD.OS!$X:$X,BD.OS!$A:$A,"&gt;="&amp;K35,BD.OS!$A:$A,"&lt;"&amp;K36))</f>
        <v>225</v>
      </c>
      <c r="N35" s="122">
        <f>SUMIFS('Relatório GERAL'!$BR:$BR,'Relatório GERAL'!$AX:$AX,"&gt;="&amp;'Horario de campo e Prod.TOTAL'!K35,'Relatório GERAL'!$AX:$AX,"&lt;"&amp;K36)+SUMIFS('Relatório Extra'!$W:$W,'Relatório Extra'!$A:$A,"&gt;="&amp;'Horario de campo e Prod.TOTAL'!K35,'Relatório Extra'!$A:$A,"&lt;"&amp;'Horario de campo e Prod.TOTAL'!K36)</f>
        <v>438</v>
      </c>
      <c r="O35" s="122">
        <f t="shared" si="2"/>
        <v>0.51369863013698636</v>
      </c>
      <c r="P35">
        <f>IF(K35&lt;DATE(2016,3,1),0,SUMIFS(BD.OS!$Z:$Z,BD.OS!$A:$A,"&gt;="&amp;'Horario de campo e Prod.TOTAL'!K35,BD.OS!$A:$A,"&lt;"&amp;'Horario de campo e Prod.TOTAL'!K36))</f>
        <v>0</v>
      </c>
      <c r="Q35">
        <f>IF(K35&lt;DATE(2016,3,1),0,SUMIFS('Relatório Extra'!$W:$W,'Relatório Extra'!$A:$A,"&gt;="&amp;'Horario de campo e Prod.TOTAL'!K35,'Relatório Extra'!$A:$A,"&lt;"&amp;'Horario de campo e Prod.TOTAL'!K36))</f>
        <v>0</v>
      </c>
      <c r="R35" s="122" t="e">
        <f t="shared" si="3"/>
        <v>#DIV/0!</v>
      </c>
      <c r="T35">
        <v>34</v>
      </c>
      <c r="U35" s="16">
        <f t="shared" si="4"/>
        <v>0</v>
      </c>
      <c r="V35" s="16">
        <f t="shared" si="5"/>
        <v>0.51369863013698636</v>
      </c>
      <c r="W35" s="122" t="e">
        <f t="shared" si="6"/>
        <v>#DIV/0!</v>
      </c>
      <c r="X35" s="122" t="e">
        <f t="shared" si="7"/>
        <v>#DIV/0!</v>
      </c>
    </row>
    <row r="36" spans="2:24" x14ac:dyDescent="0.2">
      <c r="B36" s="26">
        <f t="shared" si="8"/>
        <v>42608</v>
      </c>
      <c r="C36">
        <v>35</v>
      </c>
      <c r="D36" s="122">
        <f>SUMIFS(BD.OS!$Y:$Y,BD.OS!$A:$A,"&gt;="&amp;B36,BD.OS!$A:$A,"&lt;"&amp;B37)</f>
        <v>0</v>
      </c>
      <c r="E36" s="122">
        <f>SUMIFS('Relatório GERAL'!$BR:$BR,'Relatório GERAL'!$AX:$AX,"&gt;="&amp;'Horario de campo e Prod.TOTAL'!B36,'Relatório GERAL'!$AX:$AX,"&lt;"&amp;B37)+SUMIFS('Relatório Extra'!$W:$W,'Relatório Extra'!$A:$A,"&gt;="&amp;'Horario de campo e Prod.TOTAL'!B36,'Relatório Extra'!$A:$A,"&lt;"&amp;'Horario de campo e Prod.TOTAL'!B37)</f>
        <v>654</v>
      </c>
      <c r="F36" s="122">
        <f t="shared" si="0"/>
        <v>0</v>
      </c>
      <c r="G36">
        <f>IF(B36&lt;DATE(2016,3,1),0,SUMIFS(BD.OS!$Z:$Z,BD.OS!$A:$A,"&gt;="&amp;'Horario de campo e Prod.TOTAL'!B36,BD.OS!$A:$A,"&lt;"&amp;'Horario de campo e Prod.TOTAL'!B37))</f>
        <v>0</v>
      </c>
      <c r="H36">
        <f>IF(B36&lt;DATE(2016,3,1),0,SUMIFS('Relatório Extra'!$W:$W,'Relatório Extra'!$A:$A,"&gt;="&amp;'Horario de campo e Prod.TOTAL'!B36,'Relatório Extra'!$A:$A,"&lt;"&amp;'Horario de campo e Prod.TOTAL'!B37))</f>
        <v>0</v>
      </c>
      <c r="I36" s="122" t="e">
        <f t="shared" si="1"/>
        <v>#DIV/0!</v>
      </c>
      <c r="K36" s="26">
        <f t="shared" si="9"/>
        <v>42243</v>
      </c>
      <c r="L36" s="78">
        <v>35</v>
      </c>
      <c r="M36" s="122">
        <f>IF(K36&lt;DATE(2015,5,4),0,SUMIFS(BD.OS!$X:$X,BD.OS!$A:$A,"&gt;="&amp;K36,BD.OS!$A:$A,"&lt;"&amp;K37))</f>
        <v>240</v>
      </c>
      <c r="N36" s="122">
        <f>SUMIFS('Relatório GERAL'!$BR:$BR,'Relatório GERAL'!$AX:$AX,"&gt;="&amp;'Horario de campo e Prod.TOTAL'!K36,'Relatório GERAL'!$AX:$AX,"&lt;"&amp;K37)+SUMIFS('Relatório Extra'!$W:$W,'Relatório Extra'!$A:$A,"&gt;="&amp;'Horario de campo e Prod.TOTAL'!K36,'Relatório Extra'!$A:$A,"&lt;"&amp;'Horario de campo e Prod.TOTAL'!K37)</f>
        <v>506</v>
      </c>
      <c r="O36" s="122">
        <f t="shared" si="2"/>
        <v>0.4743083003952569</v>
      </c>
      <c r="P36">
        <f>IF(K36&lt;DATE(2016,3,1),0,SUMIFS(BD.OS!$Z:$Z,BD.OS!$A:$A,"&gt;="&amp;'Horario de campo e Prod.TOTAL'!K36,BD.OS!$A:$A,"&lt;"&amp;'Horario de campo e Prod.TOTAL'!K37))</f>
        <v>0</v>
      </c>
      <c r="Q36">
        <f>IF(K36&lt;DATE(2016,3,1),0,SUMIFS('Relatório Extra'!$W:$W,'Relatório Extra'!$A:$A,"&gt;="&amp;'Horario de campo e Prod.TOTAL'!K36,'Relatório Extra'!$A:$A,"&lt;"&amp;'Horario de campo e Prod.TOTAL'!K37))</f>
        <v>0</v>
      </c>
      <c r="R36" s="122" t="e">
        <f t="shared" si="3"/>
        <v>#DIV/0!</v>
      </c>
      <c r="T36">
        <v>35</v>
      </c>
      <c r="U36" s="16">
        <f t="shared" si="4"/>
        <v>0</v>
      </c>
      <c r="V36" s="16">
        <f t="shared" si="5"/>
        <v>0.4743083003952569</v>
      </c>
      <c r="W36" s="122" t="e">
        <f t="shared" si="6"/>
        <v>#DIV/0!</v>
      </c>
      <c r="X36" s="122" t="e">
        <f t="shared" si="7"/>
        <v>#DIV/0!</v>
      </c>
    </row>
    <row r="37" spans="2:24" x14ac:dyDescent="0.2">
      <c r="B37" s="26">
        <f t="shared" si="8"/>
        <v>42615</v>
      </c>
      <c r="C37">
        <v>36</v>
      </c>
      <c r="D37" s="122">
        <f>SUMIFS(BD.OS!$Y:$Y,BD.OS!$A:$A,"&gt;="&amp;B37,BD.OS!$A:$A,"&lt;"&amp;B38)</f>
        <v>0</v>
      </c>
      <c r="E37" s="122">
        <f>SUMIFS('Relatório GERAL'!$BR:$BR,'Relatório GERAL'!$AX:$AX,"&gt;="&amp;'Horario de campo e Prod.TOTAL'!B37,'Relatório GERAL'!$AX:$AX,"&lt;"&amp;B38)+SUMIFS('Relatório Extra'!$W:$W,'Relatório Extra'!$A:$A,"&gt;="&amp;'Horario de campo e Prod.TOTAL'!B37,'Relatório Extra'!$A:$A,"&lt;"&amp;'Horario de campo e Prod.TOTAL'!B38)</f>
        <v>638</v>
      </c>
      <c r="F37" s="122">
        <f t="shared" si="0"/>
        <v>0</v>
      </c>
      <c r="G37">
        <f>IF(B37&lt;DATE(2016,3,1),0,SUMIFS(BD.OS!$Z:$Z,BD.OS!$A:$A,"&gt;="&amp;'Horario de campo e Prod.TOTAL'!B37,BD.OS!$A:$A,"&lt;"&amp;'Horario de campo e Prod.TOTAL'!B38))</f>
        <v>0</v>
      </c>
      <c r="H37">
        <f>IF(B37&lt;DATE(2016,3,1),0,SUMIFS('Relatório Extra'!$W:$W,'Relatório Extra'!$A:$A,"&gt;="&amp;'Horario de campo e Prod.TOTAL'!B37,'Relatório Extra'!$A:$A,"&lt;"&amp;'Horario de campo e Prod.TOTAL'!B38))</f>
        <v>0</v>
      </c>
      <c r="I37" s="122" t="e">
        <f t="shared" si="1"/>
        <v>#DIV/0!</v>
      </c>
      <c r="K37" s="26">
        <f t="shared" si="9"/>
        <v>42250</v>
      </c>
      <c r="L37" s="78">
        <v>36</v>
      </c>
      <c r="M37" s="122">
        <f>IF(K37&lt;DATE(2015,5,4),0,SUMIFS(BD.OS!$X:$X,BD.OS!$A:$A,"&gt;="&amp;K37,BD.OS!$A:$A,"&lt;"&amp;K38))</f>
        <v>234</v>
      </c>
      <c r="N37" s="122">
        <f>SUMIFS('Relatório GERAL'!$BR:$BR,'Relatório GERAL'!$AX:$AX,"&gt;="&amp;'Horario de campo e Prod.TOTAL'!K37,'Relatório GERAL'!$AX:$AX,"&lt;"&amp;K38)+SUMIFS('Relatório Extra'!$W:$W,'Relatório Extra'!$A:$A,"&gt;="&amp;'Horario de campo e Prod.TOTAL'!K37,'Relatório Extra'!$A:$A,"&lt;"&amp;'Horario de campo e Prod.TOTAL'!K38)</f>
        <v>302</v>
      </c>
      <c r="O37" s="122">
        <f t="shared" si="2"/>
        <v>0.77483443708609268</v>
      </c>
      <c r="P37">
        <f>IF(K37&lt;DATE(2016,3,1),0,SUMIFS(BD.OS!$Z:$Z,BD.OS!$A:$A,"&gt;="&amp;'Horario de campo e Prod.TOTAL'!K37,BD.OS!$A:$A,"&lt;"&amp;'Horario de campo e Prod.TOTAL'!K38))</f>
        <v>0</v>
      </c>
      <c r="Q37">
        <f>IF(K37&lt;DATE(2016,3,1),0,SUMIFS('Relatório Extra'!$W:$W,'Relatório Extra'!$A:$A,"&gt;="&amp;'Horario de campo e Prod.TOTAL'!K37,'Relatório Extra'!$A:$A,"&lt;"&amp;'Horario de campo e Prod.TOTAL'!K38))</f>
        <v>0</v>
      </c>
      <c r="R37" s="122" t="e">
        <f t="shared" si="3"/>
        <v>#DIV/0!</v>
      </c>
      <c r="T37">
        <v>36</v>
      </c>
      <c r="U37" s="16">
        <f t="shared" si="4"/>
        <v>0</v>
      </c>
      <c r="V37" s="16">
        <f t="shared" si="5"/>
        <v>0.77483443708609268</v>
      </c>
      <c r="W37" s="122" t="e">
        <f t="shared" si="6"/>
        <v>#DIV/0!</v>
      </c>
      <c r="X37" s="122" t="e">
        <f t="shared" si="7"/>
        <v>#DIV/0!</v>
      </c>
    </row>
    <row r="38" spans="2:24" x14ac:dyDescent="0.2">
      <c r="B38" s="26">
        <f t="shared" si="8"/>
        <v>42622</v>
      </c>
      <c r="C38">
        <v>37</v>
      </c>
      <c r="D38" s="122">
        <f>SUMIFS(BD.OS!$Y:$Y,BD.OS!$A:$A,"&gt;="&amp;B38,BD.OS!$A:$A,"&lt;"&amp;B39)</f>
        <v>0</v>
      </c>
      <c r="E38" s="122">
        <f>SUMIFS('Relatório GERAL'!$BR:$BR,'Relatório GERAL'!$AX:$AX,"&gt;="&amp;'Horario de campo e Prod.TOTAL'!B38,'Relatório GERAL'!$AX:$AX,"&lt;"&amp;B39)+SUMIFS('Relatório Extra'!$W:$W,'Relatório Extra'!$A:$A,"&gt;="&amp;'Horario de campo e Prod.TOTAL'!B38,'Relatório Extra'!$A:$A,"&lt;"&amp;'Horario de campo e Prod.TOTAL'!B39)</f>
        <v>630</v>
      </c>
      <c r="F38" s="122">
        <f t="shared" si="0"/>
        <v>0</v>
      </c>
      <c r="G38">
        <f>IF(B38&lt;DATE(2016,3,1),0,SUMIFS(BD.OS!$Z:$Z,BD.OS!$A:$A,"&gt;="&amp;'Horario de campo e Prod.TOTAL'!B38,BD.OS!$A:$A,"&lt;"&amp;'Horario de campo e Prod.TOTAL'!B39))</f>
        <v>0</v>
      </c>
      <c r="H38">
        <f>IF(B38&lt;DATE(2016,3,1),0,SUMIFS('Relatório Extra'!$W:$W,'Relatório Extra'!$A:$A,"&gt;="&amp;'Horario de campo e Prod.TOTAL'!B38,'Relatório Extra'!$A:$A,"&lt;"&amp;'Horario de campo e Prod.TOTAL'!B39))</f>
        <v>0</v>
      </c>
      <c r="I38" s="122" t="e">
        <f t="shared" si="1"/>
        <v>#DIV/0!</v>
      </c>
      <c r="K38" s="26">
        <f t="shared" si="9"/>
        <v>42257</v>
      </c>
      <c r="L38" s="78">
        <v>37</v>
      </c>
      <c r="M38" s="122">
        <f>IF(K38&lt;DATE(2015,5,4),0,SUMIFS(BD.OS!$X:$X,BD.OS!$A:$A,"&gt;="&amp;K38,BD.OS!$A:$A,"&lt;"&amp;K39))</f>
        <v>345</v>
      </c>
      <c r="N38" s="122">
        <f>SUMIFS('Relatório GERAL'!$BR:$BR,'Relatório GERAL'!$AX:$AX,"&gt;="&amp;'Horario de campo e Prod.TOTAL'!K38,'Relatório GERAL'!$AX:$AX,"&lt;"&amp;K39)+SUMIFS('Relatório Extra'!$W:$W,'Relatório Extra'!$A:$A,"&gt;="&amp;'Horario de campo e Prod.TOTAL'!K38,'Relatório Extra'!$A:$A,"&lt;"&amp;'Horario de campo e Prod.TOTAL'!K39)</f>
        <v>446</v>
      </c>
      <c r="O38" s="122">
        <f t="shared" si="2"/>
        <v>0.773542600896861</v>
      </c>
      <c r="P38">
        <f>IF(K38&lt;DATE(2016,3,1),0,SUMIFS(BD.OS!$Z:$Z,BD.OS!$A:$A,"&gt;="&amp;'Horario de campo e Prod.TOTAL'!K38,BD.OS!$A:$A,"&lt;"&amp;'Horario de campo e Prod.TOTAL'!K39))</f>
        <v>0</v>
      </c>
      <c r="Q38">
        <f>IF(K38&lt;DATE(2016,3,1),0,SUMIFS('Relatório Extra'!$W:$W,'Relatório Extra'!$A:$A,"&gt;="&amp;'Horario de campo e Prod.TOTAL'!K38,'Relatório Extra'!$A:$A,"&lt;"&amp;'Horario de campo e Prod.TOTAL'!K39))</f>
        <v>0</v>
      </c>
      <c r="R38" s="122" t="e">
        <f t="shared" si="3"/>
        <v>#DIV/0!</v>
      </c>
      <c r="T38">
        <v>37</v>
      </c>
      <c r="U38" s="16">
        <f t="shared" si="4"/>
        <v>0</v>
      </c>
      <c r="V38" s="16">
        <f t="shared" si="5"/>
        <v>0.773542600896861</v>
      </c>
      <c r="W38" s="122" t="e">
        <f t="shared" si="6"/>
        <v>#DIV/0!</v>
      </c>
      <c r="X38" s="122" t="e">
        <f t="shared" si="7"/>
        <v>#DIV/0!</v>
      </c>
    </row>
    <row r="39" spans="2:24" x14ac:dyDescent="0.2">
      <c r="B39" s="26">
        <f t="shared" si="8"/>
        <v>42629</v>
      </c>
      <c r="C39">
        <v>38</v>
      </c>
      <c r="D39" s="122">
        <f>SUMIFS(BD.OS!$Y:$Y,BD.OS!$A:$A,"&gt;="&amp;B39,BD.OS!$A:$A,"&lt;"&amp;B40)</f>
        <v>0</v>
      </c>
      <c r="E39" s="122">
        <f>SUMIFS('Relatório GERAL'!$BR:$BR,'Relatório GERAL'!$AX:$AX,"&gt;="&amp;'Horario de campo e Prod.TOTAL'!B39,'Relatório GERAL'!$AX:$AX,"&lt;"&amp;B40)+SUMIFS('Relatório Extra'!$W:$W,'Relatório Extra'!$A:$A,"&gt;="&amp;'Horario de campo e Prod.TOTAL'!B39,'Relatório Extra'!$A:$A,"&lt;"&amp;'Horario de campo e Prod.TOTAL'!B40)</f>
        <v>630</v>
      </c>
      <c r="F39" s="122">
        <f t="shared" si="0"/>
        <v>0</v>
      </c>
      <c r="G39">
        <f>IF(B39&lt;DATE(2016,3,1),0,SUMIFS(BD.OS!$Z:$Z,BD.OS!$A:$A,"&gt;="&amp;'Horario de campo e Prod.TOTAL'!B39,BD.OS!$A:$A,"&lt;"&amp;'Horario de campo e Prod.TOTAL'!B40))</f>
        <v>0</v>
      </c>
      <c r="H39">
        <f>IF(B39&lt;DATE(2016,3,1),0,SUMIFS('Relatório Extra'!$W:$W,'Relatório Extra'!$A:$A,"&gt;="&amp;'Horario de campo e Prod.TOTAL'!B39,'Relatório Extra'!$A:$A,"&lt;"&amp;'Horario de campo e Prod.TOTAL'!B40))</f>
        <v>0</v>
      </c>
      <c r="I39" s="122" t="e">
        <f t="shared" si="1"/>
        <v>#DIV/0!</v>
      </c>
      <c r="K39" s="26">
        <f t="shared" si="9"/>
        <v>42264</v>
      </c>
      <c r="L39" s="78">
        <v>38</v>
      </c>
      <c r="M39" s="122">
        <f>IF(K39&lt;DATE(2015,5,4),0,SUMIFS(BD.OS!$X:$X,BD.OS!$A:$A,"&gt;="&amp;K39,BD.OS!$A:$A,"&lt;"&amp;K40))</f>
        <v>549</v>
      </c>
      <c r="N39" s="122">
        <f>SUMIFS('Relatório GERAL'!$BR:$BR,'Relatório GERAL'!$AX:$AX,"&gt;="&amp;'Horario de campo e Prod.TOTAL'!K39,'Relatório GERAL'!$AX:$AX,"&lt;"&amp;K40)+SUMIFS('Relatório Extra'!$W:$W,'Relatório Extra'!$A:$A,"&gt;="&amp;'Horario de campo e Prod.TOTAL'!K39,'Relatório Extra'!$A:$A,"&lt;"&amp;'Horario de campo e Prod.TOTAL'!K40)</f>
        <v>454</v>
      </c>
      <c r="O39" s="122">
        <f t="shared" si="2"/>
        <v>1.2092511013215859</v>
      </c>
      <c r="P39">
        <f>IF(K39&lt;DATE(2016,3,1),0,SUMIFS(BD.OS!$Z:$Z,BD.OS!$A:$A,"&gt;="&amp;'Horario de campo e Prod.TOTAL'!K39,BD.OS!$A:$A,"&lt;"&amp;'Horario de campo e Prod.TOTAL'!K40))</f>
        <v>0</v>
      </c>
      <c r="Q39">
        <f>IF(K39&lt;DATE(2016,3,1),0,SUMIFS('Relatório Extra'!$W:$W,'Relatório Extra'!$A:$A,"&gt;="&amp;'Horario de campo e Prod.TOTAL'!K39,'Relatório Extra'!$A:$A,"&lt;"&amp;'Horario de campo e Prod.TOTAL'!K40))</f>
        <v>0</v>
      </c>
      <c r="R39" s="122" t="e">
        <f t="shared" si="3"/>
        <v>#DIV/0!</v>
      </c>
      <c r="T39">
        <v>38</v>
      </c>
      <c r="U39" s="16">
        <f t="shared" si="4"/>
        <v>0</v>
      </c>
      <c r="V39" s="16">
        <f t="shared" si="5"/>
        <v>1.2092511013215859</v>
      </c>
      <c r="W39" s="122" t="e">
        <f t="shared" si="6"/>
        <v>#DIV/0!</v>
      </c>
      <c r="X39" s="122" t="e">
        <f t="shared" si="7"/>
        <v>#DIV/0!</v>
      </c>
    </row>
    <row r="40" spans="2:24" x14ac:dyDescent="0.2">
      <c r="B40" s="26">
        <f t="shared" si="8"/>
        <v>42636</v>
      </c>
      <c r="C40">
        <v>39</v>
      </c>
      <c r="D40" s="122">
        <f>SUMIFS(BD.OS!$Y:$Y,BD.OS!$A:$A,"&gt;="&amp;B40,BD.OS!$A:$A,"&lt;"&amp;B41)</f>
        <v>0</v>
      </c>
      <c r="E40" s="122">
        <f>SUMIFS('Relatório GERAL'!$BR:$BR,'Relatório GERAL'!$AX:$AX,"&gt;="&amp;'Horario de campo e Prod.TOTAL'!B40,'Relatório GERAL'!$AX:$AX,"&lt;"&amp;B41)+SUMIFS('Relatório Extra'!$W:$W,'Relatório Extra'!$A:$A,"&gt;="&amp;'Horario de campo e Prod.TOTAL'!B40,'Relatório Extra'!$A:$A,"&lt;"&amp;'Horario de campo e Prod.TOTAL'!B41)</f>
        <v>662</v>
      </c>
      <c r="F40" s="122">
        <f t="shared" si="0"/>
        <v>0</v>
      </c>
      <c r="G40">
        <f>IF(B40&lt;DATE(2016,3,1),0,SUMIFS(BD.OS!$Z:$Z,BD.OS!$A:$A,"&gt;="&amp;'Horario de campo e Prod.TOTAL'!B40,BD.OS!$A:$A,"&lt;"&amp;'Horario de campo e Prod.TOTAL'!B41))</f>
        <v>0</v>
      </c>
      <c r="H40">
        <f>IF(B40&lt;DATE(2016,3,1),0,SUMIFS('Relatório Extra'!$W:$W,'Relatório Extra'!$A:$A,"&gt;="&amp;'Horario de campo e Prod.TOTAL'!B40,'Relatório Extra'!$A:$A,"&lt;"&amp;'Horario de campo e Prod.TOTAL'!B41))</f>
        <v>0</v>
      </c>
      <c r="I40" s="122" t="e">
        <f t="shared" si="1"/>
        <v>#DIV/0!</v>
      </c>
      <c r="K40" s="26">
        <f t="shared" si="9"/>
        <v>42271</v>
      </c>
      <c r="L40" s="78">
        <v>39</v>
      </c>
      <c r="M40" s="122">
        <f>IF(K40&lt;DATE(2015,5,4),0,SUMIFS(BD.OS!$X:$X,BD.OS!$A:$A,"&gt;="&amp;K40,BD.OS!$A:$A,"&lt;"&amp;K41))</f>
        <v>245</v>
      </c>
      <c r="N40" s="122">
        <f>SUMIFS('Relatório GERAL'!$BR:$BR,'Relatório GERAL'!$AX:$AX,"&gt;="&amp;'Horario de campo e Prod.TOTAL'!K40,'Relatório GERAL'!$AX:$AX,"&lt;"&amp;K41)+SUMIFS('Relatório Extra'!$W:$W,'Relatório Extra'!$A:$A,"&gt;="&amp;'Horario de campo e Prod.TOTAL'!K40,'Relatório Extra'!$A:$A,"&lt;"&amp;'Horario de campo e Prod.TOTAL'!K41)</f>
        <v>458</v>
      </c>
      <c r="O40" s="122">
        <f t="shared" si="2"/>
        <v>0.53493449781659386</v>
      </c>
      <c r="P40">
        <f>IF(K40&lt;DATE(2016,3,1),0,SUMIFS(BD.OS!$Z:$Z,BD.OS!$A:$A,"&gt;="&amp;'Horario de campo e Prod.TOTAL'!K40,BD.OS!$A:$A,"&lt;"&amp;'Horario de campo e Prod.TOTAL'!K41))</f>
        <v>0</v>
      </c>
      <c r="Q40">
        <f>IF(K40&lt;DATE(2016,3,1),0,SUMIFS('Relatório Extra'!$W:$W,'Relatório Extra'!$A:$A,"&gt;="&amp;'Horario de campo e Prod.TOTAL'!K40,'Relatório Extra'!$A:$A,"&lt;"&amp;'Horario de campo e Prod.TOTAL'!K41))</f>
        <v>0</v>
      </c>
      <c r="R40" s="122" t="e">
        <f t="shared" si="3"/>
        <v>#DIV/0!</v>
      </c>
      <c r="T40">
        <v>39</v>
      </c>
      <c r="U40" s="16">
        <f t="shared" si="4"/>
        <v>0</v>
      </c>
      <c r="V40" s="16">
        <f t="shared" si="5"/>
        <v>0.53493449781659386</v>
      </c>
      <c r="W40" s="122" t="e">
        <f t="shared" si="6"/>
        <v>#DIV/0!</v>
      </c>
      <c r="X40" s="122" t="e">
        <f t="shared" si="7"/>
        <v>#DIV/0!</v>
      </c>
    </row>
    <row r="41" spans="2:24" x14ac:dyDescent="0.2">
      <c r="B41" s="26">
        <f t="shared" si="8"/>
        <v>42643</v>
      </c>
      <c r="C41">
        <v>40</v>
      </c>
      <c r="D41" s="122">
        <f>SUMIFS(BD.OS!$Y:$Y,BD.OS!$A:$A,"&gt;="&amp;B41,BD.OS!$A:$A,"&lt;"&amp;B42)</f>
        <v>0</v>
      </c>
      <c r="E41" s="122">
        <f>SUMIFS('Relatório GERAL'!$BR:$BR,'Relatório GERAL'!$AX:$AX,"&gt;="&amp;'Horario de campo e Prod.TOTAL'!B41,'Relatório GERAL'!$AX:$AX,"&lt;"&amp;B42)+SUMIFS('Relatório Extra'!$W:$W,'Relatório Extra'!$A:$A,"&gt;="&amp;'Horario de campo e Prod.TOTAL'!B41,'Relatório Extra'!$A:$A,"&lt;"&amp;'Horario de campo e Prod.TOTAL'!B42)</f>
        <v>670</v>
      </c>
      <c r="F41" s="122">
        <f t="shared" si="0"/>
        <v>0</v>
      </c>
      <c r="G41">
        <f>IF(B41&lt;DATE(2016,3,1),0,SUMIFS(BD.OS!$Z:$Z,BD.OS!$A:$A,"&gt;="&amp;'Horario de campo e Prod.TOTAL'!B41,BD.OS!$A:$A,"&lt;"&amp;'Horario de campo e Prod.TOTAL'!B42))</f>
        <v>0</v>
      </c>
      <c r="H41">
        <f>IF(B41&lt;DATE(2016,3,1),0,SUMIFS('Relatório Extra'!$W:$W,'Relatório Extra'!$A:$A,"&gt;="&amp;'Horario de campo e Prod.TOTAL'!B41,'Relatório Extra'!$A:$A,"&lt;"&amp;'Horario de campo e Prod.TOTAL'!B42))</f>
        <v>0</v>
      </c>
      <c r="I41" s="122" t="e">
        <f t="shared" si="1"/>
        <v>#DIV/0!</v>
      </c>
      <c r="K41" s="26">
        <f t="shared" si="9"/>
        <v>42278</v>
      </c>
      <c r="L41" s="78">
        <v>40</v>
      </c>
      <c r="M41" s="122">
        <f>IF(K41&lt;DATE(2015,5,4),0,SUMIFS(BD.OS!$X:$X,BD.OS!$A:$A,"&gt;="&amp;K41,BD.OS!$A:$A,"&lt;"&amp;K42))</f>
        <v>310</v>
      </c>
      <c r="N41" s="122">
        <f>SUMIFS('Relatório GERAL'!$BR:$BR,'Relatório GERAL'!$AX:$AX,"&gt;="&amp;'Horario de campo e Prod.TOTAL'!K41,'Relatório GERAL'!$AX:$AX,"&lt;"&amp;K42)+SUMIFS('Relatório Extra'!$W:$W,'Relatório Extra'!$A:$A,"&gt;="&amp;'Horario de campo e Prod.TOTAL'!K41,'Relatório Extra'!$A:$A,"&lt;"&amp;'Horario de campo e Prod.TOTAL'!K42)</f>
        <v>498</v>
      </c>
      <c r="O41" s="122">
        <f t="shared" si="2"/>
        <v>0.6224899598393574</v>
      </c>
      <c r="P41">
        <f>IF(K41&lt;DATE(2016,3,1),0,SUMIFS(BD.OS!$Z:$Z,BD.OS!$A:$A,"&gt;="&amp;'Horario de campo e Prod.TOTAL'!K41,BD.OS!$A:$A,"&lt;"&amp;'Horario de campo e Prod.TOTAL'!K42))</f>
        <v>0</v>
      </c>
      <c r="Q41">
        <f>IF(K41&lt;DATE(2016,3,1),0,SUMIFS('Relatório Extra'!$W:$W,'Relatório Extra'!$A:$A,"&gt;="&amp;'Horario de campo e Prod.TOTAL'!K41,'Relatório Extra'!$A:$A,"&lt;"&amp;'Horario de campo e Prod.TOTAL'!K42))</f>
        <v>0</v>
      </c>
      <c r="R41" s="122" t="e">
        <f t="shared" si="3"/>
        <v>#DIV/0!</v>
      </c>
      <c r="T41">
        <v>40</v>
      </c>
      <c r="U41" s="16">
        <f t="shared" si="4"/>
        <v>0</v>
      </c>
      <c r="V41" s="16">
        <f t="shared" si="5"/>
        <v>0.6224899598393574</v>
      </c>
      <c r="W41" s="122" t="e">
        <f t="shared" si="6"/>
        <v>#DIV/0!</v>
      </c>
      <c r="X41" s="122" t="e">
        <f t="shared" si="7"/>
        <v>#DIV/0!</v>
      </c>
    </row>
    <row r="42" spans="2:24" x14ac:dyDescent="0.2">
      <c r="B42" s="26">
        <f t="shared" si="8"/>
        <v>42650</v>
      </c>
      <c r="C42">
        <v>41</v>
      </c>
      <c r="D42" s="122">
        <f>SUMIFS(BD.OS!$Y:$Y,BD.OS!$A:$A,"&gt;="&amp;B42,BD.OS!$A:$A,"&lt;"&amp;B43)</f>
        <v>0</v>
      </c>
      <c r="E42" s="122">
        <f>SUMIFS('Relatório GERAL'!$BR:$BR,'Relatório GERAL'!$AX:$AX,"&gt;="&amp;'Horario de campo e Prod.TOTAL'!B42,'Relatório GERAL'!$AX:$AX,"&lt;"&amp;B43)+SUMIFS('Relatório Extra'!$W:$W,'Relatório Extra'!$A:$A,"&gt;="&amp;'Horario de campo e Prod.TOTAL'!B42,'Relatório Extra'!$A:$A,"&lt;"&amp;'Horario de campo e Prod.TOTAL'!B43)</f>
        <v>638</v>
      </c>
      <c r="F42" s="122">
        <f t="shared" si="0"/>
        <v>0</v>
      </c>
      <c r="G42">
        <f>IF(B42&lt;DATE(2016,3,1),0,SUMIFS(BD.OS!$Z:$Z,BD.OS!$A:$A,"&gt;="&amp;'Horario de campo e Prod.TOTAL'!B42,BD.OS!$A:$A,"&lt;"&amp;'Horario de campo e Prod.TOTAL'!B43))</f>
        <v>0</v>
      </c>
      <c r="H42">
        <f>IF(B42&lt;DATE(2016,3,1),0,SUMIFS('Relatório Extra'!$W:$W,'Relatório Extra'!$A:$A,"&gt;="&amp;'Horario de campo e Prod.TOTAL'!B42,'Relatório Extra'!$A:$A,"&lt;"&amp;'Horario de campo e Prod.TOTAL'!B43))</f>
        <v>0</v>
      </c>
      <c r="I42" s="122" t="e">
        <f t="shared" si="1"/>
        <v>#DIV/0!</v>
      </c>
      <c r="K42" s="26">
        <f t="shared" si="9"/>
        <v>42285</v>
      </c>
      <c r="L42" s="78">
        <v>41</v>
      </c>
      <c r="M42" s="122">
        <f>IF(K42&lt;DATE(2015,5,4),0,SUMIFS(BD.OS!$X:$X,BD.OS!$A:$A,"&gt;="&amp;K42,BD.OS!$A:$A,"&lt;"&amp;K43))</f>
        <v>316</v>
      </c>
      <c r="N42" s="122">
        <f>SUMIFS('Relatório GERAL'!$BR:$BR,'Relatório GERAL'!$AX:$AX,"&gt;="&amp;'Horario de campo e Prod.TOTAL'!K42,'Relatório GERAL'!$AX:$AX,"&lt;"&amp;K43)+SUMIFS('Relatório Extra'!$W:$W,'Relatório Extra'!$A:$A,"&gt;="&amp;'Horario de campo e Prod.TOTAL'!K42,'Relatório Extra'!$A:$A,"&lt;"&amp;'Horario de campo e Prod.TOTAL'!K43)</f>
        <v>378</v>
      </c>
      <c r="O42" s="122">
        <f t="shared" si="2"/>
        <v>0.83597883597883593</v>
      </c>
      <c r="P42">
        <f>IF(K42&lt;DATE(2016,3,1),0,SUMIFS(BD.OS!$Z:$Z,BD.OS!$A:$A,"&gt;="&amp;'Horario de campo e Prod.TOTAL'!K42,BD.OS!$A:$A,"&lt;"&amp;'Horario de campo e Prod.TOTAL'!K43))</f>
        <v>0</v>
      </c>
      <c r="Q42">
        <f>IF(K42&lt;DATE(2016,3,1),0,SUMIFS('Relatório Extra'!$W:$W,'Relatório Extra'!$A:$A,"&gt;="&amp;'Horario de campo e Prod.TOTAL'!K42,'Relatório Extra'!$A:$A,"&lt;"&amp;'Horario de campo e Prod.TOTAL'!K43))</f>
        <v>0</v>
      </c>
      <c r="R42" s="122" t="e">
        <f t="shared" si="3"/>
        <v>#DIV/0!</v>
      </c>
      <c r="T42">
        <v>41</v>
      </c>
      <c r="U42" s="16">
        <f t="shared" si="4"/>
        <v>0</v>
      </c>
      <c r="V42" s="16">
        <f t="shared" si="5"/>
        <v>0.83597883597883593</v>
      </c>
      <c r="W42" s="122" t="e">
        <f t="shared" si="6"/>
        <v>#DIV/0!</v>
      </c>
      <c r="X42" s="122" t="e">
        <f t="shared" si="7"/>
        <v>#DIV/0!</v>
      </c>
    </row>
    <row r="43" spans="2:24" x14ac:dyDescent="0.2">
      <c r="B43" s="26">
        <f t="shared" si="8"/>
        <v>42657</v>
      </c>
      <c r="C43">
        <v>42</v>
      </c>
      <c r="D43" s="122">
        <f>SUMIFS(BD.OS!$Y:$Y,BD.OS!$A:$A,"&gt;="&amp;B43,BD.OS!$A:$A,"&lt;"&amp;B44)</f>
        <v>0</v>
      </c>
      <c r="E43" s="122">
        <f>SUMIFS('Relatório GERAL'!$BR:$BR,'Relatório GERAL'!$AX:$AX,"&gt;="&amp;'Horario de campo e Prod.TOTAL'!B43,'Relatório GERAL'!$AX:$AX,"&lt;"&amp;B44)+SUMIFS('Relatório Extra'!$W:$W,'Relatório Extra'!$A:$A,"&gt;="&amp;'Horario de campo e Prod.TOTAL'!B43,'Relatório Extra'!$A:$A,"&lt;"&amp;'Horario de campo e Prod.TOTAL'!B44)</f>
        <v>598</v>
      </c>
      <c r="F43" s="122">
        <f t="shared" si="0"/>
        <v>0</v>
      </c>
      <c r="G43">
        <f>IF(B43&lt;DATE(2016,3,1),0,SUMIFS(BD.OS!$Z:$Z,BD.OS!$A:$A,"&gt;="&amp;'Horario de campo e Prod.TOTAL'!B43,BD.OS!$A:$A,"&lt;"&amp;'Horario de campo e Prod.TOTAL'!B44))</f>
        <v>0</v>
      </c>
      <c r="H43">
        <f>IF(B43&lt;DATE(2016,3,1),0,SUMIFS('Relatório Extra'!$W:$W,'Relatório Extra'!$A:$A,"&gt;="&amp;'Horario de campo e Prod.TOTAL'!B43,'Relatório Extra'!$A:$A,"&lt;"&amp;'Horario de campo e Prod.TOTAL'!B44))</f>
        <v>0</v>
      </c>
      <c r="I43" s="122" t="e">
        <f t="shared" si="1"/>
        <v>#DIV/0!</v>
      </c>
      <c r="K43" s="26">
        <f t="shared" si="9"/>
        <v>42292</v>
      </c>
      <c r="L43" s="78">
        <v>42</v>
      </c>
      <c r="M43" s="122">
        <f>IF(K43&lt;DATE(2015,5,4),0,SUMIFS(BD.OS!$X:$X,BD.OS!$A:$A,"&gt;="&amp;K43,BD.OS!$A:$A,"&lt;"&amp;K44))</f>
        <v>545</v>
      </c>
      <c r="N43" s="122">
        <f>SUMIFS('Relatório GERAL'!$BR:$BR,'Relatório GERAL'!$AX:$AX,"&gt;="&amp;'Horario de campo e Prod.TOTAL'!K43,'Relatório GERAL'!$AX:$AX,"&lt;"&amp;K44)+SUMIFS('Relatório Extra'!$W:$W,'Relatório Extra'!$A:$A,"&gt;="&amp;'Horario de campo e Prod.TOTAL'!K43,'Relatório Extra'!$A:$A,"&lt;"&amp;'Horario de campo e Prod.TOTAL'!K44)</f>
        <v>580</v>
      </c>
      <c r="O43" s="122">
        <f t="shared" si="2"/>
        <v>0.93965517241379315</v>
      </c>
      <c r="P43">
        <f>IF(K43&lt;DATE(2016,3,1),0,SUMIFS(BD.OS!$Z:$Z,BD.OS!$A:$A,"&gt;="&amp;'Horario de campo e Prod.TOTAL'!K43,BD.OS!$A:$A,"&lt;"&amp;'Horario de campo e Prod.TOTAL'!K44))</f>
        <v>0</v>
      </c>
      <c r="Q43">
        <f>IF(K43&lt;DATE(2016,3,1),0,SUMIFS('Relatório Extra'!$W:$W,'Relatório Extra'!$A:$A,"&gt;="&amp;'Horario de campo e Prod.TOTAL'!K43,'Relatório Extra'!$A:$A,"&lt;"&amp;'Horario de campo e Prod.TOTAL'!K44))</f>
        <v>0</v>
      </c>
      <c r="R43" s="122" t="e">
        <f t="shared" si="3"/>
        <v>#DIV/0!</v>
      </c>
      <c r="T43">
        <v>42</v>
      </c>
      <c r="U43" s="16">
        <f t="shared" si="4"/>
        <v>0</v>
      </c>
      <c r="V43" s="16">
        <f t="shared" si="5"/>
        <v>0.93965517241379315</v>
      </c>
      <c r="W43" s="122" t="e">
        <f t="shared" si="6"/>
        <v>#DIV/0!</v>
      </c>
      <c r="X43" s="122" t="e">
        <f t="shared" si="7"/>
        <v>#DIV/0!</v>
      </c>
    </row>
    <row r="44" spans="2:24" x14ac:dyDescent="0.2">
      <c r="B44" s="26">
        <f t="shared" si="8"/>
        <v>42664</v>
      </c>
      <c r="C44">
        <v>43</v>
      </c>
      <c r="D44" s="122">
        <f>SUMIFS(BD.OS!$Y:$Y,BD.OS!$A:$A,"&gt;="&amp;B44,BD.OS!$A:$A,"&lt;"&amp;B45)</f>
        <v>0</v>
      </c>
      <c r="E44" s="122">
        <f>SUMIFS('Relatório GERAL'!$BR:$BR,'Relatório GERAL'!$AX:$AX,"&gt;="&amp;'Horario de campo e Prod.TOTAL'!B44,'Relatório GERAL'!$AX:$AX,"&lt;"&amp;B45)+SUMIFS('Relatório Extra'!$W:$W,'Relatório Extra'!$A:$A,"&gt;="&amp;'Horario de campo e Prod.TOTAL'!B44,'Relatório Extra'!$A:$A,"&lt;"&amp;'Horario de campo e Prod.TOTAL'!B45)</f>
        <v>598</v>
      </c>
      <c r="F44" s="122">
        <f t="shared" si="0"/>
        <v>0</v>
      </c>
      <c r="G44">
        <f>IF(B44&lt;DATE(2016,3,1),0,SUMIFS(BD.OS!$Z:$Z,BD.OS!$A:$A,"&gt;="&amp;'Horario de campo e Prod.TOTAL'!B44,BD.OS!$A:$A,"&lt;"&amp;'Horario de campo e Prod.TOTAL'!B45))</f>
        <v>0</v>
      </c>
      <c r="H44">
        <f>IF(B44&lt;DATE(2016,3,1),0,SUMIFS('Relatório Extra'!$W:$W,'Relatório Extra'!$A:$A,"&gt;="&amp;'Horario de campo e Prod.TOTAL'!B44,'Relatório Extra'!$A:$A,"&lt;"&amp;'Horario de campo e Prod.TOTAL'!B45))</f>
        <v>0</v>
      </c>
      <c r="I44" s="122" t="e">
        <f t="shared" si="1"/>
        <v>#DIV/0!</v>
      </c>
      <c r="K44" s="26">
        <f t="shared" si="9"/>
        <v>42299</v>
      </c>
      <c r="L44" s="78">
        <v>43</v>
      </c>
      <c r="M44" s="122">
        <f>IF(K44&lt;DATE(2015,5,4),0,SUMIFS(BD.OS!$X:$X,BD.OS!$A:$A,"&gt;="&amp;K44,BD.OS!$A:$A,"&lt;"&amp;K45))</f>
        <v>561</v>
      </c>
      <c r="N44" s="122">
        <f>SUMIFS('Relatório GERAL'!$BR:$BR,'Relatório GERAL'!$AX:$AX,"&gt;="&amp;'Horario de campo e Prod.TOTAL'!K44,'Relatório GERAL'!$AX:$AX,"&lt;"&amp;K45)+SUMIFS('Relatório Extra'!$W:$W,'Relatório Extra'!$A:$A,"&gt;="&amp;'Horario de campo e Prod.TOTAL'!K44,'Relatório Extra'!$A:$A,"&lt;"&amp;'Horario de campo e Prod.TOTAL'!K45)</f>
        <v>584</v>
      </c>
      <c r="O44" s="122">
        <f t="shared" si="2"/>
        <v>0.96061643835616439</v>
      </c>
      <c r="P44">
        <f>IF(K44&lt;DATE(2016,3,1),0,SUMIFS(BD.OS!$Z:$Z,BD.OS!$A:$A,"&gt;="&amp;'Horario de campo e Prod.TOTAL'!K44,BD.OS!$A:$A,"&lt;"&amp;'Horario de campo e Prod.TOTAL'!K45))</f>
        <v>0</v>
      </c>
      <c r="Q44">
        <f>IF(K44&lt;DATE(2016,3,1),0,SUMIFS('Relatório Extra'!$W:$W,'Relatório Extra'!$A:$A,"&gt;="&amp;'Horario de campo e Prod.TOTAL'!K44,'Relatório Extra'!$A:$A,"&lt;"&amp;'Horario de campo e Prod.TOTAL'!K45))</f>
        <v>0</v>
      </c>
      <c r="R44" s="122" t="e">
        <f t="shared" si="3"/>
        <v>#DIV/0!</v>
      </c>
      <c r="T44">
        <v>43</v>
      </c>
      <c r="U44" s="16">
        <f t="shared" si="4"/>
        <v>0</v>
      </c>
      <c r="V44" s="16">
        <f t="shared" si="5"/>
        <v>0.96061643835616439</v>
      </c>
      <c r="W44" s="122" t="e">
        <f t="shared" si="6"/>
        <v>#DIV/0!</v>
      </c>
      <c r="X44" s="122" t="e">
        <f t="shared" si="7"/>
        <v>#DIV/0!</v>
      </c>
    </row>
    <row r="45" spans="2:24" x14ac:dyDescent="0.2">
      <c r="B45" s="26">
        <f t="shared" si="8"/>
        <v>42671</v>
      </c>
      <c r="C45">
        <v>44</v>
      </c>
      <c r="D45" s="122">
        <f>SUMIFS(BD.OS!$Y:$Y,BD.OS!$A:$A,"&gt;="&amp;B45,BD.OS!$A:$A,"&lt;"&amp;B46)</f>
        <v>0</v>
      </c>
      <c r="E45" s="122">
        <f>SUMIFS('Relatório GERAL'!$BR:$BR,'Relatório GERAL'!$AX:$AX,"&gt;="&amp;'Horario de campo e Prod.TOTAL'!B45,'Relatório GERAL'!$AX:$AX,"&lt;"&amp;B46)+SUMIFS('Relatório Extra'!$W:$W,'Relatório Extra'!$A:$A,"&gt;="&amp;'Horario de campo e Prod.TOTAL'!B45,'Relatório Extra'!$A:$A,"&lt;"&amp;'Horario de campo e Prod.TOTAL'!B46)</f>
        <v>630</v>
      </c>
      <c r="F45" s="122">
        <f t="shared" si="0"/>
        <v>0</v>
      </c>
      <c r="G45">
        <f>IF(B45&lt;DATE(2016,3,1),0,SUMIFS(BD.OS!$Z:$Z,BD.OS!$A:$A,"&gt;="&amp;'Horario de campo e Prod.TOTAL'!B45,BD.OS!$A:$A,"&lt;"&amp;'Horario de campo e Prod.TOTAL'!B46))</f>
        <v>0</v>
      </c>
      <c r="H45">
        <f>IF(B45&lt;DATE(2016,3,1),0,SUMIFS('Relatório Extra'!$W:$W,'Relatório Extra'!$A:$A,"&gt;="&amp;'Horario de campo e Prod.TOTAL'!B45,'Relatório Extra'!$A:$A,"&lt;"&amp;'Horario de campo e Prod.TOTAL'!B46))</f>
        <v>0</v>
      </c>
      <c r="I45" s="122" t="e">
        <f t="shared" si="1"/>
        <v>#DIV/0!</v>
      </c>
      <c r="K45" s="26">
        <f t="shared" si="9"/>
        <v>42306</v>
      </c>
      <c r="L45" s="78">
        <v>44</v>
      </c>
      <c r="M45" s="122">
        <f>IF(K45&lt;DATE(2015,5,4),0,SUMIFS(BD.OS!$X:$X,BD.OS!$A:$A,"&gt;="&amp;K45,BD.OS!$A:$A,"&lt;"&amp;K46))</f>
        <v>362</v>
      </c>
      <c r="N45" s="122">
        <f>SUMIFS('Relatório GERAL'!$BR:$BR,'Relatório GERAL'!$AX:$AX,"&gt;="&amp;'Horario de campo e Prod.TOTAL'!K45,'Relatório GERAL'!$AX:$AX,"&lt;"&amp;K46)+SUMIFS('Relatório Extra'!$W:$W,'Relatório Extra'!$A:$A,"&gt;="&amp;'Horario de campo e Prod.TOTAL'!K45,'Relatório Extra'!$A:$A,"&lt;"&amp;'Horario de campo e Prod.TOTAL'!K46)</f>
        <v>510</v>
      </c>
      <c r="O45" s="122">
        <f t="shared" si="2"/>
        <v>0.70980392156862748</v>
      </c>
      <c r="P45">
        <f>IF(K45&lt;DATE(2016,3,1),0,SUMIFS(BD.OS!$Z:$Z,BD.OS!$A:$A,"&gt;="&amp;'Horario de campo e Prod.TOTAL'!K45,BD.OS!$A:$A,"&lt;"&amp;'Horario de campo e Prod.TOTAL'!K46))</f>
        <v>0</v>
      </c>
      <c r="Q45">
        <f>IF(K45&lt;DATE(2016,3,1),0,SUMIFS('Relatório Extra'!$W:$W,'Relatório Extra'!$A:$A,"&gt;="&amp;'Horario de campo e Prod.TOTAL'!K45,'Relatório Extra'!$A:$A,"&lt;"&amp;'Horario de campo e Prod.TOTAL'!K46))</f>
        <v>0</v>
      </c>
      <c r="R45" s="122" t="e">
        <f t="shared" si="3"/>
        <v>#DIV/0!</v>
      </c>
      <c r="T45">
        <v>44</v>
      </c>
      <c r="U45" s="16">
        <f t="shared" si="4"/>
        <v>0</v>
      </c>
      <c r="V45" s="16">
        <f t="shared" si="5"/>
        <v>0.70980392156862748</v>
      </c>
      <c r="W45" s="122" t="e">
        <f t="shared" si="6"/>
        <v>#DIV/0!</v>
      </c>
      <c r="X45" s="122" t="e">
        <f t="shared" si="7"/>
        <v>#DIV/0!</v>
      </c>
    </row>
    <row r="46" spans="2:24" x14ac:dyDescent="0.2">
      <c r="B46" s="26">
        <f t="shared" si="8"/>
        <v>42678</v>
      </c>
      <c r="C46">
        <v>45</v>
      </c>
      <c r="D46" s="122">
        <f>SUMIFS(BD.OS!$Y:$Y,BD.OS!$A:$A,"&gt;="&amp;B46,BD.OS!$A:$A,"&lt;"&amp;B47)</f>
        <v>0</v>
      </c>
      <c r="E46" s="122">
        <f>SUMIFS('Relatório GERAL'!$BR:$BR,'Relatório GERAL'!$AX:$AX,"&gt;="&amp;'Horario de campo e Prod.TOTAL'!B46,'Relatório GERAL'!$AX:$AX,"&lt;"&amp;B47)+SUMIFS('Relatório Extra'!$W:$W,'Relatório Extra'!$A:$A,"&gt;="&amp;'Horario de campo e Prod.TOTAL'!B46,'Relatório Extra'!$A:$A,"&lt;"&amp;'Horario de campo e Prod.TOTAL'!B47)</f>
        <v>646</v>
      </c>
      <c r="F46" s="122">
        <f t="shared" si="0"/>
        <v>0</v>
      </c>
      <c r="G46">
        <f>IF(B46&lt;DATE(2016,3,1),0,SUMIFS(BD.OS!$Z:$Z,BD.OS!$A:$A,"&gt;="&amp;'Horario de campo e Prod.TOTAL'!B46,BD.OS!$A:$A,"&lt;"&amp;'Horario de campo e Prod.TOTAL'!B47))</f>
        <v>0</v>
      </c>
      <c r="H46">
        <f>IF(B46&lt;DATE(2016,3,1),0,SUMIFS('Relatório Extra'!$W:$W,'Relatório Extra'!$A:$A,"&gt;="&amp;'Horario de campo e Prod.TOTAL'!B46,'Relatório Extra'!$A:$A,"&lt;"&amp;'Horario de campo e Prod.TOTAL'!B47))</f>
        <v>0</v>
      </c>
      <c r="I46" s="122" t="e">
        <f t="shared" si="1"/>
        <v>#DIV/0!</v>
      </c>
      <c r="K46" s="26">
        <f t="shared" si="9"/>
        <v>42313</v>
      </c>
      <c r="L46" s="78">
        <v>45</v>
      </c>
      <c r="M46" s="122">
        <f>IF(K46&lt;DATE(2015,5,4),0,SUMIFS(BD.OS!$X:$X,BD.OS!$A:$A,"&gt;="&amp;K46,BD.OS!$A:$A,"&lt;"&amp;K47))</f>
        <v>384</v>
      </c>
      <c r="N46" s="122">
        <f>SUMIFS('Relatório GERAL'!$BR:$BR,'Relatório GERAL'!$AX:$AX,"&gt;="&amp;'Horario de campo e Prod.TOTAL'!K46,'Relatório GERAL'!$AX:$AX,"&lt;"&amp;K47)+SUMIFS('Relatório Extra'!$W:$W,'Relatório Extra'!$A:$A,"&gt;="&amp;'Horario de campo e Prod.TOTAL'!K46,'Relatório Extra'!$A:$A,"&lt;"&amp;'Horario de campo e Prod.TOTAL'!K47)</f>
        <v>646</v>
      </c>
      <c r="O46" s="122">
        <f t="shared" si="2"/>
        <v>0.59442724458204332</v>
      </c>
      <c r="P46">
        <f>IF(K46&lt;DATE(2016,3,1),0,SUMIFS(BD.OS!$Z:$Z,BD.OS!$A:$A,"&gt;="&amp;'Horario de campo e Prod.TOTAL'!K46,BD.OS!$A:$A,"&lt;"&amp;'Horario de campo e Prod.TOTAL'!K47))</f>
        <v>0</v>
      </c>
      <c r="Q46">
        <f>IF(K46&lt;DATE(2016,3,1),0,SUMIFS('Relatório Extra'!$W:$W,'Relatório Extra'!$A:$A,"&gt;="&amp;'Horario de campo e Prod.TOTAL'!K46,'Relatório Extra'!$A:$A,"&lt;"&amp;'Horario de campo e Prod.TOTAL'!K47))</f>
        <v>0</v>
      </c>
      <c r="R46" s="122" t="e">
        <f t="shared" si="3"/>
        <v>#DIV/0!</v>
      </c>
      <c r="T46">
        <v>45</v>
      </c>
      <c r="U46" s="16">
        <f t="shared" si="4"/>
        <v>0</v>
      </c>
      <c r="V46" s="16">
        <f t="shared" si="5"/>
        <v>0.59442724458204332</v>
      </c>
      <c r="W46" s="122" t="e">
        <f t="shared" si="6"/>
        <v>#DIV/0!</v>
      </c>
      <c r="X46" s="122" t="e">
        <f t="shared" si="7"/>
        <v>#DIV/0!</v>
      </c>
    </row>
    <row r="47" spans="2:24" x14ac:dyDescent="0.2">
      <c r="B47" s="26">
        <f t="shared" si="8"/>
        <v>42685</v>
      </c>
      <c r="C47">
        <v>46</v>
      </c>
      <c r="D47" s="122">
        <f>SUMIFS(BD.OS!$Y:$Y,BD.OS!$A:$A,"&gt;="&amp;B47,BD.OS!$A:$A,"&lt;"&amp;B48)</f>
        <v>0</v>
      </c>
      <c r="E47" s="122">
        <f>SUMIFS('Relatório GERAL'!$BR:$BR,'Relatório GERAL'!$AX:$AX,"&gt;="&amp;'Horario de campo e Prod.TOTAL'!B47,'Relatório GERAL'!$AX:$AX,"&lt;"&amp;B48)+SUMIFS('Relatório Extra'!$W:$W,'Relatório Extra'!$A:$A,"&gt;="&amp;'Horario de campo e Prod.TOTAL'!B47,'Relatório Extra'!$A:$A,"&lt;"&amp;'Horario de campo e Prod.TOTAL'!B48)</f>
        <v>654</v>
      </c>
      <c r="F47" s="122">
        <f t="shared" si="0"/>
        <v>0</v>
      </c>
      <c r="G47">
        <f>IF(B47&lt;DATE(2016,3,1),0,SUMIFS(BD.OS!$Z:$Z,BD.OS!$A:$A,"&gt;="&amp;'Horario de campo e Prod.TOTAL'!B47,BD.OS!$A:$A,"&lt;"&amp;'Horario de campo e Prod.TOTAL'!B48))</f>
        <v>0</v>
      </c>
      <c r="H47">
        <f>IF(B47&lt;DATE(2016,3,1),0,SUMIFS('Relatório Extra'!$W:$W,'Relatório Extra'!$A:$A,"&gt;="&amp;'Horario de campo e Prod.TOTAL'!B47,'Relatório Extra'!$A:$A,"&lt;"&amp;'Horario de campo e Prod.TOTAL'!B48))</f>
        <v>0</v>
      </c>
      <c r="I47" s="122" t="e">
        <f t="shared" si="1"/>
        <v>#DIV/0!</v>
      </c>
      <c r="K47" s="26">
        <f t="shared" si="9"/>
        <v>42320</v>
      </c>
      <c r="L47" s="78">
        <v>46</v>
      </c>
      <c r="M47" s="122">
        <f>IF(K47&lt;DATE(2015,5,4),0,SUMIFS(BD.OS!$X:$X,BD.OS!$A:$A,"&gt;="&amp;K47,BD.OS!$A:$A,"&lt;"&amp;K48))</f>
        <v>549</v>
      </c>
      <c r="N47" s="122">
        <f>SUMIFS('Relatório GERAL'!$BR:$BR,'Relatório GERAL'!$AX:$AX,"&gt;="&amp;'Horario de campo e Prod.TOTAL'!K47,'Relatório GERAL'!$AX:$AX,"&lt;"&amp;K48)+SUMIFS('Relatório Extra'!$W:$W,'Relatório Extra'!$A:$A,"&gt;="&amp;'Horario de campo e Prod.TOTAL'!K47,'Relatório Extra'!$A:$A,"&lt;"&amp;'Horario de campo e Prod.TOTAL'!K48)</f>
        <v>652</v>
      </c>
      <c r="O47" s="122">
        <f t="shared" si="2"/>
        <v>0.84202453987730064</v>
      </c>
      <c r="P47">
        <f>IF(K47&lt;DATE(2016,3,1),0,SUMIFS(BD.OS!$Z:$Z,BD.OS!$A:$A,"&gt;="&amp;'Horario de campo e Prod.TOTAL'!K47,BD.OS!$A:$A,"&lt;"&amp;'Horario de campo e Prod.TOTAL'!K48))</f>
        <v>0</v>
      </c>
      <c r="Q47">
        <f>IF(K47&lt;DATE(2016,3,1),0,SUMIFS('Relatório Extra'!$W:$W,'Relatório Extra'!$A:$A,"&gt;="&amp;'Horario de campo e Prod.TOTAL'!K47,'Relatório Extra'!$A:$A,"&lt;"&amp;'Horario de campo e Prod.TOTAL'!K48))</f>
        <v>0</v>
      </c>
      <c r="R47" s="122" t="e">
        <f t="shared" si="3"/>
        <v>#DIV/0!</v>
      </c>
      <c r="T47">
        <v>46</v>
      </c>
      <c r="U47" s="16">
        <f t="shared" si="4"/>
        <v>0</v>
      </c>
      <c r="V47" s="16">
        <f t="shared" si="5"/>
        <v>0.84202453987730064</v>
      </c>
      <c r="W47" s="122" t="e">
        <f t="shared" si="6"/>
        <v>#DIV/0!</v>
      </c>
      <c r="X47" s="122" t="e">
        <f t="shared" si="7"/>
        <v>#DIV/0!</v>
      </c>
    </row>
    <row r="48" spans="2:24" x14ac:dyDescent="0.2">
      <c r="B48" s="26">
        <f t="shared" si="8"/>
        <v>42692</v>
      </c>
      <c r="C48">
        <v>47</v>
      </c>
      <c r="D48" s="122">
        <f>SUMIFS(BD.OS!$Y:$Y,BD.OS!$A:$A,"&gt;="&amp;B48,BD.OS!$A:$A,"&lt;"&amp;B49)</f>
        <v>0</v>
      </c>
      <c r="E48" s="122">
        <f>SUMIFS('Relatório GERAL'!$BR:$BR,'Relatório GERAL'!$AX:$AX,"&gt;="&amp;'Horario de campo e Prod.TOTAL'!B48,'Relatório GERAL'!$AX:$AX,"&lt;"&amp;B49)+SUMIFS('Relatório Extra'!$W:$W,'Relatório Extra'!$A:$A,"&gt;="&amp;'Horario de campo e Prod.TOTAL'!B48,'Relatório Extra'!$A:$A,"&lt;"&amp;'Horario de campo e Prod.TOTAL'!B49)</f>
        <v>630</v>
      </c>
      <c r="F48" s="122">
        <f t="shared" si="0"/>
        <v>0</v>
      </c>
      <c r="G48">
        <f>IF(B48&lt;DATE(2016,3,1),0,SUMIFS(BD.OS!$Z:$Z,BD.OS!$A:$A,"&gt;="&amp;'Horario de campo e Prod.TOTAL'!B48,BD.OS!$A:$A,"&lt;"&amp;'Horario de campo e Prod.TOTAL'!B49))</f>
        <v>0</v>
      </c>
      <c r="H48">
        <f>IF(B48&lt;DATE(2016,3,1),0,SUMIFS('Relatório Extra'!$W:$W,'Relatório Extra'!$A:$A,"&gt;="&amp;'Horario de campo e Prod.TOTAL'!B48,'Relatório Extra'!$A:$A,"&lt;"&amp;'Horario de campo e Prod.TOTAL'!B49))</f>
        <v>0</v>
      </c>
      <c r="I48" s="122" t="e">
        <f t="shared" si="1"/>
        <v>#DIV/0!</v>
      </c>
      <c r="K48" s="26">
        <f t="shared" si="9"/>
        <v>42327</v>
      </c>
      <c r="L48" s="78">
        <v>47</v>
      </c>
      <c r="M48" s="122">
        <f>IF(K48&lt;DATE(2015,5,4),0,SUMIFS(BD.OS!$X:$X,BD.OS!$A:$A,"&gt;="&amp;K48,BD.OS!$A:$A,"&lt;"&amp;K49))</f>
        <v>551</v>
      </c>
      <c r="N48" s="122">
        <f>SUMIFS('Relatório GERAL'!$BR:$BR,'Relatório GERAL'!$AX:$AX,"&gt;="&amp;'Horario de campo e Prod.TOTAL'!K48,'Relatório GERAL'!$AX:$AX,"&lt;"&amp;K49)+SUMIFS('Relatório Extra'!$W:$W,'Relatório Extra'!$A:$A,"&gt;="&amp;'Horario de campo e Prod.TOTAL'!K48,'Relatório Extra'!$A:$A,"&lt;"&amp;'Horario de campo e Prod.TOTAL'!K49)</f>
        <v>648</v>
      </c>
      <c r="O48" s="122">
        <f t="shared" si="2"/>
        <v>0.85030864197530864</v>
      </c>
      <c r="P48">
        <f>IF(K48&lt;DATE(2016,3,1),0,SUMIFS(BD.OS!$Z:$Z,BD.OS!$A:$A,"&gt;="&amp;'Horario de campo e Prod.TOTAL'!K48,BD.OS!$A:$A,"&lt;"&amp;'Horario de campo e Prod.TOTAL'!K49))</f>
        <v>0</v>
      </c>
      <c r="Q48">
        <f>IF(K48&lt;DATE(2016,3,1),0,SUMIFS('Relatório Extra'!$W:$W,'Relatório Extra'!$A:$A,"&gt;="&amp;'Horario de campo e Prod.TOTAL'!K48,'Relatório Extra'!$A:$A,"&lt;"&amp;'Horario de campo e Prod.TOTAL'!K49))</f>
        <v>0</v>
      </c>
      <c r="R48" s="122" t="e">
        <f t="shared" si="3"/>
        <v>#DIV/0!</v>
      </c>
      <c r="T48">
        <v>47</v>
      </c>
      <c r="U48" s="16">
        <f t="shared" si="4"/>
        <v>0</v>
      </c>
      <c r="V48" s="16">
        <f t="shared" si="5"/>
        <v>0.85030864197530864</v>
      </c>
      <c r="W48" s="122" t="e">
        <f t="shared" si="6"/>
        <v>#DIV/0!</v>
      </c>
      <c r="X48" s="122" t="e">
        <f t="shared" si="7"/>
        <v>#DIV/0!</v>
      </c>
    </row>
    <row r="49" spans="2:24" x14ac:dyDescent="0.2">
      <c r="B49" s="26">
        <f t="shared" si="8"/>
        <v>42699</v>
      </c>
      <c r="C49">
        <v>48</v>
      </c>
      <c r="D49" s="122">
        <f>SUMIFS(BD.OS!$Y:$Y,BD.OS!$A:$A,"&gt;="&amp;B49,BD.OS!$A:$A,"&lt;"&amp;B50)</f>
        <v>0</v>
      </c>
      <c r="E49" s="122">
        <f>SUMIFS('Relatório GERAL'!$BR:$BR,'Relatório GERAL'!$AX:$AX,"&gt;="&amp;'Horario de campo e Prod.TOTAL'!B49,'Relatório GERAL'!$AX:$AX,"&lt;"&amp;B50)+SUMIFS('Relatório Extra'!$W:$W,'Relatório Extra'!$A:$A,"&gt;="&amp;'Horario de campo e Prod.TOTAL'!B49,'Relatório Extra'!$A:$A,"&lt;"&amp;'Horario de campo e Prod.TOTAL'!B50)</f>
        <v>598</v>
      </c>
      <c r="F49" s="122">
        <f t="shared" si="0"/>
        <v>0</v>
      </c>
      <c r="G49">
        <f>IF(B49&lt;DATE(2016,3,1),0,SUMIFS(BD.OS!$Z:$Z,BD.OS!$A:$A,"&gt;="&amp;'Horario de campo e Prod.TOTAL'!B49,BD.OS!$A:$A,"&lt;"&amp;'Horario de campo e Prod.TOTAL'!B50))</f>
        <v>0</v>
      </c>
      <c r="H49">
        <f>IF(B49&lt;DATE(2016,3,1),0,SUMIFS('Relatório Extra'!$W:$W,'Relatório Extra'!$A:$A,"&gt;="&amp;'Horario de campo e Prod.TOTAL'!B49,'Relatório Extra'!$A:$A,"&lt;"&amp;'Horario de campo e Prod.TOTAL'!B50))</f>
        <v>0</v>
      </c>
      <c r="I49" s="122" t="e">
        <f t="shared" si="1"/>
        <v>#DIV/0!</v>
      </c>
      <c r="K49" s="26">
        <f t="shared" si="9"/>
        <v>42334</v>
      </c>
      <c r="L49" s="78">
        <v>48</v>
      </c>
      <c r="M49" s="122">
        <f>IF(K49&lt;DATE(2015,5,4),0,SUMIFS(BD.OS!$X:$X,BD.OS!$A:$A,"&gt;="&amp;K49,BD.OS!$A:$A,"&lt;"&amp;K50))</f>
        <v>307</v>
      </c>
      <c r="N49" s="122">
        <f>SUMIFS('Relatório GERAL'!$BR:$BR,'Relatório GERAL'!$AX:$AX,"&gt;="&amp;'Horario de campo e Prod.TOTAL'!K49,'Relatório GERAL'!$AX:$AX,"&lt;"&amp;K50)+SUMIFS('Relatório Extra'!$W:$W,'Relatório Extra'!$A:$A,"&gt;="&amp;'Horario de campo e Prod.TOTAL'!K49,'Relatório Extra'!$A:$A,"&lt;"&amp;'Horario de campo e Prod.TOTAL'!K50)</f>
        <v>514</v>
      </c>
      <c r="O49" s="122">
        <f t="shared" si="2"/>
        <v>0.59727626459143968</v>
      </c>
      <c r="P49">
        <f>IF(K49&lt;DATE(2016,3,1),0,SUMIFS(BD.OS!$Z:$Z,BD.OS!$A:$A,"&gt;="&amp;'Horario de campo e Prod.TOTAL'!K49,BD.OS!$A:$A,"&lt;"&amp;'Horario de campo e Prod.TOTAL'!K50))</f>
        <v>0</v>
      </c>
      <c r="Q49">
        <f>IF(K49&lt;DATE(2016,3,1),0,SUMIFS('Relatório Extra'!$W:$W,'Relatório Extra'!$A:$A,"&gt;="&amp;'Horario de campo e Prod.TOTAL'!K49,'Relatório Extra'!$A:$A,"&lt;"&amp;'Horario de campo e Prod.TOTAL'!K50))</f>
        <v>0</v>
      </c>
      <c r="R49" s="122" t="e">
        <f t="shared" si="3"/>
        <v>#DIV/0!</v>
      </c>
      <c r="T49">
        <v>48</v>
      </c>
      <c r="U49" s="16">
        <f t="shared" si="4"/>
        <v>0</v>
      </c>
      <c r="V49" s="16">
        <f t="shared" si="5"/>
        <v>0.59727626459143968</v>
      </c>
      <c r="W49" s="122" t="e">
        <f t="shared" si="6"/>
        <v>#DIV/0!</v>
      </c>
      <c r="X49" s="122" t="e">
        <f t="shared" si="7"/>
        <v>#DIV/0!</v>
      </c>
    </row>
    <row r="50" spans="2:24" x14ac:dyDescent="0.2">
      <c r="B50" s="26">
        <f t="shared" si="8"/>
        <v>42706</v>
      </c>
      <c r="C50">
        <v>49</v>
      </c>
      <c r="D50" s="122">
        <f>SUMIFS(BD.OS!$Y:$Y,BD.OS!$A:$A,"&gt;="&amp;B50,BD.OS!$A:$A,"&lt;"&amp;B51)</f>
        <v>0</v>
      </c>
      <c r="E50" s="122">
        <f>SUMIFS('Relatório GERAL'!$BR:$BR,'Relatório GERAL'!$AX:$AX,"&gt;="&amp;'Horario de campo e Prod.TOTAL'!B50,'Relatório GERAL'!$AX:$AX,"&lt;"&amp;B51)+SUMIFS('Relatório Extra'!$W:$W,'Relatório Extra'!$A:$A,"&gt;="&amp;'Horario de campo e Prod.TOTAL'!B50,'Relatório Extra'!$A:$A,"&lt;"&amp;'Horario de campo e Prod.TOTAL'!B51)</f>
        <v>614</v>
      </c>
      <c r="F50" s="122">
        <f t="shared" si="0"/>
        <v>0</v>
      </c>
      <c r="G50">
        <f>IF(B50&lt;DATE(2016,3,1),0,SUMIFS(BD.OS!$Z:$Z,BD.OS!$A:$A,"&gt;="&amp;'Horario de campo e Prod.TOTAL'!B50,BD.OS!$A:$A,"&lt;"&amp;'Horario de campo e Prod.TOTAL'!B51))</f>
        <v>0</v>
      </c>
      <c r="H50">
        <f>IF(B50&lt;DATE(2016,3,1),0,SUMIFS('Relatório Extra'!$W:$W,'Relatório Extra'!$A:$A,"&gt;="&amp;'Horario de campo e Prod.TOTAL'!B50,'Relatório Extra'!$A:$A,"&lt;"&amp;'Horario de campo e Prod.TOTAL'!B51))</f>
        <v>0</v>
      </c>
      <c r="I50" s="122" t="e">
        <f t="shared" si="1"/>
        <v>#DIV/0!</v>
      </c>
      <c r="K50" s="26">
        <f t="shared" si="9"/>
        <v>42341</v>
      </c>
      <c r="L50" s="78">
        <v>49</v>
      </c>
      <c r="M50" s="122">
        <f>IF(K50&lt;DATE(2015,5,4),0,SUMIFS(BD.OS!$X:$X,BD.OS!$A:$A,"&gt;="&amp;K50,BD.OS!$A:$A,"&lt;"&amp;K51))</f>
        <v>376</v>
      </c>
      <c r="N50" s="122">
        <f>SUMIFS('Relatório GERAL'!$BR:$BR,'Relatório GERAL'!$AX:$AX,"&gt;="&amp;'Horario de campo e Prod.TOTAL'!K50,'Relatório GERAL'!$AX:$AX,"&lt;"&amp;K51)+SUMIFS('Relatório Extra'!$W:$W,'Relatório Extra'!$A:$A,"&gt;="&amp;'Horario de campo e Prod.TOTAL'!K50,'Relatório Extra'!$A:$A,"&lt;"&amp;'Horario de campo e Prod.TOTAL'!K51)</f>
        <v>598</v>
      </c>
      <c r="O50" s="122">
        <f t="shared" si="2"/>
        <v>0.62876254180602009</v>
      </c>
      <c r="P50">
        <f>IF(K50&lt;DATE(2016,3,1),0,SUMIFS(BD.OS!$Z:$Z,BD.OS!$A:$A,"&gt;="&amp;'Horario de campo e Prod.TOTAL'!K50,BD.OS!$A:$A,"&lt;"&amp;'Horario de campo e Prod.TOTAL'!K51))</f>
        <v>0</v>
      </c>
      <c r="Q50">
        <f>IF(K50&lt;DATE(2016,3,1),0,SUMIFS('Relatório Extra'!$W:$W,'Relatório Extra'!$A:$A,"&gt;="&amp;'Horario de campo e Prod.TOTAL'!K50,'Relatório Extra'!$A:$A,"&lt;"&amp;'Horario de campo e Prod.TOTAL'!K51))</f>
        <v>0</v>
      </c>
      <c r="R50" s="122" t="e">
        <f t="shared" si="3"/>
        <v>#DIV/0!</v>
      </c>
      <c r="T50">
        <v>49</v>
      </c>
      <c r="U50" s="16">
        <f t="shared" si="4"/>
        <v>0</v>
      </c>
      <c r="V50" s="16">
        <f t="shared" si="5"/>
        <v>0.62876254180602009</v>
      </c>
      <c r="W50" s="122" t="e">
        <f t="shared" si="6"/>
        <v>#DIV/0!</v>
      </c>
      <c r="X50" s="122" t="e">
        <f t="shared" si="7"/>
        <v>#DIV/0!</v>
      </c>
    </row>
    <row r="51" spans="2:24" x14ac:dyDescent="0.2">
      <c r="B51" s="26">
        <f t="shared" si="8"/>
        <v>42713</v>
      </c>
      <c r="C51">
        <v>50</v>
      </c>
      <c r="D51" s="122">
        <f>SUMIFS(BD.OS!$Y:$Y,BD.OS!$A:$A,"&gt;="&amp;B51,BD.OS!$A:$A,"&lt;"&amp;B52)</f>
        <v>0</v>
      </c>
      <c r="E51" s="122">
        <f>SUMIFS('Relatório GERAL'!$BR:$BR,'Relatório GERAL'!$AX:$AX,"&gt;="&amp;'Horario de campo e Prod.TOTAL'!B51,'Relatório GERAL'!$AX:$AX,"&lt;"&amp;B52)+SUMIFS('Relatório Extra'!$W:$W,'Relatório Extra'!$A:$A,"&gt;="&amp;'Horario de campo e Prod.TOTAL'!B51,'Relatório Extra'!$A:$A,"&lt;"&amp;'Horario de campo e Prod.TOTAL'!B52)</f>
        <v>630</v>
      </c>
      <c r="F51" s="122">
        <f t="shared" si="0"/>
        <v>0</v>
      </c>
      <c r="G51">
        <f>IF(B51&lt;DATE(2016,3,1),0,SUMIFS(BD.OS!$Z:$Z,BD.OS!$A:$A,"&gt;="&amp;'Horario de campo e Prod.TOTAL'!B51,BD.OS!$A:$A,"&lt;"&amp;'Horario de campo e Prod.TOTAL'!B52))</f>
        <v>0</v>
      </c>
      <c r="H51">
        <f>IF(B51&lt;DATE(2016,3,1),0,SUMIFS('Relatório Extra'!$W:$W,'Relatório Extra'!$A:$A,"&gt;="&amp;'Horario de campo e Prod.TOTAL'!B51,'Relatório Extra'!$A:$A,"&lt;"&amp;'Horario de campo e Prod.TOTAL'!B52))</f>
        <v>0</v>
      </c>
      <c r="I51" s="122" t="e">
        <f t="shared" si="1"/>
        <v>#DIV/0!</v>
      </c>
      <c r="K51" s="26">
        <f t="shared" si="9"/>
        <v>42348</v>
      </c>
      <c r="L51" s="78">
        <v>50</v>
      </c>
      <c r="M51" s="122">
        <f>IF(K51&lt;DATE(2015,5,4),0,SUMIFS(BD.OS!$X:$X,BD.OS!$A:$A,"&gt;="&amp;K51,BD.OS!$A:$A,"&lt;"&amp;K52))</f>
        <v>441</v>
      </c>
      <c r="N51" s="122">
        <f>SUMIFS('Relatório GERAL'!$BR:$BR,'Relatório GERAL'!$AX:$AX,"&gt;="&amp;'Horario de campo e Prod.TOTAL'!K51,'Relatório GERAL'!$AX:$AX,"&lt;"&amp;K52)+SUMIFS('Relatório Extra'!$W:$W,'Relatório Extra'!$A:$A,"&gt;="&amp;'Horario de campo e Prod.TOTAL'!K51,'Relatório Extra'!$A:$A,"&lt;"&amp;'Horario de campo e Prod.TOTAL'!K52)</f>
        <v>622</v>
      </c>
      <c r="O51" s="122">
        <f t="shared" si="2"/>
        <v>0.70900321543408362</v>
      </c>
      <c r="P51">
        <f>IF(K51&lt;DATE(2016,3,1),0,SUMIFS(BD.OS!$Z:$Z,BD.OS!$A:$A,"&gt;="&amp;'Horario de campo e Prod.TOTAL'!K51,BD.OS!$A:$A,"&lt;"&amp;'Horario de campo e Prod.TOTAL'!K52))</f>
        <v>0</v>
      </c>
      <c r="Q51">
        <f>IF(K51&lt;DATE(2016,3,1),0,SUMIFS('Relatório Extra'!$W:$W,'Relatório Extra'!$A:$A,"&gt;="&amp;'Horario de campo e Prod.TOTAL'!K51,'Relatório Extra'!$A:$A,"&lt;"&amp;'Horario de campo e Prod.TOTAL'!K52))</f>
        <v>0</v>
      </c>
      <c r="R51" s="122" t="e">
        <f t="shared" si="3"/>
        <v>#DIV/0!</v>
      </c>
      <c r="T51">
        <v>50</v>
      </c>
      <c r="U51" s="16">
        <f t="shared" si="4"/>
        <v>0</v>
      </c>
      <c r="V51" s="16">
        <f t="shared" si="5"/>
        <v>0.70900321543408362</v>
      </c>
      <c r="W51" s="122" t="e">
        <f t="shared" si="6"/>
        <v>#DIV/0!</v>
      </c>
      <c r="X51" s="122" t="e">
        <f t="shared" si="7"/>
        <v>#DIV/0!</v>
      </c>
    </row>
    <row r="52" spans="2:24" x14ac:dyDescent="0.2">
      <c r="B52" s="26">
        <f t="shared" si="8"/>
        <v>42720</v>
      </c>
      <c r="C52">
        <v>51</v>
      </c>
      <c r="D52" s="122">
        <f>SUMIFS(BD.OS!$Y:$Y,BD.OS!$A:$A,"&gt;="&amp;B52,BD.OS!$A:$A,"&lt;"&amp;B53)</f>
        <v>0</v>
      </c>
      <c r="E52" s="122">
        <f>SUMIFS('Relatório GERAL'!$BR:$BR,'Relatório GERAL'!$AX:$AX,"&gt;="&amp;'Horario de campo e Prod.TOTAL'!B52,'Relatório GERAL'!$AX:$AX,"&lt;"&amp;B53)+SUMIFS('Relatório Extra'!$W:$W,'Relatório Extra'!$A:$A,"&gt;="&amp;'Horario de campo e Prod.TOTAL'!B52,'Relatório Extra'!$A:$A,"&lt;"&amp;'Horario de campo e Prod.TOTAL'!B53)</f>
        <v>662</v>
      </c>
      <c r="F52" s="122">
        <f t="shared" si="0"/>
        <v>0</v>
      </c>
      <c r="G52">
        <f>IF(B52&lt;DATE(2016,3,1),0,SUMIFS(BD.OS!$Z:$Z,BD.OS!$A:$A,"&gt;="&amp;'Horario de campo e Prod.TOTAL'!B52,BD.OS!$A:$A,"&lt;"&amp;'Horario de campo e Prod.TOTAL'!B53))</f>
        <v>0</v>
      </c>
      <c r="H52">
        <f>IF(B52&lt;DATE(2016,3,1),0,SUMIFS('Relatório Extra'!$W:$W,'Relatório Extra'!$A:$A,"&gt;="&amp;'Horario de campo e Prod.TOTAL'!B52,'Relatório Extra'!$A:$A,"&lt;"&amp;'Horario de campo e Prod.TOTAL'!B53))</f>
        <v>0</v>
      </c>
      <c r="I52" s="122" t="e">
        <f t="shared" si="1"/>
        <v>#DIV/0!</v>
      </c>
      <c r="K52" s="26">
        <f t="shared" si="9"/>
        <v>42355</v>
      </c>
      <c r="L52" s="78">
        <v>51</v>
      </c>
      <c r="M52" s="122">
        <f>IF(K52&lt;DATE(2015,5,4),0,SUMIFS(BD.OS!$X:$X,BD.OS!$A:$A,"&gt;="&amp;K52,BD.OS!$A:$A,"&lt;"&amp;K53))</f>
        <v>387</v>
      </c>
      <c r="N52" s="122">
        <f>SUMIFS('Relatório GERAL'!$BR:$BR,'Relatório GERAL'!$AX:$AX,"&gt;="&amp;'Horario de campo e Prod.TOTAL'!K52,'Relatório GERAL'!$AX:$AX,"&lt;"&amp;K53)+SUMIFS('Relatório Extra'!$W:$W,'Relatório Extra'!$A:$A,"&gt;="&amp;'Horario de campo e Prod.TOTAL'!K52,'Relatório Extra'!$A:$A,"&lt;"&amp;'Horario de campo e Prod.TOTAL'!K53)</f>
        <v>516</v>
      </c>
      <c r="O52" s="122">
        <f t="shared" si="2"/>
        <v>0.75</v>
      </c>
      <c r="P52">
        <f>IF(K52&lt;DATE(2016,3,1),0,SUMIFS(BD.OS!$Z:$Z,BD.OS!$A:$A,"&gt;="&amp;'Horario de campo e Prod.TOTAL'!K52,BD.OS!$A:$A,"&lt;"&amp;'Horario de campo e Prod.TOTAL'!K53))</f>
        <v>0</v>
      </c>
      <c r="Q52">
        <f>IF(K52&lt;DATE(2016,3,1),0,SUMIFS('Relatório Extra'!$W:$W,'Relatório Extra'!$A:$A,"&gt;="&amp;'Horario de campo e Prod.TOTAL'!K52,'Relatório Extra'!$A:$A,"&lt;"&amp;'Horario de campo e Prod.TOTAL'!K53))</f>
        <v>0</v>
      </c>
      <c r="R52" s="122" t="e">
        <f t="shared" si="3"/>
        <v>#DIV/0!</v>
      </c>
      <c r="T52">
        <v>51</v>
      </c>
      <c r="U52" s="16">
        <f t="shared" si="4"/>
        <v>0</v>
      </c>
      <c r="V52" s="16">
        <f t="shared" si="5"/>
        <v>0.75</v>
      </c>
      <c r="W52" s="122" t="e">
        <f t="shared" si="6"/>
        <v>#DIV/0!</v>
      </c>
      <c r="X52" s="122" t="e">
        <f t="shared" si="7"/>
        <v>#DIV/0!</v>
      </c>
    </row>
    <row r="53" spans="2:24" x14ac:dyDescent="0.2">
      <c r="B53" s="26">
        <f t="shared" si="8"/>
        <v>42727</v>
      </c>
      <c r="C53">
        <v>52</v>
      </c>
      <c r="D53" s="122">
        <f>SUMIFS(BD.OS!$Y:$Y,BD.OS!$A:$A,"&gt;="&amp;B53,BD.OS!$A:$A,"&lt;"&amp;B54)</f>
        <v>0</v>
      </c>
      <c r="E53" s="122">
        <f>SUMIFS('Relatório GERAL'!$BR:$BR,'Relatório GERAL'!$AX:$AX,"&gt;="&amp;'Horario de campo e Prod.TOTAL'!B53,'Relatório GERAL'!$AX:$AX,"&lt;"&amp;B54)+SUMIFS('Relatório Extra'!$W:$W,'Relatório Extra'!$A:$A,"&gt;="&amp;'Horario de campo e Prod.TOTAL'!B53,'Relatório Extra'!$A:$A,"&lt;"&amp;'Horario de campo e Prod.TOTAL'!B54)</f>
        <v>670</v>
      </c>
      <c r="F53" s="122">
        <f t="shared" si="0"/>
        <v>0</v>
      </c>
      <c r="G53">
        <f>IF(B53&lt;DATE(2016,3,1),0,SUMIFS(BD.OS!$Z:$Z,BD.OS!$A:$A,"&gt;="&amp;'Horario de campo e Prod.TOTAL'!B53,BD.OS!$A:$A,"&lt;"&amp;'Horario de campo e Prod.TOTAL'!B54))</f>
        <v>0</v>
      </c>
      <c r="H53">
        <f>IF(B53&lt;DATE(2016,3,1),0,SUMIFS('Relatório Extra'!$W:$W,'Relatório Extra'!$A:$A,"&gt;="&amp;'Horario de campo e Prod.TOTAL'!B53,'Relatório Extra'!$A:$A,"&lt;"&amp;'Horario de campo e Prod.TOTAL'!B54))</f>
        <v>0</v>
      </c>
      <c r="I53" s="122" t="e">
        <f t="shared" si="1"/>
        <v>#DIV/0!</v>
      </c>
      <c r="K53" s="26">
        <f t="shared" si="9"/>
        <v>42362</v>
      </c>
      <c r="L53" s="78">
        <v>52</v>
      </c>
      <c r="M53" s="122">
        <f>IF(K53&lt;DATE(2015,5,4),0,SUMIFS(BD.OS!$X:$X,BD.OS!$A:$A,"&gt;="&amp;K53,BD.OS!$A:$A,"&lt;"&amp;K54))</f>
        <v>225</v>
      </c>
      <c r="N53" s="122">
        <f>SUMIFS('Relatório GERAL'!$BR:$BR,'Relatório GERAL'!$AX:$AX,"&gt;="&amp;'Horario de campo e Prod.TOTAL'!K53,'Relatório GERAL'!$AX:$AX,"&lt;"&amp;K54)+SUMIFS('Relatório Extra'!$W:$W,'Relatório Extra'!$A:$A,"&gt;="&amp;'Horario de campo e Prod.TOTAL'!K53,'Relatório Extra'!$A:$A,"&lt;"&amp;'Horario de campo e Prod.TOTAL'!K54)</f>
        <v>238</v>
      </c>
      <c r="O53" s="122">
        <f t="shared" si="2"/>
        <v>0.94537815126050417</v>
      </c>
      <c r="P53">
        <f>IF(K53&lt;DATE(2016,3,1),0,SUMIFS(BD.OS!$Z:$Z,BD.OS!$A:$A,"&gt;="&amp;'Horario de campo e Prod.TOTAL'!K53,BD.OS!$A:$A,"&lt;"&amp;'Horario de campo e Prod.TOTAL'!K54))</f>
        <v>0</v>
      </c>
      <c r="Q53">
        <f>IF(K53&lt;DATE(2016,3,1),0,SUMIFS('Relatório Extra'!$W:$W,'Relatório Extra'!$A:$A,"&gt;="&amp;'Horario de campo e Prod.TOTAL'!K53,'Relatório Extra'!$A:$A,"&lt;"&amp;'Horario de campo e Prod.TOTAL'!K54))</f>
        <v>0</v>
      </c>
      <c r="R53" s="122" t="e">
        <f t="shared" si="3"/>
        <v>#DIV/0!</v>
      </c>
      <c r="T53">
        <v>52</v>
      </c>
      <c r="U53" s="16">
        <f t="shared" si="4"/>
        <v>0</v>
      </c>
      <c r="V53" s="16">
        <f t="shared" si="5"/>
        <v>0.94537815126050417</v>
      </c>
      <c r="W53" s="122" t="e">
        <f t="shared" si="6"/>
        <v>#DIV/0!</v>
      </c>
      <c r="X53" s="122" t="e">
        <f t="shared" si="7"/>
        <v>#DIV/0!</v>
      </c>
    </row>
    <row r="54" spans="2:24" x14ac:dyDescent="0.2">
      <c r="B54" s="26">
        <f t="shared" si="8"/>
        <v>42734</v>
      </c>
      <c r="C54">
        <v>53</v>
      </c>
      <c r="D54" s="122">
        <f>SUMIFS(BD.OS!$Y:$Y,BD.OS!$A:$A,"&gt;="&amp;B54,BD.OS!$A:$A,"&lt;"&amp;B55)</f>
        <v>0</v>
      </c>
      <c r="E54" s="122">
        <f>SUMIFS('Relatório GERAL'!$BR:$BR,'Relatório GERAL'!$AX:$AX,"&gt;="&amp;'Horario de campo e Prod.TOTAL'!B54,'Relatório GERAL'!$AX:$AX,"&lt;"&amp;B55)+SUMIFS('Relatório Extra'!$W:$W,'Relatório Extra'!$A:$A,"&gt;="&amp;'Horario de campo e Prod.TOTAL'!B54,'Relatório Extra'!$A:$A,"&lt;"&amp;'Horario de campo e Prod.TOTAL'!B55)</f>
        <v>134</v>
      </c>
      <c r="F54" s="122">
        <f t="shared" si="0"/>
        <v>0</v>
      </c>
      <c r="G54">
        <f>IF(B54&lt;DATE(2016,3,1),0,SUMIFS(BD.OS!$Z:$Z,BD.OS!$A:$A,"&gt;="&amp;'Horario de campo e Prod.TOTAL'!B54,BD.OS!$A:$A,"&lt;"&amp;'Horario de campo e Prod.TOTAL'!B55))</f>
        <v>0</v>
      </c>
      <c r="H54">
        <f>IF(B54&lt;DATE(2016,3,1),0,SUMIFS('Relatório Extra'!$W:$W,'Relatório Extra'!$A:$A,"&gt;="&amp;'Horario de campo e Prod.TOTAL'!B54,'Relatório Extra'!$A:$A,"&lt;"&amp;'Horario de campo e Prod.TOTAL'!B55))</f>
        <v>0</v>
      </c>
      <c r="I54" s="122" t="e">
        <f t="shared" si="1"/>
        <v>#DIV/0!</v>
      </c>
      <c r="K54" s="26">
        <f t="shared" si="9"/>
        <v>42369</v>
      </c>
      <c r="L54" s="78">
        <v>53</v>
      </c>
      <c r="M54" s="122">
        <f>IF(K54&lt;DATE(2015,5,4),0,SUMIFS(BD.OS!$X:$X,BD.OS!$A:$A,"&gt;="&amp;K54,BD.OS!$A:$A,"&lt;"&amp;K55))</f>
        <v>0</v>
      </c>
      <c r="N54" s="122">
        <f>SUMIFS('Relatório GERAL'!$BR:$BR,'Relatório GERAL'!$AX:$AX,"&gt;="&amp;'Horario de campo e Prod.TOTAL'!K54,'Relatório GERAL'!$AX:$AX,"&lt;"&amp;K55)+SUMIFS('Relatório Extra'!$W:$W,'Relatório Extra'!$A:$A,"&gt;="&amp;'Horario de campo e Prod.TOTAL'!K54,'Relatório Extra'!$A:$A,"&lt;"&amp;'Horario de campo e Prod.TOTAL'!K55)</f>
        <v>0</v>
      </c>
      <c r="O54" s="122" t="e">
        <f t="shared" si="2"/>
        <v>#DIV/0!</v>
      </c>
      <c r="P54">
        <f>IF(K54&lt;DATE(2016,3,1),0,SUMIFS(BD.OS!$Z:$Z,BD.OS!$A:$A,"&gt;="&amp;'Horario de campo e Prod.TOTAL'!K54,BD.OS!$A:$A,"&lt;"&amp;'Horario de campo e Prod.TOTAL'!K55))</f>
        <v>0</v>
      </c>
      <c r="Q54">
        <f>IF(K54&lt;DATE(2016,3,1),0,SUMIFS('Relatório Extra'!$W:$W,'Relatório Extra'!$A:$A,"&gt;="&amp;'Horario de campo e Prod.TOTAL'!K54,'Relatório Extra'!$A:$A,"&lt;"&amp;'Horario de campo e Prod.TOTAL'!K55))</f>
        <v>0</v>
      </c>
      <c r="R54" s="122" t="e">
        <f t="shared" si="3"/>
        <v>#DIV/0!</v>
      </c>
      <c r="T54">
        <v>53</v>
      </c>
      <c r="U54" s="16">
        <f t="shared" si="4"/>
        <v>0</v>
      </c>
      <c r="V54" s="16" t="e">
        <f t="shared" si="5"/>
        <v>#DIV/0!</v>
      </c>
      <c r="W54" s="122" t="e">
        <f t="shared" si="6"/>
        <v>#DIV/0!</v>
      </c>
      <c r="X54" s="122" t="e">
        <f t="shared" si="7"/>
        <v>#DIV/0!</v>
      </c>
    </row>
    <row r="55" spans="2:24" x14ac:dyDescent="0.2">
      <c r="B55" s="26">
        <f>IF(B54+7&gt;DATE(ANOPROD.,12,31),DATE(ANOPROD.,12,31),'Horario de campo e Prod.TOTAL'!B54+7)</f>
        <v>42735</v>
      </c>
      <c r="D55" s="16"/>
      <c r="E55" s="16"/>
      <c r="F55" s="122"/>
      <c r="H55">
        <f>IF(B55&lt;DATE(2016,3,1),0,SUMIFS('Relatório Extra'!$W:$W,'Relatório Extra'!$A:$A,"&gt;="&amp;'Horario de campo e Prod.TOTAL'!B55,'Relatório Extra'!$A:$A,"&lt;"&amp;'Horario de campo e Prod.TOTAL'!B56))</f>
        <v>0</v>
      </c>
      <c r="I55" s="122" t="e">
        <f t="shared" si="1"/>
        <v>#DIV/0!</v>
      </c>
      <c r="K55" s="26">
        <f>IF(B54+7&gt;DATE(ANOPROD.-1,12,31),DATE(ANOPROD.-1,12,31),'Horario de campo e Prod.TOTAL'!B54+7)</f>
        <v>42369</v>
      </c>
      <c r="L55" s="78"/>
      <c r="M55" s="122"/>
      <c r="N55" s="122"/>
      <c r="O55" s="122"/>
      <c r="R55" s="122"/>
    </row>
  </sheetData>
  <customSheetViews>
    <customSheetView guid="{FC643F0B-3E44-4304-9C6C-EBD35A45B8FD}" hiddenColumns="1" state="hidden">
      <selection activeCell="B10" sqref="B10"/>
      <pageMargins left="0" right="0" top="0" bottom="0" header="0" footer="0"/>
      <pageSetup paperSize="9" orientation="portrait" r:id="rId1"/>
    </customSheetView>
    <customSheetView guid="{ECC56881-4CE2-4FBF-815D-85F544F885E8}" hiddenColumns="1">
      <selection activeCell="B10" sqref="B10"/>
      <pageMargins left="0" right="0" top="0" bottom="0" header="0" footer="0"/>
      <pageSetup paperSize="9" orientation="portrait" r:id="rId2"/>
    </customSheetView>
    <customSheetView guid="{40F11FFD-627B-4157-AFFE-E57E44CED524}" hiddenColumns="1" state="hidden">
      <selection activeCell="B10" sqref="B10"/>
      <pageMargins left="0" right="0" top="0" bottom="0" header="0" footer="0"/>
      <pageSetup paperSize="9" orientation="portrait" r:id="rId3"/>
    </customSheetView>
  </customSheetViews>
  <pageMargins left="0.511811024" right="0.511811024" top="0.78740157499999996" bottom="0.78740157499999996" header="0.31496062000000002" footer="0.31496062000000002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24f7eca-0e22-46f6-95f5-a93ab0dbcb46">QDJUJEDFA3EV-39-12</_dlc_DocId>
    <_dlc_DocIdUrl xmlns="324f7eca-0e22-46f6-95f5-a93ab0dbcb46">
      <Url>http://ep.caesb/sites/PGO/PGOM/PGOM/_layouts/15/DocIdRedir.aspx?ID=QDJUJEDFA3EV-39-12</Url>
      <Description>QDJUJEDFA3EV-39-12</Description>
    </_dlc_DocIdUrl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E5D4430A98CD48859571CF2DD4CABE" ma:contentTypeVersion="1" ma:contentTypeDescription="Crie um novo documento." ma:contentTypeScope="" ma:versionID="34f4e5acea1bfc00a7e3fdec7715531f">
  <xsd:schema xmlns:xsd="http://www.w3.org/2001/XMLSchema" xmlns:xs="http://www.w3.org/2001/XMLSchema" xmlns:p="http://schemas.microsoft.com/office/2006/metadata/properties" xmlns:ns1="http://schemas.microsoft.com/sharepoint/v3" xmlns:ns2="324f7eca-0e22-46f6-95f5-a93ab0dbcb46" targetNamespace="http://schemas.microsoft.com/office/2006/metadata/properties" ma:root="true" ma:fieldsID="46f267a9e5272f90e725d186a2961dda" ns1:_="" ns2:_="">
    <xsd:import namespace="http://schemas.microsoft.com/sharepoint/v3"/>
    <xsd:import namespace="324f7eca-0e22-46f6-95f5-a93ab0dbcb4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internalName="PublishingStartDate">
      <xsd:simpleType>
        <xsd:restriction base="dms:Unknown"/>
      </xsd:simpleType>
    </xsd:element>
    <xsd:element name="PublishingExpirationDate" ma:index="12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f7eca-0e22-46f6-95f5-a93ab0dbcb4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E0735-3826-4D8A-8F91-56CC19977BD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923D986-99D7-4740-A36A-B7A795049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7A5FD-3EE8-4CE2-943F-93D59777063C}">
  <ds:schemaRefs>
    <ds:schemaRef ds:uri="http://schemas.microsoft.com/office/2006/metadata/properties"/>
    <ds:schemaRef ds:uri="http://schemas.microsoft.com/office/infopath/2007/PartnerControls"/>
    <ds:schemaRef ds:uri="324f7eca-0e22-46f6-95f5-a93ab0dbcb46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D46765CD-692A-4DA0-A4A9-C7026445F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4f7eca-0e22-46f6-95f5-a93ab0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14</vt:i4>
      </vt:variant>
    </vt:vector>
  </HeadingPairs>
  <TitlesOfParts>
    <vt:vector size="34" baseType="lpstr">
      <vt:lpstr>Calendário</vt:lpstr>
      <vt:lpstr>Dados Dinamicos</vt:lpstr>
      <vt:lpstr>Relatório IND.</vt:lpstr>
      <vt:lpstr>Gráfico IND.</vt:lpstr>
      <vt:lpstr>Relatório TOT.</vt:lpstr>
      <vt:lpstr>Gráfico TOT.</vt:lpstr>
      <vt:lpstr>CÓD func.CAMPO</vt:lpstr>
      <vt:lpstr>Prod. e Improd</vt:lpstr>
      <vt:lpstr>Prod.Total</vt:lpstr>
      <vt:lpstr>PROCV Prod.Total</vt:lpstr>
      <vt:lpstr>BD.OS</vt:lpstr>
      <vt:lpstr>BD. km rodado</vt:lpstr>
      <vt:lpstr>Relatório GERAL</vt:lpstr>
      <vt:lpstr>Dados de consulta</vt:lpstr>
      <vt:lpstr>Resumo Extras</vt:lpstr>
      <vt:lpstr>Relatório Extra</vt:lpstr>
      <vt:lpstr>BD OS's Canceladas</vt:lpstr>
      <vt:lpstr>BD HORA EXTRA</vt:lpstr>
      <vt:lpstr>BD. graf. km rodado</vt:lpstr>
      <vt:lpstr>Horario de campo e Prod.TOTAL</vt:lpstr>
      <vt:lpstr>Calendário!AnoAExibir</vt:lpstr>
      <vt:lpstr>ANOGRAFIND</vt:lpstr>
      <vt:lpstr>ANOGRAFTOT</vt:lpstr>
      <vt:lpstr>ANOPROD.</vt:lpstr>
      <vt:lpstr>ANOPRODTOT.</vt:lpstr>
      <vt:lpstr>ANOPRODTOT.2</vt:lpstr>
      <vt:lpstr>Calendário!Area_de_impressao</vt:lpstr>
      <vt:lpstr>Prod.Total!Area_de_impressao</vt:lpstr>
      <vt:lpstr>DiaDeInício</vt:lpstr>
      <vt:lpstr>Indivíduo</vt:lpstr>
      <vt:lpstr>Calendário!MêsAExibir</vt:lpstr>
      <vt:lpstr>MESGRAFIND</vt:lpstr>
      <vt:lpstr>MESGRAFTOT</vt:lpstr>
      <vt:lpstr>TrabalhoDiário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Batista Uchoa Junior</dc:creator>
  <cp:keywords/>
  <dc:description/>
  <cp:lastModifiedBy>Casa</cp:lastModifiedBy>
  <cp:revision/>
  <dcterms:created xsi:type="dcterms:W3CDTF">2016-06-21T20:01:41Z</dcterms:created>
  <dcterms:modified xsi:type="dcterms:W3CDTF">2022-06-15T11:41:14Z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0x010100CFE5D4430A98CD48859571CF2DD4CABE</vt:lpwstr>
  </property>
  <property fmtid="{D5CDD505-2E9C-101B-9397-08002B2CF9AE}" pid="3" name="_dlc_DocIdItemGuid">
    <vt:lpwstr>749f871b-6c09-48e6-aa04-5658a032a717</vt:lpwstr>
  </property>
</Properties>
</file>